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11"/>
  <workbookPr codeName="ThisWorkbook" defaultThemeVersion="124226"/>
  <mc:AlternateContent xmlns:mc="http://schemas.openxmlformats.org/markup-compatibility/2006">
    <mc:Choice Requires="x15">
      <x15ac:absPath xmlns:x15ac="http://schemas.microsoft.com/office/spreadsheetml/2010/11/ac" url="C:\Users\RYSK\Desktop\"/>
    </mc:Choice>
  </mc:AlternateContent>
  <xr:revisionPtr revIDLastSave="9" documentId="13_ncr:1_{1169BEB8-4D71-452A-8209-AADAA767737B}" xr6:coauthVersionLast="46" xr6:coauthVersionMax="46" xr10:uidLastSave="{464095F1-3888-4222-84D0-33FAB87A23EE}"/>
  <bookViews>
    <workbookView xWindow="-120" yWindow="-120" windowWidth="16512" windowHeight="5592" tabRatio="793" activeTab="3" xr2:uid="{00000000-000D-0000-FFFF-FFFF00000000}"/>
  </bookViews>
  <sheets>
    <sheet name="T-1 Savings&amp;DemandRedx(Net)" sheetId="50" r:id="rId1"/>
    <sheet name="T-2 EnvImpacts(Net)" sheetId="44" r:id="rId2"/>
    <sheet name="T-3 Exp's" sheetId="52" r:id="rId3"/>
    <sheet name="T-4 CE(Net)" sheetId="43" r:id="rId4"/>
    <sheet name="T-5 RatepayerImpcts" sheetId="40" r:id="rId5"/>
    <sheet name="T-6 SavingsUseCategory" sheetId="49" r:id="rId6"/>
    <sheet name="T-7 Commitments" sheetId="46" r:id="rId7"/>
    <sheet name="T-8 SharehldrPerfInc'ves" sheetId="59" r:id="rId8"/>
    <sheet name="T-9 Metrics" sheetId="58" r:id="rId9"/>
    <sheet name="T-10 Marketplace Metrics" sheetId="54" r:id="rId10"/>
    <sheet name="Sheet1" sheetId="48"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12yrto100" localSheetId="0">[1]Lookups!#REF!</definedName>
    <definedName name="_12yrto100" localSheetId="9">[1]Lookups!#REF!</definedName>
    <definedName name="_12yrto100" localSheetId="2">[1]Lookups!#REF!</definedName>
    <definedName name="_12yrto100" localSheetId="4">[1]Lookups!#REF!</definedName>
    <definedName name="_12yrto100" localSheetId="7">[1]Lookups!#REF!</definedName>
    <definedName name="_12yrto100">[1]Lookups!#REF!</definedName>
    <definedName name="_12yrto60" localSheetId="0">[1]Lookups!#REF!</definedName>
    <definedName name="_12yrto60" localSheetId="2">[1]Lookups!#REF!</definedName>
    <definedName name="_12yrto60" localSheetId="4">[1]Lookups!#REF!</definedName>
    <definedName name="_12yrto60" localSheetId="7">[1]Lookups!#REF!</definedName>
    <definedName name="_12yrto60">[1]Lookups!#REF!</definedName>
    <definedName name="_3yrto100" localSheetId="0">[1]Lookups!#REF!</definedName>
    <definedName name="_3yrto100" localSheetId="2">[1]Lookups!#REF!</definedName>
    <definedName name="_3yrto100" localSheetId="4">[1]Lookups!#REF!</definedName>
    <definedName name="_3yrto100" localSheetId="7">[1]Lookups!#REF!</definedName>
    <definedName name="_3yrto100">[1]Lookups!#REF!</definedName>
    <definedName name="_3yrto60" localSheetId="0">[1]Lookups!#REF!</definedName>
    <definedName name="_3yrto60" localSheetId="2">[1]Lookups!#REF!</definedName>
    <definedName name="_3yrto60" localSheetId="4">[1]Lookups!#REF!</definedName>
    <definedName name="_3yrto60" localSheetId="7">[1]Lookups!#REF!</definedName>
    <definedName name="_3yrto60">[1]Lookups!#REF!</definedName>
    <definedName name="_6yrto100" localSheetId="0">[1]Lookups!#REF!</definedName>
    <definedName name="_6yrto100" localSheetId="2">[1]Lookups!#REF!</definedName>
    <definedName name="_6yrto100" localSheetId="4">[1]Lookups!#REF!</definedName>
    <definedName name="_6yrto100" localSheetId="7">[1]Lookups!#REF!</definedName>
    <definedName name="_6yrto100">[1]Lookups!#REF!</definedName>
    <definedName name="_6yrto60" localSheetId="2">[1]Lookups!#REF!</definedName>
    <definedName name="_6yrto60" localSheetId="7">[1]Lookups!#REF!</definedName>
    <definedName name="_6yrto60">[1]Lookups!#REF!</definedName>
    <definedName name="_8yrt0100" localSheetId="2">[1]Lookups!#REF!</definedName>
    <definedName name="_8yrt0100" localSheetId="7">[1]Lookups!#REF!</definedName>
    <definedName name="_8yrt0100">[1]Lookups!#REF!</definedName>
    <definedName name="_9yrto100" localSheetId="2">[1]Lookups!#REF!</definedName>
    <definedName name="_9yrto100" localSheetId="7">[1]Lookups!#REF!</definedName>
    <definedName name="_9yrto100">[1]Lookups!#REF!</definedName>
    <definedName name="_9yrto60" localSheetId="2">[1]Lookups!#REF!</definedName>
    <definedName name="_9yrto60" localSheetId="7">[1]Lookups!#REF!</definedName>
    <definedName name="_9yrto60">[1]Lookups!#REF!</definedName>
    <definedName name="_xlnm._FilterDatabase" localSheetId="8" hidden="1">'T-9 Metrics'!$A$3:$AB$3</definedName>
    <definedName name="_ftn1" localSheetId="9">'T-10 Marketplace Metrics'!$A$10</definedName>
    <definedName name="_ftn2" localSheetId="9">'T-10 Marketplace Metrics'!$A$51</definedName>
    <definedName name="_ftn3" localSheetId="9">'T-10 Marketplace Metrics'!$A$52</definedName>
    <definedName name="_ftnref1" localSheetId="9">'T-10 Marketplace Metrics'!$C$9</definedName>
    <definedName name="_ftnref2" localSheetId="9">'T-10 Marketplace Metrics'!$A$35</definedName>
    <definedName name="_ftnref3" localSheetId="9">'T-10 Marketplace Metrics'!$A$42</definedName>
    <definedName name="_Hlk535928244" localSheetId="9">'T-10 Marketplace Metrics'!$A$42</definedName>
    <definedName name="_Toc419981606" localSheetId="7">'T-8 SharehldrPerfInc''ves'!$C$1</definedName>
    <definedName name="bbbbb" localSheetId="0">#REF!</definedName>
    <definedName name="bbbbb" localSheetId="2">#REF!</definedName>
    <definedName name="bbbbb" localSheetId="4">#REF!</definedName>
    <definedName name="bbbbb" localSheetId="7">#REF!</definedName>
    <definedName name="bbbbb">#REF!</definedName>
    <definedName name="Budget___Expenditures______1" localSheetId="7">[2]pge12monthT1.1!$C$1:$C$121</definedName>
    <definedName name="Budget___Expenditures______1">[3]pge12monthT1.1!$C$1:$C$121</definedName>
    <definedName name="CAlist" localSheetId="0">#REF!</definedName>
    <definedName name="CAlist" localSheetId="2">#REF!</definedName>
    <definedName name="CAlist" localSheetId="4">#REF!</definedName>
    <definedName name="CAlist" localSheetId="7">#REF!</definedName>
    <definedName name="CAlist">#REF!</definedName>
    <definedName name="_xlnm.Criteria" localSheetId="2">'[4]1.1 Done'!#REF!</definedName>
    <definedName name="_xlnm.Criteria" localSheetId="7">'[5]1.1 Done'!#REF!</definedName>
    <definedName name="_xlnm.Criteria">'[4]1.1 Done'!#REF!</definedName>
    <definedName name="Criteria_MI" localSheetId="0">#REF!</definedName>
    <definedName name="Criteria_MI" localSheetId="2">#REF!</definedName>
    <definedName name="Criteria_MI" localSheetId="4">#REF!</definedName>
    <definedName name="Criteria_MI" localSheetId="7">#REF!</definedName>
    <definedName name="Criteria_MI">#REF!</definedName>
    <definedName name="_xlnm.Database" localSheetId="2">'[4]1.1 Done'!#REF!</definedName>
    <definedName name="_xlnm.Database" localSheetId="7">'[5]1.1 Done'!#REF!</definedName>
    <definedName name="_xlnm.Database">'[4]1.1 Done'!#REF!</definedName>
    <definedName name="Database_MI" localSheetId="0">#REF!</definedName>
    <definedName name="Database_MI" localSheetId="2">#REF!</definedName>
    <definedName name="Database_MI" localSheetId="4">#REF!</definedName>
    <definedName name="Database_MI" localSheetId="7">#REF!</definedName>
    <definedName name="Database_MI">#REF!</definedName>
    <definedName name="Demand_Reduction__Summer_Peak_kW___2" localSheetId="7">[2]pge12monthT1.1!$I$1:$I$121</definedName>
    <definedName name="Demand_Reduction__Summer_Peak_kW___2">[3]pge12monthT1.1!$I$1:$I$121</definedName>
    <definedName name="Disrate" localSheetId="0">#REF!</definedName>
    <definedName name="Disrate" localSheetId="2">#REF!</definedName>
    <definedName name="Disrate" localSheetId="4">#REF!</definedName>
    <definedName name="Disrate" localSheetId="7">#REF!</definedName>
    <definedName name="Disrate">#REF!</definedName>
    <definedName name="drgdfgd">#REF!</definedName>
    <definedName name="DynCompany">"DPPI"</definedName>
    <definedName name="DynMajor">"Enter Pivot Title Here"</definedName>
    <definedName name="DynUser">"Steve"</definedName>
    <definedName name="EEGAVersion" localSheetId="2">#REF!</definedName>
    <definedName name="EEGAVersion" localSheetId="7">#REF!</definedName>
    <definedName name="EEGAVersion">#REF!</definedName>
    <definedName name="Energy_Savings__Net_Annual_kWh___2" localSheetId="7">[2]pge12monthT1.1!$N$1:$N$121</definedName>
    <definedName name="Energy_Savings__Net_Annual_kWh___2">[3]pge12monthT1.1!$N$1:$N$121</definedName>
    <definedName name="Enf60Never" localSheetId="0">[1]Lookups!#REF!</definedName>
    <definedName name="Enf60Never" localSheetId="2">[1]Lookups!#REF!</definedName>
    <definedName name="Enf60Never" localSheetId="4">[1]Lookups!#REF!</definedName>
    <definedName name="Enf60Never">[1]Lookups!#REF!</definedName>
    <definedName name="ESPI_Group">Sheet1!$F$2:$F$4</definedName>
    <definedName name="ExportRanges" localSheetId="0">#REF!</definedName>
    <definedName name="ExportRanges" localSheetId="2">#REF!</definedName>
    <definedName name="ExportRanges" localSheetId="4">#REF!</definedName>
    <definedName name="ExportRanges" localSheetId="7">#REF!</definedName>
    <definedName name="ExportRanges">#REF!</definedName>
    <definedName name="ExportRangeSeed" localSheetId="0">#REF!</definedName>
    <definedName name="ExportRangeSeed" localSheetId="2">#REF!</definedName>
    <definedName name="ExportRangeSeed" localSheetId="4">#REF!</definedName>
    <definedName name="ExportRangeSeed" localSheetId="7">#REF!</definedName>
    <definedName name="ExportRangeSeed">#REF!</definedName>
    <definedName name="_xlnm.Extract" localSheetId="2">'[4]1.1 Done'!#REF!</definedName>
    <definedName name="_xlnm.Extract" localSheetId="7">'[5]1.1 Done'!#REF!</definedName>
    <definedName name="_xlnm.Extract">'[4]1.1 Done'!#REF!</definedName>
    <definedName name="Extract_MI" localSheetId="0">#REF!</definedName>
    <definedName name="Extract_MI" localSheetId="2">#REF!</definedName>
    <definedName name="Extract_MI" localSheetId="4">#REF!</definedName>
    <definedName name="Extract_MI" localSheetId="7">#REF!</definedName>
    <definedName name="Extract_MI">#REF!</definedName>
    <definedName name="fgdfgdfsdfsdf">#REF!</definedName>
    <definedName name="Gas_Savings__Net_Annual_Therms___2" localSheetId="7">[2]pge12monthT1.1!$S$1:$S$121</definedName>
    <definedName name="Gas_Savings__Net_Annual_Therms___2">[3]pge12monthT1.1!$S$1:$S$121</definedName>
    <definedName name="ImportExportRanges" localSheetId="0">#REF!</definedName>
    <definedName name="ImportExportRanges" localSheetId="2">#REF!</definedName>
    <definedName name="ImportExportRanges" localSheetId="4">#REF!</definedName>
    <definedName name="ImportExportRanges" localSheetId="7">#REF!</definedName>
    <definedName name="ImportExportRanges">#REF!</definedName>
    <definedName name="ImportExportRangeSeed" localSheetId="0">#REF!</definedName>
    <definedName name="ImportExportRangeSeed" localSheetId="2">#REF!</definedName>
    <definedName name="ImportExportRangeSeed" localSheetId="4">#REF!</definedName>
    <definedName name="ImportExportRangeSeed" localSheetId="7">#REF!</definedName>
    <definedName name="ImportExportRangeSeed">#REF!</definedName>
    <definedName name="Incentives" localSheetId="7">[2]pge12monthT1.1!$X$1:$X$121</definedName>
    <definedName name="Incentives">[3]pge12monthT1.1!$X$1:$X$121</definedName>
    <definedName name="indata" localSheetId="0">#REF!</definedName>
    <definedName name="indata" localSheetId="2">#REF!</definedName>
    <definedName name="indata" localSheetId="4">#REF!</definedName>
    <definedName name="indata" localSheetId="7">#REF!</definedName>
    <definedName name="indata">#REF!</definedName>
    <definedName name="IsPivot1">1</definedName>
    <definedName name="isXLT">4</definedName>
    <definedName name="MaxMeasures" localSheetId="7">[6]Calculations!$K$8</definedName>
    <definedName name="MaxMeasures">[7]Calculations!$K$8</definedName>
    <definedName name="MDATable1">'[8]MDA Table'!$C$2:$I$31</definedName>
    <definedName name="MDATable2">'[8]MDA Table'!$A$33:$J$157</definedName>
    <definedName name="NAlist" localSheetId="0">#REF!</definedName>
    <definedName name="NAlist" localSheetId="2">#REF!</definedName>
    <definedName name="NAlist" localSheetId="4">#REF!</definedName>
    <definedName name="NAlist" localSheetId="7">#REF!</definedName>
    <definedName name="NAlist">#REF!</definedName>
    <definedName name="NResSavTable">'[8]EE Report - 2017'!$B$3:$AS$16</definedName>
    <definedName name="P5_">[9]Sheet1!$E$27</definedName>
    <definedName name="Paid_YTD_from_Previous_Month" localSheetId="7">[2]pge12monthT1.1!$AA$1:$AA$121</definedName>
    <definedName name="Paid_YTD_from_Previous_Month">[3]pge12monthT1.1!$AA$1:$AA$121</definedName>
    <definedName name="_xlnm.Print_Area" localSheetId="0">'T-1 Savings&amp;DemandRedx(Net)'!$A$1:$D$55</definedName>
    <definedName name="_xlnm.Print_Area" localSheetId="2">'T-3 Exp''s'!$A$1:$W$125</definedName>
    <definedName name="Print_Area_MI" localSheetId="0">#REF!</definedName>
    <definedName name="Print_Area_MI" localSheetId="2">#REF!</definedName>
    <definedName name="Print_Area_MI" localSheetId="4">#REF!</definedName>
    <definedName name="Print_Area_MI" localSheetId="7">#REF!</definedName>
    <definedName name="Print_Area_MI">#REF!</definedName>
    <definedName name="_xlnm.Print_Titles" localSheetId="0">'T-1 Savings&amp;DemandRedx(Net)'!$1:$3</definedName>
    <definedName name="_xlnm.Print_Titles" localSheetId="2">'T-3 Exp''s'!$3:$5</definedName>
    <definedName name="PT_Data">"PTData1!A1:E26153"</definedName>
    <definedName name="qryNormByMkt_AllData" localSheetId="2">#REF!</definedName>
    <definedName name="qryNormByMkt_AllData" localSheetId="7">#REF!</definedName>
    <definedName name="qryNormByMkt_AllData">#REF!</definedName>
    <definedName name="range_unresolved" localSheetId="0">#REF!</definedName>
    <definedName name="range_unresolved" localSheetId="2">#REF!</definedName>
    <definedName name="range_unresolved" localSheetId="4">#REF!</definedName>
    <definedName name="range_unresolved" localSheetId="7">#REF!</definedName>
    <definedName name="range_unresolved">#REF!</definedName>
    <definedName name="RANGEpge12monthT1.1" localSheetId="7">[2]pge12monthT1.1!$A$1:$AC$121</definedName>
    <definedName name="RANGEpge12monthT1.1">[3]pge12monthT1.1!$A$1:$AC$121</definedName>
    <definedName name="ResSavTable1">'[8]EE Report - 2017'!$B$25:$AS$34</definedName>
    <definedName name="ResSavTable2">'[8]EE Report - 2017'!$A$25:$AS$34</definedName>
    <definedName name="SectorTab">[8]List!$D$3:$E$12</definedName>
    <definedName name="StampStatusLocation" localSheetId="0">#REF!</definedName>
    <definedName name="StampStatusLocation" localSheetId="2">#REF!</definedName>
    <definedName name="StampStatusLocation" localSheetId="4">#REF!</definedName>
    <definedName name="StampStatusLocation" localSheetId="7">#REF!</definedName>
    <definedName name="StampStatusLocation">#REF!</definedName>
    <definedName name="StampVersionLocation" localSheetId="0">#REF!</definedName>
    <definedName name="StampVersionLocation" localSheetId="2">#REF!</definedName>
    <definedName name="StampVersionLocation" localSheetId="4">#REF!</definedName>
    <definedName name="StampVersionLocation" localSheetId="7">#REF!</definedName>
    <definedName name="StampVersionLocation">#REF!</definedName>
    <definedName name="StandaloneMode" localSheetId="0">#REF!</definedName>
    <definedName name="StandaloneMode" localSheetId="2">#REF!</definedName>
    <definedName name="StandaloneMode" localSheetId="4">#REF!</definedName>
    <definedName name="StandaloneMode" localSheetId="7">#REF!</definedName>
    <definedName name="StandaloneMode">#REF!</definedName>
    <definedName name="StartYr" localSheetId="0">#REF!</definedName>
    <definedName name="StartYr" localSheetId="2">#REF!</definedName>
    <definedName name="StartYr" localSheetId="4">#REF!</definedName>
    <definedName name="StartYr" localSheetId="7">#REF!</definedName>
    <definedName name="StartYr">#REF!</definedName>
    <definedName name="StatusList" localSheetId="0">#REF!</definedName>
    <definedName name="StatusList" localSheetId="2">#REF!</definedName>
    <definedName name="StatusList" localSheetId="4">#REF!</definedName>
    <definedName name="StatusList" localSheetId="7">#REF!</definedName>
    <definedName name="StatusList">#REF!</definedName>
    <definedName name="UpdateVersion" localSheetId="0">#REF!</definedName>
    <definedName name="UpdateVersion" localSheetId="2">#REF!</definedName>
    <definedName name="UpdateVersion" localSheetId="4">#REF!</definedName>
    <definedName name="UpdateVersion" localSheetId="7">#REF!</definedName>
    <definedName name="UpdateVersion">#REF!</definedName>
    <definedName name="Validation_Ranges" localSheetId="0">#REF!</definedName>
    <definedName name="Validation_Ranges" localSheetId="2">#REF!</definedName>
    <definedName name="Validation_Ranges" localSheetId="4">#REF!</definedName>
    <definedName name="Validation_Ranges" localSheetId="7">#REF!</definedName>
    <definedName name="Validation_Ranges">#REF!</definedName>
    <definedName name="ValidationRangeSeed" localSheetId="0">#REF!</definedName>
    <definedName name="ValidationRangeSeed" localSheetId="2">#REF!</definedName>
    <definedName name="ValidationRangeSeed" localSheetId="4">#REF!</definedName>
    <definedName name="ValidationRangeSeed" localSheetId="7">#REF!</definedName>
    <definedName name="ValidationRangeSeed">#REF!</definedName>
    <definedName name="ValidatorVersion" localSheetId="0">#REF!</definedName>
    <definedName name="ValidatorVersion" localSheetId="2">#REF!</definedName>
    <definedName name="ValidatorVersion" localSheetId="4">#REF!</definedName>
    <definedName name="ValidatorVersion" localSheetId="7">#REF!</definedName>
    <definedName name="ValidatorVersion">#REF!</definedName>
    <definedName name="Version" localSheetId="0">#REF!</definedName>
    <definedName name="Version" localSheetId="2">#REF!</definedName>
    <definedName name="Version" localSheetId="4">#REF!</definedName>
    <definedName name="Version" localSheetId="7">#REF!</definedName>
    <definedName name="Version">#REF!</definedName>
    <definedName name="XLTBuild">4.1</definedName>
    <definedName name="XltVer">2</definedName>
    <definedName name="XSubtotalLine1">38</definedName>
    <definedName name="XSubtotalLine2">48</definedName>
    <definedName name="XSubtotalLine3">7</definedName>
    <definedName name="XSubtotalLine4">56</definedName>
    <definedName name="XSubtotalLine5">55</definedName>
    <definedName name="XSubtotalLine6">11</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86" i="58" l="1"/>
  <c r="V285" i="58"/>
  <c r="U285" i="58"/>
  <c r="T285" i="58"/>
  <c r="S285" i="58"/>
  <c r="R285" i="58"/>
  <c r="V284" i="58"/>
  <c r="U284" i="58"/>
  <c r="T284" i="58"/>
  <c r="S284" i="58"/>
  <c r="R284" i="58"/>
  <c r="V283" i="58"/>
  <c r="U283" i="58"/>
  <c r="T283" i="58"/>
  <c r="S283" i="58"/>
  <c r="R283" i="58"/>
  <c r="V282" i="58"/>
  <c r="U282" i="58"/>
  <c r="T282" i="58"/>
  <c r="S282" i="58"/>
  <c r="R282" i="58"/>
  <c r="V281" i="58"/>
  <c r="U281" i="58"/>
  <c r="T281" i="58"/>
  <c r="S281" i="58"/>
  <c r="R281" i="58"/>
  <c r="V276" i="58"/>
  <c r="U276" i="58"/>
  <c r="T276" i="58"/>
  <c r="S276" i="58"/>
  <c r="R276" i="58"/>
  <c r="V275" i="58"/>
  <c r="U275" i="58"/>
  <c r="T275" i="58"/>
  <c r="S275" i="58"/>
  <c r="R275" i="58"/>
  <c r="V274" i="58"/>
  <c r="U274" i="58"/>
  <c r="T274" i="58"/>
  <c r="S274" i="58"/>
  <c r="R274" i="58"/>
  <c r="V273" i="58"/>
  <c r="U273" i="58"/>
  <c r="T273" i="58"/>
  <c r="S273" i="58"/>
  <c r="R273" i="58"/>
  <c r="V272" i="58"/>
  <c r="U272" i="58"/>
  <c r="T272" i="58"/>
  <c r="S272" i="58"/>
  <c r="R272" i="58"/>
  <c r="V271" i="58"/>
  <c r="U271" i="58"/>
  <c r="T271" i="58"/>
  <c r="S271" i="58"/>
  <c r="R271" i="58"/>
  <c r="V270" i="58"/>
  <c r="U270" i="58"/>
  <c r="T270" i="58"/>
  <c r="S270" i="58"/>
  <c r="R270" i="58"/>
  <c r="V269" i="58"/>
  <c r="U269" i="58"/>
  <c r="T269" i="58"/>
  <c r="S269" i="58"/>
  <c r="R269" i="58"/>
  <c r="V268" i="58"/>
  <c r="U268" i="58"/>
  <c r="T268" i="58"/>
  <c r="S268" i="58"/>
  <c r="R268" i="58"/>
  <c r="V267" i="58"/>
  <c r="U267" i="58"/>
  <c r="T267" i="58"/>
  <c r="S267" i="58"/>
  <c r="R267" i="58"/>
  <c r="V266" i="58"/>
  <c r="U266" i="58"/>
  <c r="T266" i="58"/>
  <c r="S266" i="58"/>
  <c r="R266" i="58"/>
  <c r="V265" i="58"/>
  <c r="U265" i="58"/>
  <c r="T265" i="58"/>
  <c r="S265" i="58"/>
  <c r="R265" i="58"/>
  <c r="V252" i="58"/>
  <c r="U252" i="58"/>
  <c r="T252" i="58"/>
  <c r="S252" i="58"/>
  <c r="R252" i="58"/>
  <c r="V251" i="58"/>
  <c r="U251" i="58"/>
  <c r="T251" i="58"/>
  <c r="S251" i="58"/>
  <c r="R251" i="58"/>
  <c r="V250" i="58"/>
  <c r="U250" i="58"/>
  <c r="T250" i="58"/>
  <c r="S250" i="58"/>
  <c r="R250" i="58"/>
  <c r="V249" i="58"/>
  <c r="U249" i="58"/>
  <c r="T249" i="58"/>
  <c r="S249" i="58"/>
  <c r="R249" i="58"/>
  <c r="V248" i="58"/>
  <c r="U248" i="58"/>
  <c r="T248" i="58"/>
  <c r="S248" i="58"/>
  <c r="R248" i="58"/>
  <c r="V247" i="58"/>
  <c r="U247" i="58"/>
  <c r="T247" i="58"/>
  <c r="S247" i="58"/>
  <c r="R247" i="58"/>
  <c r="M243" i="58"/>
  <c r="S243" i="58" s="1"/>
  <c r="V242" i="58"/>
  <c r="U242" i="58"/>
  <c r="T242" i="58"/>
  <c r="S242" i="58"/>
  <c r="V241" i="58"/>
  <c r="U241" i="58"/>
  <c r="T241" i="58"/>
  <c r="S241" i="58"/>
  <c r="V239" i="58"/>
  <c r="U239" i="58"/>
  <c r="T239" i="58"/>
  <c r="S239" i="58"/>
  <c r="R239" i="58"/>
  <c r="V238" i="58"/>
  <c r="U238" i="58"/>
  <c r="T238" i="58"/>
  <c r="S238" i="58"/>
  <c r="R238" i="58"/>
  <c r="V237" i="58"/>
  <c r="U237" i="58"/>
  <c r="T237" i="58"/>
  <c r="S237" i="58"/>
  <c r="R237" i="58"/>
  <c r="V236" i="58"/>
  <c r="U236" i="58"/>
  <c r="T236" i="58"/>
  <c r="S236" i="58"/>
  <c r="R236" i="58"/>
  <c r="V235" i="58"/>
  <c r="U235" i="58"/>
  <c r="T235" i="58"/>
  <c r="S235" i="58"/>
  <c r="R235" i="58"/>
  <c r="V234" i="58"/>
  <c r="U234" i="58"/>
  <c r="T234" i="58"/>
  <c r="S234" i="58"/>
  <c r="R234" i="58"/>
  <c r="V233" i="58"/>
  <c r="U233" i="58"/>
  <c r="T233" i="58"/>
  <c r="S233" i="58"/>
  <c r="R233" i="58"/>
  <c r="V232" i="58"/>
  <c r="U232" i="58"/>
  <c r="T232" i="58"/>
  <c r="S232" i="58"/>
  <c r="R232" i="58"/>
  <c r="V231" i="58"/>
  <c r="U231" i="58"/>
  <c r="T231" i="58"/>
  <c r="S231" i="58"/>
  <c r="R231" i="58"/>
  <c r="V230" i="58"/>
  <c r="U230" i="58"/>
  <c r="T230" i="58"/>
  <c r="S230" i="58"/>
  <c r="R230" i="58"/>
  <c r="V229" i="58"/>
  <c r="U229" i="58"/>
  <c r="T229" i="58"/>
  <c r="S229" i="58"/>
  <c r="R229" i="58"/>
  <c r="V228" i="58"/>
  <c r="U228" i="58"/>
  <c r="T228" i="58"/>
  <c r="S228" i="58"/>
  <c r="R228" i="58"/>
  <c r="M226" i="58"/>
  <c r="M225" i="58"/>
  <c r="V215" i="58"/>
  <c r="U215" i="58"/>
  <c r="T215" i="58"/>
  <c r="S215" i="58"/>
  <c r="R215" i="58"/>
  <c r="V204" i="58"/>
  <c r="U204" i="58"/>
  <c r="T204" i="58"/>
  <c r="S204" i="58"/>
  <c r="R204" i="58"/>
  <c r="M204" i="58"/>
  <c r="V203" i="58"/>
  <c r="U203" i="58"/>
  <c r="T203" i="58"/>
  <c r="S203" i="58"/>
  <c r="R203" i="58"/>
  <c r="V202" i="58"/>
  <c r="U202" i="58"/>
  <c r="T202" i="58"/>
  <c r="S202" i="58"/>
  <c r="R202" i="58"/>
  <c r="V201" i="58"/>
  <c r="U201" i="58"/>
  <c r="T201" i="58"/>
  <c r="S201" i="58"/>
  <c r="R201" i="58"/>
  <c r="V200" i="58"/>
  <c r="U200" i="58"/>
  <c r="T200" i="58"/>
  <c r="S200" i="58"/>
  <c r="R200" i="58"/>
  <c r="V199" i="58"/>
  <c r="U199" i="58"/>
  <c r="T199" i="58"/>
  <c r="S199" i="58"/>
  <c r="R199" i="58"/>
  <c r="V198" i="58"/>
  <c r="U198" i="58"/>
  <c r="T198" i="58"/>
  <c r="S198" i="58"/>
  <c r="R198" i="58"/>
  <c r="V197" i="58"/>
  <c r="U197" i="58"/>
  <c r="T197" i="58"/>
  <c r="S197" i="58"/>
  <c r="R197" i="58"/>
  <c r="V196" i="58"/>
  <c r="U196" i="58"/>
  <c r="T196" i="58"/>
  <c r="S196" i="58"/>
  <c r="R196" i="58"/>
  <c r="V195" i="58"/>
  <c r="U195" i="58"/>
  <c r="T195" i="58"/>
  <c r="S195" i="58"/>
  <c r="R195" i="58"/>
  <c r="V194" i="58"/>
  <c r="U194" i="58"/>
  <c r="T194" i="58"/>
  <c r="S194" i="58"/>
  <c r="R194" i="58"/>
  <c r="V193" i="58"/>
  <c r="U193" i="58"/>
  <c r="T193" i="58"/>
  <c r="S193" i="58"/>
  <c r="R193" i="58"/>
  <c r="V187" i="58"/>
  <c r="U187" i="58"/>
  <c r="T187" i="58"/>
  <c r="S187" i="58"/>
  <c r="R187" i="58"/>
  <c r="V186" i="58"/>
  <c r="U186" i="58"/>
  <c r="T186" i="58"/>
  <c r="S186" i="58"/>
  <c r="R186" i="58"/>
  <c r="V185" i="58"/>
  <c r="U185" i="58"/>
  <c r="T185" i="58"/>
  <c r="S185" i="58"/>
  <c r="R185" i="58"/>
  <c r="V184" i="58"/>
  <c r="U184" i="58"/>
  <c r="T184" i="58"/>
  <c r="S184" i="58"/>
  <c r="R184" i="58"/>
  <c r="V183" i="58"/>
  <c r="U183" i="58"/>
  <c r="T183" i="58"/>
  <c r="S183" i="58"/>
  <c r="R183" i="58"/>
  <c r="V182" i="58"/>
  <c r="U182" i="58"/>
  <c r="T182" i="58"/>
  <c r="S182" i="58"/>
  <c r="R182" i="58"/>
  <c r="M181" i="58"/>
  <c r="M180" i="58"/>
  <c r="M179" i="58"/>
  <c r="M178" i="58"/>
  <c r="M177" i="58"/>
  <c r="M175" i="58"/>
  <c r="V173" i="58"/>
  <c r="U173" i="58"/>
  <c r="T173" i="58"/>
  <c r="S173" i="58"/>
  <c r="R173" i="58"/>
  <c r="V172" i="58"/>
  <c r="U172" i="58"/>
  <c r="T172" i="58"/>
  <c r="S172" i="58"/>
  <c r="R172" i="58"/>
  <c r="N171" i="58"/>
  <c r="M171" i="58" s="1"/>
  <c r="O170" i="58"/>
  <c r="N170" i="58"/>
  <c r="M170" i="58"/>
  <c r="O167" i="58"/>
  <c r="N167" i="58"/>
  <c r="M167" i="58"/>
  <c r="O166" i="58"/>
  <c r="N166" i="58"/>
  <c r="O165" i="58"/>
  <c r="N165" i="58"/>
  <c r="M165" i="58" s="1"/>
  <c r="O164" i="58"/>
  <c r="N164" i="58"/>
  <c r="M164" i="58"/>
  <c r="N163" i="58"/>
  <c r="M163" i="58"/>
  <c r="N162" i="58"/>
  <c r="M162" i="58"/>
  <c r="O161" i="58"/>
  <c r="N161" i="58"/>
  <c r="M161" i="58"/>
  <c r="O160" i="58"/>
  <c r="N160" i="58"/>
  <c r="O159" i="58"/>
  <c r="N159" i="58"/>
  <c r="M159" i="58" s="1"/>
  <c r="O158" i="58"/>
  <c r="N158" i="58"/>
  <c r="M158" i="58"/>
  <c r="N157" i="58"/>
  <c r="M157" i="58"/>
  <c r="N156" i="58"/>
  <c r="M156" i="58"/>
  <c r="V155" i="58"/>
  <c r="U155" i="58"/>
  <c r="T155" i="58"/>
  <c r="S155" i="58"/>
  <c r="R155" i="58"/>
  <c r="V154" i="58"/>
  <c r="U154" i="58"/>
  <c r="T154" i="58"/>
  <c r="S154" i="58"/>
  <c r="R154" i="58"/>
  <c r="V153" i="58"/>
  <c r="U153" i="58"/>
  <c r="T153" i="58"/>
  <c r="S153" i="58"/>
  <c r="R153" i="58"/>
  <c r="V152" i="58"/>
  <c r="U152" i="58"/>
  <c r="T152" i="58"/>
  <c r="S152" i="58"/>
  <c r="R152" i="58"/>
  <c r="V151" i="58"/>
  <c r="U151" i="58"/>
  <c r="T151" i="58"/>
  <c r="S151" i="58"/>
  <c r="R151" i="58"/>
  <c r="V150" i="58"/>
  <c r="U150" i="58"/>
  <c r="T150" i="58"/>
  <c r="S150" i="58"/>
  <c r="R150" i="58"/>
  <c r="V149" i="58"/>
  <c r="U149" i="58"/>
  <c r="T149" i="58"/>
  <c r="S149" i="58"/>
  <c r="R149" i="58"/>
  <c r="V148" i="58"/>
  <c r="U148" i="58"/>
  <c r="T148" i="58"/>
  <c r="S148" i="58"/>
  <c r="R148" i="58"/>
  <c r="V147" i="58"/>
  <c r="U147" i="58"/>
  <c r="T147" i="58"/>
  <c r="S147" i="58"/>
  <c r="R147" i="58"/>
  <c r="V146" i="58"/>
  <c r="U146" i="58"/>
  <c r="T146" i="58"/>
  <c r="S146" i="58"/>
  <c r="R146" i="58"/>
  <c r="V145" i="58"/>
  <c r="U145" i="58"/>
  <c r="T145" i="58"/>
  <c r="S145" i="58"/>
  <c r="R145" i="58"/>
  <c r="V144" i="58"/>
  <c r="U144" i="58"/>
  <c r="T144" i="58"/>
  <c r="S144" i="58"/>
  <c r="R144" i="58"/>
  <c r="V141" i="58"/>
  <c r="U141" i="58"/>
  <c r="T141" i="58"/>
  <c r="S141" i="58"/>
  <c r="R141" i="58"/>
  <c r="V140" i="58"/>
  <c r="U140" i="58"/>
  <c r="T140" i="58"/>
  <c r="S140" i="58"/>
  <c r="R140" i="58"/>
  <c r="V139" i="58"/>
  <c r="U139" i="58"/>
  <c r="T139" i="58"/>
  <c r="S139" i="58"/>
  <c r="R139" i="58"/>
  <c r="V138" i="58"/>
  <c r="U138" i="58"/>
  <c r="T138" i="58"/>
  <c r="S138" i="58"/>
  <c r="R138" i="58"/>
  <c r="V137" i="58"/>
  <c r="U137" i="58"/>
  <c r="T137" i="58"/>
  <c r="S137" i="58"/>
  <c r="R137" i="58"/>
  <c r="V136" i="58"/>
  <c r="U136" i="58"/>
  <c r="T136" i="58"/>
  <c r="S136" i="58"/>
  <c r="R136" i="58"/>
  <c r="M135" i="58"/>
  <c r="M134" i="58"/>
  <c r="V133" i="58"/>
  <c r="U133" i="58"/>
  <c r="T133" i="58"/>
  <c r="S133" i="58"/>
  <c r="R133" i="58"/>
  <c r="V132" i="58"/>
  <c r="U132" i="58"/>
  <c r="T132" i="58"/>
  <c r="S132" i="58"/>
  <c r="R132" i="58"/>
  <c r="M131" i="58"/>
  <c r="S131" i="58" s="1"/>
  <c r="O128" i="58"/>
  <c r="M128" i="58"/>
  <c r="O127" i="58"/>
  <c r="M127" i="58"/>
  <c r="O126" i="58"/>
  <c r="M126" i="58"/>
  <c r="M125" i="58"/>
  <c r="M124" i="58"/>
  <c r="M123" i="58"/>
  <c r="O120" i="58"/>
  <c r="O121" i="58" s="1"/>
  <c r="O122" i="58" s="1"/>
  <c r="M122" i="58" s="1"/>
  <c r="M120" i="58"/>
  <c r="V94" i="58"/>
  <c r="U94" i="58"/>
  <c r="T94" i="58"/>
  <c r="S94" i="58"/>
  <c r="R94" i="58"/>
  <c r="V93" i="58"/>
  <c r="U93" i="58"/>
  <c r="T93" i="58"/>
  <c r="S93" i="58"/>
  <c r="R93" i="58"/>
  <c r="V92" i="58"/>
  <c r="U92" i="58"/>
  <c r="T92" i="58"/>
  <c r="S92" i="58"/>
  <c r="R92" i="58"/>
  <c r="V91" i="58"/>
  <c r="U91" i="58"/>
  <c r="T91" i="58"/>
  <c r="S91" i="58"/>
  <c r="R91" i="58"/>
  <c r="V90" i="58"/>
  <c r="U90" i="58"/>
  <c r="T90" i="58"/>
  <c r="S90" i="58"/>
  <c r="R90" i="58"/>
  <c r="V89" i="58"/>
  <c r="U89" i="58"/>
  <c r="T89" i="58"/>
  <c r="S89" i="58"/>
  <c r="R89" i="58"/>
  <c r="V88" i="58"/>
  <c r="U88" i="58"/>
  <c r="T88" i="58"/>
  <c r="S88" i="58"/>
  <c r="R88" i="58"/>
  <c r="V87" i="58"/>
  <c r="U87" i="58"/>
  <c r="T87" i="58"/>
  <c r="S87" i="58"/>
  <c r="R87" i="58"/>
  <c r="V86" i="58"/>
  <c r="U86" i="58"/>
  <c r="T86" i="58"/>
  <c r="S86" i="58"/>
  <c r="R86" i="58"/>
  <c r="V85" i="58"/>
  <c r="U85" i="58"/>
  <c r="T85" i="58"/>
  <c r="S85" i="58"/>
  <c r="R85" i="58"/>
  <c r="V84" i="58"/>
  <c r="U84" i="58"/>
  <c r="T84" i="58"/>
  <c r="S84" i="58"/>
  <c r="R84" i="58"/>
  <c r="V83" i="58"/>
  <c r="U83" i="58"/>
  <c r="T83" i="58"/>
  <c r="S83" i="58"/>
  <c r="R83" i="58"/>
  <c r="V81" i="58"/>
  <c r="U81" i="58"/>
  <c r="T81" i="58"/>
  <c r="S81" i="58"/>
  <c r="R81" i="58"/>
  <c r="V80" i="58"/>
  <c r="U80" i="58"/>
  <c r="V79" i="58"/>
  <c r="U79" i="58"/>
  <c r="V78" i="58"/>
  <c r="U78" i="58"/>
  <c r="V77" i="58"/>
  <c r="U77" i="58"/>
  <c r="V76" i="58"/>
  <c r="U76" i="58"/>
  <c r="V75" i="58"/>
  <c r="U75" i="58"/>
  <c r="T75" i="58"/>
  <c r="S75" i="58"/>
  <c r="R75" i="58"/>
  <c r="V74" i="58"/>
  <c r="U74" i="58"/>
  <c r="T74" i="58"/>
  <c r="S74" i="58"/>
  <c r="R74" i="58"/>
  <c r="V59" i="58"/>
  <c r="U59" i="58"/>
  <c r="T59" i="58"/>
  <c r="S59" i="58"/>
  <c r="R59" i="58"/>
  <c r="V58" i="58"/>
  <c r="U58" i="58"/>
  <c r="T58" i="58"/>
  <c r="S58" i="58"/>
  <c r="R58" i="58"/>
  <c r="V57" i="58"/>
  <c r="U57" i="58"/>
  <c r="T57" i="58"/>
  <c r="S57" i="58"/>
  <c r="R57" i="58"/>
  <c r="V56" i="58"/>
  <c r="U56" i="58"/>
  <c r="T56" i="58"/>
  <c r="S56" i="58"/>
  <c r="R56" i="58"/>
  <c r="V55" i="58"/>
  <c r="U55" i="58"/>
  <c r="T55" i="58"/>
  <c r="S55" i="58"/>
  <c r="R55" i="58"/>
  <c r="V54" i="58"/>
  <c r="U54" i="58"/>
  <c r="T54" i="58"/>
  <c r="S54" i="58"/>
  <c r="R54" i="58"/>
  <c r="V53" i="58"/>
  <c r="U53" i="58"/>
  <c r="T53" i="58"/>
  <c r="S53" i="58"/>
  <c r="R53" i="58"/>
  <c r="V52" i="58"/>
  <c r="U52" i="58"/>
  <c r="T52" i="58"/>
  <c r="S52" i="58"/>
  <c r="R52" i="58"/>
  <c r="V51" i="58"/>
  <c r="U51" i="58"/>
  <c r="T51" i="58"/>
  <c r="S51" i="58"/>
  <c r="R51" i="58"/>
  <c r="V50" i="58"/>
  <c r="U50" i="58"/>
  <c r="T50" i="58"/>
  <c r="S50" i="58"/>
  <c r="R50" i="58"/>
  <c r="V49" i="58"/>
  <c r="U49" i="58"/>
  <c r="T49" i="58"/>
  <c r="S49" i="58"/>
  <c r="R49" i="58"/>
  <c r="V48" i="58"/>
  <c r="U48" i="58"/>
  <c r="T48" i="58"/>
  <c r="S48" i="58"/>
  <c r="R48" i="58"/>
  <c r="V47" i="58"/>
  <c r="U47" i="58"/>
  <c r="V46" i="58"/>
  <c r="U46" i="58"/>
  <c r="V45" i="58"/>
  <c r="U45" i="58"/>
  <c r="V44" i="58"/>
  <c r="U44" i="58"/>
  <c r="V43" i="58"/>
  <c r="U43" i="58"/>
  <c r="V42" i="58"/>
  <c r="U42" i="58"/>
  <c r="V41" i="58"/>
  <c r="U41" i="58"/>
  <c r="T41" i="58"/>
  <c r="S41" i="58"/>
  <c r="R41" i="58"/>
  <c r="M41" i="58"/>
  <c r="V40" i="58"/>
  <c r="U40" i="58"/>
  <c r="T40" i="58"/>
  <c r="S40" i="58"/>
  <c r="R40" i="58"/>
  <c r="M40" i="58"/>
  <c r="V39" i="58"/>
  <c r="U39" i="58"/>
  <c r="T39" i="58"/>
  <c r="S39" i="58"/>
  <c r="R39" i="58"/>
  <c r="M39" i="58"/>
  <c r="V38" i="58"/>
  <c r="U38" i="58"/>
  <c r="T38" i="58"/>
  <c r="S38" i="58"/>
  <c r="R38" i="58"/>
  <c r="M38" i="58"/>
  <c r="V37" i="58"/>
  <c r="U37" i="58"/>
  <c r="T37" i="58"/>
  <c r="S37" i="58"/>
  <c r="R37" i="58"/>
  <c r="M37" i="58"/>
  <c r="V36" i="58"/>
  <c r="U36" i="58"/>
  <c r="T36" i="58"/>
  <c r="S36" i="58"/>
  <c r="R36" i="58"/>
  <c r="M36" i="58"/>
  <c r="V35" i="58"/>
  <c r="U35" i="58"/>
  <c r="T35" i="58"/>
  <c r="S35" i="58"/>
  <c r="R35" i="58"/>
  <c r="M35" i="58"/>
  <c r="V34" i="58"/>
  <c r="U34" i="58"/>
  <c r="T34" i="58"/>
  <c r="S34" i="58"/>
  <c r="R34" i="58"/>
  <c r="M34" i="58"/>
  <c r="V33" i="58"/>
  <c r="U33" i="58"/>
  <c r="T33" i="58"/>
  <c r="S33" i="58"/>
  <c r="R33" i="58"/>
  <c r="M33" i="58"/>
  <c r="V32" i="58"/>
  <c r="U32" i="58"/>
  <c r="T32" i="58"/>
  <c r="S32" i="58"/>
  <c r="R32" i="58"/>
  <c r="M32" i="58"/>
  <c r="V31" i="58"/>
  <c r="U31" i="58"/>
  <c r="T31" i="58"/>
  <c r="S31" i="58"/>
  <c r="R31" i="58"/>
  <c r="M31" i="58"/>
  <c r="V30" i="58"/>
  <c r="U30" i="58"/>
  <c r="T30" i="58"/>
  <c r="S30" i="58"/>
  <c r="R30" i="58"/>
  <c r="M30" i="58"/>
  <c r="V29" i="58"/>
  <c r="U29" i="58"/>
  <c r="T29" i="58"/>
  <c r="S29" i="58"/>
  <c r="R29" i="58"/>
  <c r="M29" i="58"/>
  <c r="V28" i="58"/>
  <c r="U28" i="58"/>
  <c r="T28" i="58"/>
  <c r="S28" i="58"/>
  <c r="R28" i="58"/>
  <c r="M28" i="58"/>
  <c r="V27" i="58"/>
  <c r="U27" i="58"/>
  <c r="T27" i="58"/>
  <c r="S27" i="58"/>
  <c r="R27" i="58"/>
  <c r="M27" i="58"/>
  <c r="V26" i="58"/>
  <c r="U26" i="58"/>
  <c r="T26" i="58"/>
  <c r="S26" i="58"/>
  <c r="R26" i="58"/>
  <c r="M26" i="58"/>
  <c r="V25" i="58"/>
  <c r="U25" i="58"/>
  <c r="T25" i="58"/>
  <c r="S25" i="58"/>
  <c r="R25" i="58"/>
  <c r="M25" i="58"/>
  <c r="V24" i="58"/>
  <c r="U24" i="58"/>
  <c r="T24" i="58"/>
  <c r="S24" i="58"/>
  <c r="R24" i="58"/>
  <c r="M24" i="58"/>
  <c r="V23" i="58"/>
  <c r="U23" i="58"/>
  <c r="T23" i="58"/>
  <c r="S23" i="58"/>
  <c r="R23" i="58"/>
  <c r="M23" i="58"/>
  <c r="V22" i="58"/>
  <c r="U22" i="58"/>
  <c r="T22" i="58"/>
  <c r="S22" i="58"/>
  <c r="R22" i="58"/>
  <c r="M22" i="58"/>
  <c r="V21" i="58"/>
  <c r="U21" i="58"/>
  <c r="T21" i="58"/>
  <c r="S21" i="58"/>
  <c r="R21" i="58"/>
  <c r="M21" i="58"/>
  <c r="V20" i="58"/>
  <c r="U20" i="58"/>
  <c r="T20" i="58"/>
  <c r="S20" i="58"/>
  <c r="R20" i="58"/>
  <c r="M20" i="58"/>
  <c r="V19" i="58"/>
  <c r="U19" i="58"/>
  <c r="T19" i="58"/>
  <c r="S19" i="58"/>
  <c r="R19" i="58"/>
  <c r="M19" i="58"/>
  <c r="V18" i="58"/>
  <c r="U18" i="58"/>
  <c r="T18" i="58"/>
  <c r="S18" i="58"/>
  <c r="R18" i="58"/>
  <c r="M18" i="58"/>
  <c r="V17" i="58"/>
  <c r="U17" i="58"/>
  <c r="T17" i="58"/>
  <c r="S17" i="58"/>
  <c r="R17" i="58"/>
  <c r="M17" i="58"/>
  <c r="V16" i="58"/>
  <c r="U16" i="58"/>
  <c r="T16" i="58"/>
  <c r="S16" i="58"/>
  <c r="R16" i="58"/>
  <c r="M16" i="58"/>
  <c r="V15" i="58"/>
  <c r="U15" i="58"/>
  <c r="T15" i="58"/>
  <c r="S15" i="58"/>
  <c r="R15" i="58"/>
  <c r="M15" i="58"/>
  <c r="V14" i="58"/>
  <c r="U14" i="58"/>
  <c r="T14" i="58"/>
  <c r="S14" i="58"/>
  <c r="R14" i="58"/>
  <c r="M14" i="58"/>
  <c r="V13" i="58"/>
  <c r="U13" i="58"/>
  <c r="T13" i="58"/>
  <c r="S13" i="58"/>
  <c r="R13" i="58"/>
  <c r="M13" i="58"/>
  <c r="V12" i="58"/>
  <c r="U12" i="58"/>
  <c r="T12" i="58"/>
  <c r="S12" i="58"/>
  <c r="R12" i="58"/>
  <c r="M12" i="58"/>
  <c r="V11" i="58"/>
  <c r="U11" i="58"/>
  <c r="T11" i="58"/>
  <c r="S11" i="58"/>
  <c r="R11" i="58"/>
  <c r="M11" i="58"/>
  <c r="V10" i="58"/>
  <c r="U10" i="58"/>
  <c r="T10" i="58"/>
  <c r="S10" i="58"/>
  <c r="R10" i="58"/>
  <c r="M10" i="58"/>
  <c r="V9" i="58"/>
  <c r="U9" i="58"/>
  <c r="T9" i="58"/>
  <c r="S9" i="58"/>
  <c r="R9" i="58"/>
  <c r="M9" i="58"/>
  <c r="V8" i="58"/>
  <c r="U8" i="58"/>
  <c r="T8" i="58"/>
  <c r="S8" i="58"/>
  <c r="R8" i="58"/>
  <c r="M8" i="58"/>
  <c r="V7" i="58"/>
  <c r="U7" i="58"/>
  <c r="T7" i="58"/>
  <c r="S7" i="58"/>
  <c r="R7" i="58"/>
  <c r="M7" i="58"/>
  <c r="V6" i="58"/>
  <c r="U6" i="58"/>
  <c r="T6" i="58"/>
  <c r="S6" i="58"/>
  <c r="R6" i="58"/>
  <c r="M6" i="58"/>
  <c r="M160" i="58" l="1"/>
  <c r="M166" i="58"/>
  <c r="U226" i="58"/>
  <c r="S226" i="58"/>
  <c r="V286" i="58"/>
  <c r="T286" i="58"/>
  <c r="M121" i="58"/>
  <c r="T131" i="58"/>
  <c r="R226" i="58"/>
  <c r="V226" i="58"/>
  <c r="T243" i="58"/>
  <c r="S286" i="58"/>
  <c r="U131" i="58"/>
  <c r="U243" i="58"/>
  <c r="R131" i="58"/>
  <c r="V131" i="58"/>
  <c r="T226" i="58"/>
  <c r="R243" i="58"/>
  <c r="V243" i="58"/>
  <c r="U286" i="58"/>
  <c r="R286" i="58"/>
  <c r="B5" i="50" l="1"/>
  <c r="H7" i="52"/>
  <c r="I7" i="52"/>
  <c r="K7" i="52"/>
  <c r="L7" i="52"/>
  <c r="M7" i="52"/>
  <c r="N7" i="52"/>
  <c r="O7" i="52"/>
  <c r="P7" i="52"/>
  <c r="Q7" i="52"/>
  <c r="R7" i="52"/>
  <c r="S7" i="52"/>
  <c r="H8" i="52"/>
  <c r="I8" i="52"/>
  <c r="K8" i="52"/>
  <c r="L8" i="52"/>
  <c r="M8" i="52"/>
  <c r="N8" i="52"/>
  <c r="O8" i="52"/>
  <c r="P8" i="52"/>
  <c r="Q8" i="52"/>
  <c r="R8" i="52"/>
  <c r="S8" i="52"/>
  <c r="H9" i="52"/>
  <c r="I9" i="52"/>
  <c r="K9" i="52"/>
  <c r="L9" i="52"/>
  <c r="M9" i="52"/>
  <c r="N9" i="52"/>
  <c r="O9" i="52"/>
  <c r="P9" i="52"/>
  <c r="Q9" i="52"/>
  <c r="R9" i="52"/>
  <c r="S9" i="52"/>
  <c r="H10" i="52"/>
  <c r="I10" i="52"/>
  <c r="K10" i="52"/>
  <c r="L10" i="52"/>
  <c r="M10" i="52"/>
  <c r="N10" i="52"/>
  <c r="O10" i="52"/>
  <c r="P10" i="52"/>
  <c r="Q10" i="52"/>
  <c r="R10" i="52"/>
  <c r="S10" i="52"/>
  <c r="H11" i="52"/>
  <c r="I11" i="52"/>
  <c r="K11" i="52"/>
  <c r="L11" i="52"/>
  <c r="M11" i="52"/>
  <c r="N11" i="52"/>
  <c r="O11" i="52"/>
  <c r="P11" i="52"/>
  <c r="Q11" i="52"/>
  <c r="R11" i="52"/>
  <c r="S11" i="52"/>
  <c r="H12" i="52"/>
  <c r="I12" i="52"/>
  <c r="K12" i="52"/>
  <c r="L12" i="52"/>
  <c r="M12" i="52"/>
  <c r="N12" i="52"/>
  <c r="O12" i="52"/>
  <c r="P12" i="52"/>
  <c r="Q12" i="52"/>
  <c r="R12" i="52"/>
  <c r="S12" i="52"/>
  <c r="H13" i="52"/>
  <c r="I13" i="52"/>
  <c r="K13" i="52"/>
  <c r="L13" i="52"/>
  <c r="M13" i="52"/>
  <c r="N13" i="52"/>
  <c r="O13" i="52"/>
  <c r="P13" i="52"/>
  <c r="Q13" i="52"/>
  <c r="R13" i="52"/>
  <c r="S13" i="52"/>
  <c r="H14" i="52"/>
  <c r="I14" i="52"/>
  <c r="K14" i="52"/>
  <c r="L14" i="52"/>
  <c r="M14" i="52"/>
  <c r="N14" i="52"/>
  <c r="O14" i="52"/>
  <c r="P14" i="52"/>
  <c r="Q14" i="52"/>
  <c r="R14" i="52"/>
  <c r="S14" i="52"/>
  <c r="H15" i="52"/>
  <c r="I15" i="52"/>
  <c r="K15" i="52"/>
  <c r="L15" i="52"/>
  <c r="M15" i="52"/>
  <c r="N15" i="52"/>
  <c r="O15" i="52"/>
  <c r="P15" i="52"/>
  <c r="Q15" i="52"/>
  <c r="R15" i="52"/>
  <c r="S15" i="52"/>
  <c r="H16" i="52"/>
  <c r="I16" i="52"/>
  <c r="K16" i="52"/>
  <c r="L16" i="52"/>
  <c r="M16" i="52"/>
  <c r="N16" i="52"/>
  <c r="O16" i="52"/>
  <c r="P16" i="52"/>
  <c r="Q16" i="52"/>
  <c r="R16" i="52"/>
  <c r="S16" i="52"/>
  <c r="H17" i="52"/>
  <c r="I17" i="52"/>
  <c r="K17" i="52"/>
  <c r="L17" i="52"/>
  <c r="M17" i="52"/>
  <c r="N17" i="52"/>
  <c r="O17" i="52"/>
  <c r="P17" i="52"/>
  <c r="Q17" i="52"/>
  <c r="R17" i="52"/>
  <c r="S17" i="52"/>
  <c r="H18" i="52"/>
  <c r="I18" i="52"/>
  <c r="K18" i="52"/>
  <c r="L18" i="52"/>
  <c r="M18" i="52"/>
  <c r="N18" i="52"/>
  <c r="O18" i="52"/>
  <c r="P18" i="52"/>
  <c r="Q18" i="52"/>
  <c r="R18" i="52"/>
  <c r="S18" i="52"/>
  <c r="H19" i="52"/>
  <c r="I19" i="52"/>
  <c r="K19" i="52"/>
  <c r="L19" i="52"/>
  <c r="M19" i="52"/>
  <c r="N19" i="52"/>
  <c r="O19" i="52"/>
  <c r="P19" i="52"/>
  <c r="Q19" i="52"/>
  <c r="R19" i="52"/>
  <c r="S19" i="52"/>
  <c r="H20" i="52"/>
  <c r="I20" i="52"/>
  <c r="K20" i="52"/>
  <c r="L20" i="52"/>
  <c r="M20" i="52"/>
  <c r="N20" i="52"/>
  <c r="O20" i="52"/>
  <c r="P20" i="52"/>
  <c r="Q20" i="52"/>
  <c r="R20" i="52"/>
  <c r="S20" i="52"/>
  <c r="H21" i="52"/>
  <c r="I21" i="52"/>
  <c r="K21" i="52"/>
  <c r="L21" i="52"/>
  <c r="M21" i="52"/>
  <c r="N21" i="52"/>
  <c r="O21" i="52"/>
  <c r="P21" i="52"/>
  <c r="Q21" i="52"/>
  <c r="R21" i="52"/>
  <c r="S21" i="52"/>
  <c r="H22" i="52"/>
  <c r="I22" i="52"/>
  <c r="K22" i="52"/>
  <c r="L22" i="52"/>
  <c r="M22" i="52"/>
  <c r="N22" i="52"/>
  <c r="O22" i="52"/>
  <c r="P22" i="52"/>
  <c r="Q22" i="52"/>
  <c r="R22" i="52"/>
  <c r="S22" i="52"/>
  <c r="H23" i="52"/>
  <c r="I23" i="52"/>
  <c r="K23" i="52"/>
  <c r="L23" i="52"/>
  <c r="M23" i="52"/>
  <c r="N23" i="52"/>
  <c r="O23" i="52"/>
  <c r="P23" i="52"/>
  <c r="Q23" i="52"/>
  <c r="R23" i="52"/>
  <c r="S23" i="52"/>
  <c r="H24" i="52"/>
  <c r="I24" i="52"/>
  <c r="K24" i="52"/>
  <c r="L24" i="52"/>
  <c r="M24" i="52"/>
  <c r="N24" i="52"/>
  <c r="O24" i="52"/>
  <c r="P24" i="52"/>
  <c r="Q24" i="52"/>
  <c r="R24" i="52"/>
  <c r="S24" i="52"/>
  <c r="H25" i="52"/>
  <c r="I25" i="52"/>
  <c r="K25" i="52"/>
  <c r="L25" i="52"/>
  <c r="M25" i="52"/>
  <c r="N25" i="52"/>
  <c r="O25" i="52"/>
  <c r="P25" i="52"/>
  <c r="Q25" i="52"/>
  <c r="R25" i="52"/>
  <c r="S25" i="52"/>
  <c r="H26" i="52"/>
  <c r="I26" i="52"/>
  <c r="K26" i="52"/>
  <c r="L26" i="52"/>
  <c r="M26" i="52"/>
  <c r="N26" i="52"/>
  <c r="O26" i="52"/>
  <c r="P26" i="52"/>
  <c r="Q26" i="52"/>
  <c r="R26" i="52"/>
  <c r="S26" i="52"/>
  <c r="H27" i="52"/>
  <c r="I27" i="52"/>
  <c r="K27" i="52"/>
  <c r="L27" i="52"/>
  <c r="M27" i="52"/>
  <c r="N27" i="52"/>
  <c r="O27" i="52"/>
  <c r="P27" i="52"/>
  <c r="Q27" i="52"/>
  <c r="R27" i="52"/>
  <c r="S27" i="52"/>
  <c r="H28" i="52"/>
  <c r="I28" i="52"/>
  <c r="K28" i="52"/>
  <c r="L28" i="52"/>
  <c r="M28" i="52"/>
  <c r="N28" i="52"/>
  <c r="O28" i="52"/>
  <c r="P28" i="52"/>
  <c r="Q28" i="52"/>
  <c r="R28" i="52"/>
  <c r="S28" i="52"/>
  <c r="H29" i="52"/>
  <c r="I29" i="52"/>
  <c r="K29" i="52"/>
  <c r="L29" i="52"/>
  <c r="M29" i="52"/>
  <c r="N29" i="52"/>
  <c r="O29" i="52"/>
  <c r="P29" i="52"/>
  <c r="Q29" i="52"/>
  <c r="R29" i="52"/>
  <c r="S29" i="52"/>
  <c r="H30" i="52"/>
  <c r="I30" i="52"/>
  <c r="K30" i="52"/>
  <c r="L30" i="52"/>
  <c r="M30" i="52"/>
  <c r="N30" i="52"/>
  <c r="O30" i="52"/>
  <c r="P30" i="52"/>
  <c r="Q30" i="52"/>
  <c r="R30" i="52"/>
  <c r="S30" i="52"/>
  <c r="H31" i="52"/>
  <c r="I31" i="52"/>
  <c r="K31" i="52"/>
  <c r="L31" i="52"/>
  <c r="M31" i="52"/>
  <c r="N31" i="52"/>
  <c r="O31" i="52"/>
  <c r="P31" i="52"/>
  <c r="Q31" i="52"/>
  <c r="R31" i="52"/>
  <c r="S31" i="52"/>
  <c r="H32" i="52"/>
  <c r="I32" i="52"/>
  <c r="K32" i="52"/>
  <c r="L32" i="52"/>
  <c r="M32" i="52"/>
  <c r="N32" i="52"/>
  <c r="O32" i="52"/>
  <c r="P32" i="52"/>
  <c r="Q32" i="52"/>
  <c r="R32" i="52"/>
  <c r="S32" i="52"/>
  <c r="H33" i="52"/>
  <c r="I33" i="52"/>
  <c r="K33" i="52"/>
  <c r="L33" i="52"/>
  <c r="M33" i="52"/>
  <c r="N33" i="52"/>
  <c r="O33" i="52"/>
  <c r="P33" i="52"/>
  <c r="Q33" i="52"/>
  <c r="R33" i="52"/>
  <c r="S33" i="52"/>
  <c r="H34" i="52"/>
  <c r="I34" i="52"/>
  <c r="K34" i="52"/>
  <c r="L34" i="52"/>
  <c r="M34" i="52"/>
  <c r="N34" i="52"/>
  <c r="O34" i="52"/>
  <c r="P34" i="52"/>
  <c r="Q34" i="52"/>
  <c r="R34" i="52"/>
  <c r="S34" i="52"/>
  <c r="H35" i="52"/>
  <c r="I35" i="52"/>
  <c r="K35" i="52"/>
  <c r="L35" i="52"/>
  <c r="M35" i="52"/>
  <c r="N35" i="52"/>
  <c r="O35" i="52"/>
  <c r="P35" i="52"/>
  <c r="Q35" i="52"/>
  <c r="R35" i="52"/>
  <c r="S35" i="52"/>
  <c r="H36" i="52"/>
  <c r="I36" i="52"/>
  <c r="K36" i="52"/>
  <c r="L36" i="52"/>
  <c r="M36" i="52"/>
  <c r="N36" i="52"/>
  <c r="O36" i="52"/>
  <c r="P36" i="52"/>
  <c r="Q36" i="52"/>
  <c r="R36" i="52"/>
  <c r="S36" i="52"/>
  <c r="H37" i="52"/>
  <c r="I37" i="52"/>
  <c r="K37" i="52"/>
  <c r="L37" i="52"/>
  <c r="M37" i="52"/>
  <c r="N37" i="52"/>
  <c r="O37" i="52"/>
  <c r="P37" i="52"/>
  <c r="Q37" i="52"/>
  <c r="R37" i="52"/>
  <c r="S37" i="52"/>
  <c r="H38" i="52"/>
  <c r="I38" i="52"/>
  <c r="K38" i="52"/>
  <c r="L38" i="52"/>
  <c r="M38" i="52"/>
  <c r="N38" i="52"/>
  <c r="O38" i="52"/>
  <c r="P38" i="52"/>
  <c r="Q38" i="52"/>
  <c r="R38" i="52"/>
  <c r="S38" i="52"/>
  <c r="H39" i="52"/>
  <c r="I39" i="52"/>
  <c r="K39" i="52"/>
  <c r="L39" i="52"/>
  <c r="M39" i="52"/>
  <c r="N39" i="52"/>
  <c r="O39" i="52"/>
  <c r="P39" i="52"/>
  <c r="Q39" i="52"/>
  <c r="R39" i="52"/>
  <c r="S39" i="52"/>
  <c r="H40" i="52"/>
  <c r="I40" i="52"/>
  <c r="K40" i="52"/>
  <c r="L40" i="52"/>
  <c r="M40" i="52"/>
  <c r="N40" i="52"/>
  <c r="O40" i="52"/>
  <c r="P40" i="52"/>
  <c r="Q40" i="52"/>
  <c r="R40" i="52"/>
  <c r="S40" i="52"/>
  <c r="H41" i="52"/>
  <c r="I41" i="52"/>
  <c r="K41" i="52"/>
  <c r="L41" i="52"/>
  <c r="M41" i="52"/>
  <c r="N41" i="52"/>
  <c r="O41" i="52"/>
  <c r="P41" i="52"/>
  <c r="Q41" i="52"/>
  <c r="R41" i="52"/>
  <c r="S41" i="52"/>
  <c r="H43" i="52"/>
  <c r="I43" i="52"/>
  <c r="K43" i="52"/>
  <c r="L43" i="52"/>
  <c r="M43" i="52"/>
  <c r="N43" i="52"/>
  <c r="O43" i="52"/>
  <c r="P43" i="52"/>
  <c r="Q43" i="52"/>
  <c r="R43" i="52"/>
  <c r="S43" i="52"/>
  <c r="H44" i="52"/>
  <c r="I44" i="52"/>
  <c r="K44" i="52"/>
  <c r="L44" i="52"/>
  <c r="M44" i="52"/>
  <c r="N44" i="52"/>
  <c r="O44" i="52"/>
  <c r="P44" i="52"/>
  <c r="Q44" i="52"/>
  <c r="R44" i="52"/>
  <c r="S44" i="52"/>
  <c r="H45" i="52"/>
  <c r="I45" i="52"/>
  <c r="K45" i="52"/>
  <c r="L45" i="52"/>
  <c r="M45" i="52"/>
  <c r="N45" i="52"/>
  <c r="O45" i="52"/>
  <c r="P45" i="52"/>
  <c r="Q45" i="52"/>
  <c r="R45" i="52"/>
  <c r="S45" i="52"/>
  <c r="H46" i="52"/>
  <c r="I46" i="52"/>
  <c r="H47" i="52"/>
  <c r="I47" i="52"/>
  <c r="K47" i="52"/>
  <c r="L47" i="52"/>
  <c r="M47" i="52"/>
  <c r="N47" i="52"/>
  <c r="O47" i="52"/>
  <c r="P47" i="52"/>
  <c r="Q47" i="52"/>
  <c r="R47" i="52"/>
  <c r="S47" i="52"/>
  <c r="H48" i="52"/>
  <c r="I48" i="52"/>
  <c r="K48" i="52"/>
  <c r="L48" i="52"/>
  <c r="M48" i="52"/>
  <c r="N48" i="52"/>
  <c r="O48" i="52"/>
  <c r="P48" i="52"/>
  <c r="Q48" i="52"/>
  <c r="R48" i="52"/>
  <c r="S48" i="52"/>
  <c r="H49" i="52"/>
  <c r="I49" i="52"/>
  <c r="K49" i="52"/>
  <c r="L49" i="52"/>
  <c r="M49" i="52"/>
  <c r="N49" i="52"/>
  <c r="O49" i="52"/>
  <c r="P49" i="52"/>
  <c r="Q49" i="52"/>
  <c r="R49" i="52"/>
  <c r="S49" i="52"/>
  <c r="H50" i="52"/>
  <c r="I50" i="52"/>
  <c r="K50" i="52"/>
  <c r="L50" i="52"/>
  <c r="M50" i="52"/>
  <c r="N50" i="52"/>
  <c r="O50" i="52"/>
  <c r="P50" i="52"/>
  <c r="Q50" i="52"/>
  <c r="R50" i="52"/>
  <c r="S50" i="52"/>
  <c r="H51" i="52"/>
  <c r="I51" i="52"/>
  <c r="K51" i="52"/>
  <c r="S51" i="52"/>
  <c r="H54" i="52"/>
  <c r="I54" i="52"/>
  <c r="K54" i="52"/>
  <c r="L54" i="52"/>
  <c r="M54" i="52"/>
  <c r="N54" i="52"/>
  <c r="O54" i="52"/>
  <c r="P54" i="52"/>
  <c r="Q54" i="52"/>
  <c r="R54" i="52"/>
  <c r="S54" i="52"/>
  <c r="H55" i="52"/>
  <c r="I55" i="52"/>
  <c r="K55" i="52"/>
  <c r="L55" i="52"/>
  <c r="M55" i="52"/>
  <c r="N55" i="52"/>
  <c r="O55" i="52"/>
  <c r="P55" i="52"/>
  <c r="Q55" i="52"/>
  <c r="R55" i="52"/>
  <c r="S55" i="52"/>
  <c r="H56" i="52"/>
  <c r="I56" i="52"/>
  <c r="K56" i="52"/>
  <c r="L56" i="52"/>
  <c r="M56" i="52"/>
  <c r="N56" i="52"/>
  <c r="O56" i="52"/>
  <c r="P56" i="52"/>
  <c r="Q56" i="52"/>
  <c r="R56" i="52"/>
  <c r="S56" i="52"/>
  <c r="H57" i="52"/>
  <c r="I57" i="52"/>
  <c r="K57" i="52"/>
  <c r="L57" i="52"/>
  <c r="M57" i="52"/>
  <c r="N57" i="52"/>
  <c r="O57" i="52"/>
  <c r="P57" i="52"/>
  <c r="Q57" i="52"/>
  <c r="R57" i="52"/>
  <c r="S57" i="52"/>
  <c r="H58" i="52"/>
  <c r="I58" i="52"/>
  <c r="K58" i="52"/>
  <c r="L58" i="52"/>
  <c r="M58" i="52"/>
  <c r="N58" i="52"/>
  <c r="O58" i="52"/>
  <c r="P58" i="52"/>
  <c r="Q58" i="52"/>
  <c r="R58" i="52"/>
  <c r="S58" i="52"/>
  <c r="H59" i="52"/>
  <c r="I59" i="52"/>
  <c r="K59" i="52"/>
  <c r="L59" i="52"/>
  <c r="M59" i="52"/>
  <c r="N59" i="52"/>
  <c r="O59" i="52"/>
  <c r="P59" i="52"/>
  <c r="Q59" i="52"/>
  <c r="R59" i="52"/>
  <c r="S59" i="52"/>
  <c r="H60" i="52"/>
  <c r="I60" i="52"/>
  <c r="K60" i="52"/>
  <c r="L60" i="52"/>
  <c r="M60" i="52"/>
  <c r="N60" i="52"/>
  <c r="O60" i="52"/>
  <c r="P60" i="52"/>
  <c r="Q60" i="52"/>
  <c r="R60" i="52"/>
  <c r="S60" i="52"/>
  <c r="H61" i="52"/>
  <c r="I61" i="52"/>
  <c r="K61" i="52"/>
  <c r="L61" i="52"/>
  <c r="M61" i="52"/>
  <c r="N61" i="52"/>
  <c r="O61" i="52"/>
  <c r="P61" i="52"/>
  <c r="Q61" i="52"/>
  <c r="R61" i="52"/>
  <c r="S61" i="52"/>
  <c r="H62" i="52"/>
  <c r="I62" i="52"/>
  <c r="K62" i="52"/>
  <c r="L62" i="52"/>
  <c r="M62" i="52"/>
  <c r="N62" i="52"/>
  <c r="O62" i="52"/>
  <c r="P62" i="52"/>
  <c r="Q62" i="52"/>
  <c r="R62" i="52"/>
  <c r="S62" i="52"/>
  <c r="H63" i="52"/>
  <c r="I63" i="52"/>
  <c r="K63" i="52"/>
  <c r="L63" i="52"/>
  <c r="M63" i="52"/>
  <c r="N63" i="52"/>
  <c r="O63" i="52"/>
  <c r="P63" i="52"/>
  <c r="Q63" i="52"/>
  <c r="R63" i="52"/>
  <c r="S63" i="52"/>
  <c r="H64" i="52"/>
  <c r="I64" i="52"/>
  <c r="K64" i="52"/>
  <c r="L64" i="52"/>
  <c r="M64" i="52"/>
  <c r="N64" i="52"/>
  <c r="O64" i="52"/>
  <c r="P64" i="52"/>
  <c r="Q64" i="52"/>
  <c r="R64" i="52"/>
  <c r="S64" i="52"/>
  <c r="H65" i="52"/>
  <c r="I65" i="52"/>
  <c r="K65" i="52"/>
  <c r="L65" i="52"/>
  <c r="M65" i="52"/>
  <c r="N65" i="52"/>
  <c r="O65" i="52"/>
  <c r="P65" i="52"/>
  <c r="Q65" i="52"/>
  <c r="R65" i="52"/>
  <c r="S65" i="52"/>
  <c r="H66" i="52"/>
  <c r="I66" i="52"/>
  <c r="K66" i="52"/>
  <c r="L66" i="52"/>
  <c r="M66" i="52"/>
  <c r="N66" i="52"/>
  <c r="O66" i="52"/>
  <c r="P66" i="52"/>
  <c r="Q66" i="52"/>
  <c r="R66" i="52"/>
  <c r="S66" i="52"/>
  <c r="H67" i="52"/>
  <c r="I67" i="52"/>
  <c r="K67" i="52"/>
  <c r="L67" i="52"/>
  <c r="M67" i="52"/>
  <c r="N67" i="52"/>
  <c r="O67" i="52"/>
  <c r="P67" i="52"/>
  <c r="Q67" i="52"/>
  <c r="R67" i="52"/>
  <c r="S67" i="52"/>
  <c r="H68" i="52"/>
  <c r="I68" i="52"/>
  <c r="K68" i="52"/>
  <c r="L68" i="52"/>
  <c r="M68" i="52"/>
  <c r="N68" i="52"/>
  <c r="O68" i="52"/>
  <c r="P68" i="52"/>
  <c r="Q68" i="52"/>
  <c r="R68" i="52"/>
  <c r="S68" i="52"/>
  <c r="H69" i="52"/>
  <c r="I69" i="52"/>
  <c r="K69" i="52"/>
  <c r="L69" i="52"/>
  <c r="M69" i="52"/>
  <c r="N69" i="52"/>
  <c r="O69" i="52"/>
  <c r="P69" i="52"/>
  <c r="Q69" i="52"/>
  <c r="R69" i="52"/>
  <c r="S69" i="52"/>
  <c r="H70" i="52"/>
  <c r="I70" i="52"/>
  <c r="K70" i="52"/>
  <c r="L70" i="52"/>
  <c r="M70" i="52"/>
  <c r="N70" i="52"/>
  <c r="O70" i="52"/>
  <c r="P70" i="52"/>
  <c r="Q70" i="52"/>
  <c r="R70" i="52"/>
  <c r="S70" i="52"/>
  <c r="H71" i="52"/>
  <c r="I71" i="52"/>
  <c r="K71" i="52"/>
  <c r="L71" i="52"/>
  <c r="M71" i="52"/>
  <c r="N71" i="52"/>
  <c r="O71" i="52"/>
  <c r="P71" i="52"/>
  <c r="Q71" i="52"/>
  <c r="R71" i="52"/>
  <c r="S71" i="52"/>
  <c r="H72" i="52"/>
  <c r="I72" i="52"/>
  <c r="K72" i="52"/>
  <c r="L72" i="52"/>
  <c r="M72" i="52"/>
  <c r="N72" i="52"/>
  <c r="O72" i="52"/>
  <c r="P72" i="52"/>
  <c r="Q72" i="52"/>
  <c r="R72" i="52"/>
  <c r="S72" i="52"/>
  <c r="H73" i="52"/>
  <c r="I73" i="52"/>
  <c r="K73" i="52"/>
  <c r="L73" i="52"/>
  <c r="M73" i="52"/>
  <c r="N73" i="52"/>
  <c r="O73" i="52"/>
  <c r="P73" i="52"/>
  <c r="Q73" i="52"/>
  <c r="R73" i="52"/>
  <c r="S73" i="52"/>
  <c r="H74" i="52"/>
  <c r="I74" i="52"/>
  <c r="K74" i="52"/>
  <c r="L74" i="52"/>
  <c r="M74" i="52"/>
  <c r="N74" i="52"/>
  <c r="O74" i="52"/>
  <c r="P74" i="52"/>
  <c r="Q74" i="52"/>
  <c r="R74" i="52"/>
  <c r="S74" i="52"/>
  <c r="H75" i="52"/>
  <c r="I75" i="52"/>
  <c r="K75" i="52"/>
  <c r="L75" i="52"/>
  <c r="M75" i="52"/>
  <c r="N75" i="52"/>
  <c r="O75" i="52"/>
  <c r="P75" i="52"/>
  <c r="Q75" i="52"/>
  <c r="R75" i="52"/>
  <c r="S75" i="52"/>
  <c r="H76" i="52"/>
  <c r="I76" i="52"/>
  <c r="K76" i="52"/>
  <c r="L76" i="52"/>
  <c r="M76" i="52"/>
  <c r="N76" i="52"/>
  <c r="O76" i="52"/>
  <c r="P76" i="52"/>
  <c r="Q76" i="52"/>
  <c r="R76" i="52"/>
  <c r="S76" i="52"/>
  <c r="H77" i="52"/>
  <c r="I77" i="52"/>
  <c r="K77" i="52"/>
  <c r="L77" i="52"/>
  <c r="M77" i="52"/>
  <c r="N77" i="52"/>
  <c r="O77" i="52"/>
  <c r="P77" i="52"/>
  <c r="Q77" i="52"/>
  <c r="R77" i="52"/>
  <c r="S77" i="52"/>
  <c r="H78" i="52"/>
  <c r="I78" i="52"/>
  <c r="K78" i="52"/>
  <c r="L78" i="52"/>
  <c r="M78" i="52"/>
  <c r="N78" i="52"/>
  <c r="O78" i="52"/>
  <c r="P78" i="52"/>
  <c r="Q78" i="52"/>
  <c r="R78" i="52"/>
  <c r="S78" i="52"/>
  <c r="H79" i="52"/>
  <c r="I79" i="52"/>
  <c r="K79" i="52"/>
  <c r="L79" i="52"/>
  <c r="M79" i="52"/>
  <c r="N79" i="52"/>
  <c r="O79" i="52"/>
  <c r="P79" i="52"/>
  <c r="Q79" i="52"/>
  <c r="R79" i="52"/>
  <c r="S79" i="52"/>
  <c r="H80" i="52"/>
  <c r="I80" i="52"/>
  <c r="K80" i="52"/>
  <c r="L80" i="52"/>
  <c r="M80" i="52"/>
  <c r="N80" i="52"/>
  <c r="O80" i="52"/>
  <c r="P80" i="52"/>
  <c r="Q80" i="52"/>
  <c r="R80" i="52"/>
  <c r="S80" i="52"/>
  <c r="H81" i="52"/>
  <c r="I81" i="52"/>
  <c r="K81" i="52"/>
  <c r="L81" i="52"/>
  <c r="M81" i="52"/>
  <c r="N81" i="52"/>
  <c r="O81" i="52"/>
  <c r="P81" i="52"/>
  <c r="Q81" i="52"/>
  <c r="R81" i="52"/>
  <c r="S81" i="52"/>
  <c r="H84" i="52"/>
  <c r="I84" i="52"/>
  <c r="K84" i="52"/>
  <c r="L84" i="52"/>
  <c r="M84" i="52"/>
  <c r="N84" i="52"/>
  <c r="O84" i="52"/>
  <c r="P84" i="52"/>
  <c r="Q84" i="52"/>
  <c r="R84" i="52"/>
  <c r="S84" i="52"/>
  <c r="H85" i="52"/>
  <c r="I85" i="52"/>
  <c r="K85" i="52"/>
  <c r="L85" i="52"/>
  <c r="M85" i="52"/>
  <c r="N85" i="52"/>
  <c r="O85" i="52"/>
  <c r="P85" i="52"/>
  <c r="Q85" i="52"/>
  <c r="R85" i="52"/>
  <c r="S85" i="52"/>
  <c r="H86" i="52"/>
  <c r="I86" i="52"/>
  <c r="K86" i="52"/>
  <c r="L86" i="52"/>
  <c r="M86" i="52"/>
  <c r="N86" i="52"/>
  <c r="O86" i="52"/>
  <c r="P86" i="52"/>
  <c r="Q86" i="52"/>
  <c r="R86" i="52"/>
  <c r="S86" i="52"/>
  <c r="H87" i="52"/>
  <c r="I87" i="52"/>
  <c r="K87" i="52"/>
  <c r="L87" i="52"/>
  <c r="M87" i="52"/>
  <c r="N87" i="52"/>
  <c r="O87" i="52"/>
  <c r="P87" i="52"/>
  <c r="Q87" i="52"/>
  <c r="R87" i="52"/>
  <c r="S87" i="52"/>
  <c r="H88" i="52"/>
  <c r="I88" i="52"/>
  <c r="K88" i="52"/>
  <c r="L88" i="52"/>
  <c r="M88" i="52"/>
  <c r="N88" i="52"/>
  <c r="O88" i="52"/>
  <c r="P88" i="52"/>
  <c r="Q88" i="52"/>
  <c r="R88" i="52"/>
  <c r="S88" i="52"/>
  <c r="H90" i="52"/>
  <c r="I90" i="52"/>
  <c r="K90" i="52"/>
  <c r="L90" i="52"/>
  <c r="M90" i="52"/>
  <c r="N90" i="52"/>
  <c r="O90" i="52"/>
  <c r="P90" i="52"/>
  <c r="Q90" i="52"/>
  <c r="R90" i="52"/>
  <c r="S90" i="52"/>
  <c r="H91" i="52"/>
  <c r="I91" i="52"/>
  <c r="K91" i="52"/>
  <c r="L91" i="52"/>
  <c r="M91" i="52"/>
  <c r="N91" i="52"/>
  <c r="O91" i="52"/>
  <c r="P91" i="52"/>
  <c r="Q91" i="52"/>
  <c r="R91" i="52"/>
  <c r="S91" i="52"/>
  <c r="H92" i="52"/>
  <c r="I92" i="52"/>
  <c r="K92" i="52"/>
  <c r="L92" i="52"/>
  <c r="M92" i="52"/>
  <c r="N92" i="52"/>
  <c r="O92" i="52"/>
  <c r="P92" i="52"/>
  <c r="Q92" i="52"/>
  <c r="R92" i="52"/>
  <c r="S92" i="52"/>
  <c r="H93" i="52"/>
  <c r="I93" i="52"/>
  <c r="K93" i="52"/>
  <c r="L93" i="52"/>
  <c r="M93" i="52"/>
  <c r="N93" i="52"/>
  <c r="O93" i="52"/>
  <c r="P93" i="52"/>
  <c r="Q93" i="52"/>
  <c r="R93" i="52"/>
  <c r="S93" i="52"/>
  <c r="H94" i="52"/>
  <c r="I94" i="52"/>
  <c r="K94" i="52"/>
  <c r="L94" i="52"/>
  <c r="M94" i="52"/>
  <c r="N94" i="52"/>
  <c r="O94" i="52"/>
  <c r="P94" i="52"/>
  <c r="Q94" i="52"/>
  <c r="R94" i="52"/>
  <c r="S94" i="52"/>
  <c r="H95" i="52"/>
  <c r="I95" i="52"/>
  <c r="K95" i="52"/>
  <c r="L95" i="52"/>
  <c r="M95" i="52"/>
  <c r="N95" i="52"/>
  <c r="O95" i="52"/>
  <c r="P95" i="52"/>
  <c r="Q95" i="52"/>
  <c r="R95" i="52"/>
  <c r="S95" i="52"/>
  <c r="H96" i="52"/>
  <c r="I96" i="52"/>
  <c r="K96" i="52"/>
  <c r="L96" i="52"/>
  <c r="M96" i="52"/>
  <c r="N96" i="52"/>
  <c r="O96" i="52"/>
  <c r="P96" i="52"/>
  <c r="Q96" i="52"/>
  <c r="R96" i="52"/>
  <c r="S96" i="52"/>
  <c r="H97" i="52"/>
  <c r="I97" i="52"/>
  <c r="K97" i="52"/>
  <c r="L97" i="52"/>
  <c r="M97" i="52"/>
  <c r="N97" i="52"/>
  <c r="O97" i="52"/>
  <c r="P97" i="52"/>
  <c r="Q97" i="52"/>
  <c r="R97" i="52"/>
  <c r="S97" i="52"/>
  <c r="H98" i="52"/>
  <c r="I98" i="52"/>
  <c r="K98" i="52"/>
  <c r="L98" i="52"/>
  <c r="M98" i="52"/>
  <c r="N98" i="52"/>
  <c r="O98" i="52"/>
  <c r="P98" i="52"/>
  <c r="Q98" i="52"/>
  <c r="R98" i="52"/>
  <c r="S98" i="52"/>
  <c r="H99" i="52"/>
  <c r="I99" i="52"/>
  <c r="K99" i="52"/>
  <c r="L99" i="52"/>
  <c r="M99" i="52"/>
  <c r="N99" i="52"/>
  <c r="O99" i="52"/>
  <c r="P99" i="52"/>
  <c r="Q99" i="52"/>
  <c r="R99" i="52"/>
  <c r="S99" i="52"/>
  <c r="H100" i="52"/>
  <c r="I100" i="52"/>
  <c r="K100" i="52"/>
  <c r="L100" i="52"/>
  <c r="M100" i="52"/>
  <c r="N100" i="52"/>
  <c r="O100" i="52"/>
  <c r="P100" i="52"/>
  <c r="Q100" i="52"/>
  <c r="R100" i="52"/>
  <c r="S100" i="52"/>
  <c r="H101" i="52"/>
  <c r="I101" i="52"/>
  <c r="K101" i="52"/>
  <c r="L101" i="52"/>
  <c r="M101" i="52"/>
  <c r="N101" i="52"/>
  <c r="O101" i="52"/>
  <c r="P101" i="52"/>
  <c r="Q101" i="52"/>
  <c r="R101" i="52"/>
  <c r="S101" i="52"/>
  <c r="H102" i="52"/>
  <c r="I102" i="52"/>
  <c r="K102" i="52"/>
  <c r="L102" i="52"/>
  <c r="M102" i="52"/>
  <c r="N102" i="52"/>
  <c r="O102" i="52"/>
  <c r="P102" i="52"/>
  <c r="Q102" i="52"/>
  <c r="R102" i="52"/>
  <c r="S102" i="52"/>
  <c r="H103" i="52"/>
  <c r="I103" i="52"/>
  <c r="K103" i="52"/>
  <c r="L103" i="52"/>
  <c r="M103" i="52"/>
  <c r="N103" i="52"/>
  <c r="O103" i="52"/>
  <c r="P103" i="52"/>
  <c r="Q103" i="52"/>
  <c r="R103" i="52"/>
  <c r="S103" i="52"/>
  <c r="H104" i="52"/>
  <c r="I104" i="52"/>
  <c r="K104" i="52"/>
  <c r="L104" i="52"/>
  <c r="M104" i="52"/>
  <c r="N104" i="52"/>
  <c r="O104" i="52"/>
  <c r="P104" i="52"/>
  <c r="Q104" i="52"/>
  <c r="R104" i="52"/>
  <c r="S104" i="52"/>
  <c r="H105" i="52"/>
  <c r="I105" i="52"/>
  <c r="K105" i="52"/>
  <c r="L105" i="52"/>
  <c r="M105" i="52"/>
  <c r="N105" i="52"/>
  <c r="O105" i="52"/>
  <c r="P105" i="52"/>
  <c r="Q105" i="52"/>
  <c r="R105" i="52"/>
  <c r="S105" i="52"/>
  <c r="H106" i="52"/>
  <c r="I106" i="52"/>
  <c r="K106" i="52"/>
  <c r="L106" i="52"/>
  <c r="M106" i="52"/>
  <c r="N106" i="52"/>
  <c r="O106" i="52"/>
  <c r="P106" i="52"/>
  <c r="Q106" i="52"/>
  <c r="R106" i="52"/>
  <c r="S106" i="52"/>
  <c r="H107" i="52"/>
  <c r="I107" i="52"/>
  <c r="K107" i="52"/>
  <c r="L107" i="52"/>
  <c r="M107" i="52"/>
  <c r="N107" i="52"/>
  <c r="O107" i="52"/>
  <c r="P107" i="52"/>
  <c r="Q107" i="52"/>
  <c r="R107" i="52"/>
  <c r="S107" i="52"/>
  <c r="H110" i="52"/>
  <c r="I110" i="52"/>
  <c r="K110" i="52"/>
  <c r="L110" i="52"/>
  <c r="M110" i="52"/>
  <c r="N110" i="52"/>
  <c r="O110" i="52"/>
  <c r="P110" i="52"/>
  <c r="Q110" i="52"/>
  <c r="R110" i="52"/>
  <c r="S110" i="52"/>
  <c r="H111" i="52"/>
  <c r="K111" i="52"/>
  <c r="L111" i="52"/>
  <c r="M111" i="52"/>
  <c r="N111" i="52"/>
  <c r="O111" i="52"/>
  <c r="P111" i="52"/>
  <c r="Q111" i="52"/>
  <c r="R111" i="52"/>
  <c r="S111" i="52"/>
  <c r="V111" i="52"/>
  <c r="V117" i="52" s="1"/>
  <c r="H112" i="52"/>
  <c r="I112" i="52"/>
  <c r="K112" i="52"/>
  <c r="L112" i="52"/>
  <c r="M112" i="52"/>
  <c r="N112" i="52"/>
  <c r="O112" i="52"/>
  <c r="P112" i="52"/>
  <c r="Q112" i="52"/>
  <c r="R112" i="52"/>
  <c r="S112" i="52"/>
  <c r="H113" i="52"/>
  <c r="H114" i="52"/>
  <c r="I114" i="52"/>
  <c r="K114" i="52"/>
  <c r="L114" i="52"/>
  <c r="M114" i="52"/>
  <c r="N114" i="52"/>
  <c r="O114" i="52"/>
  <c r="P114" i="52"/>
  <c r="P117" i="52" s="1"/>
  <c r="P121" i="52" s="1"/>
  <c r="Q114" i="52"/>
  <c r="R114" i="52"/>
  <c r="S114" i="52"/>
  <c r="H115" i="52"/>
  <c r="J117" i="52"/>
  <c r="T117" i="52"/>
  <c r="T121" i="52" s="1"/>
  <c r="U117" i="52"/>
  <c r="W117" i="52"/>
  <c r="H118" i="52"/>
  <c r="I118" i="52"/>
  <c r="U118" i="52"/>
  <c r="V118" i="52"/>
  <c r="H119" i="52"/>
  <c r="I119" i="52"/>
  <c r="U119" i="52"/>
  <c r="V119" i="52"/>
  <c r="H120" i="52"/>
  <c r="I120" i="52"/>
  <c r="W120" i="52"/>
  <c r="J121" i="52"/>
  <c r="T122" i="52"/>
  <c r="H123" i="52"/>
  <c r="M123" i="52"/>
  <c r="L125" i="52"/>
  <c r="M125" i="52"/>
  <c r="N125" i="52"/>
  <c r="P125" i="52"/>
  <c r="R125" i="52"/>
  <c r="S125" i="52"/>
  <c r="U121" i="52" l="1"/>
  <c r="H117" i="52"/>
  <c r="L117" i="52"/>
  <c r="L121" i="52" s="1"/>
  <c r="W121" i="52"/>
  <c r="H121" i="52"/>
  <c r="V121" i="52"/>
  <c r="S117" i="52"/>
  <c r="S121" i="52" s="1"/>
  <c r="O117" i="52"/>
  <c r="O121" i="52" s="1"/>
  <c r="K117" i="52"/>
  <c r="K121" i="52" s="1"/>
  <c r="R117" i="52"/>
  <c r="R121" i="52" s="1"/>
  <c r="N117" i="52"/>
  <c r="N121" i="52" s="1"/>
  <c r="I117" i="52"/>
  <c r="I121" i="52" s="1"/>
  <c r="Q117" i="52"/>
  <c r="Q121" i="52" s="1"/>
  <c r="M117" i="52"/>
  <c r="M121" i="52" s="1"/>
  <c r="D6" i="50"/>
  <c r="D42" i="50"/>
  <c r="D24" i="50"/>
  <c r="D41" i="50" l="1"/>
  <c r="C41" i="50"/>
  <c r="B32" i="50"/>
  <c r="D23" i="50"/>
  <c r="C23" i="50"/>
  <c r="B14" i="50"/>
  <c r="C5" i="50"/>
  <c r="D5" i="50" l="1"/>
  <c r="B41" i="50"/>
  <c r="B23" i="50"/>
  <c r="D7" i="40" s="1"/>
  <c r="H5" i="43" l="1"/>
  <c r="B24" i="49" l="1"/>
  <c r="C6" i="49" l="1"/>
  <c r="E7" i="40" l="1"/>
  <c r="D4" i="43"/>
  <c r="G7" i="44" l="1"/>
  <c r="F7" i="44"/>
  <c r="E7" i="44"/>
  <c r="D7" i="44"/>
  <c r="C7" i="44"/>
  <c r="B7" i="44"/>
  <c r="J5" i="43" l="1"/>
  <c r="I5" i="43"/>
  <c r="F5" i="43"/>
  <c r="C5" i="43"/>
  <c r="B5" i="43"/>
  <c r="G4" i="43"/>
  <c r="G5" i="43" s="1"/>
  <c r="E4" i="43"/>
  <c r="E5" i="43" s="1"/>
  <c r="D5" i="43"/>
  <c r="C9" i="40"/>
  <c r="B9" i="40"/>
  <c r="F24" i="49"/>
  <c r="D24" i="49"/>
  <c r="E36" i="46"/>
  <c r="D36" i="46"/>
  <c r="C36" i="46"/>
  <c r="B36" i="46"/>
  <c r="E9" i="40" l="1"/>
  <c r="D9" i="40"/>
  <c r="G9" i="49"/>
  <c r="G13" i="49"/>
  <c r="G17" i="49"/>
  <c r="G21" i="49"/>
  <c r="G10" i="49"/>
  <c r="G14" i="49"/>
  <c r="G18" i="49"/>
  <c r="G22" i="49"/>
  <c r="G7" i="49"/>
  <c r="G11" i="49"/>
  <c r="G15" i="49"/>
  <c r="G19" i="49"/>
  <c r="G23" i="49"/>
  <c r="G8" i="49"/>
  <c r="G12" i="49"/>
  <c r="G16" i="49"/>
  <c r="G20" i="49"/>
  <c r="G6" i="49"/>
  <c r="E9" i="49"/>
  <c r="E13" i="49"/>
  <c r="E17" i="49"/>
  <c r="E21" i="49"/>
  <c r="E18" i="49"/>
  <c r="E22" i="49"/>
  <c r="E8" i="49"/>
  <c r="E16" i="49"/>
  <c r="E20" i="49"/>
  <c r="E7" i="49"/>
  <c r="E11" i="49"/>
  <c r="E15" i="49"/>
  <c r="E12" i="49"/>
  <c r="E19" i="49"/>
  <c r="E6" i="49"/>
  <c r="E10" i="49"/>
  <c r="E14" i="49"/>
  <c r="E23" i="49"/>
  <c r="C9" i="49"/>
  <c r="C13" i="49"/>
  <c r="C17" i="49"/>
  <c r="C23" i="49"/>
  <c r="C12" i="49"/>
  <c r="C20" i="49"/>
  <c r="C10" i="49"/>
  <c r="C14" i="49"/>
  <c r="C18" i="49"/>
  <c r="C22" i="49"/>
  <c r="C19" i="49"/>
  <c r="C8" i="49"/>
  <c r="C16" i="49"/>
  <c r="C7" i="49"/>
  <c r="C11" i="49"/>
  <c r="C15" i="49"/>
  <c r="C21" i="49"/>
  <c r="E24" i="49" l="1"/>
  <c r="G24" i="49"/>
  <c r="C24" i="49"/>
</calcChain>
</file>

<file path=xl/sharedStrings.xml><?xml version="1.0" encoding="utf-8"?>
<sst xmlns="http://schemas.openxmlformats.org/spreadsheetml/2006/main" count="6810" uniqueCount="1327">
  <si>
    <t>A</t>
  </si>
  <si>
    <t>B</t>
  </si>
  <si>
    <t>C</t>
  </si>
  <si>
    <t>D</t>
  </si>
  <si>
    <t>Table 1</t>
  </si>
  <si>
    <t>Electricity and Natural Gas Savings and Demand Reduction (Net)</t>
  </si>
  <si>
    <t>Annual Results</t>
  </si>
  <si>
    <t>2019 Installed Savings</t>
  </si>
  <si>
    <t>CPUC 2019 Adopted Goals (D.15-10-028)</t>
  </si>
  <si>
    <t>% of Goals (2019)</t>
  </si>
  <si>
    <t>2019  Energy Savings (GWh) – Annual</t>
  </si>
  <si>
    <t>PG&amp;E</t>
  </si>
  <si>
    <t>SCE</t>
  </si>
  <si>
    <t>SDG&amp;E</t>
  </si>
  <si>
    <t>SCG</t>
  </si>
  <si>
    <t>MCE</t>
  </si>
  <si>
    <t>BayREN</t>
  </si>
  <si>
    <t>SoCalREN</t>
  </si>
  <si>
    <t>TOTAL Energy Savings (GWh) - Annual</t>
  </si>
  <si>
    <t>2019  Energy Savings (GWh) – Lifecycle</t>
  </si>
  <si>
    <t>TOTAL  Energy Savings (GWh) – Lifecycle</t>
  </si>
  <si>
    <t>2019 Natural Gas Savings (MMth) – Annual</t>
  </si>
  <si>
    <t>TOTAL  Natural Gas Savings (MMth) – Annual</t>
  </si>
  <si>
    <t>2019 Natural Gas Savings (MMth) – Lifecycle</t>
  </si>
  <si>
    <t>TOTAL  Natural Gas Savings (MMth) – Lifecycle</t>
  </si>
  <si>
    <t>2019 Peak Demand savings (MW)</t>
  </si>
  <si>
    <t xml:space="preserve"> TOTAL  Peak Demand savings (MW)</t>
  </si>
  <si>
    <t>(1)  All energy savings numbers are net with 5% market spillover.</t>
  </si>
  <si>
    <t xml:space="preserve">      Energy savings are based on the actual accomplishments recorded in 2019.</t>
  </si>
  <si>
    <t xml:space="preserve">(2)  Installed savings for PG&amp;E includes Codes and Standards (C&amp;S), Energy Savings Assistance (ESA) Program; Bay Area Regional </t>
  </si>
  <si>
    <t xml:space="preserve">     Energy Network (BayREN) as reported in their 2019 Annual Claims filed on April 16, 2020 and Marin Clean Energy (MCE)</t>
  </si>
  <si>
    <t xml:space="preserve">     as reported in their 2019 Annual Claims filed on April 9, 2020.</t>
  </si>
  <si>
    <t>Table 2</t>
  </si>
  <si>
    <t>Environmental Impacts (Net)</t>
  </si>
  <si>
    <t>Annual  tons of CO2 avoided</t>
  </si>
  <si>
    <t>Lifecycle tons of CO2 avoided</t>
  </si>
  <si>
    <t>Annual tons of NOx avoided</t>
  </si>
  <si>
    <t>Lifecycle tons of NOx avoided</t>
  </si>
  <si>
    <t>Annual tons of PM10 avoided</t>
  </si>
  <si>
    <t>Lifecycle tons of PM10 avoided</t>
  </si>
  <si>
    <t>2019Portfolio Targets</t>
  </si>
  <si>
    <t>N/A</t>
  </si>
  <si>
    <t>2019 Total</t>
  </si>
  <si>
    <t>(1)  All Environmental Impacts are net with 5% market spillover.</t>
  </si>
  <si>
    <t>(2)  Excludes Energy Savings Assistance (ESA) Program, BayREN, and MCE.</t>
  </si>
  <si>
    <t xml:space="preserve">(3)  As of April 30, 2020, electric C02 emissions reduction values output by the Cost Effectiveness Tool (CET) and displayed in CEDARS are </t>
  </si>
  <si>
    <t xml:space="preserve">      under investigation. Per an email from Energy Division staff to Program Administrators on February 6, 2020, these values appear to undercount</t>
  </si>
  <si>
    <t xml:space="preserve">      C02 emissions reductions. As a result, the C02 emissions reduction values shown in the table above may be revised imminently,</t>
  </si>
  <si>
    <t xml:space="preserve">      with updated figures in CEDARS.This table reports the values in CEDARS as of April 30, 2020, the date the report was finalized.</t>
  </si>
  <si>
    <r>
      <rPr>
        <b/>
        <sz val="12"/>
        <rFont val="Palatino Linotype"/>
        <family val="1"/>
      </rPr>
      <t xml:space="preserve">Pacific Gas and Electric Company 
</t>
    </r>
    <r>
      <rPr>
        <sz val="12"/>
        <rFont val="Palatino Linotype"/>
        <family val="1"/>
      </rPr>
      <t>Table 3: 2019 Expenditures, including expenditures on past cycle commitments paid in 2019.</t>
    </r>
  </si>
  <si>
    <t>Authorized/Forecast Budget</t>
  </si>
  <si>
    <t>Total 2019 Expenditures (broken out by budget-year funding source)</t>
  </si>
  <si>
    <t>IOU</t>
  </si>
  <si>
    <t>Program ID</t>
  </si>
  <si>
    <r>
      <t xml:space="preserve"> Program Name
</t>
    </r>
    <r>
      <rPr>
        <sz val="9"/>
        <color rgb="FFFF0000"/>
        <rFont val="Calibri"/>
        <family val="2"/>
        <scheme val="minor"/>
      </rPr>
      <t>(Add rows to include all programs)</t>
    </r>
  </si>
  <si>
    <r>
      <rPr>
        <sz val="13"/>
        <rFont val="Calibri"/>
        <family val="2"/>
        <scheme val="minor"/>
      </rPr>
      <t>Program Implementer</t>
    </r>
    <r>
      <rPr>
        <sz val="12"/>
        <rFont val="Calibri"/>
        <family val="2"/>
        <scheme val="minor"/>
      </rPr>
      <t xml:space="preserve">
</t>
    </r>
    <r>
      <rPr>
        <sz val="9"/>
        <color rgb="FFFF0000"/>
        <rFont val="Calibri"/>
        <family val="2"/>
        <scheme val="minor"/>
      </rPr>
      <t xml:space="preserve">
(Use Drop Down Menu)</t>
    </r>
  </si>
  <si>
    <r>
      <rPr>
        <sz val="13"/>
        <rFont val="Calibri"/>
        <family val="2"/>
        <scheme val="minor"/>
      </rPr>
      <t>Primary Sector</t>
    </r>
    <r>
      <rPr>
        <sz val="12"/>
        <rFont val="Calibri"/>
        <family val="2"/>
        <scheme val="minor"/>
      </rPr>
      <t xml:space="preserve"> 
</t>
    </r>
    <r>
      <rPr>
        <sz val="11"/>
        <color rgb="FFFF0000"/>
        <rFont val="Calibri"/>
        <family val="2"/>
        <scheme val="minor"/>
      </rPr>
      <t>(Use Drop Down Menu)</t>
    </r>
  </si>
  <si>
    <r>
      <rPr>
        <sz val="13"/>
        <rFont val="Calibri"/>
        <family val="2"/>
        <scheme val="minor"/>
      </rPr>
      <t>ESPI Program Category</t>
    </r>
    <r>
      <rPr>
        <sz val="12"/>
        <rFont val="Calibri"/>
        <family val="2"/>
        <scheme val="minor"/>
      </rPr>
      <t xml:space="preserve">
</t>
    </r>
    <r>
      <rPr>
        <sz val="9"/>
        <color rgb="FFFF0000"/>
        <rFont val="Calibri"/>
        <family val="2"/>
        <scheme val="minor"/>
      </rPr>
      <t>(Use Drop Down Menu)</t>
    </r>
  </si>
  <si>
    <r>
      <rPr>
        <sz val="13"/>
        <rFont val="Calibri"/>
        <family val="2"/>
        <scheme val="minor"/>
      </rPr>
      <t>Delivery Channel</t>
    </r>
    <r>
      <rPr>
        <sz val="12"/>
        <rFont val="Calibri"/>
        <family val="2"/>
        <scheme val="minor"/>
      </rPr>
      <t xml:space="preserve">
</t>
    </r>
    <r>
      <rPr>
        <sz val="9"/>
        <color rgb="FFFF0000"/>
        <rFont val="Calibri"/>
        <family val="2"/>
        <scheme val="minor"/>
      </rPr>
      <t>(Use Drop Down Menu)</t>
    </r>
  </si>
  <si>
    <t>2019 Adopted Budget[1]
(EE: D.18-05-041;
(SWME&amp;O: D.16-09-020 &amp;  D.19-01-005;
ESA: D.16-11-022 &amp; D.17-12-009)</t>
  </si>
  <si>
    <t xml:space="preserve">2019 Administrative Cost 
(forecast as per budget Advice Letters)
</t>
  </si>
  <si>
    <t>Administrative</t>
  </si>
  <si>
    <t xml:space="preserve">Direct Implementation </t>
  </si>
  <si>
    <t xml:space="preserve">PA Administered ME&amp;O </t>
  </si>
  <si>
    <t>SW ME&amp;O</t>
  </si>
  <si>
    <t xml:space="preserve">EM&amp;V </t>
  </si>
  <si>
    <t>On Bill Financing
Loan Pool</t>
  </si>
  <si>
    <t>Non-IOU Implementer</t>
  </si>
  <si>
    <t xml:space="preserve">IOU </t>
  </si>
  <si>
    <t xml:space="preserve">Non-Incentive </t>
  </si>
  <si>
    <t xml:space="preserve"> Incentives &amp; Rebates [2]</t>
  </si>
  <si>
    <t>2019 Expenditures from pre-2019 budgets</t>
  </si>
  <si>
    <t>2019 
Expenditures from 2019 Budget</t>
  </si>
  <si>
    <t>IOU/PA Programs</t>
  </si>
  <si>
    <t>PGE</t>
  </si>
  <si>
    <t>PGE_21001</t>
  </si>
  <si>
    <t>Residential Energy Advisor</t>
  </si>
  <si>
    <t>Residential</t>
  </si>
  <si>
    <t>Resource</t>
  </si>
  <si>
    <t>Downstream</t>
  </si>
  <si>
    <t>PGE_210010</t>
  </si>
  <si>
    <t>Pay for Performance Pilot</t>
  </si>
  <si>
    <t>PGE_21002</t>
  </si>
  <si>
    <t>Plug Load and Appliances</t>
  </si>
  <si>
    <t>Midstream/Downstream</t>
  </si>
  <si>
    <t>PGE_21003</t>
  </si>
  <si>
    <t>Multifamily Energy Efficiency Rebates Pr</t>
  </si>
  <si>
    <t>PGE_21004</t>
  </si>
  <si>
    <t>Energy Upgrade California</t>
  </si>
  <si>
    <t>PGE_21005</t>
  </si>
  <si>
    <t>Residential New Construction</t>
  </si>
  <si>
    <t>Upstream</t>
  </si>
  <si>
    <t>PGE_21006</t>
  </si>
  <si>
    <t>Residential HVAC</t>
  </si>
  <si>
    <t>PGE_21011</t>
  </si>
  <si>
    <t>Commercial Calculated Incentives</t>
  </si>
  <si>
    <t>Commercial</t>
  </si>
  <si>
    <t>PGE_21012</t>
  </si>
  <si>
    <t>Commercial Deemed Incentives</t>
  </si>
  <si>
    <t>Upstream/Midstream/Downstream</t>
  </si>
  <si>
    <t>PGE_21013</t>
  </si>
  <si>
    <t>Commercial Continuous Energy Improvement</t>
  </si>
  <si>
    <t>Non-Resource</t>
  </si>
  <si>
    <t>PGE_21014</t>
  </si>
  <si>
    <t>Commercial Energy Advisor</t>
  </si>
  <si>
    <t>PGE_21015</t>
  </si>
  <si>
    <t>Commercial HVAC</t>
  </si>
  <si>
    <t>Upstream/Midstream</t>
  </si>
  <si>
    <t>PGE_211025</t>
  </si>
  <si>
    <t>Savings By Design</t>
  </si>
  <si>
    <t>PGE_21021</t>
  </si>
  <si>
    <t>Industrial Calculated Incentives</t>
  </si>
  <si>
    <t>Industrial</t>
  </si>
  <si>
    <t>PGE_21022</t>
  </si>
  <si>
    <t>Industrial Deemed Incentives</t>
  </si>
  <si>
    <t>PGE_21023</t>
  </si>
  <si>
    <t>Industrial Continuous Energy Improvement</t>
  </si>
  <si>
    <t>PGE_21024</t>
  </si>
  <si>
    <t>Industrial Energy Advisor</t>
  </si>
  <si>
    <t>PGE_21030</t>
  </si>
  <si>
    <t>Industrial Strategic Energy Management</t>
  </si>
  <si>
    <t>PGE_21031</t>
  </si>
  <si>
    <t>Agricultural Calculated Incentives</t>
  </si>
  <si>
    <t>Agricultural</t>
  </si>
  <si>
    <t>PGE_21032</t>
  </si>
  <si>
    <t>Agricultural Deemed Incentives</t>
  </si>
  <si>
    <t>PGE_21033</t>
  </si>
  <si>
    <t>Agricultural Continuous Energy Improveme</t>
  </si>
  <si>
    <t>PGE_21034</t>
  </si>
  <si>
    <t>Agricultural Energy Advisor</t>
  </si>
  <si>
    <t>PGE_21041</t>
  </si>
  <si>
    <t>Primary Lighting</t>
  </si>
  <si>
    <t>Cross Cutting</t>
  </si>
  <si>
    <t>PGE_21042</t>
  </si>
  <si>
    <t>Lighting Innovation</t>
  </si>
  <si>
    <t>PGE_21043</t>
  </si>
  <si>
    <t>Lighting Market Transformation</t>
  </si>
  <si>
    <t>PGE_21051</t>
  </si>
  <si>
    <t>Building Codes Advocacy</t>
  </si>
  <si>
    <t>C&amp;S</t>
  </si>
  <si>
    <t>PGE_21052</t>
  </si>
  <si>
    <t>Appliance Standards Advocacy</t>
  </si>
  <si>
    <t>PGE_21053</t>
  </si>
  <si>
    <t>Compliance Improvement</t>
  </si>
  <si>
    <t>PGE_21054</t>
  </si>
  <si>
    <t>Reach Codes</t>
  </si>
  <si>
    <t>PGE_21055</t>
  </si>
  <si>
    <t>Planning  and Coordination</t>
  </si>
  <si>
    <t>PGE_21056</t>
  </si>
  <si>
    <t>Code Readiness</t>
  </si>
  <si>
    <t>PGE_21057</t>
  </si>
  <si>
    <t>National Codes &amp; Standards Advocacy</t>
  </si>
  <si>
    <t>PGE_21061</t>
  </si>
  <si>
    <t>Technology Development Support</t>
  </si>
  <si>
    <t>PGE_21062</t>
  </si>
  <si>
    <t>Technology Assessments</t>
  </si>
  <si>
    <t>PGE_21063</t>
  </si>
  <si>
    <t>Technology Introduction Support</t>
  </si>
  <si>
    <t>PGE_21064</t>
  </si>
  <si>
    <t>EE Water-Energy Nexus AMI Pilot</t>
  </si>
  <si>
    <t>PGE_21071</t>
  </si>
  <si>
    <t>Centergies</t>
  </si>
  <si>
    <t>PGE_21072</t>
  </si>
  <si>
    <t>Connections</t>
  </si>
  <si>
    <t>PGE_21073</t>
  </si>
  <si>
    <t>Strategic Planning</t>
  </si>
  <si>
    <t>PGE_21076</t>
  </si>
  <si>
    <t>Career and Workforce Readiness</t>
  </si>
  <si>
    <t>PGE_21081</t>
  </si>
  <si>
    <t>Statewide DSM Coordination &amp; Integration</t>
  </si>
  <si>
    <t>PGE_21091</t>
  </si>
  <si>
    <t>On-Bill Financing</t>
  </si>
  <si>
    <t>PGE_210911</t>
  </si>
  <si>
    <t>On Bill Financing Alternative Pathway</t>
  </si>
  <si>
    <t>PGE_21092</t>
  </si>
  <si>
    <t>Third-Party Financing</t>
  </si>
  <si>
    <t>PGE_21093</t>
  </si>
  <si>
    <t>New Financing Offerings</t>
  </si>
  <si>
    <t>Local Government Partnership Programs</t>
  </si>
  <si>
    <t>PGE_2110011</t>
  </si>
  <si>
    <t>California Community Colleges</t>
  </si>
  <si>
    <t>LGP/SIP</t>
  </si>
  <si>
    <t xml:space="preserve">Public </t>
  </si>
  <si>
    <t>PGE_2110012</t>
  </si>
  <si>
    <t>University of California/Cal State Univ</t>
  </si>
  <si>
    <t>PGE_2110013</t>
  </si>
  <si>
    <t>State of California</t>
  </si>
  <si>
    <t>PGE_2110014</t>
  </si>
  <si>
    <t>Department of Corrections and Rehab</t>
  </si>
  <si>
    <t>PGE_2110051</t>
  </si>
  <si>
    <t>Local Govt Energy Action Resources LGEAR</t>
  </si>
  <si>
    <t>PGE_2110052</t>
  </si>
  <si>
    <t>Strategic Energy Resources</t>
  </si>
  <si>
    <t>PGE_211007</t>
  </si>
  <si>
    <t>Association of Monterey Bay Area Govts</t>
  </si>
  <si>
    <t>PGE_211009</t>
  </si>
  <si>
    <t>East Bay</t>
  </si>
  <si>
    <t>PGE_211010</t>
  </si>
  <si>
    <t>Fresno</t>
  </si>
  <si>
    <t>PGE_211011</t>
  </si>
  <si>
    <t>Kern</t>
  </si>
  <si>
    <t>PGE_211012</t>
  </si>
  <si>
    <t>Madera</t>
  </si>
  <si>
    <t>PGE_211013</t>
  </si>
  <si>
    <t>Marin County</t>
  </si>
  <si>
    <t>PGE_211014</t>
  </si>
  <si>
    <t>Mendocino County</t>
  </si>
  <si>
    <t>PGE_211015</t>
  </si>
  <si>
    <t>Napa County</t>
  </si>
  <si>
    <t>PGE_211016</t>
  </si>
  <si>
    <t>Redwood Coast</t>
  </si>
  <si>
    <t>PGE_211018</t>
  </si>
  <si>
    <t>San Luis Obispo County</t>
  </si>
  <si>
    <t>PGE_211019</t>
  </si>
  <si>
    <t>San Mateo County</t>
  </si>
  <si>
    <t>PGE_211020</t>
  </si>
  <si>
    <t>Santa Barbara</t>
  </si>
  <si>
    <t>PGE_211021</t>
  </si>
  <si>
    <t>Sierra Nevada</t>
  </si>
  <si>
    <t>PGE_211022</t>
  </si>
  <si>
    <t>Sonoma County</t>
  </si>
  <si>
    <t>PGE_211023</t>
  </si>
  <si>
    <t>Silicon Valley</t>
  </si>
  <si>
    <t>PGE_211024</t>
  </si>
  <si>
    <t>San Francisco</t>
  </si>
  <si>
    <t>PGE_211026</t>
  </si>
  <si>
    <t>North Valley</t>
  </si>
  <si>
    <t>PGE_211027</t>
  </si>
  <si>
    <t>Sutter Buttes</t>
  </si>
  <si>
    <t>PGE_211028</t>
  </si>
  <si>
    <t>Yolo</t>
  </si>
  <si>
    <t>PGE_211029</t>
  </si>
  <si>
    <t>Solano</t>
  </si>
  <si>
    <t>PGE_211030</t>
  </si>
  <si>
    <t>Northern San Joaquin Valley</t>
  </si>
  <si>
    <t>PGE_211031</t>
  </si>
  <si>
    <t>Valley Innovative Energy Watch (VIEW)</t>
  </si>
  <si>
    <t>Third Party Program</t>
  </si>
  <si>
    <t>PGE_210011</t>
  </si>
  <si>
    <t>Residential Energy Fitness Program</t>
  </si>
  <si>
    <t>Third Party</t>
  </si>
  <si>
    <t>PGE_21007</t>
  </si>
  <si>
    <t>California New Homes Multifamily</t>
  </si>
  <si>
    <t>PGE_21008</t>
  </si>
  <si>
    <t>Enhance Time Delay Relay</t>
  </si>
  <si>
    <t>PGE_21009</t>
  </si>
  <si>
    <t>Direct Install for Manufactured and Mobi</t>
  </si>
  <si>
    <t>PGE_210112</t>
  </si>
  <si>
    <t>School Energy Efficiency</t>
  </si>
  <si>
    <t>PGE_210115</t>
  </si>
  <si>
    <t>RightLights</t>
  </si>
  <si>
    <t>PGE_210119</t>
  </si>
  <si>
    <t>LED Accelerator</t>
  </si>
  <si>
    <t>PGE_210123</t>
  </si>
  <si>
    <t>Healthcare Energy Efficiency Program</t>
  </si>
  <si>
    <t>PGE_210139</t>
  </si>
  <si>
    <t>SEI Energize Schools</t>
  </si>
  <si>
    <t>PGE_210143</t>
  </si>
  <si>
    <t>Hospitality Program</t>
  </si>
  <si>
    <t>PGE_21018</t>
  </si>
  <si>
    <t>EnergySmart Grocer</t>
  </si>
  <si>
    <t>PGE_210135</t>
  </si>
  <si>
    <t>Lincus WISE</t>
  </si>
  <si>
    <t>PGE_210210</t>
  </si>
  <si>
    <t>Industrial Recommissioning Program</t>
  </si>
  <si>
    <t>PGE_210211</t>
  </si>
  <si>
    <t>Light Industrial Energy Efficiency Prog</t>
  </si>
  <si>
    <t>PGE_210212</t>
  </si>
  <si>
    <t>Ind Compressed Air Systems Efficiency</t>
  </si>
  <si>
    <t>PGE_210213</t>
  </si>
  <si>
    <t>Small Petrochemical EE Program</t>
  </si>
  <si>
    <t>PGE_21025</t>
  </si>
  <si>
    <t>California Wastewater Process Optimizati</t>
  </si>
  <si>
    <t>PGE_21026</t>
  </si>
  <si>
    <t>Energy Efficiency Services for Oil Produ</t>
  </si>
  <si>
    <t>PGE_21027</t>
  </si>
  <si>
    <t>Heavy Industry Energy Efficiency Program</t>
  </si>
  <si>
    <t>PGE_21029</t>
  </si>
  <si>
    <t>Refinery Energy Efficiency Program</t>
  </si>
  <si>
    <t>PGE_210311</t>
  </si>
  <si>
    <t>Process Wastewater Treatment EM Pgm for</t>
  </si>
  <si>
    <t>PGE_210312</t>
  </si>
  <si>
    <t>Dairy &amp; WIES</t>
  </si>
  <si>
    <t>PGE_21036</t>
  </si>
  <si>
    <t>Industrial Refrigeration Performance Plu</t>
  </si>
  <si>
    <t>PGE_21039</t>
  </si>
  <si>
    <t>Comprehensive Food Process Audit &amp; Resou</t>
  </si>
  <si>
    <r>
      <t xml:space="preserve">RENs and CCA (Non-IOU Programs) </t>
    </r>
    <r>
      <rPr>
        <sz val="12"/>
        <rFont val="Calibri"/>
        <family val="2"/>
        <scheme val="minor"/>
      </rPr>
      <t>[3]</t>
    </r>
  </si>
  <si>
    <t>PGE_BAYREN</t>
  </si>
  <si>
    <t>Bay Area Regional Energy Authority</t>
  </si>
  <si>
    <t>REN/CCA</t>
  </si>
  <si>
    <t>Not Applicable</t>
  </si>
  <si>
    <t>CPUC_EMV_BAY</t>
  </si>
  <si>
    <t>BayREN EM&amp;V - CPUC</t>
  </si>
  <si>
    <t>PGE_MEA</t>
  </si>
  <si>
    <t>Marin Clean Energy</t>
  </si>
  <si>
    <t>EMV_MCE</t>
  </si>
  <si>
    <t>Marin Clean Energy EM&amp;V</t>
  </si>
  <si>
    <t>PGE_3CREN</t>
  </si>
  <si>
    <t>Tri-County Regional Energy Network</t>
  </si>
  <si>
    <t>EMV_3CREN</t>
  </si>
  <si>
    <t>Tri-County Regional Energy Network EM&amp;V</t>
  </si>
  <si>
    <t xml:space="preserve">Subtotal </t>
  </si>
  <si>
    <t>PGE_EM&amp;V</t>
  </si>
  <si>
    <t>EM&amp;V - IOU</t>
  </si>
  <si>
    <t>CPUC_EM&amp;V</t>
  </si>
  <si>
    <t>EM&amp;V - CPUC Staff</t>
  </si>
  <si>
    <t>PGE_21091LP</t>
  </si>
  <si>
    <t>OBF Loan Pool [4]</t>
  </si>
  <si>
    <t xml:space="preserve"> Total EE Portfolio Expenditures</t>
  </si>
  <si>
    <r>
      <t xml:space="preserve">SW ME&amp;O </t>
    </r>
    <r>
      <rPr>
        <sz val="10"/>
        <rFont val="Calibri"/>
        <family val="2"/>
        <scheme val="minor"/>
      </rPr>
      <t>(Energy Efficiency portion only)</t>
    </r>
    <r>
      <rPr>
        <b/>
        <sz val="10"/>
        <rFont val="Calibri"/>
        <family val="2"/>
        <scheme val="minor"/>
      </rPr>
      <t xml:space="preserve"> </t>
    </r>
  </si>
  <si>
    <t>Energy Savings Assistance Program (ESA)</t>
  </si>
  <si>
    <t>Water Energy Nexus</t>
  </si>
  <si>
    <t>Finance Pilots [5]</t>
  </si>
  <si>
    <t>[1] PG&amp;E's authorized budget includes the 2019 EE budget approved on April 2, 2019 in AL 4011-G/5375-E.  The 2019 SWME&amp;O budget for January thru September was authorized in the 2017-2019 SWME&amp;O D.16-09-020 and Advice Letter 3783-G/4963-E, effective November 28, 2016.  The 2019 SWME&amp;O budget for October through December was authorized in the 2019-2021 SWME&amp;O D.19-01-005 and Advice Letter 4098-G/5544-E and supplements, effective June 9, 2019.  On January 4, 2019, the 2019 ESA budget was approved in AL 3990-G/5329-E and supplemental ALs, pursuant to D.16-11-022 and D.17-12-009.  The associated employee benefits costs were approved in the GRC (D.17-05-013), Decision Authorizing Pacific Gas and Electric Company’s General Rate Case Revenue Requirement for 2017-2019, dated May 11, 2017.</t>
  </si>
  <si>
    <t>[2] Direct Implementation Incentives &amp; Rebates include expenditures accrued but not paid as of December 31, 2019.</t>
  </si>
  <si>
    <t>[3] Non-IOU programs represent PG&amp;E's payments to BayREN, MCE and 3C REN.</t>
  </si>
  <si>
    <t>[4] OBF Loan Pool represents loans issued and repaid.</t>
  </si>
  <si>
    <t>[5] Finance Pilots budget of $3.0 million reflects the unspent committed balance at January 1, 2019.  The budget was originally authorized in the 2013-2014 cycle.</t>
  </si>
  <si>
    <t>Table 4</t>
  </si>
  <si>
    <t>Cost Effectiveness (Net)</t>
  </si>
  <si>
    <t>Total Cost to Billpayers (TRC) (3)</t>
  </si>
  <si>
    <t>Total Savings to Billpayers (TRC/PAC)</t>
  </si>
  <si>
    <t>Net Benefits to Billpayers (TRC) (3)</t>
  </si>
  <si>
    <t>TRC Ratio (4)</t>
  </si>
  <si>
    <t>Total PAC Cost (3)</t>
  </si>
  <si>
    <t>PAC Ratio (4)</t>
  </si>
  <si>
    <t>PAC Cost per kW Saved ($/kW) (1)</t>
  </si>
  <si>
    <t>PAC Cost per kWh Saved ($/kWh) (2)</t>
  </si>
  <si>
    <t>PAC Cost per therm Saved ($/therm) (2)</t>
  </si>
  <si>
    <t>PG&amp;E 2019</t>
  </si>
  <si>
    <t>PG&amp;E TOTAL</t>
  </si>
  <si>
    <t xml:space="preserve">(1)  The adopted avoided cost methodology does not provide information to provide a meaningful value for PAC Cost per kW. </t>
  </si>
  <si>
    <t xml:space="preserve">      The adopted avoided cost methodology created kWh costs values that vary for each hour of the year that includes kW generation.</t>
  </si>
  <si>
    <t>(2)  PAC cost per kWh or per therm is (PAC Cost x (Electric Benefits/Total Benefits)/net kWh) or (PAC Cost x (Gas Benefits/Total Benefits)/net therm) respectively</t>
  </si>
  <si>
    <t xml:space="preserve">      per CET based definition provided by CPUC to PG&amp;E via e-mail on April 8, 2016.</t>
  </si>
  <si>
    <t>(3)  The cost-effectiveness calculations are based on the actual accomplishments recorded in 2019.</t>
  </si>
  <si>
    <t xml:space="preserve">      Includes:</t>
  </si>
  <si>
    <t xml:space="preserve">       Includes ESPI payment of $21.57M recorded in 2019 per Final Resolution E-5062, Table 2: Approved ESPI Awards per Component</t>
  </si>
  <si>
    <t xml:space="preserve">       Includes Codes and Standards costs and benefits</t>
  </si>
  <si>
    <t xml:space="preserve">       Includes installed savings for Energy Savings Assistance (ESA) Program</t>
  </si>
  <si>
    <t xml:space="preserve">       Excludes:</t>
  </si>
  <si>
    <t xml:space="preserve">       Excludes ESA, Bay Area Regional Energy Network (BayREN), and Marin Clean Energy (MCE) Program costs and benefits</t>
  </si>
  <si>
    <t xml:space="preserve">       Excludes Statewide Emerging Technologies Program costs per D.12-11-015 (p.52)</t>
  </si>
  <si>
    <t xml:space="preserve">       The Financing Program OBF Loan Pool amounts (loans issued and repaid) of $31.1M for 2019 are excluded per D.09-09-047 (p.288). </t>
  </si>
  <si>
    <t>(4)  All savings values include 5% market spillover in cost-effectiveness calculations per D.12-11-015 (OP 37) including Codes and Standards.</t>
  </si>
  <si>
    <t>Table 5</t>
  </si>
  <si>
    <t>Ratepayer Impacts</t>
  </si>
  <si>
    <t>Electric Average Rate (Res and Non-Res)  $/kwh</t>
  </si>
  <si>
    <t>Gas Average Rate (Core and Non-Core)  $/therm</t>
  </si>
  <si>
    <t>Average First Year Bill Savings ($)</t>
  </si>
  <si>
    <t>Average Lifecylce Bill Savings ($)</t>
  </si>
  <si>
    <t>PG&amp;E Average</t>
  </si>
  <si>
    <t>Notes: (Consistent with SPM TRC/PAC/RIM tests, all savings used from actuals and forecasts in this table are net not gross)</t>
  </si>
  <si>
    <t>(1)  Average first year electric bill savings is calculated by multiplying an average electric rate (as of 10/1/19) with first year net kWh energy savings.</t>
  </si>
  <si>
    <t>(2)  Average first year gas bill savings is calculated by multiplying an average gas rate (as of 12/31/19) with first year net therm energy savings.</t>
  </si>
  <si>
    <t>(3)  Total average first year bill savings is the sum of Notes 1 and 2.</t>
  </si>
  <si>
    <t>(4)  Average lifecycle electric bill savings is calculated by multiplying an average electric rate with lifecycle net kWh energy savings.</t>
  </si>
  <si>
    <t>(5)  Average lifecycle gas bill savings is calculated by multiplying an average gas rate with lifecycle net therm energy savings.</t>
  </si>
  <si>
    <t>(6)  Total average lifecycle bill savings is the sum of Notes 4 and 5.</t>
  </si>
  <si>
    <t xml:space="preserve">(7)  Total Average Bill Savings by Year and Lifecycle Bill Savings include C&amp;S net savings and net lifecycle savings respectively; </t>
  </si>
  <si>
    <t xml:space="preserve">    and includes ESA Program, BayREN and MCE savings. </t>
  </si>
  <si>
    <t>Table 6</t>
  </si>
  <si>
    <t>Annual Savings By Use Category 2019 Only (1) (2)</t>
  </si>
  <si>
    <t>Use Category</t>
  </si>
  <si>
    <t>GWH</t>
  </si>
  <si>
    <t>% of Total</t>
  </si>
  <si>
    <t>MW</t>
  </si>
  <si>
    <t xml:space="preserve">MMTh </t>
  </si>
  <si>
    <t>Appliance or Plug Load</t>
  </si>
  <si>
    <t>Building Envelope</t>
  </si>
  <si>
    <t>Compressed Air</t>
  </si>
  <si>
    <t>Commercial Refrigeration</t>
  </si>
  <si>
    <t>Codes &amp; Standards</t>
  </si>
  <si>
    <t>Food Service</t>
  </si>
  <si>
    <t>HVAC</t>
  </si>
  <si>
    <t>Irrigation</t>
  </si>
  <si>
    <t>Lighting</t>
  </si>
  <si>
    <t>Non-Savings Measure</t>
  </si>
  <si>
    <t>Process Distribution</t>
  </si>
  <si>
    <t>Process Drying</t>
  </si>
  <si>
    <t>Process Heat</t>
  </si>
  <si>
    <t>Process Refrigeration</t>
  </si>
  <si>
    <t>Recreation</t>
  </si>
  <si>
    <t>Service</t>
  </si>
  <si>
    <t>Service and Domestic Hot Water</t>
  </si>
  <si>
    <t>Whole Building</t>
  </si>
  <si>
    <t>PG&amp;E ANNUAL PORTFOLIO SAVINGS</t>
  </si>
  <si>
    <t xml:space="preserve">(2)  Includes savings for ESA Program; BayREN savings as reported in their 2019 Annual Claims filed on April 16, 2020 </t>
  </si>
  <si>
    <t xml:space="preserve">     and MCE savings as reported in their 2019 Annual Claims filed on April 9, 2020.</t>
  </si>
  <si>
    <t>(3) ESA Program savings are included in Whole Building use category.</t>
  </si>
  <si>
    <t>(4) Codes and Standards savings are assigned to a more specific use category where possible.</t>
  </si>
  <si>
    <t xml:space="preserve">Table 7 </t>
  </si>
  <si>
    <r>
      <t>Commitments</t>
    </r>
    <r>
      <rPr>
        <b/>
        <i/>
        <vertAlign val="superscript"/>
        <sz val="10.5"/>
        <color rgb="FF000000"/>
        <rFont val="Times New Roman"/>
        <family val="1"/>
      </rPr>
      <t>4</t>
    </r>
  </si>
  <si>
    <t>Commitments Made in the Past with Expected Implementation after December 2010-2012</t>
  </si>
  <si>
    <r>
      <t xml:space="preserve">Committed Funds </t>
    </r>
    <r>
      <rPr>
        <b/>
        <vertAlign val="superscript"/>
        <sz val="10.5"/>
        <color rgb="FF000000"/>
        <rFont val="Times New Roman"/>
        <family val="1"/>
      </rPr>
      <t>1</t>
    </r>
  </si>
  <si>
    <t>Expected Energy Savings</t>
  </si>
  <si>
    <r>
      <t>2010-2012</t>
    </r>
    <r>
      <rPr>
        <b/>
        <vertAlign val="superscript"/>
        <sz val="10.5"/>
        <color rgb="FF000000"/>
        <rFont val="Times New Roman"/>
        <family val="1"/>
      </rPr>
      <t>1</t>
    </r>
  </si>
  <si>
    <t>$</t>
  </si>
  <si>
    <t>MMth</t>
  </si>
  <si>
    <t>PG&amp;E Total</t>
  </si>
  <si>
    <r>
      <t>Commitments Made in the Past Year with Expected Implementation after</t>
    </r>
    <r>
      <rPr>
        <b/>
        <i/>
        <sz val="10.5"/>
        <color rgb="FF000000"/>
        <rFont val="Times New Roman"/>
        <family val="1"/>
      </rPr>
      <t xml:space="preserve"> </t>
    </r>
    <r>
      <rPr>
        <b/>
        <sz val="10.5"/>
        <color rgb="FF000000"/>
        <rFont val="Times New Roman"/>
        <family val="1"/>
      </rPr>
      <t>December 2015</t>
    </r>
  </si>
  <si>
    <r>
      <t>Committed Funds</t>
    </r>
    <r>
      <rPr>
        <b/>
        <vertAlign val="superscript"/>
        <sz val="10.5"/>
        <color rgb="FF000000"/>
        <rFont val="Times New Roman"/>
        <family val="1"/>
      </rPr>
      <t>2</t>
    </r>
  </si>
  <si>
    <r>
      <t>2013-2015</t>
    </r>
    <r>
      <rPr>
        <b/>
        <vertAlign val="superscript"/>
        <sz val="10.5"/>
        <color rgb="FF000000"/>
        <rFont val="Times New Roman"/>
        <family val="1"/>
      </rPr>
      <t>2</t>
    </r>
  </si>
  <si>
    <t>Commitments Made in the Past Year with Expected Implementation after December 2016</t>
  </si>
  <si>
    <r>
      <t xml:space="preserve">Committed Funds </t>
    </r>
    <r>
      <rPr>
        <b/>
        <vertAlign val="superscript"/>
        <sz val="11"/>
        <color rgb="FF000000"/>
        <rFont val="Calibri"/>
        <family val="2"/>
      </rPr>
      <t>3</t>
    </r>
  </si>
  <si>
    <r>
      <t>2016</t>
    </r>
    <r>
      <rPr>
        <b/>
        <vertAlign val="superscript"/>
        <sz val="10.5"/>
        <color rgb="FF000000"/>
        <rFont val="Times New Roman"/>
        <family val="1"/>
      </rPr>
      <t xml:space="preserve"> 3</t>
    </r>
  </si>
  <si>
    <t>Commitments Made in the Past Year with Expected Implementation after December 2019</t>
  </si>
  <si>
    <r>
      <t>2019</t>
    </r>
    <r>
      <rPr>
        <b/>
        <vertAlign val="superscript"/>
        <sz val="10.5"/>
        <color rgb="FF000000"/>
        <rFont val="Times New Roman"/>
        <family val="1"/>
      </rPr>
      <t xml:space="preserve"> 3</t>
    </r>
  </si>
  <si>
    <r>
      <t xml:space="preserve"> </t>
    </r>
    <r>
      <rPr>
        <b/>
        <vertAlign val="superscript"/>
        <sz val="11"/>
        <rFont val="Calibri"/>
        <family val="2"/>
      </rPr>
      <t>1</t>
    </r>
    <r>
      <rPr>
        <b/>
        <sz val="11"/>
        <rFont val="Calibri"/>
        <family val="2"/>
      </rPr>
      <t xml:space="preserve"> Note: Committed funds are associated with the 2010-2012 program cycle. These funds  are reserved or </t>
    </r>
  </si>
  <si>
    <t>encumbered for future work permitted per Ordering Paragraph 13 and Conclusion of Law 12 of D.12-11-015.</t>
  </si>
  <si>
    <r>
      <t xml:space="preserve"> </t>
    </r>
    <r>
      <rPr>
        <b/>
        <vertAlign val="superscript"/>
        <sz val="11"/>
        <rFont val="Calibri"/>
        <family val="2"/>
      </rPr>
      <t>2</t>
    </r>
    <r>
      <rPr>
        <b/>
        <sz val="11"/>
        <rFont val="Calibri"/>
        <family val="2"/>
      </rPr>
      <t xml:space="preserve"> Note: Committed funds are associated with the 2013-2015 program cycle. These funds  are reserved or </t>
    </r>
  </si>
  <si>
    <t>encumbered for future work permitted per the EESTATS CPUC Guidence Document and EE decision (D.15-10-025).</t>
  </si>
  <si>
    <t xml:space="preserve">3 Note: Committed funds are associated with the 2019 program year. These funds  are reserved or </t>
  </si>
  <si>
    <t xml:space="preserve">   Committed Funds for 2019 include incentives related to PG&amp;E EE projects committed in prior year(s) but not completed by</t>
  </si>
  <si>
    <t xml:space="preserve">   December 2019.</t>
  </si>
  <si>
    <r>
      <rPr>
        <vertAlign val="superscript"/>
        <sz val="10"/>
        <rFont val="Arial"/>
        <family val="2"/>
      </rPr>
      <t>4</t>
    </r>
    <r>
      <rPr>
        <sz val="10"/>
        <rFont val="Arial"/>
        <family val="2"/>
      </rPr>
      <t xml:space="preserve"> Note: All energy savings numbers are on a net basis.</t>
    </r>
  </si>
  <si>
    <t>Table 8 Shareholder Incentives (ESPI)</t>
  </si>
  <si>
    <t>For program years with partial payments, add footnotes.</t>
  </si>
  <si>
    <t>Program Year</t>
  </si>
  <si>
    <r>
      <t xml:space="preserve">2014 </t>
    </r>
    <r>
      <rPr>
        <vertAlign val="superscript"/>
        <sz val="11"/>
        <color theme="1"/>
        <rFont val="Calibri"/>
        <family val="2"/>
        <scheme val="minor"/>
      </rPr>
      <t>(2)</t>
    </r>
  </si>
  <si>
    <r>
      <t xml:space="preserve">2015 </t>
    </r>
    <r>
      <rPr>
        <vertAlign val="superscript"/>
        <sz val="11"/>
        <color theme="1"/>
        <rFont val="Calibri"/>
        <family val="2"/>
        <scheme val="minor"/>
      </rPr>
      <t>(3)</t>
    </r>
  </si>
  <si>
    <r>
      <t xml:space="preserve">2016 </t>
    </r>
    <r>
      <rPr>
        <vertAlign val="superscript"/>
        <sz val="11"/>
        <color theme="1"/>
        <rFont val="Calibri"/>
        <family val="2"/>
        <scheme val="minor"/>
      </rPr>
      <t>(4)</t>
    </r>
  </si>
  <si>
    <r>
      <t xml:space="preserve">2017 </t>
    </r>
    <r>
      <rPr>
        <vertAlign val="superscript"/>
        <sz val="11"/>
        <color theme="1"/>
        <rFont val="Calibri"/>
        <family val="2"/>
        <scheme val="minor"/>
      </rPr>
      <t xml:space="preserve">(5) </t>
    </r>
  </si>
  <si>
    <r>
      <t xml:space="preserve">2018 </t>
    </r>
    <r>
      <rPr>
        <vertAlign val="superscript"/>
        <sz val="11"/>
        <color theme="1"/>
        <rFont val="Calibri"/>
        <family val="2"/>
        <scheme val="minor"/>
      </rPr>
      <t>(6)</t>
    </r>
  </si>
  <si>
    <r>
      <t xml:space="preserve">2019 </t>
    </r>
    <r>
      <rPr>
        <vertAlign val="superscript"/>
        <sz val="11"/>
        <color theme="1"/>
        <rFont val="Calibri"/>
        <family val="2"/>
        <scheme val="minor"/>
      </rPr>
      <t>(7)</t>
    </r>
  </si>
  <si>
    <t>Forecast*</t>
  </si>
  <si>
    <t>Actual**</t>
  </si>
  <si>
    <t>delete asterisks</t>
  </si>
  <si>
    <t>* forecasted ESPI payments for PY X as submitted in the forcasted budget AL for PY X (this number has to be forecasted ESPI payments for the same PY the IOUs are requesting budgets for)</t>
  </si>
  <si>
    <t>** actual ESPI paymentsauthorized for PY X in PY X+1 and PY X+2 Resolutions</t>
  </si>
  <si>
    <t>Footnotes:</t>
  </si>
  <si>
    <t>(1) through (7)</t>
  </si>
  <si>
    <t>Care should be taken when comparing the forecasted and actual payments in this table as the forecasted and actual ESPI payments presented in this table are not directly comparable. The forecasted ESPI payments for PY X reflect the total estimated ESPI award anticipated to be received during PY X via Resolution (comprised of prior program year payment components for PY X-1 and PY X-2); these forecasted ESPI payments to be received in PY X are included in the TRC costs for PY X to estimate cost-effectiveness, which is required for the PY X budget request. In other words, the estimated ESPI payment used to forecast cost-effectiveness in PY X is not comprised of the PY X payment components that will be awarded via Resolutions issued in subsequent program years (years X+1 and X+2). In contrast, the actual ESPI payments presented as requested in this table for PY X represent the sum of the payment components for PY X that were awarded in subsequent program years (X+1 and X+2), and thus are not directly comparable to the forecasted ESPI payment expected to be awarded during PY X (comprised of payment components for PY X-1 and PY X-2).</t>
  </si>
  <si>
    <t>(1)</t>
  </si>
  <si>
    <t>- The ESPI award mechanism was first adopted in D.13-09-023, prior to the cost-effectiveness forecast and budget filing in July 2012 for the 2013-2014 portfolios. Thus, forecasted ESPI payments were not applicable in 2012 for PY2013 and PY2014.
- 2013 actual ESPI payment for PY2013 summed from payment year components recorded in Resolutions E-4897, G-3510, and G-3497. Combined payments for 2013 and 2014 were split 50/50 per phone call direction from Amy Reardon in April 2018.</t>
  </si>
  <si>
    <t>(2)</t>
  </si>
  <si>
    <t>- The ESPI award mechanism was first adopted in D.13-09-023, prior to the cost-effectiveness forecast and budget filing in July 2012 for the 2013-2014 portfolios. Thus, forecasted ESPI payments were not applicable in 2012 for PY2013 and PY2014.
- 2014 actual ESPI payment for PY2014 summed from payment year components recorded in Resolutions E-4897, E-4807, and G-3510. Combined payments (true-ups) for 2013 and 2014 from E-4897 were split 50/50 per phone call direction from Amy Reardon in April 2018.</t>
  </si>
  <si>
    <t>(3)</t>
  </si>
  <si>
    <t>- 2015 actual ESPI payment for PY2015 summed from payment year components recorded in Resolutions E-4897 and E-4807. RRIM adjustments in E-4897 were split 50/50 between PY2015 and PY2016, and RRIM adjustments in E-4807 were split 50/50 between PY2015 and PY2014, per phone call direction from Amy Reardon in April 2018.</t>
  </si>
  <si>
    <t>(4)</t>
  </si>
  <si>
    <t>- PG&amp;E did not file a cost-effectiveness forecast for PY2016. The PY2015 budget level was approved for use in PY2016 per D.14-10-046 OP 21. D.15-10-028 OP 4 required annual budget advice letters to be filed with a cost-effectiveness forecast for the rolling portfolio. 
- 2016 actual ESPI payment for PY2016 summed from payment year components recorded in Resolution E-4897 and DRAFT Resolution E-4979. RRIM adjustments in E-4897 and DRAFT E-4979 were split 50/50 between applicable program years, per phone call direction from Amy Reardon in April 2018.</t>
  </si>
  <si>
    <t>(5)</t>
  </si>
  <si>
    <t>- 2017 forecasted ESPI payment to be received in 2017 taken from PG&amp;E Annual Budget AL 3753-G-A/4901-E-A.
- 2017 actual ESPI payment for PY2016 summed from payment year components recorded in DRAFT Resolution E-4979. RRIM adjustments in DRAFT E-4979 were split 50/50 between applicable program years, per phone call direction from Amy Reardon in April 2018.</t>
  </si>
  <si>
    <t>(6)</t>
  </si>
  <si>
    <t>- 2018 forecasted ESPI payment to be received in 2018 taken from PG&amp;E Annual Budget AL 3881-G/5137-E.
- 2018 actual ESPI payments have not yet been awarded.</t>
  </si>
  <si>
    <t>(7)</t>
  </si>
  <si>
    <t>- 2019 forecasted ESPI payment to be received in 20198 taken from PG&amp;E Annual Budget AL 4011-G-B/5375-E-B.
- 2019 actual ESPI payments have not yet been awarded.</t>
  </si>
  <si>
    <t>Table 9: Metrics Compliance Filing</t>
  </si>
  <si>
    <t>Overarching Notes: 
(1)PG&amp;E uses the unique combination of account and premise IDs to identify customers and participants in its energy efficiency programs, consistent with data presented in its approved 2018-2025 Energy Efficiency Business Plan. This enables PG&amp;E to identify all premises associated with an account and provides a more accurate represntation of PG&amp;E's customers. 
(2) The metrics below use 2016 as a baseline year. For more information on historical trends within each sector, please see PG&amp;E's 2018-2025 Energy Efficiency Business Plan. Each market sector chapter begins with a one-pager that identifies 2015 accomplishments and prior year trends. This context can be helpful for understanding the metrics. Note that some rounding differences may be found when comparing this report to CEDARS output.
(3) All targets represent an annual average unless otherwise noted (consistent with PG&amp;E's approved 2018-2025 Energy Efficiency Business Plan). 
(4) PG&amp;E's upstream lighting program (Primary Lighting - PGE21041) has been included in the Residential Single Family metrics for 2017, but was inadvertantly left out of the 2016 baseline metrics for Residential Single Family.</t>
  </si>
  <si>
    <t>Index</t>
  </si>
  <si>
    <t>PA</t>
  </si>
  <si>
    <t>AttA Page</t>
  </si>
  <si>
    <t>AttA Order</t>
  </si>
  <si>
    <t>Method Code</t>
  </si>
  <si>
    <t>Units of Measurement</t>
  </si>
  <si>
    <t>Metric Type</t>
  </si>
  <si>
    <t>Metric/
Indicator</t>
  </si>
  <si>
    <t>Business Plan Att A Description</t>
  </si>
  <si>
    <t>Metric</t>
  </si>
  <si>
    <t>Sector</t>
  </si>
  <si>
    <t>Baseline Year</t>
  </si>
  <si>
    <t>Baseline Number</t>
  </si>
  <si>
    <t>Baseline Num</t>
  </si>
  <si>
    <t>Baseline Denom</t>
  </si>
  <si>
    <t>2017 Achievements</t>
  </si>
  <si>
    <t xml:space="preserve">2018 Achievements </t>
  </si>
  <si>
    <t>Short Term Annual Targets (2018-2020)</t>
  </si>
  <si>
    <t>Mid Term Annual Targets
 (2021-2023)</t>
  </si>
  <si>
    <t>Long Term Annual Target 
(2024-2025)</t>
  </si>
  <si>
    <t xml:space="preserve">2019 Achievements </t>
  </si>
  <si>
    <t>2019 Numerator</t>
  </si>
  <si>
    <t>2019 Denominator</t>
  </si>
  <si>
    <t>Methodology</t>
  </si>
  <si>
    <t>Key Definitions</t>
  </si>
  <si>
    <t xml:space="preserve">Proxy Explanation
</t>
  </si>
  <si>
    <t>2018 Target</t>
  </si>
  <si>
    <t>2019 Target</t>
  </si>
  <si>
    <t>2020 Target</t>
  </si>
  <si>
    <t>A03</t>
  </si>
  <si>
    <t>PL1</t>
  </si>
  <si>
    <t>G</t>
  </si>
  <si>
    <t>MT CO2eq</t>
  </si>
  <si>
    <t>NEW: Energy Savings</t>
  </si>
  <si>
    <t>Greenhouse gasses (MT CO2eq) Net kWh savings, reported on an annual basis</t>
  </si>
  <si>
    <t>CO2-equivalent of net annual kWh savings</t>
  </si>
  <si>
    <t xml:space="preserve">Portfolio Level (PL)– All Sectors </t>
  </si>
  <si>
    <t>Calculated using CET, and reported by sector consistent with primary sector groupings in CEDARS PROGRAM specification. Includes Codes and Standards. BayREN, MCE, and ESA not included.</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</si>
  <si>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</si>
  <si>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</si>
  <si>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</si>
  <si>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</si>
  <si>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</si>
  <si>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</si>
  <si>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 xml:space="preserve">Portfolio Energy Savings include Codes and Standards, ESA, Bay Area Regional Energy Network (BayREN), and Marin Clean Energy (MCE), consistent with how portfolio savings are reported in the annual reports. 2016 achievements align with savings reported in 2016 Annual Report. 
Targets are aligned with CPUC adopted goals in D.17-09-025 and the 2018 Potential and Goals Study. </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</si>
  <si>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</si>
  <si>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</si>
  <si>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</si>
  <si>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</si>
  <si>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</si>
  <si>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</si>
  <si>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</si>
  <si>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</si>
  <si>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Portfolio Energy Savings include Codes and Standards, ESA, Bay Area Regional Energy Network (BayREN), and Marin Clean Energy (MCE), which is consistent with regulatory reporting of portfolio energy savings. 2016 achievements align with savings reported in 2016 Annual Report. 
Since the 2018 Potential and Goals Study does not include lifecycle savings, PG&amp;E estimated lifecycle targets based on 2016 achievements (baseline) and first-year savings targets.</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</si>
  <si>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</si>
  <si>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</si>
  <si>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</si>
  <si>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</si>
  <si>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</si>
  <si>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</si>
  <si>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</si>
  <si>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</si>
  <si>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</si>
  <si>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</si>
  <si>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Baseline data aligns with underlying savings data reported in the 2016 Annual Report. Targets align with the movement of overall portfolio savings goals.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</si>
  <si>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</si>
  <si>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</si>
  <si>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</si>
  <si>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</si>
  <si>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</si>
  <si>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</si>
  <si>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</si>
  <si>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 xml:space="preserve">Please note that during data quality review, this 2018 metric was found to be incorrectly entered into Index 19, when it should have been entered into Index 21.  </t>
  </si>
  <si>
    <t>Lifecycle ex-ante kW net in Disadvantaged Communities</t>
  </si>
  <si>
    <t xml:space="preserve">Please note that during data quality review, this 2018 metric was found to be incorrectly entered into Index 20, when it should have been entered into Index 22.  </t>
  </si>
  <si>
    <t>Lifecycle ex-ante kWh gross in Disadvantaged Communities</t>
  </si>
  <si>
    <t xml:space="preserve">Please note that during data quality review, this 2018 metric was found to be incorrectly entered into Index 21, when it should have been entered into Index 19.  </t>
  </si>
  <si>
    <t>Lifecycle ex-ante kWh net in Disadvantaged Communities</t>
  </si>
  <si>
    <t xml:space="preserve">Please note that during data quality review, this 2018 metric was found to be incorrectly entered into Index 22, when it should have been entered into Index 20.  </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</si>
  <si>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</si>
  <si>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</si>
  <si>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</si>
  <si>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</si>
  <si>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</si>
  <si>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</si>
  <si>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</si>
  <si>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</si>
  <si>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PG&amp;E will collect all required information to track HTR customers and will update the metric when this data is available. Since all HTR criteria are not included, PG&amp;E anticipates HTR metrics on savings and participation will increase once all data is available.</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</si>
  <si>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</si>
  <si>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</si>
  <si>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</si>
  <si>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</si>
  <si>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</si>
  <si>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</si>
  <si>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</si>
  <si>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</si>
  <si>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</si>
  <si>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</si>
  <si>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</si>
  <si>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</si>
  <si>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</si>
  <si>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</si>
  <si>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</si>
  <si>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</si>
  <si>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</si>
  <si>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</si>
  <si>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</si>
  <si>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</si>
  <si>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
</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</si>
  <si>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</si>
  <si>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</si>
  <si>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</si>
  <si>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</si>
  <si>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</si>
  <si>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</si>
  <si>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</si>
  <si>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</si>
  <si>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</si>
  <si>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</si>
  <si>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</si>
  <si>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</si>
  <si>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 Family Customers</t>
  </si>
  <si>
    <t>Residential (RSF)</t>
  </si>
  <si>
    <t xml:space="preserve">Baseline savings tie to 2016 Annual Report. Targets are aligned with CPUC adopted goals in D.17-09-025 and the 2018 Potential and Goals Study. </t>
  </si>
  <si>
    <t xml:space="preserve">Single family savings are based on dwelling type, and includes 83% of the savings from Residential Energy Advisor based on the portion of Home Energy Reports sent to single-family customers. </t>
  </si>
  <si>
    <t>2016 achievements align with savings reported in 2016 Annual Report.</t>
  </si>
  <si>
    <t xml:space="preserve">2016 achievements align with savings reported in 2016 Annual Report.
PG&amp;E estimated lifecycle savings targets based on 2016 achievements (baseline) and first year savings targets. </t>
  </si>
  <si>
    <t>RSF2</t>
  </si>
  <si>
    <t>GHG</t>
  </si>
  <si>
    <t xml:space="preserve">Calculated using CET, and reported in the MF segment by dwelling type. </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</si>
  <si>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</si>
  <si>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</si>
  <si>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</si>
  <si>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</si>
  <si>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</si>
  <si>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</si>
  <si>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</si>
  <si>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 xml:space="preserve">Numerator: Total downstream savings claimed
Denominator: Total number of downstream participants (unique premise and account IDs) </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</si>
  <si>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</si>
  <si>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</si>
  <si>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</si>
  <si>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</si>
  <si>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</si>
  <si>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</si>
  <si>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</si>
  <si>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</si>
  <si>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 xml:space="preserve"> N/A </t>
  </si>
  <si>
    <t>Midstream methodology –NOT FEASIBLE••••Numerator: Total midstream savings claimed ••Denominator: (not available) number or sector of midstream participants</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</si>
  <si>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</si>
  <si>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</si>
  <si>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</si>
  <si>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</si>
  <si>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</si>
  <si>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</si>
  <si>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Numerator: net lifecycle savings from Home Energy Reports
Denominator: total number of Home Energy Reports</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</si>
  <si>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</si>
  <si>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</si>
  <si>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</si>
  <si>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</si>
  <si>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</si>
  <si>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</si>
  <si>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</si>
  <si>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</si>
  <si>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</si>
  <si>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</si>
  <si>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</si>
  <si>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</si>
  <si>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</si>
  <si>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</si>
  <si>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</si>
  <si>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</si>
  <si>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</si>
  <si>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</si>
  <si>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</si>
  <si>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</si>
  <si>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</si>
  <si>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</si>
  <si>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</si>
  <si>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</si>
  <si>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</si>
  <si>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</si>
  <si>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</si>
  <si>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 xml:space="preserve"> Since PG&amp;E does not yet report language data, this metric identifies residential customers as HTR if they meet the geography and income and geography and housing type criteria.</t>
  </si>
  <si>
    <t>RSF5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</si>
  <si>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</si>
  <si>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</si>
  <si>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</si>
  <si>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</si>
  <si>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</si>
  <si>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</si>
  <si>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</si>
  <si>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</si>
  <si>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</si>
  <si>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</si>
  <si>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</si>
  <si>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</si>
  <si>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</si>
  <si>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</si>
  <si>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N/A - Indicator</t>
  </si>
  <si>
    <t>Numerator: Total SF energy use from PG&amp;E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</si>
  <si>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</si>
  <si>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</si>
  <si>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</si>
  <si>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</si>
  <si>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</si>
  <si>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</si>
  <si>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t>
  </si>
  <si>
    <t>First year annual kW net - In Unit</t>
  </si>
  <si>
    <t>First year annual kWh gross - In Unit</t>
  </si>
  <si>
    <t>First year annual kWh net - In Unit</t>
  </si>
  <si>
    <t>First year annual Therm gross - In Unit</t>
  </si>
  <si>
    <t>First year annual Therm net - In Unit</t>
  </si>
  <si>
    <t>Lifecycle ex-ante kW gross - In Unit</t>
  </si>
  <si>
    <t xml:space="preserve">All baseline savings tie to 2016 Annual Report. Targets are aligned with CPUC adopted goals in D.17-09-025 and the 2018 Potential and Goals Study. </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</si>
  <si>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</si>
  <si>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</si>
  <si>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</si>
  <si>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</si>
  <si>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</si>
  <si>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</si>
  <si>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</si>
  <si>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PG&amp;E is unable to report this metric at this time because PG&amp;E has not historically required program data to be tracked and reported at this level of detail, and was unable to identify a proxy for this filing.</t>
  </si>
  <si>
    <t xml:space="preserve">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In addition to requiring vendors to collect this information moving forward, PG&amp;E believes a study of the multi-family segment would be helpful to provide historical information on the savings attributable to in-unit, common, area, and master-metered sites. </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</si>
  <si>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</si>
  <si>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</si>
  <si>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</si>
  <si>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</si>
  <si>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</si>
  <si>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</si>
  <si>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</si>
  <si>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</si>
  <si>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</si>
  <si>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</si>
  <si>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</si>
  <si>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</si>
  <si>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</si>
  <si>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</si>
  <si>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</si>
  <si>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</si>
  <si>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</si>
  <si>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</si>
  <si>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</si>
  <si>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</si>
  <si>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</si>
  <si>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</si>
  <si>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</si>
  <si>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</si>
  <si>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</si>
  <si>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</si>
  <si>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</si>
  <si>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</si>
  <si>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</si>
  <si>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</si>
  <si>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</si>
  <si>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</si>
  <si>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 xml:space="preserve">Savings do not include savings attributed to multi-family customers receiving Home Energy Reports, as this metric is focused on projects.
“Energy savings” = Lifecycle NET savings
Based on conversations with ED and the other PAs, PG&amp;E agrees to assume that project = property for this filing. 
PG&amp;E projects savings per project to increase by 1.4% year over year. </t>
  </si>
  <si>
    <t xml:space="preserve">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Moving forward, PG&amp;E will collect and report project data per building. </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</si>
  <si>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</si>
  <si>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</si>
  <si>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</si>
  <si>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</si>
  <si>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</si>
  <si>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</si>
  <si>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</si>
  <si>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</si>
  <si>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</si>
  <si>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</si>
  <si>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</si>
  <si>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</si>
  <si>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</si>
  <si>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</si>
  <si>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</si>
  <si>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</si>
  <si>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For more information, see PG&amp;E's July 14, 2017 Revised Metrics filing, which provides extensive detail on the calculation for MF square footage estimates.  
PG&amp;E will collect this information from vendors to report on this metric in the future.</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</si>
  <si>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</si>
  <si>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</si>
  <si>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</si>
  <si>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</si>
  <si>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</si>
  <si>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</si>
  <si>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</si>
  <si>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 xml:space="preserve">Participation is defined as the first instance of participation. PG&amp;E assumes project = participating property for this compliance filing. </t>
  </si>
  <si>
    <t xml:space="preserve">PG&amp;E has not historically tracked and reported the number of unique properties treated through programs that work with MF customers. PG&amp;E will track this information moving forward to report on this metric. For now, the number of projects are used as a proxy for the number of properties participating in an EE program. 
PG&amp;E also does not currently know the number of MF properties (two or more units) in its service area. PG&amp;E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 
</t>
  </si>
  <si>
    <t>P1-U</t>
  </si>
  <si>
    <t>Percent of participation relative to eligible population by unit</t>
  </si>
  <si>
    <t xml:space="preserve">Numerator: Number of downstream participating MF units (unique account and premise IDs)
Denominator: Total number of unique account and premise IDs in the MF segment </t>
  </si>
  <si>
    <t>Participation is defined as the first instance of participation.</t>
  </si>
  <si>
    <t xml:space="preserve">PG&amp;E has not historically tracked and reported the number of unique units treated through programs that work with MF customers. PG&amp;E will track this information moving forward to report on this metric. For now, we believe the number of unique premise and account IDs provides the closest estimate of the number of units. 
</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</si>
  <si>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</si>
  <si>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</si>
  <si>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</si>
  <si>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</si>
  <si>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 xml:space="preserve">Numerator: Square footage of participating MF customers (unique account and premise IDs)
Denominator: Square footage of all eligible accounts </t>
  </si>
  <si>
    <t xml:space="preserve">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the total square footage of the MF segment to be 1,447,965,390 square feet. 
For more information, see PG&amp;E's July 14, 2017 Revised Metrics filing, which provides extensive detail on the calculation for MF square footage estimates.  
PG&amp;E will collect this information from vendors to report on this metric in the future.
For this filing, PG&amp;E multiplied the number of participating unique MF account and premise IDs by the estimate for square footage (911 square feet) and divided it by an estimate for the total square footage of MF properties.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</si>
  <si>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</si>
  <si>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</si>
  <si>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</si>
  <si>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</si>
  <si>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 xml:space="preserve"> Since PG&amp;E does not collect language data, this metric identifies residential customers as HTR if they meet the geography and income and geography and housing type criteria</t>
  </si>
  <si>
    <t>RMF5</t>
  </si>
  <si>
    <t>B1</t>
  </si>
  <si>
    <t>MF Benchmarking Penetration</t>
  </si>
  <si>
    <t>Percent of benchmarked multi‐family properties relative to the eligible population</t>
  </si>
  <si>
    <t xml:space="preserve">
Numerator:Total number of multifamily properties benchmarked via Portfolio Manager using PG&amp;E's portal. 
Denominator: Total number of unique account and premise IDs in PG&amp;E's service area
</t>
  </si>
  <si>
    <t>This metric captures properties benchmarked  within the calendar year</t>
  </si>
  <si>
    <t>PG&amp;E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PG&amp;E believes a study on the number of multi-family units, buildings, and properties in its service area would enable more consistent and accurate reporting of this metric, as well as provide useful information for third-party vendors participating in solicitations.</t>
  </si>
  <si>
    <t>B6</t>
  </si>
  <si>
    <t>Benchmarking of HTR Properties</t>
  </si>
  <si>
    <t>Percent of benchmarking by properties defined as “hard‐to‐reach”</t>
  </si>
  <si>
    <t xml:space="preserve">
Numerator:Total number of multifamily HTR  properties benchmarked via Portfolio Manager using PG&amp;E's portal. 
Denominator: Total number of unique HTR MF account and premise IDs in PG&amp;E's service area
</t>
  </si>
  <si>
    <t xml:space="preserve">Since PG&amp;E does not collect language data, this metric identifies multifamily customers that benchmarked as HTR if they meet the geography and income and geography and housing type criteria
PG&amp;E believes a study on the number of multi-family units, buildings, and properties in its service area would enable more consistent and accurate reporting of this metric, as well as provide useful information for third-party vendors participating in solicitations. </t>
  </si>
  <si>
    <t>RMF6</t>
  </si>
  <si>
    <t xml:space="preserve">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</si>
  <si>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</si>
  <si>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</si>
  <si>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</si>
  <si>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</si>
  <si>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</si>
  <si>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</si>
  <si>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from PG&amp;E database (gas + electric)
Denominator: Total units in MF segment</t>
  </si>
  <si>
    <t>PG&amp;E will use unique premise and account IDs as a proxy for total units in the MF segment until a study provides more accurate information about the MF building stock in PG&amp;E's service area.</t>
  </si>
  <si>
    <t>EI3</t>
  </si>
  <si>
    <t>Energy Intensity per MF unit square foot</t>
  </si>
  <si>
    <t>Average energy use intensity of multifamily buildings (average usage per square foot – not adjusted</t>
  </si>
  <si>
    <t>Average electric and gas usage per square foot</t>
  </si>
  <si>
    <t>Numerator: Total MF energy use from PG&amp;E database (gas + electric)
Denominator: Total number of MF units multiplied by the average square footage of MF units</t>
  </si>
  <si>
    <t>PG&amp;E will use unique premise and account ID as a proxy for total units in the MF segment until a study provides more accurate information about the MF building stock in PG&amp;E's service area.
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For more information, see PG&amp;E's July 14, 2017 Revised Metrics filing, which provides extensive detail on the calculation for MF square footage estimates.  
PG&amp;E will collect this information from vendors to report on this indicator in the future.</t>
  </si>
  <si>
    <t>A05</t>
  </si>
  <si>
    <t>C1</t>
  </si>
  <si>
    <t>kW</t>
  </si>
  <si>
    <t xml:space="preserve">Commercial Sector (C) </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</si>
  <si>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</si>
  <si>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</si>
  <si>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t>
  </si>
  <si>
    <t>kWh</t>
  </si>
  <si>
    <t>Therm</t>
  </si>
  <si>
    <t>S2</t>
  </si>
  <si>
    <t>S2: Percent Overall Sectoral Savings</t>
  </si>
  <si>
    <t>First year annual and lifecycle ex‐ante (pre‐evaluation) gas, electric, and demand savings (gross and net) as a percentage of overall sectoral usage</t>
  </si>
  <si>
    <t>Percent first year annual kW gross</t>
  </si>
  <si>
    <t>Numerator = Metric C1
Denominator = Total commercial usage from PG&amp;E database
Projected sectoral usage derived by analyzing the forecasted annual percent change in energy use from CES sales data (as presented in the "Mid" scenario from the 2018 Potential and Goals Study)</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</si>
  <si>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</si>
  <si>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</si>
  <si>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</si>
  <si>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</si>
  <si>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</si>
  <si>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</si>
  <si>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</si>
  <si>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</si>
  <si>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</si>
  <si>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</si>
  <si>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</si>
  <si>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</si>
  <si>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 xml:space="preserve">Calculated using CET, and reported by sector consistent with primary sector groupings in CEDARS PROGRAM specification. </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</si>
  <si>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</si>
  <si>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</si>
  <si>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</si>
  <si>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</si>
  <si>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</si>
  <si>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</si>
  <si>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</si>
  <si>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</si>
  <si>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</si>
  <si>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</si>
  <si>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</si>
  <si>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</si>
  <si>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</si>
  <si>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</si>
  <si>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</si>
  <si>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</si>
  <si>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</si>
  <si>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</si>
  <si>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</si>
  <si>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</si>
  <si>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</si>
  <si>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</si>
  <si>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</si>
  <si>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</si>
  <si>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</si>
  <si>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</si>
  <si>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</si>
  <si>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 xml:space="preserve">PG&amp;E does not currently collect square footage data from participants. The numerator for this metric multiplies the number of commercial sector participants by the average square footage of commercial buildings in PG&amp;E's service territory. This was derived by dividing the total commercial square footage in PG&amp;E's service area from CEUS by PG&amp;E's best current estimate for the number of buildings in its service area (unique account and premise ID). This numerator was then divided by the total square footage of commercial buildings in PG&amp;E's service area from CEUS.
Targets increase in accordance with participation targets. </t>
  </si>
  <si>
    <t>PG&amp;E also considered using data from the Commercial Saturation Survey to determine square footage, but decided on CEUS based on Commission direction.
PG&amp;E will require this information to be colllected to track this metric moving forward.</t>
  </si>
  <si>
    <t>Numerator: Number of commercial HTR participants (unique account and premise ID)
Denominator: Total number of HTR commercial customers (unique account and premise ID)</t>
  </si>
  <si>
    <t xml:space="preserve">PG&amp;E does not currently collect whether a commercial customer rents their facility or the customer's primary language is other than English. As a result, this metric includes the geography and business size criteria. 
PG&amp;E will collect all required information to track HTR customers and will update the metric when this data is available. </t>
  </si>
  <si>
    <t>C5</t>
  </si>
  <si>
    <t>B2</t>
  </si>
  <si>
    <t>Square Footage of Commercial Benchmarking Penetration</t>
  </si>
  <si>
    <t>Percent of benchmarked square feet of eligible population</t>
  </si>
  <si>
    <t>Numerator: Total square footage of benchmarked commercial buildings in Portfolio Manager using PG&amp;E portal
Denominator: Total square footage of commercial sector</t>
  </si>
  <si>
    <t>This metric includes buildings benchmarked  within the calendar year</t>
  </si>
  <si>
    <t xml:space="preserve">PG&amp;E estimated the total square footage of the commercial sector using data from CEUS. </t>
  </si>
  <si>
    <t>B5L</t>
  </si>
  <si>
    <t>Benchmarking Penetration for Commercial Sector</t>
  </si>
  <si>
    <t>Percent of benchmarked customers relative to eligible population for large customers</t>
  </si>
  <si>
    <t>Numerator: Number of large commercial customers that  benchmarked on Portfolio Manager using PG&amp;E portal
Denominator: Total number of large commercial customers (unique account and premise ID)</t>
  </si>
  <si>
    <t xml:space="preserve">Large customers are defined consistent with criteria approved in PG&amp;E's Business Plan. Specifically, large customers use more than 500,000 kWh or 250,000 therms per year. 
This metric includes customers benchmarked within the calendar year.
</t>
  </si>
  <si>
    <t>PG&amp;E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PG&amp;E will explore opportunities to better report this metric using data from sources such as CoStar, but believes a study on the commercial building stock in its service area would provide more accurate data that would also add value to the solicitation process.</t>
  </si>
  <si>
    <t>B5M</t>
  </si>
  <si>
    <t>Percent of benchmarked customers relative to eligible population for medium customers</t>
  </si>
  <si>
    <t>Numerator: Number of medium commercial customers that  benchmarked on Portfolio Manager using PG&amp;E portal
Denominator: Total number of medium commercial customers (unique account and premise ID)</t>
  </si>
  <si>
    <t>Medium customers are defined consistent with criteria approved in PG&amp;E's Business Plan. Specifically, medium customers use between 40,000-500,000 kWh or 10,000-250,000 therms per year. 
This metric includes customers benchmarked within the calendar year.</t>
  </si>
  <si>
    <t>B5S</t>
  </si>
  <si>
    <t>Percent of benchmarked customers relative to eligible population for small  customers</t>
  </si>
  <si>
    <t>Numerator: Number of small commercial customers that  benchmarked on Portfolio Manager using PG&amp;E portal
Denominator: Total number of small commercial customers (unique account and premise ID)</t>
  </si>
  <si>
    <t>Small customers are defined consistent with criteria approved in PG&amp;E's Business Plan. Specifically, small customers use less than 40,000 kWh or 10,000 therms per year. 
This metric includes customers benchmarked within the calendar year.</t>
  </si>
  <si>
    <t>Percent of benchmarking by customers defined as “hard‐to‐reach”</t>
  </si>
  <si>
    <t xml:space="preserve">Numerator: number of commercial HTR customers that bencharmed on Portfolio Manager using PG&amp;E portal
Denominator: total number of commercial HTR customers (unique account and premise ID)
</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</si>
  <si>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</si>
  <si>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</si>
  <si>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</si>
  <si>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</si>
  <si>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</si>
  <si>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</si>
  <si>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</si>
  <si>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</si>
  <si>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</si>
  <si>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</si>
  <si>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</si>
  <si>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</si>
  <si>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</si>
  <si>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</si>
  <si>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</si>
  <si>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</si>
  <si>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</si>
  <si>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</si>
  <si>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</si>
  <si>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</si>
  <si>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</si>
  <si>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</si>
  <si>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</si>
  <si>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</si>
  <si>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</si>
  <si>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</si>
  <si>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Informal Survey of Trade Pros found for each of the previous target years.  Scale is 1-5, where 5 is high satisfaction.  PG&amp;E is indicating increase percentage in satisfaction over the previous year reported.</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</si>
  <si>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</si>
  <si>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</si>
  <si>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</si>
  <si>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</si>
  <si>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</si>
  <si>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</si>
  <si>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</si>
  <si>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</si>
  <si>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</si>
  <si>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</si>
  <si>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</si>
  <si>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</si>
  <si>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</si>
  <si>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</si>
  <si>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</si>
  <si>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</si>
  <si>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</si>
  <si>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</si>
  <si>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</si>
  <si>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</si>
  <si>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</si>
  <si>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</si>
  <si>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</si>
  <si>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</si>
  <si>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</si>
  <si>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</si>
  <si>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</si>
  <si>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</si>
  <si>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</si>
  <si>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</si>
  <si>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</si>
  <si>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</si>
  <si>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</si>
  <si>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</si>
  <si>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</si>
  <si>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</si>
  <si>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</si>
  <si>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</si>
  <si>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</si>
  <si>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</si>
  <si>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</si>
  <si>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</si>
  <si>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</si>
  <si>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</si>
  <si>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</si>
  <si>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</si>
  <si>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</si>
  <si>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</si>
  <si>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P6i</t>
  </si>
  <si>
    <t>F2</t>
  </si>
  <si>
    <t>Total program‐backed financing distributed to Public Sector customers requiring repayment (i.e., loans, OBF)</t>
  </si>
  <si>
    <t>Total program‐backed financing distributed to Public Sector customers requiring repayment</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</si>
  <si>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</si>
  <si>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</si>
  <si>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</si>
  <si>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</si>
  <si>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</si>
  <si>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</si>
  <si>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using PG&amp;E portal 
Denominator: total number of public sector unique account and premise IDs </t>
  </si>
  <si>
    <t>PG&amp;E used the number of unique account and premise IDs as a proxy for public sector buildings. A study that sheds some light on the building stock and public sector market would be helpful to report this metric.</t>
  </si>
  <si>
    <t>EI4</t>
  </si>
  <si>
    <t>Energy intensity per public sector building</t>
  </si>
  <si>
    <t>Average energy use intensity of all Public Sector buildings</t>
  </si>
  <si>
    <t xml:space="preserve"> Average energy use intensity of all Public Sector buildings</t>
  </si>
  <si>
    <t>Numerator: Total sector-level energy use from PG&amp;E database (gas + electric)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</si>
  <si>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</si>
  <si>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</si>
  <si>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</si>
  <si>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</si>
  <si>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</si>
  <si>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</si>
  <si>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</si>
  <si>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</si>
  <si>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</si>
  <si>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</si>
  <si>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</si>
  <si>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</si>
  <si>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</si>
  <si>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</si>
  <si>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</si>
  <si>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</si>
  <si>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</si>
  <si>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</si>
  <si>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</si>
  <si>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Numerator: Annual number of large industrial participants (by service account) that have not received an incentive for the past 3 years 
Denominator: Total number of unique large industrial account and premise IDs  in the sector</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</si>
  <si>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</si>
  <si>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</si>
  <si>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</si>
  <si>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Numerator: Annual number of medium industrial participants (by service account) that have not received an incentive for the past 3 years
Denominator: Total number of unique medium industrial account and premise IDs in the sector</t>
  </si>
  <si>
    <t xml:space="preserve">Medium customers are defined as those who use between 40,000-500,000kWh or 10,000-250,000 therms annually. </t>
  </si>
  <si>
    <t>P5S</t>
  </si>
  <si>
    <t>Percent of small customers participating in reporting year that have not received an incentive for the past three years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</si>
  <si>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</si>
  <si>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</si>
  <si>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</si>
  <si>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</si>
  <si>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</si>
  <si>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</si>
  <si>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</si>
  <si>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</si>
  <si>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</si>
  <si>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 xml:space="preserve">Numerator = Metric IN 1 
Denominator = Total sectoral usage from PG&amp;E database
Projected usage remains steady through 2025 in accordance with projections from CEC sales data presented in the 2018 Potential and Goals Study "Mid" case. </t>
  </si>
  <si>
    <t>Defined as savings as a percentage of sectoral usage, based on conversations between PAs and ED.</t>
  </si>
  <si>
    <t>A09</t>
  </si>
  <si>
    <t>A1</t>
  </si>
  <si>
    <t>First year and lifecycle ex ante (pre‐evaluation) annualized gas, electric, and demand savings in agriculture sector, gross and net</t>
  </si>
  <si>
    <t>Agricultural (A)</t>
  </si>
  <si>
    <t>A2</t>
  </si>
  <si>
    <t>A3</t>
  </si>
  <si>
    <t>P1: Particpants</t>
  </si>
  <si>
    <t>A4</t>
  </si>
  <si>
    <t>SW</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</si>
  <si>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</si>
  <si>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</si>
  <si>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</si>
  <si>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</si>
  <si>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</si>
  <si>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</si>
  <si>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</si>
  <si>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</si>
  <si>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</si>
  <si>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</si>
  <si>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</si>
  <si>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</si>
  <si>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</si>
  <si>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</si>
  <si>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</si>
  <si>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</si>
  <si>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</si>
  <si>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</si>
  <si>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</si>
  <si>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</si>
  <si>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</si>
  <si>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</si>
  <si>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</si>
  <si>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</si>
  <si>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</si>
  <si>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</si>
  <si>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</si>
  <si>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</si>
  <si>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</si>
  <si>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</si>
  <si>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</si>
  <si>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</si>
  <si>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</si>
  <si>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</si>
  <si>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</si>
  <si>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</si>
  <si>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</si>
  <si>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</si>
  <si>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</si>
  <si>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</si>
  <si>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</si>
  <si>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</si>
  <si>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</si>
  <si>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</si>
  <si>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</si>
  <si>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</si>
  <si>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</si>
  <si>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</si>
  <si>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</si>
  <si>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</si>
  <si>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</si>
  <si>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</si>
  <si>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</si>
  <si>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</si>
  <si>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REN</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</si>
  <si>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</si>
  <si>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</si>
  <si>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</si>
  <si>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</si>
  <si>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</si>
  <si>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</si>
  <si>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</si>
  <si>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</si>
  <si>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</si>
  <si>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</si>
  <si>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</si>
  <si>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N/A--PG&amp;E did not execute collaboration agreements in 2016</t>
  </si>
  <si>
    <t>Staff input.</t>
  </si>
  <si>
    <t xml:space="preserve">"Collaborations" mean sharing mutually-beneficial  resources such as training materials, expertise, and marketing/outreach tactics that help achieve WE&amp;T goals and outcomes and that support the collaborating organizations' goals and objectives.
The targets are based on interviews with PG&amp;E staff. PG&amp;E does not anticipate a steep increase in the number of collaborations, but rather turnover within our number of collaborations as activities become self-sustaining without the need for PG&amp;E assistance. The 2018 target is set as N/A because PG&amp;E does not currently have any signed collaboration agreements in place.
Targets reflect number of agreements currently  in place as of the referred time period. </t>
  </si>
  <si>
    <t>WET-2</t>
  </si>
  <si>
    <t>Penetration</t>
  </si>
  <si>
    <t>Number of participants by sector</t>
  </si>
  <si>
    <t>a) Residential: 3,457 
Non-Res: 3,056
TOTAL: 6,513
b) In order of popularity:
HVAC 3,377
BuildingPerformance 3,272
Commissioning(Cx) 2,669
Lighting 1,729
ZeroNetEnergy 1,725
Title24 1,673
Controls 1,451
BuildingEnvelope 1,344
SitePlanning 1,295
Audits 1,125
Architecture 1,013
Renewables 956
Refrigeration 876
Motors 860
Process/Manufacturing 801
Solar 792
ClimateandEnvironment 771
Benchmarking 648
Daylighting 644
WaterandEnergy 529
Software 426
FoodService 334
Marketing/Finance 90</t>
  </si>
  <si>
    <t xml:space="preserve">a) Residential: 3,680
Non-res: 3,574
TOTAL: 7,254
b) Architecture 1709
Audits 1425
Benchmarking 756
Building Envelope 2038
Building Performance 3726
Climate and Environment 957
Commissioning(Cx) 2722
Controls 2198
Daylighting 528
Food Service 540
HVAC 3985
Lighting 1125
Marketing/Finance 172
Motors 456
Process/Manufacturing 296
Refrigeration 562
Renewables 800
Site Planning 997
Software 175
Solar 781
Title24 1268
Water and Energy 794
Zero Net Energy 2413
</t>
  </si>
  <si>
    <t>a) 3,463 Res                                        9,259 Non-res.                                  TOTAL: 12,992                                                                                                                                                                       b) In order of popularity: HVAC - 4919; Building Performance - 2742; Building Envelope - 2552; Controls - 2379; Commissioning (Cx) - 2318; Integrated Building Design / ZNE - 2301; Energy Code (Title 24) - 2255; Lighting - 1704; Architecture - 1528; Renewable Energy - 1232; Climate and Sustainability - 1082; Energy Auditing - 1040; Solar - 784; Water and Energy - 524; Daylighting - 508; Benchmarking - 455; Commercial Food Service - 448; Refrigeration - 440; Process/Manufacturing - 369; Software (Analysis, Modeling) - 240; Motors - 196; Finance - 114; </t>
  </si>
  <si>
    <t>6,500 Total (3,450 res and 3,050 non-res)</t>
  </si>
  <si>
    <t xml:space="preserve">a)
Residential: 	3,866
Non-residential.: 	9,596
--------------------------------
Total: 13,462
b)
Agricultural: 306
Building Envelope: 3,352
Climate and Sustainability:	2,540
Commercial Food Service:	1,617
Commissioning: 2,096
Energy Auditing: 1,857
Energy Code (Title 24): 3,352
Finance:	221
Home Performance: 1,385
HVAC: 5,142
Industrial: 366
Integrated BldgDesign / ZNE: 4,131
Lighting:	2,919
Rates, Rebate &amp; Incentive Progs: 964
Renewable Energy: 1,787
Software (Analysis, Modeling):	455
Water &amp; Energy: 2,229
Other: 35
</t>
  </si>
  <si>
    <t xml:space="preserve">Report from class registration database. </t>
  </si>
  <si>
    <t xml:space="preserve">"Sector" refers to:
a. Residential versus non-residential
b. Energy efficiency training topic area (e.g., Lighting, HVAC, Agriculture)
"Participants" means aggregate class attendance, meaning that one person attending two classes throughout the year would qualify as two participants. This is an accurate measurement of audience interest per topic / sector.
PG&amp;E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PG&amp;E will adjust the training format (e.g., Offer online classes) and time (e.g., Offer night classes) in order to maintain our 2016 attendance figure. </t>
  </si>
  <si>
    <t>Percentage</t>
  </si>
  <si>
    <t>Percent of participation relative to eligible target population for curriculum</t>
  </si>
  <si>
    <t>2.6% (3,450 unique participants)</t>
  </si>
  <si>
    <t>Numerator: from class registration database. 
Denominator: PG&amp;E's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</si>
  <si>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</si>
  <si>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</si>
  <si>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</si>
  <si>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</si>
  <si>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2,063 unique students w/ DW zips</t>
  </si>
  <si>
    <t>4,363 unique students with CA Zip codes</t>
  </si>
  <si>
    <t xml:space="preserve">The zip codes available in PG&amp;E's database are a mix of home and workplace zip codes. Starting in 2019, PG&amp;E will request home zip codes specifically. </t>
  </si>
  <si>
    <t xml:space="preserve">Calculation based on students with valid CA (not just PG&amp;E) zip codes. Numerator includes students with any CA zip code. Our 2018 records also do not include people who benefited from WE&amp;T through consultations, outreach classes, etc., </t>
  </si>
  <si>
    <t>Percent of incentive dollars spent on contracts* with a demonstrated commitment to provide career pathways to disadvantaged workers</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</si>
  <si>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</si>
  <si>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</si>
  <si>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</si>
  <si>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</si>
  <si>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CWR program does not yet exist. CWR RFA/RFP will be issued Q3 2019 with exptected launch mid-2020.</t>
  </si>
  <si>
    <t xml:space="preserve">This metric applies only to the Statewide CWR program, which will help Disadvantaged Workers enter the energy industry, and not technical upskill classes offered at the Energy Centers. As the lead PA, PG&amp;E will report on this metric for the whole state.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</si>
  <si>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</si>
  <si>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</si>
  <si>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</si>
  <si>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</si>
  <si>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</si>
  <si>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</si>
  <si>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tbd TPMs*</t>
  </si>
  <si>
    <t>tbd  TPMs*</t>
  </si>
  <si>
    <t xml:space="preserve">6 Electric and gas TPMs where initially developed in 2017 and 2018 respectivley. </t>
  </si>
  <si>
    <t>Data for this metric will be gathered from 3P TPM Implementers annually.</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</si>
  <si>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</si>
  <si>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</si>
  <si>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</si>
  <si>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</si>
  <si>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</si>
  <si>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N/A—Electric TPMs will be updated in 2020.</t>
  </si>
  <si>
    <t>1) Technology priority maps (TPMs) are defined in the Business Plan</t>
  </si>
  <si>
    <t>ETP-M3</t>
  </si>
  <si>
    <t>Count of Projects</t>
  </si>
  <si>
    <t>Projects</t>
  </si>
  <si>
    <r>
      <t xml:space="preserve">Number of projects initiated </t>
    </r>
    <r>
      <rPr>
        <sz val="9"/>
        <rFont val="Calibri"/>
        <family val="2"/>
      </rPr>
      <t>*This number will be updated once all third party contracts have been awarded.</t>
    </r>
  </si>
  <si>
    <t>Number of projects initiated</t>
  </si>
  <si>
    <t>tbd projects*</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</si>
  <si>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</si>
  <si>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</si>
  <si>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</si>
  <si>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</si>
  <si>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</si>
  <si>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</si>
  <si>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tbd events*</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</si>
  <si>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</si>
  <si>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</si>
  <si>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</si>
  <si>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</si>
  <si>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</si>
  <si>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See ETP-M4</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</si>
  <si>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</si>
  <si>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</si>
  <si>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</si>
  <si>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</si>
  <si>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</si>
  <si>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</si>
  <si>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</si>
  <si>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</si>
  <si>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tbd*</t>
  </si>
  <si>
    <t>N/A—TFPs will begin once 3P implentation contracts have been awarded.</t>
  </si>
  <si>
    <t xml:space="preserve">ETP-M6 metric is a subset of ETP-M7 and counted towards ETP-M7 targets. All targets will be determined by 3P TPM implementers.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</si>
  <si>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</si>
  <si>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</si>
  <si>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</si>
  <si>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</si>
  <si>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</si>
  <si>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</si>
  <si>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</si>
  <si>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</si>
  <si>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</si>
  <si>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</si>
  <si>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</si>
  <si>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Per ED, to be determined by an ED study*</t>
  </si>
  <si>
    <t>Per ED, to be determined by an ED study</t>
  </si>
  <si>
    <t xml:space="preserve">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</si>
  <si>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</si>
  <si>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</si>
  <si>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</si>
  <si>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</si>
  <si>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</si>
  <si>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</si>
  <si>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ETP-T3</t>
  </si>
  <si>
    <r>
      <t>Prior year: % of new codes or standards that were previously ETP technologies. *</t>
    </r>
    <r>
      <rPr>
        <sz val="9"/>
        <rFont val="Calibri"/>
        <family val="2"/>
      </rPr>
      <t>The PAs believe this is not suited for a metric with targets because ETP does not make decisions about new codes or standards.</t>
    </r>
  </si>
  <si>
    <t>Prior year: % of new codes or standards that were previously ETP technologies</t>
  </si>
  <si>
    <t xml:space="preserve">Per ED: Baseline, methodology, and targets need to be determined by ED evaluation contractor. </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</si>
  <si>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</si>
  <si>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</si>
  <si>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</si>
  <si>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</si>
  <si>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</si>
  <si>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</si>
  <si>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</si>
  <si>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</si>
  <si>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r>
      <t>Savings of measures currently in the portfolio that were supported by ETP, added since 2009. Ex-ante with gross and net for all measures, with ex-post where available.</t>
    </r>
    <r>
      <rPr>
        <sz val="9"/>
        <rFont val="Palatino"/>
        <family val="1"/>
      </rPr>
      <t> </t>
    </r>
    <r>
      <rPr>
        <sz val="9"/>
        <rFont val="Calibri"/>
        <family val="2"/>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</si>
  <si>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</si>
  <si>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</si>
  <si>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</si>
  <si>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</si>
  <si>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</si>
  <si>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</si>
  <si>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</si>
  <si>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</si>
  <si>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</si>
  <si>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</si>
  <si>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r>
      <t xml:space="preserve">Number and source (as reported by submitter) of project ideas submitted OUTSIDE OF the annual TPM research planning process, for these categories of sources: </t>
    </r>
    <r>
      <rPr>
        <sz val="9"/>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</si>
  <si>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PA</t>
    </r>
  </si>
  <si>
    <t>N/A—  TPMs will be used once 3P implentation contracts have been awarded.</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</si>
  <si>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</si>
  <si>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</si>
  <si>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</si>
  <si>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</si>
  <si>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r>
      <t xml:space="preserve">Number and source (as reported by submitter) of project ideas submitted OUTSIDE OF the annual TPM research planning process, for these categories of sources: PA, </t>
    </r>
    <r>
      <rPr>
        <sz val="9"/>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</si>
  <si>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National Lab</t>
    </r>
  </si>
  <si>
    <t>N/A—TPMs will initiated once 3P implentation contracts have been awarded.</t>
  </si>
  <si>
    <t>ETP-T6c</t>
  </si>
  <si>
    <t>Count of project ideas by manufacturers</t>
  </si>
  <si>
    <r>
      <t xml:space="preserve">Number and source (as reported by submitter) of project ideas submitted OUTSIDE OF the annual TPM research planning process, for these categories of sources: PA, national lab, </t>
    </r>
    <r>
      <rPr>
        <sz val="9"/>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</si>
  <si>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Manufacturer</t>
    </r>
  </si>
  <si>
    <t>ETP-T6d</t>
  </si>
  <si>
    <t>Count of project ideas by entrepreneurs</t>
  </si>
  <si>
    <r>
      <t xml:space="preserve">Number and source (as reported by submitter) of project ideas submitted OUTSIDE OF the annual TPM research planning process, for these categories of sources: PA, national lab, manufacturer, </t>
    </r>
    <r>
      <rPr>
        <sz val="9"/>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</si>
  <si>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Entrepreneur</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</si>
  <si>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</si>
  <si>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</si>
  <si>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r>
      <t xml:space="preserve">Number and source (as reported by submitter) of project ideas submitted AS PART OF the annual TPM research planning process, for these categories of sources: </t>
    </r>
    <r>
      <rPr>
        <sz val="9"/>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</si>
  <si>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ETP-T7a Number and source (as reported by submitter) of project ideas submitted AS PART OF the annual TPM research planning process by</t>
    </r>
    <r>
      <rPr>
        <sz val="9"/>
        <rFont val="Calibri"/>
        <family val="2"/>
      </rPr>
      <t xml:space="preserve"> PA</t>
    </r>
  </si>
  <si>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</si>
  <si>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ETP-T7b</t>
  </si>
  <si>
    <r>
      <t xml:space="preserve">Number and source (as reported by submitter) of project ideas submitted AS PART OF the annual TPM research planning process, for these categories of sources: PA, </t>
    </r>
    <r>
      <rPr>
        <sz val="9"/>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</si>
  <si>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9"/>
        <rFont val="Calibri"/>
        <family val="2"/>
      </rPr>
      <t xml:space="preserve"> National Lab</t>
    </r>
  </si>
  <si>
    <t>ETP-T7c</t>
  </si>
  <si>
    <r>
      <t xml:space="preserve">Number and source (as reported by submitter) of project ideas submitted AS PART OF the annual TPM research planning process, for these categories of sources: PA, national lab, </t>
    </r>
    <r>
      <rPr>
        <sz val="9"/>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</si>
  <si>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 xml:space="preserve">Number and source (as reported by submitter) of project ideas submitted AS PART OF the annual TPM research planning process by </t>
    </r>
    <r>
      <rPr>
        <sz val="9"/>
        <rFont val="Calibri"/>
        <family val="2"/>
      </rPr>
      <t>Manufacturer</t>
    </r>
  </si>
  <si>
    <t>ETP-T7d</t>
  </si>
  <si>
    <r>
      <t xml:space="preserve">Number and source (as reported by submitter) of project ideas submitted AS PART OF the annual TPM research planning process, for these categories of sources: PA, national lab, manufacturer, </t>
    </r>
    <r>
      <rPr>
        <sz val="9"/>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</si>
  <si>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9"/>
        <rFont val="Calibri"/>
        <family val="2"/>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</si>
  <si>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</si>
  <si>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</si>
  <si>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</si>
  <si>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</si>
  <si>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</si>
  <si>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</si>
  <si>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The statewide goals to be tracked are still under collaborative discussion with ED and not yet available; hence, no data will be reported for 2018</t>
  </si>
  <si>
    <t>3 lists cumulative</t>
  </si>
  <si>
    <t>2 lists cumulative</t>
  </si>
  <si>
    <t>N/A - The statewide goals to be tracked are still under collaborative discussion with ED and not yet available; hence, no data will be reported for 2019</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</si>
  <si>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</si>
  <si>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</si>
  <si>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Table T-10 PG&amp;E’s Marketplace Metrics</t>
  </si>
  <si>
    <t xml:space="preserve">Report for January to December 2019  </t>
  </si>
  <si>
    <t xml:space="preserve">In this report, PG&amp;E provides updates on metrics for PG&amp;E’s Marketplace.  PG&amp;E submitted the annual metrics updates in February 2018 and 2019 directly to the Energy Division. This report is PG&amp;E’s third annual update with reporting occurring in the Energy Efficiency Annual Report. 
On December 21, 2017, as directed in ordering paragraph (OP) 1c  of Resolution E-4820, PG&amp;E proposed to the Energy Division a format and schedule for reporting the targets for Energy Management Technology (EMT) related activities. PG&amp;E proposed Marketplace metrics that focus on the relevant sections of the platform for Assembly Bill 793 (AB 793) and EMTs. These are standard marketing industry accepted website metrics. </t>
  </si>
  <si>
    <t>Chart A - Tracking</t>
  </si>
  <si>
    <t>#</t>
  </si>
  <si>
    <t>Purpose</t>
  </si>
  <si>
    <t>Page views per visit</t>
  </si>
  <si>
    <t>Evaluates the overall traffic to the page(s).</t>
  </si>
  <si>
    <t>Time spent on site</t>
  </si>
  <si>
    <t>Indicates page engagement.</t>
  </si>
  <si>
    <t>Product click rates</t>
  </si>
  <si>
    <t>Measures a customers’ product interest and intent via clicks to either the retailer or product review pages. Additionally, rebate click rates evaluate customers’ interest in purchasing a product and associated rebate[1].</t>
  </si>
  <si>
    <t>[1] Rebates are currently not fulfilled directly through the Marketplace. Customers are directed to go to the PG&amp;E eRebate webpage to start the rebate application process.</t>
  </si>
  <si>
    <r>
      <rPr>
        <b/>
        <sz val="10"/>
        <rFont val="Arial"/>
        <family val="2"/>
      </rPr>
      <t>About PG&amp;E’s Marketplace</t>
    </r>
    <r>
      <rPr>
        <sz val="10"/>
        <rFont val="Arial"/>
        <family val="2"/>
      </rPr>
      <t xml:space="preserve">
In 2015, PG&amp;E launched an online marketplace to help customers make smart energy choices related to home appliances and electronics. The PG&amp;E Marketplace platform (Marketplace) allows customers to discover, compare, and shop for energy-efficient products and appliances from their favorite retailers. Marketplace provides standard product specifications, product reviews, current retail pricing, and available purchase locations, as well as a standardized energy score for each product. Additionally, it indicates which products have an associated rebate offering, and links the customer to the electronic rebate process to complete a rebate application.
In late 2017, PG&amp;E launched two new pages to Marketplace related to AB 793: a Connected Homes category page for EMT products (outside of thermostats), and a Connected Home Applications category page for home automation applications that assist with energy management. The latter replaced the original plan to launch a new Share My Data category page. The Connected Home Applications category page provides a description of the app, the benefits to the customer, and links directly to the application developers’ website where the customer can download the app and initiate the share my data process directly. This revised approach allows customers to understand the value of the app, and the third party who they would be sharing their data with, prior to allowing usage data to be transferred to that third party.   </t>
    </r>
  </si>
  <si>
    <r>
      <rPr>
        <b/>
        <sz val="10"/>
        <rFont val="Arial"/>
        <family val="2"/>
      </rPr>
      <t>Metrics Reporting Format and Timing</t>
    </r>
    <r>
      <rPr>
        <sz val="10"/>
        <rFont val="Arial"/>
        <family val="2"/>
      </rPr>
      <t xml:space="preserve">
Based on the metrics, PG&amp;E created four charts to account for all the AB 793 category pages. In Chart B below, the EMT category page aggregates the data from the AB 793 related pages, including the smart thermostat page, the Connected Homes category page, and the Connected Home Applications category page. Chart C. D and E break out the data for specific product or offering pages. 
PG&amp;E proposed using the second half of 2017 metrics as a baseline for the Smart Thermostat category page which launched in July 2017. Beginning with the second annual report, submitted in February 2019, PG&amp;E used 2018 metrics as the baseline for all pages. Metrics will then be evaluated after the close of each calendar year to assess progress on target goals. This approach allows for changes in seasonality, marketing, and other events to happen over the course of a year. </t>
    </r>
  </si>
  <si>
    <r>
      <rPr>
        <b/>
        <sz val="10"/>
        <rFont val="Arial"/>
        <family val="2"/>
      </rPr>
      <t>PG&amp;E’s Marketplace February 2020 Metrics Reporting</t>
    </r>
    <r>
      <rPr>
        <sz val="10"/>
        <rFont val="Arial"/>
        <family val="2"/>
      </rPr>
      <t xml:space="preserve">
Below are the 2020 metrics for the AB 793 products available on the PG&amp;E Marketplace. In all cases the specific category pages are reflecting both current information against previous baselines. In 2019, PG&amp;E changed how customers are directed to receive rebate information and as such the rebate numbers show a significant decrease.  Chart B aggregates all data from AB 793 products. </t>
    </r>
  </si>
  <si>
    <t>Chart B – EMT Category Page</t>
  </si>
  <si>
    <t xml:space="preserve">EMT category pages [2] </t>
  </si>
  <si>
    <t>Baseline
July - December 2017</t>
  </si>
  <si>
    <t>Actuals and new Baseline
January - December 2018</t>
  </si>
  <si>
    <t>January- December 2019</t>
  </si>
  <si>
    <t xml:space="preserve">Page views </t>
  </si>
  <si>
    <t>Time on page</t>
  </si>
  <si>
    <t>113.66*</t>
  </si>
  <si>
    <t>Purchase intent clicks</t>
  </si>
  <si>
    <t xml:space="preserve"> [2] EMT Category pages (Smart Thermostat only) launched July 2017.EMT category pages for 2017 Baseline included the Smart Thermostat category page only. 2018 Actuals include combined metrics for Smart Thermostat, Connected Homes and Connected Home Applications pages</t>
  </si>
  <si>
    <t xml:space="preserve">**2018 Time on page metrics were reported incorrectly, session duration was reported initially at 6.39. This 2018 field has now been corrected to reflect Time on page. </t>
  </si>
  <si>
    <t>Chart C – Smart Thermostat Category Page</t>
  </si>
  <si>
    <t xml:space="preserve">Smart Thermostat category page [3] </t>
  </si>
  <si>
    <t>Actuals and new Baseline 
January - December 2018</t>
  </si>
  <si>
    <t xml:space="preserve">January- December 2019 </t>
  </si>
  <si>
    <t>1:33**</t>
  </si>
  <si>
    <t xml:space="preserve">ST rebate clicks </t>
  </si>
  <si>
    <t>[3] Smart Thermostat Category page launched June 2017</t>
  </si>
  <si>
    <t>Chart D – Connected Homes Category Page</t>
  </si>
  <si>
    <t>Connected Homes category page [4]</t>
  </si>
  <si>
    <t>Baseline
January - December 2018</t>
  </si>
  <si>
    <t>Page views</t>
  </si>
  <si>
    <t>1:05***</t>
  </si>
  <si>
    <t>[4] Connected Homes Category page launched December 2017.</t>
  </si>
  <si>
    <t xml:space="preserve"> ***2018 Time on page metrics were reported incorrectly. This 2018 field has now been corrected.</t>
  </si>
  <si>
    <t>Chart E – Connected Home Applications Category Page</t>
  </si>
  <si>
    <t>Connected Home Applications category page[5]</t>
  </si>
  <si>
    <t>January-December 2019</t>
  </si>
  <si>
    <t>1:03****</t>
  </si>
  <si>
    <t>[5]Connected Home Applications Category page launched December 2017.</t>
  </si>
  <si>
    <t xml:space="preserve">****2018 Time on page metrics were reported incorrectly. This 2018 field has now been corrected to reflect Time on page. </t>
  </si>
  <si>
    <t>Program Implementer Category</t>
  </si>
  <si>
    <t>ESPI Program Category</t>
  </si>
  <si>
    <t>Primary Sector</t>
  </si>
  <si>
    <t>Market Sector</t>
  </si>
  <si>
    <t>ESPI Claim Group</t>
  </si>
  <si>
    <t>MeasAppType</t>
  </si>
  <si>
    <t>Delivery Type</t>
  </si>
  <si>
    <t>Delivery Channel</t>
  </si>
  <si>
    <t>Program Type</t>
  </si>
  <si>
    <t>NTG Qualifiers</t>
  </si>
  <si>
    <t>Install Year</t>
  </si>
  <si>
    <t>Program delivery Channel</t>
  </si>
  <si>
    <t>Deemed Uncertain</t>
  </si>
  <si>
    <t>ROB (normal replacement)</t>
  </si>
  <si>
    <t>Direct Install</t>
  </si>
  <si>
    <t>Upstream - Deemed</t>
  </si>
  <si>
    <t>Audit</t>
  </si>
  <si>
    <t>Schools</t>
  </si>
  <si>
    <t>Deemed Certain</t>
  </si>
  <si>
    <t>NC (new construction/new load/capacity addition)</t>
  </si>
  <si>
    <t>Point of Sale</t>
  </si>
  <si>
    <t>Midsteam - Deemed</t>
  </si>
  <si>
    <t>Codes and Standards</t>
  </si>
  <si>
    <t>Constrained Area</t>
  </si>
  <si>
    <t>Midstream</t>
  </si>
  <si>
    <t>SDGE</t>
  </si>
  <si>
    <t>Custom</t>
  </si>
  <si>
    <t>AR (accelerated replacement)</t>
  </si>
  <si>
    <t>Information (Audits, HERs,…)</t>
  </si>
  <si>
    <t>Downstream - Deemed</t>
  </si>
  <si>
    <t>Emerging Technologies</t>
  </si>
  <si>
    <t>ET</t>
  </si>
  <si>
    <t>BRO-RCx</t>
  </si>
  <si>
    <t>Equip Giveaway</t>
  </si>
  <si>
    <t>Downstream - Calculated</t>
  </si>
  <si>
    <t>Financing</t>
  </si>
  <si>
    <t>HTR</t>
  </si>
  <si>
    <t>CAEAFTA</t>
  </si>
  <si>
    <t>BRO-Behavioral</t>
  </si>
  <si>
    <t>Low Income DI</t>
  </si>
  <si>
    <t>Government Partnerships</t>
  </si>
  <si>
    <t xml:space="preserve">Water-energy </t>
  </si>
  <si>
    <t xml:space="preserve">BRO-Operational  </t>
  </si>
  <si>
    <t>Incentives/Rebates/Bill Credits</t>
  </si>
  <si>
    <t>Integrated Demand-Side Management</t>
  </si>
  <si>
    <t xml:space="preserve">REA </t>
  </si>
  <si>
    <t>Market Education Outreach</t>
  </si>
  <si>
    <t>Market Transformation</t>
  </si>
  <si>
    <t>New Construction</t>
  </si>
  <si>
    <t>Other</t>
  </si>
  <si>
    <t>Workforce Education and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</si>
</sst>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0">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_(* #,##0_);_(* \(#,##0\);_(* &quot;-&quot;??_);_(@_)"/>
    <numFmt numFmtId="166" formatCode="&quot;$&quot;#,##0"/>
    <numFmt numFmtId="167" formatCode="#,##0.00&quot; $&quot;;\-#,##0.00&quot; $&quot;"/>
    <numFmt numFmtId="168" formatCode="yymmmmdd"/>
    <numFmt numFmtId="169" formatCode="dd/mm/yy"/>
    <numFmt numFmtId="170" formatCode=";;;"/>
    <numFmt numFmtId="171" formatCode="&quot;$&quot;#,##0.00"/>
    <numFmt numFmtId="172" formatCode="mm/dd/yyyy;@"/>
    <numFmt numFmtId="173" formatCode="[&lt;=9999999]###\-####;\(###\)\ ###\-####"/>
    <numFmt numFmtId="174" formatCode="#,##0;\-#,##0;&quot;-&quot;"/>
    <numFmt numFmtId="175" formatCode="&quot;$&quot;#,\);\(&quot;$&quot;#,##0\)"/>
    <numFmt numFmtId="176" formatCode="hh:mm"/>
    <numFmt numFmtId="177" formatCode="00000"/>
    <numFmt numFmtId="178" formatCode="#,##0.00;[Red]#,##0.00"/>
    <numFmt numFmtId="179" formatCode="yyyy"/>
    <numFmt numFmtId="180" formatCode="General_)"/>
    <numFmt numFmtId="181" formatCode="_-* #,##0_-;\-* #,##0_-;_-* &quot;-&quot;??_-;_-@_-"/>
    <numFmt numFmtId="182" formatCode="_-&quot;$&quot;* #,##0.00_-;\-&quot;$&quot;* #,##0.00_-;_-&quot;$&quot;* &quot;-&quot;??_-;_-@_-"/>
    <numFmt numFmtId="183" formatCode="_-&quot;$&quot;* #,##0_-;\-&quot;$&quot;* #,##0_-;_-&quot;$&quot;* &quot;-&quot;??_-;_-@_-"/>
    <numFmt numFmtId="184" formatCode="_(&quot;$&quot;* #,##0_);_(&quot;$&quot;* \(#,##0\);_(&quot;$&quot;* &quot;-&quot;??_);_(@_)"/>
    <numFmt numFmtId="185" formatCode="&quot;$&quot;#,##0.000"/>
    <numFmt numFmtId="186" formatCode="\$\ #,##0"/>
    <numFmt numFmtId="187" formatCode="0.0"/>
    <numFmt numFmtId="188" formatCode="mmmddyyyy"/>
    <numFmt numFmtId="189" formatCode="_([$$-409]* #,##0.00_);_([$$-409]* \(#,##0.00\);_([$$-409]* &quot;-&quot;??_);_(@_)"/>
    <numFmt numFmtId="190" formatCode="_([$$-409]* #,##0_);_([$$-409]* \(#,##0\);_([$$-409]* &quot;-&quot;??_);_(@_)"/>
    <numFmt numFmtId="191" formatCode="[$-10409]#,##0;\(#,##0\)"/>
    <numFmt numFmtId="192" formatCode="[$-409]mmmm\ d\,\ yyyy;@"/>
    <numFmt numFmtId="193" formatCode="[$-409]mmm\-yy;@"/>
    <numFmt numFmtId="194" formatCode="0.0%;_(* &quot;-&quot;_)"/>
    <numFmt numFmtId="195" formatCode="0.00%;_(* &quot;-&quot;_)"/>
    <numFmt numFmtId="196" formatCode="#,##0.0,,,&quot;bn&quot;"/>
    <numFmt numFmtId="197" formatCode="[$-10409]#,##0.0;\(#,##0.0\)"/>
    <numFmt numFmtId="198" formatCode="_-* #,##0.00\ _D_M_-;\-* #,##0.00\ _D_M_-;_-* &quot;-&quot;??\ _D_M_-;_-@_-"/>
    <numFmt numFmtId="199" formatCode="_-* #,##0.00\ &quot;DM&quot;_-;\-* #,##0.00\ &quot;DM&quot;_-;_-* &quot;-&quot;??\ &quot;DM&quot;_-;_-@_-"/>
    <numFmt numFmtId="200" formatCode="&quot;$&quot;\ #,##0.00_);\(&quot;$&quot;\ #,##0.00\)"/>
    <numFmt numFmtId="201" formatCode="_([$€-2]* #,##0.00_);_([$€-2]* \(#,##0.00\);_([$€-2]* &quot;-&quot;??_)"/>
    <numFmt numFmtId="202" formatCode="\€#,##0.0,,,&quot;bn&quot;"/>
    <numFmt numFmtId="203" formatCode="\€#,##0.0,,&quot;m&quot;"/>
    <numFmt numFmtId="204" formatCode="\€#,##0.0,&quot;k&quot;"/>
    <numFmt numFmtId="205" formatCode="\€#,##0.00"/>
    <numFmt numFmtId="206" formatCode="_-* #,##0.0_-;\-* #,##0.0_-;_-* &quot;-&quot;??_-;_-@_-"/>
    <numFmt numFmtId="207" formatCode="\£#,##0.00"/>
    <numFmt numFmtId="208" formatCode="\£#,##0.0,,,&quot;bn&quot;"/>
    <numFmt numFmtId="209" formatCode="\£#,##0.0,,&quot;m&quot;"/>
    <numFmt numFmtId="210" formatCode="\£#,##0.0,&quot;k&quot;"/>
    <numFmt numFmtId="211" formatCode="@*."/>
    <numFmt numFmtId="212" formatCode="_ * #,##0_ ;_ * \-#,##0_ ;_ * &quot;-&quot;_ ;_ @_ "/>
    <numFmt numFmtId="213" formatCode="_ * #,##0.00_ ;_ * \-#,##0.00_ ;_ * &quot;-&quot;??_ ;_ @_ "/>
    <numFmt numFmtId="214" formatCode="#,##0.0,,&quot;m&quot;"/>
    <numFmt numFmtId="215" formatCode="0.0%;_(&quot;-&quot;_)"/>
    <numFmt numFmtId="216" formatCode="0.0000%;_(* &quot;-&quot;_)"/>
    <numFmt numFmtId="217" formatCode="[$-409]d\-mmm\-yy;@"/>
    <numFmt numFmtId="218" formatCode="_([$$-409]* #,##0.0000_);_([$$-409]* \(#,##0.0000\);_([$$-409]* &quot;-&quot;??_);_(@_)"/>
    <numFmt numFmtId="219" formatCode="0.0000%"/>
    <numFmt numFmtId="220" formatCode="###,000"/>
    <numFmt numFmtId="221" formatCode="#,##0.000"/>
    <numFmt numFmtId="222" formatCode="mm/dd/yyyy"/>
    <numFmt numFmtId="223" formatCode="mmm\-yyyy"/>
    <numFmt numFmtId="224" formatCode="00\-0000000"/>
    <numFmt numFmtId="225" formatCode="&quot;$&quot;#,##0.00;&quot;$&quot;\(#,##0.00\)"/>
    <numFmt numFmtId="226" formatCode="#,###,##0,&quot;k&quot;"/>
    <numFmt numFmtId="227" formatCode="#,##0,_);\(#,##0,\)"/>
    <numFmt numFmtId="228" formatCode="[$$-409]#,##0.00"/>
    <numFmt numFmtId="229" formatCode="\$#,##0.0,,,&quot;bn&quot;"/>
    <numFmt numFmtId="230" formatCode="\$#,##0.0,,&quot;m&quot;"/>
    <numFmt numFmtId="231" formatCode="\$#,##0.0,&quot;k&quot;"/>
    <numFmt numFmtId="232" formatCode="0.0%"/>
    <numFmt numFmtId="233" formatCode="_(&quot;$&quot;* #,##0.000_);_(&quot;$&quot;* \(#,##0.000\);_(&quot;$&quot;* &quot;-&quot;??_);_(@_)"/>
    <numFmt numFmtId="234" formatCode="0.000"/>
    <numFmt numFmtId="235" formatCode="_(* #,##0.0000_);_(* \(#,##0.0000\);_(* &quot;-&quot;??_);_(@_)"/>
    <numFmt numFmtId="236" formatCode="0.0000"/>
    <numFmt numFmtId="237" formatCode="_(* #,##0.0_);_(* \(#,##0.0\);_(* &quot;-&quot;??_);_(@_)"/>
  </numFmts>
  <fonts count="2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11"/>
      <name val="Arial"/>
      <family val="2"/>
    </font>
    <font>
      <i/>
      <sz val="10"/>
      <color indexed="12"/>
      <name val="Arial"/>
      <family val="2"/>
    </font>
    <font>
      <i/>
      <sz val="10"/>
      <color indexed="10"/>
      <name val="Arial"/>
      <family val="2"/>
    </font>
    <font>
      <sz val="10"/>
      <name val="Arial"/>
      <family val="2"/>
    </font>
    <font>
      <u/>
      <sz val="8.4"/>
      <color indexed="12"/>
      <name val="Arial"/>
      <family val="2"/>
    </font>
    <font>
      <sz val="9"/>
      <name val="Helv"/>
    </font>
    <font>
      <sz val="10"/>
      <color indexed="8"/>
      <name val="Arial"/>
      <family val="2"/>
    </font>
    <font>
      <sz val="10"/>
      <name val="MS Serif"/>
      <family val="1"/>
    </font>
    <font>
      <sz val="11"/>
      <name val="Book Antiqua"/>
      <family val="1"/>
    </font>
    <font>
      <sz val="10"/>
      <name val="Helv"/>
    </font>
    <font>
      <sz val="10"/>
      <color indexed="16"/>
      <name val="MS Serif"/>
      <family val="1"/>
    </font>
    <font>
      <sz val="8"/>
      <name val="Arial"/>
      <family val="2"/>
    </font>
    <font>
      <b/>
      <u/>
      <sz val="11"/>
      <color indexed="37"/>
      <name val="Arial"/>
      <family val="2"/>
    </font>
    <font>
      <b/>
      <sz val="12"/>
      <name val="Arial"/>
      <family val="2"/>
    </font>
    <font>
      <b/>
      <sz val="18"/>
      <name val="Arial"/>
      <family val="2"/>
    </font>
    <font>
      <b/>
      <sz val="12"/>
      <name val="Arial"/>
      <family val="2"/>
    </font>
    <font>
      <sz val="10"/>
      <color indexed="12"/>
      <name val="Arial"/>
      <family val="2"/>
    </font>
    <font>
      <sz val="7"/>
      <name val="Small Fonts"/>
      <family val="2"/>
    </font>
    <font>
      <sz val="12"/>
      <name val="Arial"/>
      <family val="2"/>
    </font>
    <font>
      <sz val="11"/>
      <name val="Tms Rmn"/>
    </font>
    <font>
      <sz val="10"/>
      <name val="Times New Roman"/>
      <family val="1"/>
    </font>
    <font>
      <i/>
      <sz val="11"/>
      <name val="Arial"/>
      <family val="2"/>
    </font>
    <font>
      <sz val="22"/>
      <name val="UBSHeadline"/>
      <family val="1"/>
    </font>
    <font>
      <sz val="10"/>
      <color indexed="14"/>
      <name val="Arial"/>
      <family val="2"/>
    </font>
    <font>
      <sz val="8"/>
      <name val="Helv"/>
    </font>
    <font>
      <b/>
      <sz val="8"/>
      <color indexed="8"/>
      <name val="Helv"/>
    </font>
    <font>
      <sz val="10"/>
      <name val="Frutiger 45 Light"/>
      <family val="2"/>
    </font>
    <font>
      <sz val="8"/>
      <name val="Arial"/>
      <family val="2"/>
    </font>
    <font>
      <sz val="8"/>
      <color indexed="12"/>
      <name val="Arial"/>
      <family val="2"/>
    </font>
    <font>
      <sz val="10"/>
      <color indexed="39"/>
      <name val="Arial"/>
      <family val="2"/>
    </font>
    <font>
      <b/>
      <sz val="10"/>
      <name val="Arial"/>
      <family val="2"/>
    </font>
    <font>
      <sz val="10"/>
      <color indexed="9"/>
      <name val="Arial"/>
      <family val="2"/>
    </font>
    <font>
      <sz val="12"/>
      <name val="Times New Roman"/>
      <family val="1"/>
    </font>
    <font>
      <b/>
      <sz val="12"/>
      <name val="Times New Roman"/>
      <family val="1"/>
    </font>
    <font>
      <b/>
      <sz val="12"/>
      <name val="Palatino"/>
      <family val="1"/>
    </font>
    <font>
      <sz val="12"/>
      <name val="Palatino"/>
      <family val="1"/>
    </font>
    <font>
      <b/>
      <sz val="12"/>
      <name val="Palatino"/>
    </font>
    <font>
      <b/>
      <i/>
      <sz val="12"/>
      <name val="Palatino"/>
    </font>
    <font>
      <b/>
      <i/>
      <sz val="12"/>
      <name val="Palatino"/>
      <family val="1"/>
    </font>
    <font>
      <b/>
      <i/>
      <sz val="12"/>
      <name val="Times New Roman"/>
      <family val="1"/>
    </font>
    <font>
      <b/>
      <sz val="13"/>
      <name val="Times New Roman"/>
      <family val="1"/>
    </font>
    <font>
      <i/>
      <sz val="12"/>
      <name val="Times New Roman"/>
      <family val="1"/>
    </font>
    <font>
      <b/>
      <sz val="13"/>
      <name val="Palatino"/>
      <family val="1"/>
    </font>
    <font>
      <sz val="13"/>
      <name val="Palatino"/>
      <family val="1"/>
    </font>
    <font>
      <sz val="10"/>
      <name val="Palatino"/>
      <family val="1"/>
    </font>
    <font>
      <b/>
      <sz val="13"/>
      <name val="Palatino"/>
    </font>
    <font>
      <b/>
      <sz val="14"/>
      <color rgb="FF365F91"/>
      <name val="Cambria"/>
      <family val="1"/>
    </font>
    <font>
      <sz val="12"/>
      <color theme="1"/>
      <name val="Cambria"/>
      <family val="1"/>
    </font>
    <font>
      <sz val="10"/>
      <name val="MS Sans Serif"/>
      <family val="2"/>
    </font>
    <font>
      <sz val="11"/>
      <color indexed="8"/>
      <name val="Calibri"/>
      <family val="2"/>
    </font>
    <font>
      <sz val="12"/>
      <color theme="1"/>
      <name val="Calibri"/>
      <family val="2"/>
      <scheme val="minor"/>
    </font>
    <font>
      <b/>
      <sz val="8"/>
      <name val="Arial"/>
      <family val="2"/>
    </font>
    <font>
      <b/>
      <sz val="8"/>
      <name val="Times New Roman"/>
      <family val="1"/>
    </font>
    <font>
      <b/>
      <sz val="10"/>
      <name val="Times New Roman"/>
      <family val="1"/>
    </font>
    <font>
      <sz val="11"/>
      <color rgb="FF000000"/>
      <name val="Calibri"/>
      <family val="2"/>
    </font>
    <font>
      <b/>
      <sz val="12"/>
      <color rgb="FF000000"/>
      <name val="Times New Roman"/>
      <family val="1"/>
    </font>
    <font>
      <b/>
      <i/>
      <sz val="10.5"/>
      <color rgb="FF000000"/>
      <name val="Times New Roman"/>
      <family val="1"/>
    </font>
    <font>
      <b/>
      <sz val="10.5"/>
      <color rgb="FF000000"/>
      <name val="Times New Roman"/>
      <family val="1"/>
    </font>
    <font>
      <sz val="13"/>
      <color rgb="FF000000"/>
      <name val="Calibri"/>
      <family val="2"/>
    </font>
    <font>
      <b/>
      <vertAlign val="superscript"/>
      <sz val="10.5"/>
      <color rgb="FF000000"/>
      <name val="Times New Roman"/>
      <family val="1"/>
    </font>
    <font>
      <sz val="10.5"/>
      <color rgb="FF000000"/>
      <name val="Times New Roman"/>
      <family val="1"/>
    </font>
    <font>
      <b/>
      <sz val="11"/>
      <color rgb="FF000000"/>
      <name val="Calibri"/>
      <family val="2"/>
    </font>
    <font>
      <b/>
      <vertAlign val="superscript"/>
      <sz val="11"/>
      <color rgb="FF000000"/>
      <name val="Calibri"/>
      <family val="2"/>
    </font>
    <font>
      <sz val="9"/>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rgb="FFFF0000"/>
      <name val="Palatino Linotype"/>
      <family val="1"/>
    </font>
    <font>
      <sz val="12"/>
      <name val="Calibri"/>
      <family val="2"/>
      <scheme val="minor"/>
    </font>
    <font>
      <sz val="10"/>
      <name val="Calibri"/>
      <family val="2"/>
      <scheme val="minor"/>
    </font>
    <font>
      <sz val="13"/>
      <name val="Calibri"/>
      <family val="2"/>
      <scheme val="minor"/>
    </font>
    <font>
      <sz val="9"/>
      <color rgb="FFFF0000"/>
      <name val="Calibri"/>
      <family val="2"/>
      <scheme val="minor"/>
    </font>
    <font>
      <sz val="9"/>
      <name val="Calibri"/>
      <family val="2"/>
      <scheme val="minor"/>
    </font>
    <font>
      <b/>
      <sz val="12"/>
      <name val="Calibri"/>
      <family val="2"/>
      <scheme val="minor"/>
    </font>
    <font>
      <b/>
      <sz val="10"/>
      <name val="Calibri"/>
      <family val="2"/>
      <scheme val="minor"/>
    </font>
    <font>
      <b/>
      <sz val="11"/>
      <color theme="1"/>
      <name val="Calibri"/>
      <family val="2"/>
      <scheme val="minor"/>
    </font>
    <font>
      <sz val="12"/>
      <color rgb="FF000000"/>
      <name val="Calibri"/>
      <family val="2"/>
      <scheme val="minor"/>
    </font>
    <font>
      <b/>
      <sz val="11"/>
      <name val="Arial"/>
      <family val="2"/>
    </font>
    <font>
      <sz val="12"/>
      <name val="???"/>
      <family val="1"/>
      <charset val="129"/>
    </font>
    <font>
      <sz val="10"/>
      <name val="Helv"/>
      <charset val="204"/>
    </font>
    <font>
      <sz val="10"/>
      <color theme="1"/>
      <name val="Arial"/>
      <family val="2"/>
    </font>
    <font>
      <sz val="10"/>
      <color theme="1"/>
      <name val="Cambria"/>
      <family val="2"/>
    </font>
    <font>
      <sz val="11"/>
      <color indexed="9"/>
      <name val="Calibri"/>
      <family val="2"/>
    </font>
    <font>
      <sz val="10"/>
      <color theme="0"/>
      <name val="Arial"/>
      <family val="2"/>
    </font>
    <font>
      <sz val="10"/>
      <color theme="0"/>
      <name val="Cambria"/>
      <family val="2"/>
    </font>
    <font>
      <sz val="10"/>
      <name val="Geneva"/>
    </font>
    <font>
      <sz val="7"/>
      <name val="Arial"/>
      <family val="2"/>
    </font>
    <font>
      <sz val="10"/>
      <name val="Geneva"/>
      <family val="2"/>
    </font>
    <font>
      <sz val="11"/>
      <color indexed="16"/>
      <name val="Calibri"/>
      <family val="2"/>
    </font>
    <font>
      <sz val="11"/>
      <color indexed="37"/>
      <name val="Calibri"/>
      <family val="2"/>
    </font>
    <font>
      <sz val="11"/>
      <color indexed="20"/>
      <name val="Calibri"/>
      <family val="2"/>
    </font>
    <font>
      <sz val="10"/>
      <color rgb="FF9C0006"/>
      <name val="Arial"/>
      <family val="2"/>
    </font>
    <font>
      <sz val="10"/>
      <color rgb="FF9C0006"/>
      <name val="Cambria"/>
      <family val="2"/>
    </font>
    <font>
      <b/>
      <sz val="11"/>
      <color indexed="52"/>
      <name val="Calibri"/>
      <family val="2"/>
    </font>
    <font>
      <b/>
      <sz val="11"/>
      <color indexed="53"/>
      <name val="Calibri"/>
      <family val="2"/>
    </font>
    <font>
      <b/>
      <sz val="11"/>
      <color indexed="17"/>
      <name val="Calibri"/>
      <family val="2"/>
    </font>
    <font>
      <b/>
      <sz val="10"/>
      <color rgb="FFFA7D00"/>
      <name val="Arial"/>
      <family val="2"/>
    </font>
    <font>
      <b/>
      <sz val="11"/>
      <color indexed="9"/>
      <name val="Calibri"/>
      <family val="2"/>
    </font>
    <font>
      <b/>
      <sz val="10"/>
      <color theme="0"/>
      <name val="Arial"/>
      <family val="2"/>
    </font>
    <font>
      <b/>
      <sz val="10"/>
      <color theme="0"/>
      <name val="Cambria"/>
      <family val="2"/>
    </font>
    <font>
      <sz val="10"/>
      <color theme="1"/>
      <name val="Calibri"/>
      <family val="2"/>
    </font>
    <font>
      <sz val="11"/>
      <color theme="1"/>
      <name val="Calibri"/>
      <family val="2"/>
    </font>
    <font>
      <sz val="8"/>
      <color theme="1"/>
      <name val="Arial"/>
      <family val="2"/>
    </font>
    <font>
      <sz val="10"/>
      <color rgb="FF000000"/>
      <name val="Arial"/>
      <family val="2"/>
    </font>
    <font>
      <sz val="10"/>
      <color indexed="12"/>
      <name val="Times New Roman"/>
      <family val="1"/>
    </font>
    <font>
      <sz val="11"/>
      <name val="??"/>
      <family val="3"/>
      <charset val="129"/>
    </font>
    <font>
      <b/>
      <sz val="11"/>
      <color indexed="8"/>
      <name val="Calibri"/>
      <family val="2"/>
    </font>
    <font>
      <i/>
      <sz val="10"/>
      <color indexed="23"/>
      <name val="Arial"/>
      <family val="2"/>
    </font>
    <font>
      <i/>
      <sz val="11"/>
      <color indexed="23"/>
      <name val="Calibri"/>
      <family val="2"/>
    </font>
    <font>
      <i/>
      <sz val="10"/>
      <color rgb="FF7F7F7F"/>
      <name val="Arial"/>
      <family val="2"/>
    </font>
    <font>
      <sz val="6"/>
      <name val="Arial"/>
      <family val="2"/>
    </font>
    <font>
      <sz val="11"/>
      <color indexed="17"/>
      <name val="Calibri"/>
      <family val="2"/>
    </font>
    <font>
      <sz val="10"/>
      <color rgb="FF006100"/>
      <name val="Arial"/>
      <family val="2"/>
    </font>
    <font>
      <sz val="10"/>
      <color rgb="FF006100"/>
      <name val="Cambria"/>
      <family val="2"/>
    </font>
    <font>
      <b/>
      <sz val="15"/>
      <color indexed="56"/>
      <name val="Calibri"/>
      <family val="2"/>
    </font>
    <font>
      <b/>
      <sz val="15"/>
      <color indexed="62"/>
      <name val="Calibri"/>
      <family val="2"/>
    </font>
    <font>
      <b/>
      <sz val="15"/>
      <color theme="3"/>
      <name val="Arial"/>
      <family val="2"/>
    </font>
    <font>
      <b/>
      <sz val="15"/>
      <color theme="3"/>
      <name val="Calibri"/>
      <family val="2"/>
      <scheme val="minor"/>
    </font>
    <font>
      <b/>
      <sz val="15"/>
      <color indexed="49"/>
      <name val="Calibri"/>
      <family val="2"/>
    </font>
    <font>
      <b/>
      <sz val="15"/>
      <color indexed="62"/>
      <name val="Calibri"/>
      <family val="2"/>
      <scheme val="minor"/>
    </font>
    <font>
      <b/>
      <sz val="13"/>
      <color indexed="56"/>
      <name val="Calibri"/>
      <family val="2"/>
    </font>
    <font>
      <b/>
      <sz val="13"/>
      <color indexed="62"/>
      <name val="Calibri"/>
      <family val="2"/>
    </font>
    <font>
      <b/>
      <sz val="13"/>
      <color theme="3"/>
      <name val="Arial"/>
      <family val="2"/>
    </font>
    <font>
      <b/>
      <sz val="13"/>
      <color theme="3"/>
      <name val="Calibri"/>
      <family val="2"/>
      <scheme val="minor"/>
    </font>
    <font>
      <b/>
      <sz val="13"/>
      <color indexed="49"/>
      <name val="Calibri"/>
      <family val="2"/>
    </font>
    <font>
      <b/>
      <sz val="13"/>
      <color theme="3"/>
      <name val="Cambria"/>
      <family val="2"/>
    </font>
    <font>
      <b/>
      <sz val="13"/>
      <color indexed="62"/>
      <name val="Calibri"/>
      <family val="2"/>
      <scheme val="minor"/>
    </font>
    <font>
      <b/>
      <sz val="11"/>
      <color indexed="56"/>
      <name val="Calibri"/>
      <family val="2"/>
    </font>
    <font>
      <b/>
      <sz val="11"/>
      <color indexed="62"/>
      <name val="Calibri"/>
      <family val="2"/>
    </font>
    <font>
      <b/>
      <sz val="11"/>
      <color theme="3"/>
      <name val="Arial"/>
      <family val="2"/>
    </font>
    <font>
      <b/>
      <sz val="11"/>
      <color indexed="49"/>
      <name val="Calibri"/>
      <family val="2"/>
    </font>
    <font>
      <b/>
      <sz val="11"/>
      <color theme="3"/>
      <name val="Cambria"/>
      <family val="2"/>
    </font>
    <font>
      <b/>
      <sz val="11"/>
      <color indexed="62"/>
      <name val="Calibri"/>
      <family val="2"/>
      <scheme val="minor"/>
    </font>
    <font>
      <sz val="7"/>
      <color indexed="12"/>
      <name val="Arial"/>
      <family val="2"/>
    </font>
    <font>
      <u/>
      <sz val="10"/>
      <color indexed="12"/>
      <name val="Times New Roman"/>
      <family val="1"/>
    </font>
    <font>
      <u/>
      <sz val="10"/>
      <color indexed="12"/>
      <name val="Arial"/>
      <family val="2"/>
    </font>
    <font>
      <u/>
      <sz val="10"/>
      <color theme="10"/>
      <name val="Arial"/>
      <family val="2"/>
    </font>
    <font>
      <u/>
      <sz val="9"/>
      <color indexed="12"/>
      <name val="Geneva"/>
      <family val="2"/>
    </font>
    <font>
      <sz val="11"/>
      <color indexed="48"/>
      <name val="Calibri"/>
      <family val="2"/>
    </font>
    <font>
      <sz val="11"/>
      <color indexed="62"/>
      <name val="Calibri"/>
      <family val="2"/>
    </font>
    <font>
      <sz val="10"/>
      <color rgb="FF3F3F76"/>
      <name val="Cambria"/>
      <family val="2"/>
    </font>
    <font>
      <sz val="11"/>
      <color indexed="54"/>
      <name val="Calibri"/>
      <family val="2"/>
    </font>
    <font>
      <sz val="10"/>
      <color rgb="FF3F3F76"/>
      <name val="Arial"/>
      <family val="2"/>
    </font>
    <font>
      <sz val="11"/>
      <color indexed="52"/>
      <name val="Calibri"/>
      <family val="2"/>
    </font>
    <font>
      <sz val="11"/>
      <color indexed="53"/>
      <name val="Calibri"/>
      <family val="2"/>
    </font>
    <font>
      <sz val="10"/>
      <color rgb="FFFA7D00"/>
      <name val="Arial"/>
      <family val="2"/>
    </font>
    <font>
      <sz val="10"/>
      <color rgb="FFFA7D00"/>
      <name val="Cambria"/>
      <family val="2"/>
    </font>
    <font>
      <sz val="11"/>
      <color indexed="10"/>
      <name val="Calibri"/>
      <family val="2"/>
      <scheme val="minor"/>
    </font>
    <font>
      <sz val="11"/>
      <color indexed="60"/>
      <name val="Calibri"/>
      <family val="2"/>
    </font>
    <font>
      <sz val="10"/>
      <color rgb="FF9C6500"/>
      <name val="Arial"/>
      <family val="2"/>
    </font>
    <font>
      <sz val="10"/>
      <color rgb="FF9C6500"/>
      <name val="Cambria"/>
      <family val="2"/>
    </font>
    <font>
      <b/>
      <sz val="11"/>
      <color indexed="63"/>
      <name val="Calibri"/>
      <family val="2"/>
    </font>
    <font>
      <b/>
      <sz val="10"/>
      <color rgb="FF3F3F3F"/>
      <name val="Arial"/>
      <family val="2"/>
    </font>
    <font>
      <sz val="9"/>
      <color indexed="8"/>
      <name val="Calibri"/>
      <family val="2"/>
    </font>
    <font>
      <sz val="8"/>
      <color indexed="8"/>
      <name val="Arial"/>
      <family val="2"/>
    </font>
    <font>
      <sz val="10"/>
      <color indexed="10"/>
      <name val="Geneva"/>
      <family val="2"/>
    </font>
    <font>
      <b/>
      <sz val="10"/>
      <color indexed="8"/>
      <name val="Arial"/>
      <family val="2"/>
    </font>
    <font>
      <b/>
      <sz val="9"/>
      <color indexed="8"/>
      <name val="Arial"/>
      <family val="2"/>
    </font>
    <font>
      <b/>
      <sz val="10"/>
      <color indexed="39"/>
      <name val="Arial"/>
      <family val="2"/>
    </font>
    <font>
      <sz val="8"/>
      <color indexed="62"/>
      <name val="Arial"/>
      <family val="2"/>
    </font>
    <font>
      <b/>
      <sz val="11"/>
      <color indexed="9"/>
      <name val="Arial"/>
      <family val="2"/>
    </font>
    <font>
      <b/>
      <i/>
      <sz val="11"/>
      <color indexed="9"/>
      <name val="Arial"/>
      <family val="2"/>
    </font>
    <font>
      <b/>
      <sz val="8"/>
      <color indexed="8"/>
      <name val="Arial"/>
      <family val="2"/>
    </font>
    <font>
      <b/>
      <sz val="9"/>
      <name val="Arial"/>
      <family val="2"/>
    </font>
    <font>
      <b/>
      <sz val="12"/>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6"/>
      <color indexed="23"/>
      <name val="Arial"/>
      <family val="2"/>
    </font>
    <font>
      <sz val="19"/>
      <name val="Arial"/>
      <family val="2"/>
    </font>
    <font>
      <sz val="19"/>
      <color indexed="48"/>
      <name val="Arial"/>
      <family val="2"/>
    </font>
    <font>
      <b/>
      <sz val="14"/>
      <name val="Arial"/>
      <family val="2"/>
    </font>
    <font>
      <sz val="10"/>
      <color indexed="10"/>
      <name val="Arial"/>
      <family val="2"/>
    </font>
    <font>
      <sz val="8"/>
      <color indexed="14"/>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5"/>
      <name val="Arial"/>
      <family val="2"/>
    </font>
    <font>
      <b/>
      <sz val="40"/>
      <color indexed="63"/>
      <name val="Trebuchet MS"/>
      <family val="2"/>
    </font>
    <font>
      <b/>
      <sz val="22"/>
      <name val="Tahoma"/>
      <family val="2"/>
    </font>
    <font>
      <b/>
      <sz val="24"/>
      <name val="Tahoma"/>
      <family val="2"/>
    </font>
    <font>
      <b/>
      <sz val="10"/>
      <name val="Tahoma"/>
      <family val="2"/>
    </font>
    <font>
      <sz val="22"/>
      <name val="Tahoma"/>
      <family val="2"/>
    </font>
    <font>
      <sz val="10"/>
      <name val="Tahoma"/>
      <family val="2"/>
    </font>
    <font>
      <b/>
      <sz val="18"/>
      <color indexed="56"/>
      <name val="Cambria"/>
      <family val="2"/>
    </font>
    <font>
      <b/>
      <sz val="18"/>
      <color indexed="49"/>
      <name val="Cambria"/>
      <family val="2"/>
    </font>
    <font>
      <b/>
      <sz val="10"/>
      <color theme="1"/>
      <name val="Arial"/>
      <family val="2"/>
    </font>
    <font>
      <b/>
      <sz val="10"/>
      <color theme="1"/>
      <name val="Cambria"/>
      <family val="2"/>
    </font>
    <font>
      <sz val="12"/>
      <name val="Arial Black"/>
      <family val="2"/>
    </font>
    <font>
      <sz val="11"/>
      <color indexed="10"/>
      <name val="Calibri"/>
      <family val="2"/>
    </font>
    <font>
      <sz val="11"/>
      <color indexed="14"/>
      <name val="Calibri"/>
      <family val="2"/>
    </font>
    <font>
      <sz val="10"/>
      <color rgb="FFFF0000"/>
      <name val="Arial"/>
      <family val="2"/>
    </font>
    <font>
      <sz val="10"/>
      <color indexed="8"/>
      <name val="楲污瑡潩⁮"/>
    </font>
    <font>
      <sz val="12"/>
      <name val="Palatino Linotype"/>
      <family val="1"/>
    </font>
    <font>
      <sz val="10"/>
      <name val="Arial"/>
      <family val="2"/>
    </font>
    <font>
      <b/>
      <i/>
      <vertAlign val="superscript"/>
      <sz val="10.5"/>
      <color rgb="FF000000"/>
      <name val="Times New Roman"/>
      <family val="1"/>
    </font>
    <font>
      <b/>
      <sz val="11"/>
      <name val="Calibri"/>
      <family val="2"/>
    </font>
    <font>
      <i/>
      <sz val="13"/>
      <name val="Times New Roman"/>
      <family val="1"/>
    </font>
    <font>
      <sz val="11"/>
      <name val="Calibri"/>
      <family val="2"/>
      <scheme val="minor"/>
    </font>
    <font>
      <vertAlign val="superscript"/>
      <sz val="10"/>
      <name val="Arial"/>
      <family val="2"/>
    </font>
    <font>
      <b/>
      <vertAlign val="superscript"/>
      <sz val="11"/>
      <name val="Calibri"/>
      <family val="2"/>
    </font>
    <font>
      <sz val="11"/>
      <name val="Calibri"/>
      <family val="2"/>
    </font>
    <font>
      <i/>
      <sz val="13"/>
      <color indexed="8"/>
      <name val="Times New Roman"/>
      <family val="1"/>
    </font>
    <font>
      <sz val="12"/>
      <color indexed="9"/>
      <name val="Palatino"/>
      <family val="1"/>
    </font>
    <font>
      <b/>
      <sz val="12"/>
      <color indexed="9"/>
      <name val="Times New Roman"/>
      <family val="1"/>
    </font>
    <font>
      <b/>
      <i/>
      <sz val="12"/>
      <color indexed="9"/>
      <name val="Times New Roman"/>
      <family val="1"/>
    </font>
    <font>
      <b/>
      <sz val="12"/>
      <color indexed="9"/>
      <name val="Palatino"/>
    </font>
    <font>
      <sz val="11"/>
      <name val="Times New Roman"/>
      <family val="1"/>
    </font>
    <font>
      <sz val="11"/>
      <color theme="1"/>
      <name val="Times New Roman"/>
      <family val="1"/>
    </font>
    <font>
      <b/>
      <sz val="12"/>
      <name val="Palatino Linotype"/>
      <family val="1"/>
    </font>
    <font>
      <sz val="8"/>
      <name val="Calibri"/>
      <family val="2"/>
      <scheme val="minor"/>
    </font>
    <font>
      <sz val="12"/>
      <color rgb="FF006100"/>
      <name val="Calibri"/>
      <family val="2"/>
      <scheme val="minor"/>
    </font>
    <font>
      <b/>
      <sz val="10"/>
      <color theme="0"/>
      <name val="Calibri"/>
      <family val="2"/>
      <scheme val="minor"/>
    </font>
    <font>
      <b/>
      <sz val="11"/>
      <name val="Calibri"/>
      <family val="2"/>
      <scheme val="minor"/>
    </font>
    <font>
      <strike/>
      <sz val="8"/>
      <name val="Calibri"/>
      <family val="2"/>
      <scheme val="minor"/>
    </font>
    <font>
      <sz val="9"/>
      <color theme="1"/>
      <name val="Calibri"/>
      <family val="2"/>
      <scheme val="minor"/>
    </font>
    <font>
      <sz val="12"/>
      <color rgb="FF9C6500"/>
      <name val="Calibri"/>
      <family val="2"/>
      <scheme val="minor"/>
    </font>
    <font>
      <sz val="10"/>
      <color theme="1"/>
      <name val="Calibri"/>
      <family val="2"/>
      <scheme val="minor"/>
    </font>
    <font>
      <sz val="9"/>
      <name val="Calibri"/>
      <family val="2"/>
    </font>
    <font>
      <sz val="9"/>
      <name val="Palatino"/>
      <family val="1"/>
    </font>
    <font>
      <b/>
      <sz val="10"/>
      <color rgb="FF000000"/>
      <name val="Arial"/>
      <family val="2"/>
    </font>
    <font>
      <b/>
      <sz val="10"/>
      <color rgb="FFFF0000"/>
      <name val="Arial"/>
      <family val="2"/>
    </font>
    <font>
      <vertAlign val="superscript"/>
      <sz val="11"/>
      <color theme="1"/>
      <name val="Calibri"/>
      <family val="2"/>
      <scheme val="minor"/>
    </font>
  </fonts>
  <fills count="178">
    <fill>
      <patternFill patternType="none"/>
    </fill>
    <fill>
      <patternFill patternType="gray125"/>
    </fill>
    <fill>
      <patternFill patternType="solid">
        <fgColor indexed="45"/>
      </patternFill>
    </fill>
    <fill>
      <patternFill patternType="solid">
        <fgColor indexed="52"/>
      </patternFill>
    </fill>
    <fill>
      <patternFill patternType="solid">
        <fgColor indexed="62"/>
      </patternFill>
    </fill>
    <fill>
      <patternFill patternType="solid">
        <fgColor indexed="44"/>
        <bgColor indexed="64"/>
      </patternFill>
    </fill>
    <fill>
      <patternFill patternType="solid">
        <fgColor indexed="55"/>
      </patternFill>
    </fill>
    <fill>
      <patternFill patternType="solid">
        <fgColor indexed="49"/>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42"/>
        <bgColor indexed="64"/>
      </patternFill>
    </fill>
    <fill>
      <patternFill patternType="solid">
        <fgColor indexed="14"/>
        <bgColor indexed="64"/>
      </patternFill>
    </fill>
    <fill>
      <patternFill patternType="solid">
        <fgColor indexed="55"/>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13"/>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indexed="35"/>
        <bgColor indexed="64"/>
      </patternFill>
    </fill>
    <fill>
      <patternFill patternType="solid">
        <fgColor rgb="FFCCFFFF"/>
        <bgColor rgb="FF000000"/>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rgb="FF92D050"/>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indexed="44"/>
      </patternFill>
    </fill>
    <fill>
      <patternFill patternType="solid">
        <fgColor indexed="31"/>
      </patternFill>
    </fill>
    <fill>
      <patternFill patternType="solid">
        <fgColor indexed="40"/>
      </patternFill>
    </fill>
    <fill>
      <patternFill patternType="solid">
        <fgColor indexed="29"/>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9"/>
      </patternFill>
    </fill>
    <fill>
      <patternFill patternType="solid">
        <fgColor indexed="35"/>
      </patternFill>
    </fill>
    <fill>
      <patternFill patternType="solid">
        <fgColor indexed="27"/>
      </patternFill>
    </fill>
    <fill>
      <patternFill patternType="solid">
        <fgColor indexed="54"/>
      </patternFill>
    </fill>
    <fill>
      <patternFill patternType="solid">
        <fgColor indexed="43"/>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9"/>
      </patternFill>
    </fill>
    <fill>
      <patternFill patternType="solid">
        <fgColor indexed="35"/>
        <bgColor indexed="35"/>
      </patternFill>
    </fill>
    <fill>
      <patternFill patternType="solid">
        <fgColor indexed="23"/>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solid">
        <fgColor indexed="60"/>
      </patternFill>
    </fill>
    <fill>
      <patternFill patternType="solid">
        <fgColor indexed="9"/>
        <bgColor indexed="43"/>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31"/>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31"/>
        <bgColor indexed="54"/>
      </patternFill>
    </fill>
    <fill>
      <patternFill patternType="solid">
        <fgColor indexed="9"/>
        <bgColor indexed="54"/>
      </patternFill>
    </fill>
    <fill>
      <patternFill patternType="solid">
        <fgColor indexed="9"/>
        <bgColor indexed="40"/>
      </patternFill>
    </fill>
    <fill>
      <patternFill patternType="solid">
        <fgColor indexed="40"/>
        <bgColor indexed="64"/>
      </patternFill>
    </fill>
    <fill>
      <patternFill patternType="solid">
        <fgColor indexed="41"/>
        <bgColor indexed="64"/>
      </patternFill>
    </fill>
    <fill>
      <patternFill patternType="solid">
        <fgColor indexed="9"/>
        <bgColor indexed="41"/>
      </patternFill>
    </fill>
    <fill>
      <patternFill patternType="solid">
        <fgColor rgb="FF33CCCC"/>
        <bgColor rgb="FFFFFFFF"/>
      </patternFill>
    </fill>
    <fill>
      <patternFill patternType="solid">
        <fgColor indexed="30"/>
        <bgColor indexed="40"/>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63"/>
        <bgColor indexed="64"/>
      </patternFill>
    </fill>
    <fill>
      <patternFill patternType="solid">
        <fgColor indexed="62"/>
        <bgColor indexed="64"/>
      </patternFill>
    </fill>
    <fill>
      <patternFill patternType="solid">
        <fgColor theme="4" tint="0.79998168889431442"/>
        <bgColor indexed="64"/>
      </patternFill>
    </fill>
    <fill>
      <patternFill patternType="solid">
        <fgColor theme="4"/>
        <bgColor indexed="64"/>
      </patternFill>
    </fill>
    <fill>
      <patternFill patternType="solid">
        <fgColor rgb="FFFFFF00"/>
        <bgColor indexed="64"/>
      </patternFill>
    </fill>
  </fills>
  <borders count="142">
    <border>
      <left/>
      <right/>
      <top/>
      <bottom/>
      <diagonal/>
    </border>
    <border>
      <left style="thin">
        <color indexed="64"/>
      </left>
      <right style="thin">
        <color indexed="64"/>
      </right>
      <top/>
      <bottom/>
      <diagonal/>
    </border>
    <border>
      <left style="double">
        <color indexed="64"/>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thin">
        <color indexed="64"/>
      </top>
      <bottom style="double">
        <color indexed="64"/>
      </bottom>
      <diagonal/>
    </border>
    <border>
      <left style="thick">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64"/>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ck">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right style="hair">
        <color auto="1"/>
      </right>
      <top/>
      <bottom style="thin">
        <color indexed="64"/>
      </bottom>
      <diagonal/>
    </border>
    <border>
      <left style="hair">
        <color auto="1"/>
      </left>
      <right style="hair">
        <color auto="1"/>
      </right>
      <top/>
      <bottom style="thin">
        <color indexed="64"/>
      </bottom>
      <diagonal/>
    </border>
    <border>
      <left style="hair">
        <color auto="1"/>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hair">
        <color indexed="22"/>
      </left>
      <right style="hair">
        <color indexed="22"/>
      </right>
      <top style="hair">
        <color indexed="22"/>
      </top>
      <bottom style="hair">
        <color indexed="22"/>
      </bottom>
      <diagonal/>
    </border>
    <border>
      <left/>
      <right/>
      <top style="thin">
        <color auto="1"/>
      </top>
      <bottom style="thin">
        <color auto="1"/>
      </bottom>
      <diagonal/>
    </border>
    <border>
      <left/>
      <right/>
      <top/>
      <bottom style="thick">
        <color indexed="62"/>
      </bottom>
      <diagonal/>
    </border>
    <border>
      <left/>
      <right/>
      <top/>
      <bottom style="thick">
        <color indexed="48"/>
      </bottom>
      <diagonal/>
    </border>
    <border>
      <left/>
      <right/>
      <top/>
      <bottom style="thick">
        <color theme="4"/>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58"/>
      </bottom>
      <diagonal/>
    </border>
    <border>
      <left/>
      <right/>
      <top/>
      <bottom style="thick">
        <color indexed="55"/>
      </bottom>
      <diagonal/>
    </border>
    <border>
      <left/>
      <right/>
      <top/>
      <bottom style="thick">
        <color indexed="27"/>
      </bottom>
      <diagonal/>
    </border>
    <border>
      <left/>
      <right/>
      <top/>
      <bottom style="medium">
        <color indexed="30"/>
      </bottom>
      <diagonal/>
    </border>
    <border>
      <left/>
      <right/>
      <top/>
      <bottom style="medium">
        <color indexed="24"/>
      </bottom>
      <diagonal/>
    </border>
    <border>
      <left/>
      <right/>
      <top/>
      <bottom style="medium">
        <color indexed="58"/>
      </bottom>
      <diagonal/>
    </border>
    <border>
      <left/>
      <right/>
      <top/>
      <bottom style="medium">
        <color indexed="55"/>
      </bottom>
      <diagonal/>
    </border>
    <border>
      <left/>
      <right/>
      <top/>
      <bottom style="medium">
        <color indexed="49"/>
      </bottom>
      <diagonal/>
    </border>
    <border>
      <left/>
      <right/>
      <top/>
      <bottom style="medium">
        <color indexed="27"/>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right/>
      <top/>
      <bottom style="double">
        <color indexed="17"/>
      </bottom>
      <diagonal/>
    </border>
    <border>
      <left/>
      <right/>
      <top/>
      <bottom style="double">
        <color indexed="5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4"/>
      </top>
      <bottom style="thin">
        <color indexed="63"/>
      </bottom>
      <diagonal/>
    </border>
    <border>
      <left/>
      <right/>
      <top/>
      <bottom style="medium">
        <color indexed="22"/>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medium">
        <color indexed="22"/>
      </top>
      <bottom style="medium">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51"/>
      </left>
      <right style="thin">
        <color indexed="51"/>
      </right>
      <top/>
      <bottom/>
      <diagonal/>
    </border>
    <border>
      <left style="thin">
        <color auto="1"/>
      </left>
      <right/>
      <top style="thin">
        <color auto="1"/>
      </top>
      <bottom/>
      <diagonal/>
    </border>
    <border>
      <left style="thin">
        <color auto="1"/>
      </left>
      <right style="thin">
        <color auto="1"/>
      </right>
      <top/>
      <bottom/>
      <diagonal/>
    </border>
    <border>
      <left style="medium">
        <color indexed="9"/>
      </left>
      <right style="medium">
        <color indexed="9"/>
      </right>
      <top style="medium">
        <color indexed="9"/>
      </top>
      <bottom style="medium">
        <color indexed="9"/>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right/>
      <top style="thin">
        <color auto="1"/>
      </top>
      <bottom style="medium">
        <color auto="1"/>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top style="double">
        <color indexed="0"/>
      </top>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theme="4"/>
      </top>
      <bottom style="double">
        <color theme="4"/>
      </bottom>
      <diagonal/>
    </border>
    <border>
      <left/>
      <right/>
      <top style="thin">
        <color auto="1"/>
      </top>
      <bottom style="double">
        <color auto="1"/>
      </bottom>
      <diagonal/>
    </border>
    <border>
      <left/>
      <right/>
      <top style="thin">
        <color indexed="49"/>
      </top>
      <bottom style="double">
        <color indexed="49"/>
      </bottom>
      <diagonal/>
    </border>
    <border>
      <left style="thin">
        <color auto="1"/>
      </left>
      <right style="thin">
        <color auto="1"/>
      </right>
      <top style="thin">
        <color auto="1"/>
      </top>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ck">
        <color indexed="64"/>
      </left>
      <right/>
      <top style="double">
        <color indexed="64"/>
      </top>
      <bottom/>
      <diagonal/>
    </border>
    <border>
      <left/>
      <right/>
      <top style="double">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ck">
        <color indexed="64"/>
      </left>
      <right/>
      <top/>
      <bottom style="thin">
        <color indexed="64"/>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diagonal/>
    </border>
    <border>
      <left/>
      <right style="thin">
        <color indexed="64"/>
      </right>
      <top style="medium">
        <color indexed="64"/>
      </top>
      <bottom style="medium">
        <color indexed="64"/>
      </bottom>
      <diagonal/>
    </border>
    <border>
      <left style="thick">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24994659260841701"/>
      </bottom>
      <diagonal/>
    </border>
  </borders>
  <cellStyleXfs count="61205">
    <xf numFmtId="0" fontId="0" fillId="0" borderId="0"/>
    <xf numFmtId="0" fontId="15" fillId="0" borderId="0" applyNumberFormat="0" applyFill="0" applyBorder="0" applyAlignment="0" applyProtection="0">
      <alignment vertical="top"/>
    </xf>
    <xf numFmtId="0" fontId="16" fillId="0" borderId="0" applyNumberFormat="0" applyFill="0" applyBorder="0" applyAlignment="0" applyProtection="0">
      <alignment vertical="top"/>
    </xf>
    <xf numFmtId="0" fontId="13" fillId="0" borderId="0" applyNumberFormat="0" applyFill="0" applyBorder="0" applyAlignment="0" applyProtection="0"/>
    <xf numFmtId="0" fontId="17" fillId="0" borderId="0" applyNumberFormat="0" applyFill="0" applyBorder="0" applyAlignment="0" applyProtection="0">
      <alignment vertical="top"/>
    </xf>
    <xf numFmtId="0" fontId="19" fillId="0" borderId="0" applyNumberFormat="0" applyFill="0" applyBorder="0" applyAlignment="0" applyProtection="0">
      <alignment vertical="top"/>
      <protection locked="0"/>
    </xf>
    <xf numFmtId="0" fontId="13" fillId="0" borderId="0" applyNumberFormat="0" applyFill="0" applyBorder="0" applyAlignment="0" applyProtection="0"/>
    <xf numFmtId="168" fontId="14" fillId="5" borderId="2">
      <alignment horizontal="center" vertical="center"/>
    </xf>
    <xf numFmtId="49" fontId="13" fillId="0" borderId="1"/>
    <xf numFmtId="3" fontId="20" fillId="0" borderId="0" applyFill="0" applyBorder="0" applyProtection="0">
      <alignment horizontal="right"/>
    </xf>
    <xf numFmtId="174" fontId="21" fillId="0" borderId="0" applyFill="0" applyBorder="0" applyAlignment="0"/>
    <xf numFmtId="49" fontId="13" fillId="0" borderId="1"/>
    <xf numFmtId="164" fontId="13" fillId="0" borderId="0" applyFont="0" applyFill="0" applyBorder="0" applyAlignment="0" applyProtection="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3" fontId="13" fillId="0" borderId="0" applyFont="0" applyFill="0" applyBorder="0" applyAlignment="0" applyProtection="0"/>
    <xf numFmtId="0" fontId="22" fillId="0" borderId="0" applyNumberFormat="0" applyAlignment="0">
      <alignment horizontal="left"/>
    </xf>
    <xf numFmtId="176" fontId="13" fillId="0" borderId="0" applyFont="0" applyFill="0" applyBorder="0" applyAlignment="0" applyProtection="0"/>
    <xf numFmtId="177" fontId="23" fillId="0" borderId="0" applyFont="0" applyFill="0" applyBorder="0" applyAlignment="0" applyProtection="0"/>
    <xf numFmtId="0" fontId="13" fillId="0" borderId="0" applyFont="0" applyFill="0" applyBorder="0" applyAlignment="0" applyProtection="0"/>
    <xf numFmtId="14" fontId="13" fillId="0" borderId="0" applyFont="0" applyFill="0" applyBorder="0" applyAlignment="0" applyProtection="0"/>
    <xf numFmtId="172" fontId="13" fillId="7" borderId="0">
      <alignment horizontal="center"/>
    </xf>
    <xf numFmtId="0" fontId="13" fillId="0" borderId="1"/>
    <xf numFmtId="178" fontId="24" fillId="0" borderId="0">
      <alignment horizontal="right"/>
      <protection locked="0"/>
    </xf>
    <xf numFmtId="0" fontId="25" fillId="0" borderId="0" applyNumberFormat="0" applyAlignment="0">
      <alignment horizontal="left"/>
    </xf>
    <xf numFmtId="0" fontId="13" fillId="0" borderId="1">
      <alignment horizontal="left"/>
    </xf>
    <xf numFmtId="2" fontId="13" fillId="0" borderId="0" applyFont="0" applyFill="0" applyBorder="0" applyAlignment="0" applyProtection="0"/>
    <xf numFmtId="165" fontId="23" fillId="0" borderId="0" applyFont="0" applyFill="0" applyBorder="0" applyAlignment="0" applyProtection="0"/>
    <xf numFmtId="179" fontId="13" fillId="0" borderId="0" applyFont="0" applyFill="0" applyBorder="0" applyAlignment="0" applyProtection="0">
      <alignment horizontal="center"/>
    </xf>
    <xf numFmtId="38" fontId="26" fillId="8" borderId="0" applyNumberFormat="0" applyBorder="0" applyAlignment="0" applyProtection="0"/>
    <xf numFmtId="0" fontId="27" fillId="0" borderId="0" applyNumberFormat="0" applyFill="0" applyBorder="0" applyAlignment="0" applyProtection="0"/>
    <xf numFmtId="0" fontId="28" fillId="0" borderId="3" applyNumberFormat="0" applyAlignment="0" applyProtection="0">
      <alignment horizontal="left" vertical="center"/>
    </xf>
    <xf numFmtId="0" fontId="28" fillId="0" borderId="4">
      <alignment horizontal="left" vertical="center"/>
    </xf>
    <xf numFmtId="0" fontId="29" fillId="0" borderId="0" applyNumberFormat="0" applyFont="0" applyFill="0" applyBorder="0" applyProtection="0"/>
    <xf numFmtId="0" fontId="30" fillId="0" borderId="0" applyNumberFormat="0" applyFont="0" applyFill="0" applyBorder="0" applyProtection="0"/>
    <xf numFmtId="167" fontId="13" fillId="0" borderId="0">
      <protection locked="0"/>
    </xf>
    <xf numFmtId="167" fontId="13" fillId="0" borderId="0">
      <protection locked="0"/>
    </xf>
    <xf numFmtId="170" fontId="18" fillId="0" borderId="0" applyFont="0" applyFill="0" applyBorder="0" applyAlignment="0" applyProtection="0">
      <alignment horizontal="center"/>
    </xf>
    <xf numFmtId="0" fontId="31" fillId="0" borderId="5" applyNumberFormat="0" applyFill="0" applyAlignment="0" applyProtection="0"/>
    <xf numFmtId="10" fontId="26" fillId="9" borderId="6" applyNumberFormat="0" applyBorder="0" applyAlignment="0" applyProtection="0"/>
    <xf numFmtId="0" fontId="13" fillId="10" borderId="1" applyNumberFormat="0">
      <alignment horizontal="left" vertical="top"/>
    </xf>
    <xf numFmtId="0" fontId="13" fillId="0" borderId="1">
      <alignment horizontal="left"/>
    </xf>
    <xf numFmtId="0" fontId="13" fillId="0" borderId="1"/>
    <xf numFmtId="37" fontId="32" fillId="0" borderId="0"/>
    <xf numFmtId="169" fontId="33"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5" fillId="0" borderId="0"/>
    <xf numFmtId="49" fontId="36" fillId="0" borderId="0" applyAlignment="0">
      <alignment horizontal="left" vertical="top"/>
    </xf>
    <xf numFmtId="8" fontId="13" fillId="0" borderId="1"/>
    <xf numFmtId="171" fontId="13" fillId="0" borderId="1">
      <alignment horizontal="right"/>
    </xf>
    <xf numFmtId="180" fontId="37" fillId="0" borderId="7">
      <alignment vertical="center"/>
    </xf>
    <xf numFmtId="10" fontId="13" fillId="0" borderId="1"/>
    <xf numFmtId="9" fontId="13" fillId="0" borderId="0" applyFont="0" applyFill="0" applyBorder="0" applyAlignment="0" applyProtection="0"/>
    <xf numFmtId="10" fontId="13" fillId="0" borderId="0" applyFont="0" applyFill="0" applyBorder="0" applyAlignment="0" applyProtection="0"/>
    <xf numFmtId="173" fontId="13" fillId="0" borderId="1">
      <alignment horizontal="center"/>
    </xf>
    <xf numFmtId="0" fontId="38" fillId="0" borderId="0" applyNumberFormat="0" applyFill="0" applyBorder="0" applyAlignment="0"/>
    <xf numFmtId="166" fontId="20" fillId="0" borderId="0" applyFill="0" applyBorder="0" applyProtection="0">
      <alignment horizontal="right"/>
    </xf>
    <xf numFmtId="14" fontId="39" fillId="0" borderId="0" applyNumberFormat="0" applyFill="0" applyBorder="0" applyAlignment="0" applyProtection="0">
      <alignment horizontal="left"/>
    </xf>
    <xf numFmtId="8" fontId="13" fillId="0" borderId="1"/>
    <xf numFmtId="0" fontId="13" fillId="0" borderId="1">
      <alignment horizontal="right"/>
    </xf>
    <xf numFmtId="49" fontId="13" fillId="0" borderId="1"/>
    <xf numFmtId="49" fontId="28" fillId="0" borderId="0" applyAlignment="0">
      <alignment horizontal="left" vertical="top"/>
    </xf>
    <xf numFmtId="40" fontId="40" fillId="0" borderId="0" applyBorder="0">
      <alignment horizontal="right"/>
    </xf>
    <xf numFmtId="49" fontId="41" fillId="0" borderId="7">
      <alignment vertical="center"/>
    </xf>
    <xf numFmtId="0" fontId="13" fillId="0" borderId="8" applyNumberFormat="0" applyFill="0" applyBorder="0" applyAlignment="0" applyProtection="0"/>
    <xf numFmtId="37" fontId="26" fillId="11" borderId="0" applyNumberFormat="0" applyBorder="0" applyAlignment="0" applyProtection="0"/>
    <xf numFmtId="37" fontId="42" fillId="0" borderId="0"/>
    <xf numFmtId="3" fontId="43" fillId="0" borderId="5" applyProtection="0"/>
    <xf numFmtId="0" fontId="44" fillId="0" borderId="0" applyFill="0" applyBorder="0" applyAlignment="0"/>
    <xf numFmtId="0" fontId="18" fillId="0" borderId="9" applyNumberFormat="0" applyAlignment="0"/>
    <xf numFmtId="0" fontId="18" fillId="0" borderId="1" applyNumberFormat="0" applyAlignment="0"/>
    <xf numFmtId="0" fontId="18" fillId="0" borderId="10" applyNumberFormat="0" applyAlignment="0">
      <alignment horizontal="center"/>
    </xf>
    <xf numFmtId="0" fontId="45" fillId="12" borderId="0" applyBorder="0">
      <alignment horizontal="center"/>
    </xf>
    <xf numFmtId="0" fontId="13" fillId="11" borderId="0" applyBorder="0"/>
    <xf numFmtId="0" fontId="13" fillId="0" borderId="0" applyBorder="0"/>
    <xf numFmtId="166" fontId="45" fillId="13" borderId="0" applyBorder="0"/>
    <xf numFmtId="0" fontId="13" fillId="14" borderId="0" applyBorder="0"/>
    <xf numFmtId="0" fontId="13" fillId="15" borderId="0" applyBorder="0"/>
    <xf numFmtId="0" fontId="13" fillId="14" borderId="0" applyBorder="0">
      <alignment wrapText="1"/>
    </xf>
    <xf numFmtId="166" fontId="45" fillId="15" borderId="0" applyBorder="0"/>
    <xf numFmtId="166" fontId="45" fillId="16" borderId="0" applyBorder="0"/>
    <xf numFmtId="166" fontId="13" fillId="14" borderId="0" applyBorder="0"/>
    <xf numFmtId="0" fontId="13" fillId="17" borderId="0" applyBorder="0"/>
    <xf numFmtId="166" fontId="13" fillId="18" borderId="0" applyBorder="0"/>
    <xf numFmtId="0" fontId="13" fillId="19" borderId="0" applyBorder="0"/>
    <xf numFmtId="0" fontId="46" fillId="20" borderId="0" applyBorder="0"/>
    <xf numFmtId="0" fontId="45" fillId="16" borderId="0" applyNumberFormat="0" applyBorder="0" applyAlignment="0"/>
    <xf numFmtId="0" fontId="45" fillId="2" borderId="0" applyNumberFormat="0" applyBorder="0" applyAlignment="0"/>
    <xf numFmtId="0" fontId="45" fillId="6" borderId="0" applyNumberFormat="0" applyBorder="0" applyAlignment="0"/>
    <xf numFmtId="0" fontId="45" fillId="21" borderId="0" applyNumberFormat="0" applyBorder="0" applyAlignment="0"/>
    <xf numFmtId="0" fontId="45" fillId="22" borderId="0" applyNumberFormat="0" applyBorder="0" applyAlignment="0"/>
    <xf numFmtId="0" fontId="45" fillId="4" borderId="0" applyNumberFormat="0" applyBorder="0" applyAlignment="0"/>
    <xf numFmtId="0" fontId="45" fillId="23" borderId="0" applyNumberFormat="0" applyBorder="0" applyAlignment="0"/>
    <xf numFmtId="1" fontId="45" fillId="19" borderId="6" applyNumberFormat="0" applyAlignment="0">
      <alignment horizontal="center"/>
    </xf>
    <xf numFmtId="1" fontId="45" fillId="5" borderId="6" applyNumberFormat="0" applyAlignment="0">
      <alignment horizontal="left"/>
    </xf>
    <xf numFmtId="0" fontId="45" fillId="5" borderId="6" applyNumberFormat="0" applyAlignment="0"/>
    <xf numFmtId="0" fontId="13" fillId="0" borderId="1">
      <alignment horizontal="center"/>
    </xf>
    <xf numFmtId="49" fontId="13" fillId="3" borderId="1">
      <alignment horizontal="center"/>
    </xf>
    <xf numFmtId="0" fontId="12" fillId="0" borderId="0"/>
    <xf numFmtId="43" fontId="12" fillId="0" borderId="0" applyFont="0" applyFill="0" applyBorder="0" applyAlignment="0" applyProtection="0"/>
    <xf numFmtId="182" fontId="13" fillId="0" borderId="0" applyFont="0" applyFill="0" applyBorder="0" applyAlignment="0" applyProtection="0"/>
    <xf numFmtId="44" fontId="1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8" fontId="14" fillId="5" borderId="2">
      <alignment horizontal="center" vertical="center"/>
    </xf>
    <xf numFmtId="49" fontId="13" fillId="0" borderId="1"/>
    <xf numFmtId="49" fontId="13" fillId="0" borderId="1"/>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3" fontId="13" fillId="0" borderId="0" applyFont="0" applyFill="0" applyBorder="0" applyAlignment="0" applyProtection="0"/>
    <xf numFmtId="0" fontId="22" fillId="0" borderId="0" applyNumberFormat="0" applyAlignment="0">
      <alignment horizontal="left"/>
    </xf>
    <xf numFmtId="176" fontId="13" fillId="0" borderId="0" applyFont="0" applyFill="0" applyBorder="0" applyAlignment="0" applyProtection="0"/>
    <xf numFmtId="177" fontId="2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0" fontId="13" fillId="0" borderId="0" applyFont="0" applyFill="0" applyBorder="0" applyAlignment="0" applyProtection="0"/>
    <xf numFmtId="14" fontId="13" fillId="0" borderId="0" applyFont="0" applyFill="0" applyBorder="0" applyAlignment="0" applyProtection="0"/>
    <xf numFmtId="172" fontId="13" fillId="7" borderId="0">
      <alignment horizontal="center"/>
    </xf>
    <xf numFmtId="0" fontId="25" fillId="0" borderId="0" applyNumberFormat="0" applyAlignment="0">
      <alignment horizontal="left"/>
    </xf>
    <xf numFmtId="2" fontId="13" fillId="0" borderId="0" applyFont="0" applyFill="0" applyBorder="0" applyAlignment="0" applyProtection="0"/>
    <xf numFmtId="165" fontId="23" fillId="0" borderId="0" applyFont="0" applyFill="0" applyBorder="0" applyAlignment="0" applyProtection="0"/>
    <xf numFmtId="179" fontId="13" fillId="0" borderId="0" applyFont="0" applyFill="0" applyBorder="0" applyAlignment="0" applyProtection="0">
      <alignment horizontal="center"/>
    </xf>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8" fillId="0" borderId="0" applyNumberFormat="0" applyFont="0" applyFill="0" applyBorder="0" applyProtection="0"/>
    <xf numFmtId="0" fontId="28" fillId="0" borderId="0" applyNumberFormat="0" applyFont="0" applyFill="0" applyBorder="0" applyProtection="0"/>
    <xf numFmtId="0" fontId="28" fillId="0" borderId="0" applyNumberFormat="0" applyFont="0" applyFill="0" applyBorder="0" applyProtection="0"/>
    <xf numFmtId="167" fontId="13" fillId="0" borderId="0">
      <protection locked="0"/>
    </xf>
    <xf numFmtId="167" fontId="13" fillId="0" borderId="0">
      <protection locked="0"/>
    </xf>
    <xf numFmtId="170" fontId="13" fillId="0" borderId="0" applyFont="0" applyFill="0" applyBorder="0" applyAlignment="0" applyProtection="0">
      <alignment horizontal="center"/>
    </xf>
    <xf numFmtId="0" fontId="13" fillId="0" borderId="1"/>
    <xf numFmtId="37" fontId="32" fillId="0" borderId="0"/>
    <xf numFmtId="169" fontId="33" fillId="0" borderId="0"/>
    <xf numFmtId="0" fontId="63" fillId="0" borderId="0"/>
    <xf numFmtId="0" fontId="63" fillId="0" borderId="0"/>
    <xf numFmtId="0" fontId="63" fillId="0" borderId="0"/>
    <xf numFmtId="0" fontId="13" fillId="0" borderId="0"/>
    <xf numFmtId="0" fontId="63" fillId="0" borderId="0"/>
    <xf numFmtId="0" fontId="13" fillId="0" borderId="0"/>
    <xf numFmtId="0" fontId="13" fillId="0" borderId="0"/>
    <xf numFmtId="0" fontId="13" fillId="0" borderId="0"/>
    <xf numFmtId="0" fontId="63" fillId="0" borderId="0"/>
    <xf numFmtId="0" fontId="63" fillId="0" borderId="0"/>
    <xf numFmtId="0" fontId="13" fillId="0" borderId="0"/>
    <xf numFmtId="0" fontId="13" fillId="0" borderId="0"/>
    <xf numFmtId="0" fontId="13" fillId="0" borderId="0"/>
    <xf numFmtId="0" fontId="63" fillId="0" borderId="0"/>
    <xf numFmtId="0" fontId="6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64" fillId="0" borderId="0"/>
    <xf numFmtId="0" fontId="64" fillId="0" borderId="0"/>
    <xf numFmtId="0" fontId="63" fillId="0" borderId="0"/>
    <xf numFmtId="0" fontId="13" fillId="0" borderId="0"/>
    <xf numFmtId="0" fontId="64" fillId="0" borderId="0"/>
    <xf numFmtId="0" fontId="63" fillId="0" borderId="0"/>
    <xf numFmtId="0" fontId="13" fillId="0" borderId="0"/>
    <xf numFmtId="0" fontId="64" fillId="0" borderId="0"/>
    <xf numFmtId="0" fontId="63" fillId="0" borderId="0"/>
    <xf numFmtId="0" fontId="63" fillId="0" borderId="0"/>
    <xf numFmtId="0" fontId="6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63" fillId="0" borderId="0"/>
    <xf numFmtId="0" fontId="63" fillId="0" borderId="0"/>
    <xf numFmtId="0" fontId="63" fillId="0" borderId="0"/>
    <xf numFmtId="0" fontId="63" fillId="0" borderId="0"/>
    <xf numFmtId="0" fontId="13" fillId="0" borderId="0"/>
    <xf numFmtId="0" fontId="63" fillId="0" borderId="0"/>
    <xf numFmtId="0" fontId="63" fillId="0" borderId="0"/>
    <xf numFmtId="0" fontId="35" fillId="0" borderId="0"/>
    <xf numFmtId="0" fontId="35" fillId="0" borderId="0"/>
    <xf numFmtId="0" fontId="12" fillId="0" borderId="0"/>
    <xf numFmtId="0" fontId="35" fillId="0" borderId="0"/>
    <xf numFmtId="0" fontId="63" fillId="0" borderId="0"/>
    <xf numFmtId="0" fontId="1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2" fillId="0" borderId="0"/>
    <xf numFmtId="0" fontId="63" fillId="0" borderId="0"/>
    <xf numFmtId="0" fontId="12" fillId="0" borderId="0"/>
    <xf numFmtId="0" fontId="63" fillId="0" borderId="0"/>
    <xf numFmtId="0" fontId="63" fillId="0" borderId="0"/>
    <xf numFmtId="0" fontId="63" fillId="0" borderId="0"/>
    <xf numFmtId="0" fontId="13" fillId="0" borderId="0"/>
    <xf numFmtId="0" fontId="63" fillId="0" borderId="0"/>
    <xf numFmtId="0" fontId="13" fillId="0" borderId="0"/>
    <xf numFmtId="0" fontId="63" fillId="0" borderId="0"/>
    <xf numFmtId="0" fontId="12" fillId="0" borderId="0"/>
    <xf numFmtId="0" fontId="12" fillId="0" borderId="0"/>
    <xf numFmtId="0" fontId="63" fillId="0" borderId="0"/>
    <xf numFmtId="0" fontId="63" fillId="0" borderId="0"/>
    <xf numFmtId="0" fontId="13" fillId="0" borderId="0"/>
    <xf numFmtId="0" fontId="63" fillId="0" borderId="0"/>
    <xf numFmtId="0" fontId="12" fillId="0" borderId="0"/>
    <xf numFmtId="0" fontId="63" fillId="0" borderId="0"/>
    <xf numFmtId="0" fontId="13" fillId="0" borderId="0"/>
    <xf numFmtId="0" fontId="63" fillId="0" borderId="0"/>
    <xf numFmtId="0" fontId="63" fillId="0" borderId="0"/>
    <xf numFmtId="0" fontId="63" fillId="0" borderId="0"/>
    <xf numFmtId="0" fontId="13" fillId="0" borderId="0"/>
    <xf numFmtId="0" fontId="13" fillId="0" borderId="0"/>
    <xf numFmtId="0" fontId="63" fillId="0" borderId="0"/>
    <xf numFmtId="10"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1" fillId="11" borderId="20" applyNumberFormat="0" applyProtection="0">
      <alignment vertical="center"/>
    </xf>
    <xf numFmtId="4" fontId="21" fillId="24" borderId="20" applyNumberFormat="0" applyProtection="0">
      <alignment horizontal="right" vertical="center"/>
    </xf>
    <xf numFmtId="49" fontId="13" fillId="0" borderId="1"/>
    <xf numFmtId="0" fontId="13" fillId="0" borderId="8" applyNumberFormat="0" applyFill="0" applyBorder="0" applyAlignment="0" applyProtection="0"/>
    <xf numFmtId="0" fontId="13" fillId="0" borderId="8" applyNumberFormat="0" applyFill="0" applyBorder="0" applyAlignment="0" applyProtection="0"/>
    <xf numFmtId="0" fontId="13" fillId="0" borderId="8" applyNumberFormat="0" applyFill="0" applyBorder="0" applyAlignment="0" applyProtection="0"/>
    <xf numFmtId="37" fontId="26" fillId="0" borderId="0"/>
    <xf numFmtId="0" fontId="13" fillId="0" borderId="9" applyNumberFormat="0" applyAlignment="0"/>
    <xf numFmtId="0" fontId="13" fillId="0" borderId="1" applyNumberFormat="0" applyAlignment="0"/>
    <xf numFmtId="0" fontId="13" fillId="0" borderId="10" applyNumberFormat="0" applyAlignment="0">
      <alignment horizontal="center"/>
    </xf>
    <xf numFmtId="0" fontId="13" fillId="11" borderId="0" applyBorder="0"/>
    <xf numFmtId="0" fontId="13" fillId="0" borderId="0" applyBorder="0"/>
    <xf numFmtId="0" fontId="13" fillId="14" borderId="0" applyBorder="0"/>
    <xf numFmtId="0" fontId="13" fillId="15" borderId="0" applyBorder="0"/>
    <xf numFmtId="0" fontId="13" fillId="14" borderId="0" applyBorder="0">
      <alignment wrapText="1"/>
    </xf>
    <xf numFmtId="166" fontId="13" fillId="14" borderId="0" applyBorder="0"/>
    <xf numFmtId="0" fontId="13" fillId="17" borderId="0" applyBorder="0"/>
    <xf numFmtId="166" fontId="13" fillId="18" borderId="0" applyBorder="0"/>
    <xf numFmtId="0" fontId="13" fillId="19" borderId="0" applyBorder="0"/>
    <xf numFmtId="0" fontId="11" fillId="0" borderId="0"/>
    <xf numFmtId="44" fontId="1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9" fillId="0" borderId="0" applyFont="0" applyFill="0" applyBorder="0" applyAlignment="0" applyProtection="0"/>
    <xf numFmtId="0" fontId="8" fillId="0" borderId="0"/>
    <xf numFmtId="0" fontId="13" fillId="0" borderId="0"/>
    <xf numFmtId="44" fontId="8" fillId="0" borderId="0" applyFont="0" applyFill="0" applyBorder="0" applyAlignment="0" applyProtection="0"/>
    <xf numFmtId="43" fontId="8" fillId="0" borderId="0" applyFont="0" applyFill="0" applyBorder="0" applyAlignment="0" applyProtection="0"/>
    <xf numFmtId="0" fontId="13" fillId="0" borderId="0"/>
    <xf numFmtId="0" fontId="13" fillId="0" borderId="0"/>
    <xf numFmtId="0" fontId="7" fillId="0" borderId="0"/>
    <xf numFmtId="164" fontId="13" fillId="0" borderId="0" applyFont="0" applyFill="0" applyBorder="0" applyAlignment="0" applyProtection="0"/>
    <xf numFmtId="44" fontId="35" fillId="0" borderId="0" applyFon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188" fontId="13" fillId="0" borderId="0" applyFont="0" applyFill="0" applyBorder="0" applyAlignment="0" applyProtection="0"/>
    <xf numFmtId="0" fontId="103" fillId="0" borderId="0"/>
    <xf numFmtId="0" fontId="13" fillId="0" borderId="0"/>
    <xf numFmtId="0" fontId="13" fillId="0" borderId="0"/>
    <xf numFmtId="0" fontId="13" fillId="0" borderId="0"/>
    <xf numFmtId="0" fontId="13" fillId="0" borderId="0" applyNumberFormat="0" applyFill="0" applyBorder="0" applyAlignment="0" applyProtection="0"/>
    <xf numFmtId="0" fontId="104" fillId="0" borderId="0"/>
    <xf numFmtId="0" fontId="104" fillId="0" borderId="0"/>
    <xf numFmtId="0" fontId="104" fillId="0" borderId="0"/>
    <xf numFmtId="0" fontId="13" fillId="0" borderId="0"/>
    <xf numFmtId="0" fontId="104" fillId="0" borderId="0"/>
    <xf numFmtId="0" fontId="13" fillId="0" borderId="0"/>
    <xf numFmtId="0" fontId="13" fillId="0" borderId="0"/>
    <xf numFmtId="0" fontId="13" fillId="0" borderId="0" applyFont="0" applyFill="0" applyBorder="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89"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190" fontId="64" fillId="70" borderId="0" applyNumberFormat="0" applyBorder="0" applyAlignment="0" applyProtection="0"/>
    <xf numFmtId="0" fontId="21" fillId="71" borderId="0" applyNumberFormat="0" applyBorder="0" applyAlignment="0" applyProtection="0"/>
    <xf numFmtId="0" fontId="64" fillId="70" borderId="0" applyNumberFormat="0" applyBorder="0" applyAlignment="0" applyProtection="0"/>
    <xf numFmtId="191" fontId="105"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19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189"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19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3"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3" fontId="21" fillId="71" borderId="0" applyNumberFormat="0" applyBorder="0" applyAlignment="0" applyProtection="0"/>
    <xf numFmtId="191" fontId="105" fillId="37" borderId="0" applyNumberFormat="0" applyBorder="0" applyAlignment="0" applyProtection="0"/>
    <xf numFmtId="191" fontId="105" fillId="37" borderId="0" applyNumberFormat="0" applyBorder="0" applyAlignment="0" applyProtection="0"/>
    <xf numFmtId="0" fontId="7" fillId="69"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190" fontId="21" fillId="71"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105" fillId="37" borderId="0" applyNumberFormat="0" applyBorder="0" applyAlignment="0" applyProtection="0"/>
    <xf numFmtId="0" fontId="106"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89"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190" fontId="64" fillId="2" borderId="0" applyNumberFormat="0" applyBorder="0" applyAlignment="0" applyProtection="0"/>
    <xf numFmtId="0" fontId="21" fillId="72" borderId="0" applyNumberFormat="0" applyBorder="0" applyAlignment="0" applyProtection="0"/>
    <xf numFmtId="0" fontId="64" fillId="2" borderId="0" applyNumberFormat="0" applyBorder="0" applyAlignment="0" applyProtection="0"/>
    <xf numFmtId="191" fontId="105"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19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189"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19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3"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3" fontId="21" fillId="72" borderId="0" applyNumberFormat="0" applyBorder="0" applyAlignment="0" applyProtection="0"/>
    <xf numFmtId="191" fontId="105" fillId="41" borderId="0" applyNumberFormat="0" applyBorder="0" applyAlignment="0" applyProtection="0"/>
    <xf numFmtId="191" fontId="105" fillId="41" borderId="0" applyNumberFormat="0" applyBorder="0" applyAlignment="0" applyProtection="0"/>
    <xf numFmtId="0" fontId="7" fillId="72"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190" fontId="21"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105" fillId="41" borderId="0" applyNumberFormat="0" applyBorder="0" applyAlignment="0" applyProtection="0"/>
    <xf numFmtId="0" fontId="106"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89"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190" fontId="64" fillId="74" borderId="0" applyNumberFormat="0" applyBorder="0" applyAlignment="0" applyProtection="0"/>
    <xf numFmtId="0" fontId="21" fillId="73" borderId="0" applyNumberFormat="0" applyBorder="0" applyAlignment="0" applyProtection="0"/>
    <xf numFmtId="0" fontId="64" fillId="74" borderId="0" applyNumberFormat="0" applyBorder="0" applyAlignment="0" applyProtection="0"/>
    <xf numFmtId="191" fontId="105"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19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189"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19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3"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3" fontId="21" fillId="73" borderId="0" applyNumberFormat="0" applyBorder="0" applyAlignment="0" applyProtection="0"/>
    <xf numFmtId="191" fontId="105" fillId="45" borderId="0" applyNumberFormat="0" applyBorder="0" applyAlignment="0" applyProtection="0"/>
    <xf numFmtId="191" fontId="105" fillId="45" borderId="0" applyNumberFormat="0" applyBorder="0" applyAlignment="0" applyProtection="0"/>
    <xf numFmtId="0" fontId="7" fillId="73"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190" fontId="21"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105" fillId="45" borderId="0" applyNumberFormat="0" applyBorder="0" applyAlignment="0" applyProtection="0"/>
    <xf numFmtId="0" fontId="106"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89"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190" fontId="64" fillId="76" borderId="0" applyNumberFormat="0" applyBorder="0" applyAlignment="0" applyProtection="0"/>
    <xf numFmtId="0" fontId="21" fillId="77" borderId="0" applyNumberFormat="0" applyBorder="0" applyAlignment="0" applyProtection="0"/>
    <xf numFmtId="0" fontId="64" fillId="76" borderId="0" applyNumberFormat="0" applyBorder="0" applyAlignment="0" applyProtection="0"/>
    <xf numFmtId="191" fontId="105"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19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189"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19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3"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3" fontId="21" fillId="77" borderId="0" applyNumberFormat="0" applyBorder="0" applyAlignment="0" applyProtection="0"/>
    <xf numFmtId="191" fontId="105" fillId="49" borderId="0" applyNumberFormat="0" applyBorder="0" applyAlignment="0" applyProtection="0"/>
    <xf numFmtId="191" fontId="105" fillId="49" borderId="0" applyNumberFormat="0" applyBorder="0" applyAlignment="0" applyProtection="0"/>
    <xf numFmtId="0" fontId="7" fillId="75"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190" fontId="21" fillId="77"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105" fillId="49" borderId="0" applyNumberFormat="0" applyBorder="0" applyAlignment="0" applyProtection="0"/>
    <xf numFmtId="0" fontId="106"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89"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190" fontId="64" fillId="79" borderId="0" applyNumberFormat="0" applyBorder="0" applyAlignment="0" applyProtection="0"/>
    <xf numFmtId="0" fontId="21" fillId="69" borderId="0" applyNumberFormat="0" applyBorder="0" applyAlignment="0" applyProtection="0"/>
    <xf numFmtId="0" fontId="64" fillId="79" borderId="0" applyNumberFormat="0" applyBorder="0" applyAlignment="0" applyProtection="0"/>
    <xf numFmtId="191" fontId="105"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19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189"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193"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3" fontId="21" fillId="69" borderId="0" applyNumberFormat="0" applyBorder="0" applyAlignment="0" applyProtection="0"/>
    <xf numFmtId="191" fontId="105" fillId="53" borderId="0" applyNumberFormat="0" applyBorder="0" applyAlignment="0" applyProtection="0"/>
    <xf numFmtId="191"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19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105" fillId="53" borderId="0" applyNumberFormat="0" applyBorder="0" applyAlignment="0" applyProtection="0"/>
    <xf numFmtId="0" fontId="106"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89"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190" fontId="64" fillId="75" borderId="0" applyNumberFormat="0" applyBorder="0" applyAlignment="0" applyProtection="0"/>
    <xf numFmtId="0" fontId="21" fillId="2" borderId="0" applyNumberFormat="0" applyBorder="0" applyAlignment="0" applyProtection="0"/>
    <xf numFmtId="0" fontId="64" fillId="75" borderId="0" applyNumberFormat="0" applyBorder="0" applyAlignment="0" applyProtection="0"/>
    <xf numFmtId="191" fontId="105"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19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189"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19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3"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3" fontId="21" fillId="2" borderId="0" applyNumberFormat="0" applyBorder="0" applyAlignment="0" applyProtection="0"/>
    <xf numFmtId="191" fontId="105" fillId="57" borderId="0" applyNumberFormat="0" applyBorder="0" applyAlignment="0" applyProtection="0"/>
    <xf numFmtId="191" fontId="105" fillId="57" borderId="0" applyNumberFormat="0" applyBorder="0" applyAlignment="0" applyProtection="0"/>
    <xf numFmtId="0" fontId="7" fillId="73"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190" fontId="21" fillId="2"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105" fillId="57" borderId="0" applyNumberFormat="0" applyBorder="0" applyAlignment="0" applyProtection="0"/>
    <xf numFmtId="0" fontId="106"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39" fontId="35" fillId="0" borderId="0" applyFont="0" applyFill="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89"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190" fontId="64" fillId="69" borderId="0" applyNumberFormat="0" applyBorder="0" applyAlignment="0" applyProtection="0"/>
    <xf numFmtId="0" fontId="21" fillId="80" borderId="0" applyNumberFormat="0" applyBorder="0" applyAlignment="0" applyProtection="0"/>
    <xf numFmtId="0" fontId="64" fillId="69" borderId="0" applyNumberFormat="0" applyBorder="0" applyAlignment="0" applyProtection="0"/>
    <xf numFmtId="191" fontId="105"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19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189"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19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3"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3" fontId="21" fillId="80" borderId="0" applyNumberFormat="0" applyBorder="0" applyAlignment="0" applyProtection="0"/>
    <xf numFmtId="191" fontId="105" fillId="38" borderId="0" applyNumberFormat="0" applyBorder="0" applyAlignment="0" applyProtection="0"/>
    <xf numFmtId="191" fontId="105" fillId="38" borderId="0" applyNumberFormat="0" applyBorder="0" applyAlignment="0" applyProtection="0"/>
    <xf numFmtId="0" fontId="7" fillId="79"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190" fontId="21" fillId="80"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105" fillId="38" borderId="0" applyNumberFormat="0" applyBorder="0" applyAlignment="0" applyProtection="0"/>
    <xf numFmtId="0" fontId="106"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89"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190" fontId="64" fillId="72" borderId="0" applyNumberFormat="0" applyBorder="0" applyAlignment="0" applyProtection="0"/>
    <xf numFmtId="0" fontId="21" fillId="72" borderId="0" applyNumberFormat="0" applyBorder="0" applyAlignment="0" applyProtection="0"/>
    <xf numFmtId="0" fontId="64" fillId="72" borderId="0" applyNumberFormat="0" applyBorder="0" applyAlignment="0" applyProtection="0"/>
    <xf numFmtId="191" fontId="105"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19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189"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193"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3" fontId="21" fillId="72" borderId="0" applyNumberFormat="0" applyBorder="0" applyAlignment="0" applyProtection="0"/>
    <xf numFmtId="191" fontId="105" fillId="42" borderId="0" applyNumberFormat="0" applyBorder="0" applyAlignment="0" applyProtection="0"/>
    <xf numFmtId="191"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19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105" fillId="42" borderId="0" applyNumberFormat="0" applyBorder="0" applyAlignment="0" applyProtection="0"/>
    <xf numFmtId="0" fontId="106"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89"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190" fontId="64" fillId="82" borderId="0" applyNumberFormat="0" applyBorder="0" applyAlignment="0" applyProtection="0"/>
    <xf numFmtId="0" fontId="21" fillId="83" borderId="0" applyNumberFormat="0" applyBorder="0" applyAlignment="0" applyProtection="0"/>
    <xf numFmtId="0" fontId="64" fillId="82" borderId="0" applyNumberFormat="0" applyBorder="0" applyAlignment="0" applyProtection="0"/>
    <xf numFmtId="191" fontId="105"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19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189"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19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3"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3" fontId="21" fillId="83" borderId="0" applyNumberFormat="0" applyBorder="0" applyAlignment="0" applyProtection="0"/>
    <xf numFmtId="191" fontId="105" fillId="46" borderId="0" applyNumberFormat="0" applyBorder="0" applyAlignment="0" applyProtection="0"/>
    <xf numFmtId="191" fontId="105" fillId="46" borderId="0" applyNumberFormat="0" applyBorder="0" applyAlignment="0" applyProtection="0"/>
    <xf numFmtId="0" fontId="7" fillId="81"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190" fontId="21" fillId="83"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105" fillId="46" borderId="0" applyNumberFormat="0" applyBorder="0" applyAlignment="0" applyProtection="0"/>
    <xf numFmtId="0" fontId="106"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89"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190" fontId="64" fillId="76" borderId="0" applyNumberFormat="0" applyBorder="0" applyAlignment="0" applyProtection="0"/>
    <xf numFmtId="0" fontId="21" fillId="84" borderId="0" applyNumberFormat="0" applyBorder="0" applyAlignment="0" applyProtection="0"/>
    <xf numFmtId="0" fontId="64" fillId="76" borderId="0" applyNumberFormat="0" applyBorder="0" applyAlignment="0" applyProtection="0"/>
    <xf numFmtId="191" fontId="105"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19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189"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19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3"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3" fontId="21" fillId="84" borderId="0" applyNumberFormat="0" applyBorder="0" applyAlignment="0" applyProtection="0"/>
    <xf numFmtId="191" fontId="105" fillId="50" borderId="0" applyNumberFormat="0" applyBorder="0" applyAlignment="0" applyProtection="0"/>
    <xf numFmtId="191" fontId="105" fillId="50" borderId="0" applyNumberFormat="0" applyBorder="0" applyAlignment="0" applyProtection="0"/>
    <xf numFmtId="0" fontId="7" fillId="2"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190" fontId="21" fillId="8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105" fillId="50" borderId="0" applyNumberFormat="0" applyBorder="0" applyAlignment="0" applyProtection="0"/>
    <xf numFmtId="0" fontId="106"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89"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190" fontId="64" fillId="69" borderId="0" applyNumberFormat="0" applyBorder="0" applyAlignment="0" applyProtection="0"/>
    <xf numFmtId="0" fontId="21" fillId="80" borderId="0" applyNumberFormat="0" applyBorder="0" applyAlignment="0" applyProtection="0"/>
    <xf numFmtId="0" fontId="64" fillId="69" borderId="0" applyNumberFormat="0" applyBorder="0" applyAlignment="0" applyProtection="0"/>
    <xf numFmtId="191" fontId="105"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19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189"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19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3"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3" fontId="21" fillId="80" borderId="0" applyNumberFormat="0" applyBorder="0" applyAlignment="0" applyProtection="0"/>
    <xf numFmtId="191" fontId="105" fillId="54" borderId="0" applyNumberFormat="0" applyBorder="0" applyAlignment="0" applyProtection="0"/>
    <xf numFmtId="191" fontId="105" fillId="54" borderId="0" applyNumberFormat="0" applyBorder="0" applyAlignment="0" applyProtection="0"/>
    <xf numFmtId="0" fontId="7" fillId="79"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190" fontId="21" fillId="80"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105" fillId="54" borderId="0" applyNumberFormat="0" applyBorder="0" applyAlignment="0" applyProtection="0"/>
    <xf numFmtId="0" fontId="106"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89"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190" fontId="64" fillId="85" borderId="0" applyNumberFormat="0" applyBorder="0" applyAlignment="0" applyProtection="0"/>
    <xf numFmtId="0" fontId="21" fillId="75" borderId="0" applyNumberFormat="0" applyBorder="0" applyAlignment="0" applyProtection="0"/>
    <xf numFmtId="0" fontId="64" fillId="85" borderId="0" applyNumberFormat="0" applyBorder="0" applyAlignment="0" applyProtection="0"/>
    <xf numFmtId="191" fontId="105"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19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189"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19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3"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3" fontId="21" fillId="75" borderId="0" applyNumberFormat="0" applyBorder="0" applyAlignment="0" applyProtection="0"/>
    <xf numFmtId="191" fontId="105" fillId="58" borderId="0" applyNumberFormat="0" applyBorder="0" applyAlignment="0" applyProtection="0"/>
    <xf numFmtId="191" fontId="105" fillId="58" borderId="0" applyNumberFormat="0" applyBorder="0" applyAlignment="0" applyProtection="0"/>
    <xf numFmtId="0" fontId="7" fillId="73"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190" fontId="21" fillId="7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105" fillId="58" borderId="0" applyNumberFormat="0" applyBorder="0" applyAlignment="0" applyProtection="0"/>
    <xf numFmtId="0" fontId="106"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3" fillId="0" borderId="0" applyFont="0" applyFill="0" applyBorder="0" applyProtection="0"/>
    <xf numFmtId="0" fontId="107" fillId="86" borderId="0" applyNumberFormat="0" applyBorder="0" applyAlignment="0" applyProtection="0"/>
    <xf numFmtId="0" fontId="46" fillId="80"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189" fontId="107" fillId="86" borderId="0" applyNumberFormat="0" applyBorder="0" applyAlignment="0" applyProtection="0"/>
    <xf numFmtId="193" fontId="107" fillId="86" borderId="0" applyNumberFormat="0" applyBorder="0" applyAlignment="0" applyProtection="0"/>
    <xf numFmtId="193" fontId="107" fillId="86" borderId="0" applyNumberFormat="0" applyBorder="0" applyAlignment="0" applyProtection="0"/>
    <xf numFmtId="190" fontId="107" fillId="86" borderId="0" applyNumberFormat="0" applyBorder="0" applyAlignment="0" applyProtection="0"/>
    <xf numFmtId="0" fontId="46" fillId="80" borderId="0" applyNumberFormat="0" applyBorder="0" applyAlignment="0" applyProtection="0"/>
    <xf numFmtId="0" fontId="107" fillId="86" borderId="0" applyNumberFormat="0" applyBorder="0" applyAlignment="0" applyProtection="0"/>
    <xf numFmtId="191" fontId="108" fillId="39" borderId="0" applyNumberFormat="0" applyBorder="0" applyAlignment="0" applyProtection="0"/>
    <xf numFmtId="190" fontId="107" fillId="86" borderId="0" applyNumberFormat="0" applyBorder="0" applyAlignment="0" applyProtection="0"/>
    <xf numFmtId="0" fontId="107" fillId="86" borderId="0" applyNumberFormat="0" applyBorder="0" applyAlignment="0" applyProtection="0"/>
    <xf numFmtId="189" fontId="107" fillId="86" borderId="0" applyNumberFormat="0" applyBorder="0" applyAlignment="0" applyProtection="0"/>
    <xf numFmtId="193" fontId="107" fillId="86" borderId="0" applyNumberFormat="0" applyBorder="0" applyAlignment="0" applyProtection="0"/>
    <xf numFmtId="190" fontId="108" fillId="39" borderId="0" applyNumberFormat="0" applyBorder="0" applyAlignment="0" applyProtection="0"/>
    <xf numFmtId="190" fontId="108" fillId="39" borderId="0" applyNumberFormat="0" applyBorder="0" applyAlignment="0" applyProtection="0"/>
    <xf numFmtId="0" fontId="46" fillId="80" borderId="0" applyNumberFormat="0" applyBorder="0" applyAlignment="0" applyProtection="0"/>
    <xf numFmtId="0" fontId="91" fillId="39" borderId="0" applyNumberFormat="0" applyBorder="0" applyAlignment="0" applyProtection="0"/>
    <xf numFmtId="0" fontId="107" fillId="86" borderId="0" applyNumberFormat="0" applyBorder="0" applyAlignment="0" applyProtection="0"/>
    <xf numFmtId="191" fontId="108" fillId="39" borderId="0" applyNumberFormat="0" applyBorder="0" applyAlignment="0" applyProtection="0"/>
    <xf numFmtId="0" fontId="108" fillId="39" borderId="0" applyNumberFormat="0" applyBorder="0" applyAlignment="0" applyProtection="0"/>
    <xf numFmtId="0" fontId="46" fillId="80" borderId="0" applyNumberFormat="0" applyBorder="0" applyAlignment="0" applyProtection="0"/>
    <xf numFmtId="191" fontId="107" fillId="86" borderId="0" applyNumberFormat="0" applyBorder="0" applyAlignment="0" applyProtection="0"/>
    <xf numFmtId="192" fontId="107" fillId="86" borderId="0" applyNumberFormat="0" applyBorder="0" applyAlignment="0" applyProtection="0"/>
    <xf numFmtId="192" fontId="108" fillId="39" borderId="0" applyNumberFormat="0" applyBorder="0" applyAlignment="0" applyProtection="0"/>
    <xf numFmtId="191" fontId="108" fillId="39" borderId="0" applyNumberFormat="0" applyBorder="0" applyAlignment="0" applyProtection="0"/>
    <xf numFmtId="192" fontId="91" fillId="39" borderId="0" applyNumberFormat="0" applyBorder="0" applyAlignment="0" applyProtection="0"/>
    <xf numFmtId="191" fontId="46" fillId="80" borderId="0" applyNumberFormat="0" applyBorder="0" applyAlignment="0" applyProtection="0"/>
    <xf numFmtId="192" fontId="46" fillId="80" borderId="0" applyNumberFormat="0" applyBorder="0" applyAlignment="0" applyProtection="0"/>
    <xf numFmtId="192" fontId="46" fillId="80" borderId="0" applyNumberFormat="0" applyBorder="0" applyAlignment="0" applyProtection="0"/>
    <xf numFmtId="0" fontId="107" fillId="6" borderId="0" applyNumberFormat="0" applyBorder="0" applyAlignment="0" applyProtection="0"/>
    <xf numFmtId="193" fontId="46" fillId="80" borderId="0" applyNumberFormat="0" applyBorder="0" applyAlignment="0" applyProtection="0"/>
    <xf numFmtId="193" fontId="46" fillId="80" borderId="0" applyNumberFormat="0" applyBorder="0" applyAlignment="0" applyProtection="0"/>
    <xf numFmtId="190" fontId="107" fillId="86" borderId="0" applyNumberFormat="0" applyBorder="0" applyAlignment="0" applyProtection="0"/>
    <xf numFmtId="190" fontId="107" fillId="86" borderId="0" applyNumberFormat="0" applyBorder="0" applyAlignment="0" applyProtection="0"/>
    <xf numFmtId="0" fontId="46" fillId="80" borderId="0" applyNumberFormat="0" applyBorder="0" applyAlignment="0" applyProtection="0"/>
    <xf numFmtId="193" fontId="46" fillId="80" borderId="0" applyNumberFormat="0" applyBorder="0" applyAlignment="0" applyProtection="0"/>
    <xf numFmtId="191" fontId="46" fillId="80" borderId="0" applyNumberFormat="0" applyBorder="0" applyAlignment="0" applyProtection="0"/>
    <xf numFmtId="0" fontId="107" fillId="86" borderId="0" applyNumberFormat="0" applyBorder="0" applyAlignment="0" applyProtection="0"/>
    <xf numFmtId="0" fontId="46" fillId="80" borderId="0" applyNumberFormat="0" applyBorder="0" applyAlignment="0" applyProtection="0"/>
    <xf numFmtId="191" fontId="108" fillId="39" borderId="0" applyNumberFormat="0" applyBorder="0" applyAlignment="0" applyProtection="0"/>
    <xf numFmtId="0" fontId="108" fillId="39" borderId="0" applyNumberFormat="0" applyBorder="0" applyAlignment="0" applyProtection="0"/>
    <xf numFmtId="0" fontId="107" fillId="86" borderId="0" applyNumberFormat="0" applyBorder="0" applyAlignment="0" applyProtection="0"/>
    <xf numFmtId="0" fontId="46" fillId="80" borderId="0" applyNumberFormat="0" applyBorder="0" applyAlignment="0" applyProtection="0"/>
    <xf numFmtId="0" fontId="107" fillId="86" borderId="0" applyNumberFormat="0" applyBorder="0" applyAlignment="0" applyProtection="0"/>
    <xf numFmtId="0" fontId="107" fillId="6" borderId="0" applyNumberFormat="0" applyBorder="0" applyAlignment="0" applyProtection="0"/>
    <xf numFmtId="190" fontId="46" fillId="80" borderId="0" applyNumberFormat="0" applyBorder="0" applyAlignment="0" applyProtection="0"/>
    <xf numFmtId="190" fontId="46" fillId="80" borderId="0" applyNumberFormat="0" applyBorder="0" applyAlignment="0" applyProtection="0"/>
    <xf numFmtId="0" fontId="91" fillId="39" borderId="0" applyNumberFormat="0" applyBorder="0" applyAlignment="0" applyProtection="0"/>
    <xf numFmtId="0" fontId="46" fillId="80" borderId="0" applyNumberFormat="0" applyBorder="0" applyAlignment="0" applyProtection="0"/>
    <xf numFmtId="0" fontId="107" fillId="6" borderId="0" applyNumberFormat="0" applyBorder="0" applyAlignment="0" applyProtection="0"/>
    <xf numFmtId="190" fontId="46" fillId="80" borderId="0" applyNumberFormat="0" applyBorder="0" applyAlignment="0" applyProtection="0"/>
    <xf numFmtId="0" fontId="107" fillId="87" borderId="0" applyNumberFormat="0" applyBorder="0" applyAlignment="0" applyProtection="0"/>
    <xf numFmtId="189" fontId="46" fillId="80" borderId="0" applyNumberFormat="0" applyBorder="0" applyAlignment="0" applyProtection="0"/>
    <xf numFmtId="0" fontId="107" fillId="6" borderId="0" applyNumberFormat="0" applyBorder="0" applyAlignment="0" applyProtection="0"/>
    <xf numFmtId="190" fontId="46" fillId="80" borderId="0" applyNumberFormat="0" applyBorder="0" applyAlignment="0" applyProtection="0"/>
    <xf numFmtId="0" fontId="46" fillId="80" borderId="0" applyNumberFormat="0" applyBorder="0" applyAlignment="0" applyProtection="0"/>
    <xf numFmtId="0" fontId="107" fillId="6" borderId="0" applyNumberFormat="0" applyBorder="0" applyAlignment="0" applyProtection="0"/>
    <xf numFmtId="0" fontId="91" fillId="79" borderId="0" applyNumberFormat="0" applyBorder="0" applyAlignment="0" applyProtection="0"/>
    <xf numFmtId="0" fontId="91" fillId="39" borderId="0" applyNumberFormat="0" applyBorder="0" applyAlignment="0" applyProtection="0"/>
    <xf numFmtId="0" fontId="107"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189" fontId="107" fillId="72" borderId="0" applyNumberFormat="0" applyBorder="0" applyAlignment="0" applyProtection="0"/>
    <xf numFmtId="193" fontId="107" fillId="72" borderId="0" applyNumberFormat="0" applyBorder="0" applyAlignment="0" applyProtection="0"/>
    <xf numFmtId="193" fontId="107" fillId="72" borderId="0" applyNumberFormat="0" applyBorder="0" applyAlignment="0" applyProtection="0"/>
    <xf numFmtId="190" fontId="107"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191" fontId="108" fillId="43" borderId="0" applyNumberFormat="0" applyBorder="0" applyAlignment="0" applyProtection="0"/>
    <xf numFmtId="190" fontId="107" fillId="72" borderId="0" applyNumberFormat="0" applyBorder="0" applyAlignment="0" applyProtection="0"/>
    <xf numFmtId="0" fontId="107" fillId="72" borderId="0" applyNumberFormat="0" applyBorder="0" applyAlignment="0" applyProtection="0"/>
    <xf numFmtId="189" fontId="107" fillId="72" borderId="0" applyNumberFormat="0" applyBorder="0" applyAlignment="0" applyProtection="0"/>
    <xf numFmtId="193" fontId="107" fillId="72" borderId="0" applyNumberFormat="0" applyBorder="0" applyAlignment="0" applyProtection="0"/>
    <xf numFmtId="190" fontId="108" fillId="43" borderId="0" applyNumberFormat="0" applyBorder="0" applyAlignment="0" applyProtection="0"/>
    <xf numFmtId="190" fontId="108" fillId="43" borderId="0" applyNumberFormat="0" applyBorder="0" applyAlignment="0" applyProtection="0"/>
    <xf numFmtId="0" fontId="46" fillId="72" borderId="0" applyNumberFormat="0" applyBorder="0" applyAlignment="0" applyProtection="0"/>
    <xf numFmtId="0" fontId="91" fillId="43" borderId="0" applyNumberFormat="0" applyBorder="0" applyAlignment="0" applyProtection="0"/>
    <xf numFmtId="0" fontId="107" fillId="72" borderId="0" applyNumberFormat="0" applyBorder="0" applyAlignment="0" applyProtection="0"/>
    <xf numFmtId="191" fontId="108" fillId="43" borderId="0" applyNumberFormat="0" applyBorder="0" applyAlignment="0" applyProtection="0"/>
    <xf numFmtId="0" fontId="108" fillId="43" borderId="0" applyNumberFormat="0" applyBorder="0" applyAlignment="0" applyProtection="0"/>
    <xf numFmtId="0" fontId="46" fillId="72" borderId="0" applyNumberFormat="0" applyBorder="0" applyAlignment="0" applyProtection="0"/>
    <xf numFmtId="191" fontId="107" fillId="72" borderId="0" applyNumberFormat="0" applyBorder="0" applyAlignment="0" applyProtection="0"/>
    <xf numFmtId="192" fontId="107" fillId="72" borderId="0" applyNumberFormat="0" applyBorder="0" applyAlignment="0" applyProtection="0"/>
    <xf numFmtId="192" fontId="108" fillId="43" borderId="0" applyNumberFormat="0" applyBorder="0" applyAlignment="0" applyProtection="0"/>
    <xf numFmtId="191" fontId="108" fillId="43" borderId="0" applyNumberFormat="0" applyBorder="0" applyAlignment="0" applyProtection="0"/>
    <xf numFmtId="192" fontId="91" fillId="43" borderId="0" applyNumberFormat="0" applyBorder="0" applyAlignment="0" applyProtection="0"/>
    <xf numFmtId="191" fontId="46" fillId="72" borderId="0" applyNumberFormat="0" applyBorder="0" applyAlignment="0" applyProtection="0"/>
    <xf numFmtId="192" fontId="46" fillId="72" borderId="0" applyNumberFormat="0" applyBorder="0" applyAlignment="0" applyProtection="0"/>
    <xf numFmtId="192" fontId="46" fillId="72" borderId="0" applyNumberFormat="0" applyBorder="0" applyAlignment="0" applyProtection="0"/>
    <xf numFmtId="0" fontId="107" fillId="72" borderId="0" applyNumberFormat="0" applyBorder="0" applyAlignment="0" applyProtection="0"/>
    <xf numFmtId="193" fontId="46" fillId="72" borderId="0" applyNumberFormat="0" applyBorder="0" applyAlignment="0" applyProtection="0"/>
    <xf numFmtId="193" fontId="46" fillId="72" borderId="0" applyNumberFormat="0" applyBorder="0" applyAlignment="0" applyProtection="0"/>
    <xf numFmtId="190" fontId="107" fillId="72" borderId="0" applyNumberFormat="0" applyBorder="0" applyAlignment="0" applyProtection="0"/>
    <xf numFmtId="190" fontId="107" fillId="72" borderId="0" applyNumberFormat="0" applyBorder="0" applyAlignment="0" applyProtection="0"/>
    <xf numFmtId="0" fontId="46" fillId="72" borderId="0" applyNumberFormat="0" applyBorder="0" applyAlignment="0" applyProtection="0"/>
    <xf numFmtId="193" fontId="46" fillId="72" borderId="0" applyNumberFormat="0" applyBorder="0" applyAlignment="0" applyProtection="0"/>
    <xf numFmtId="191" fontId="46" fillId="72" borderId="0" applyNumberFormat="0" applyBorder="0" applyAlignment="0" applyProtection="0"/>
    <xf numFmtId="0" fontId="107" fillId="72" borderId="0" applyNumberFormat="0" applyBorder="0" applyAlignment="0" applyProtection="0"/>
    <xf numFmtId="0" fontId="46" fillId="72" borderId="0" applyNumberFormat="0" applyBorder="0" applyAlignment="0" applyProtection="0"/>
    <xf numFmtId="191" fontId="108" fillId="43" borderId="0" applyNumberFormat="0" applyBorder="0" applyAlignment="0" applyProtection="0"/>
    <xf numFmtId="0" fontId="108" fillId="43" borderId="0" applyNumberFormat="0" applyBorder="0" applyAlignment="0" applyProtection="0"/>
    <xf numFmtId="0" fontId="107"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190" fontId="46" fillId="72" borderId="0" applyNumberFormat="0" applyBorder="0" applyAlignment="0" applyProtection="0"/>
    <xf numFmtId="190" fontId="46" fillId="72" borderId="0" applyNumberFormat="0" applyBorder="0" applyAlignment="0" applyProtection="0"/>
    <xf numFmtId="0" fontId="91" fillId="43"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190" fontId="46" fillId="72" borderId="0" applyNumberFormat="0" applyBorder="0" applyAlignment="0" applyProtection="0"/>
    <xf numFmtId="0" fontId="107" fillId="72" borderId="0" applyNumberFormat="0" applyBorder="0" applyAlignment="0" applyProtection="0"/>
    <xf numFmtId="189" fontId="46" fillId="72" borderId="0" applyNumberFormat="0" applyBorder="0" applyAlignment="0" applyProtection="0"/>
    <xf numFmtId="0" fontId="107" fillId="72" borderId="0" applyNumberFormat="0" applyBorder="0" applyAlignment="0" applyProtection="0"/>
    <xf numFmtId="190" fontId="46"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0" fontId="91" fillId="88" borderId="0" applyNumberFormat="0" applyBorder="0" applyAlignment="0" applyProtection="0"/>
    <xf numFmtId="0" fontId="91" fillId="43" borderId="0" applyNumberFormat="0" applyBorder="0" applyAlignment="0" applyProtection="0"/>
    <xf numFmtId="0" fontId="107" fillId="82" borderId="0" applyNumberFormat="0" applyBorder="0" applyAlignment="0" applyProtection="0"/>
    <xf numFmtId="0" fontId="46" fillId="83"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189" fontId="107" fillId="82" borderId="0" applyNumberFormat="0" applyBorder="0" applyAlignment="0" applyProtection="0"/>
    <xf numFmtId="193" fontId="107" fillId="82" borderId="0" applyNumberFormat="0" applyBorder="0" applyAlignment="0" applyProtection="0"/>
    <xf numFmtId="193" fontId="107" fillId="82" borderId="0" applyNumberFormat="0" applyBorder="0" applyAlignment="0" applyProtection="0"/>
    <xf numFmtId="190" fontId="107" fillId="82" borderId="0" applyNumberFormat="0" applyBorder="0" applyAlignment="0" applyProtection="0"/>
    <xf numFmtId="0" fontId="46" fillId="83" borderId="0" applyNumberFormat="0" applyBorder="0" applyAlignment="0" applyProtection="0"/>
    <xf numFmtId="0" fontId="107" fillId="82" borderId="0" applyNumberFormat="0" applyBorder="0" applyAlignment="0" applyProtection="0"/>
    <xf numFmtId="191" fontId="108" fillId="47" borderId="0" applyNumberFormat="0" applyBorder="0" applyAlignment="0" applyProtection="0"/>
    <xf numFmtId="190" fontId="107" fillId="82" borderId="0" applyNumberFormat="0" applyBorder="0" applyAlignment="0" applyProtection="0"/>
    <xf numFmtId="0" fontId="107" fillId="82" borderId="0" applyNumberFormat="0" applyBorder="0" applyAlignment="0" applyProtection="0"/>
    <xf numFmtId="189" fontId="107" fillId="82" borderId="0" applyNumberFormat="0" applyBorder="0" applyAlignment="0" applyProtection="0"/>
    <xf numFmtId="193" fontId="107" fillId="82" borderId="0" applyNumberFormat="0" applyBorder="0" applyAlignment="0" applyProtection="0"/>
    <xf numFmtId="190" fontId="108" fillId="47" borderId="0" applyNumberFormat="0" applyBorder="0" applyAlignment="0" applyProtection="0"/>
    <xf numFmtId="190" fontId="108" fillId="47" borderId="0" applyNumberFormat="0" applyBorder="0" applyAlignment="0" applyProtection="0"/>
    <xf numFmtId="0" fontId="46" fillId="83" borderId="0" applyNumberFormat="0" applyBorder="0" applyAlignment="0" applyProtection="0"/>
    <xf numFmtId="0" fontId="91" fillId="47" borderId="0" applyNumberFormat="0" applyBorder="0" applyAlignment="0" applyProtection="0"/>
    <xf numFmtId="0" fontId="107" fillId="82" borderId="0" applyNumberFormat="0" applyBorder="0" applyAlignment="0" applyProtection="0"/>
    <xf numFmtId="191" fontId="108" fillId="47" borderId="0" applyNumberFormat="0" applyBorder="0" applyAlignment="0" applyProtection="0"/>
    <xf numFmtId="0" fontId="108" fillId="47" borderId="0" applyNumberFormat="0" applyBorder="0" applyAlignment="0" applyProtection="0"/>
    <xf numFmtId="0" fontId="46" fillId="83" borderId="0" applyNumberFormat="0" applyBorder="0" applyAlignment="0" applyProtection="0"/>
    <xf numFmtId="191" fontId="107" fillId="82" borderId="0" applyNumberFormat="0" applyBorder="0" applyAlignment="0" applyProtection="0"/>
    <xf numFmtId="192" fontId="107" fillId="82" borderId="0" applyNumberFormat="0" applyBorder="0" applyAlignment="0" applyProtection="0"/>
    <xf numFmtId="192" fontId="108" fillId="47" borderId="0" applyNumberFormat="0" applyBorder="0" applyAlignment="0" applyProtection="0"/>
    <xf numFmtId="191" fontId="108" fillId="47" borderId="0" applyNumberFormat="0" applyBorder="0" applyAlignment="0" applyProtection="0"/>
    <xf numFmtId="192" fontId="91" fillId="47" borderId="0" applyNumberFormat="0" applyBorder="0" applyAlignment="0" applyProtection="0"/>
    <xf numFmtId="191" fontId="46" fillId="83" borderId="0" applyNumberFormat="0" applyBorder="0" applyAlignment="0" applyProtection="0"/>
    <xf numFmtId="192" fontId="46" fillId="83" borderId="0" applyNumberFormat="0" applyBorder="0" applyAlignment="0" applyProtection="0"/>
    <xf numFmtId="192" fontId="46" fillId="83" borderId="0" applyNumberFormat="0" applyBorder="0" applyAlignment="0" applyProtection="0"/>
    <xf numFmtId="0" fontId="107" fillId="83" borderId="0" applyNumberFormat="0" applyBorder="0" applyAlignment="0" applyProtection="0"/>
    <xf numFmtId="193" fontId="46" fillId="83" borderId="0" applyNumberFormat="0" applyBorder="0" applyAlignment="0" applyProtection="0"/>
    <xf numFmtId="193" fontId="46" fillId="83" borderId="0" applyNumberFormat="0" applyBorder="0" applyAlignment="0" applyProtection="0"/>
    <xf numFmtId="190" fontId="107" fillId="82" borderId="0" applyNumberFormat="0" applyBorder="0" applyAlignment="0" applyProtection="0"/>
    <xf numFmtId="190" fontId="107" fillId="82" borderId="0" applyNumberFormat="0" applyBorder="0" applyAlignment="0" applyProtection="0"/>
    <xf numFmtId="0" fontId="46" fillId="83" borderId="0" applyNumberFormat="0" applyBorder="0" applyAlignment="0" applyProtection="0"/>
    <xf numFmtId="193" fontId="46" fillId="83" borderId="0" applyNumberFormat="0" applyBorder="0" applyAlignment="0" applyProtection="0"/>
    <xf numFmtId="191" fontId="46" fillId="83" borderId="0" applyNumberFormat="0" applyBorder="0" applyAlignment="0" applyProtection="0"/>
    <xf numFmtId="0" fontId="107" fillId="82" borderId="0" applyNumberFormat="0" applyBorder="0" applyAlignment="0" applyProtection="0"/>
    <xf numFmtId="0" fontId="46" fillId="83" borderId="0" applyNumberFormat="0" applyBorder="0" applyAlignment="0" applyProtection="0"/>
    <xf numFmtId="191" fontId="108" fillId="47" borderId="0" applyNumberFormat="0" applyBorder="0" applyAlignment="0" applyProtection="0"/>
    <xf numFmtId="0" fontId="108" fillId="47" borderId="0" applyNumberFormat="0" applyBorder="0" applyAlignment="0" applyProtection="0"/>
    <xf numFmtId="0" fontId="107" fillId="82" borderId="0" applyNumberFormat="0" applyBorder="0" applyAlignment="0" applyProtection="0"/>
    <xf numFmtId="0" fontId="46" fillId="83" borderId="0" applyNumberFormat="0" applyBorder="0" applyAlignment="0" applyProtection="0"/>
    <xf numFmtId="0" fontId="107" fillId="82" borderId="0" applyNumberFormat="0" applyBorder="0" applyAlignment="0" applyProtection="0"/>
    <xf numFmtId="0" fontId="107" fillId="83" borderId="0" applyNumberFormat="0" applyBorder="0" applyAlignment="0" applyProtection="0"/>
    <xf numFmtId="190" fontId="46" fillId="83" borderId="0" applyNumberFormat="0" applyBorder="0" applyAlignment="0" applyProtection="0"/>
    <xf numFmtId="190" fontId="46" fillId="83" borderId="0" applyNumberFormat="0" applyBorder="0" applyAlignment="0" applyProtection="0"/>
    <xf numFmtId="0" fontId="91" fillId="47" borderId="0" applyNumberFormat="0" applyBorder="0" applyAlignment="0" applyProtection="0"/>
    <xf numFmtId="0" fontId="46" fillId="83" borderId="0" applyNumberFormat="0" applyBorder="0" applyAlignment="0" applyProtection="0"/>
    <xf numFmtId="0" fontId="107" fillId="83" borderId="0" applyNumberFormat="0" applyBorder="0" applyAlignment="0" applyProtection="0"/>
    <xf numFmtId="190" fontId="46" fillId="83" borderId="0" applyNumberFormat="0" applyBorder="0" applyAlignment="0" applyProtection="0"/>
    <xf numFmtId="0" fontId="107" fillId="81" borderId="0" applyNumberFormat="0" applyBorder="0" applyAlignment="0" applyProtection="0"/>
    <xf numFmtId="189" fontId="46" fillId="83" borderId="0" applyNumberFormat="0" applyBorder="0" applyAlignment="0" applyProtection="0"/>
    <xf numFmtId="0" fontId="107" fillId="83" borderId="0" applyNumberFormat="0" applyBorder="0" applyAlignment="0" applyProtection="0"/>
    <xf numFmtId="190" fontId="46" fillId="83" borderId="0" applyNumberFormat="0" applyBorder="0" applyAlignment="0" applyProtection="0"/>
    <xf numFmtId="0" fontId="107" fillId="83" borderId="0" applyNumberFormat="0" applyBorder="0" applyAlignment="0" applyProtection="0"/>
    <xf numFmtId="0" fontId="91" fillId="85" borderId="0" applyNumberFormat="0" applyBorder="0" applyAlignment="0" applyProtection="0"/>
    <xf numFmtId="0" fontId="91" fillId="47" borderId="0" applyNumberFormat="0" applyBorder="0" applyAlignment="0" applyProtection="0"/>
    <xf numFmtId="0" fontId="107" fillId="89" borderId="0" applyNumberFormat="0" applyBorder="0" applyAlignment="0" applyProtection="0"/>
    <xf numFmtId="0" fontId="46" fillId="84"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193" fontId="107" fillId="89" borderId="0" applyNumberFormat="0" applyBorder="0" applyAlignment="0" applyProtection="0"/>
    <xf numFmtId="193" fontId="107" fillId="89" borderId="0" applyNumberFormat="0" applyBorder="0" applyAlignment="0" applyProtection="0"/>
    <xf numFmtId="190" fontId="107" fillId="89" borderId="0" applyNumberFormat="0" applyBorder="0" applyAlignment="0" applyProtection="0"/>
    <xf numFmtId="0" fontId="46" fillId="84" borderId="0" applyNumberFormat="0" applyBorder="0" applyAlignment="0" applyProtection="0"/>
    <xf numFmtId="0" fontId="107" fillId="89" borderId="0" applyNumberFormat="0" applyBorder="0" applyAlignment="0" applyProtection="0"/>
    <xf numFmtId="191" fontId="108" fillId="51" borderId="0" applyNumberFormat="0" applyBorder="0" applyAlignment="0" applyProtection="0"/>
    <xf numFmtId="190" fontId="107" fillId="8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193" fontId="107" fillId="89" borderId="0" applyNumberFormat="0" applyBorder="0" applyAlignment="0" applyProtection="0"/>
    <xf numFmtId="190" fontId="108" fillId="51" borderId="0" applyNumberFormat="0" applyBorder="0" applyAlignment="0" applyProtection="0"/>
    <xf numFmtId="190" fontId="108" fillId="51" borderId="0" applyNumberFormat="0" applyBorder="0" applyAlignment="0" applyProtection="0"/>
    <xf numFmtId="0" fontId="46" fillId="84" borderId="0" applyNumberFormat="0" applyBorder="0" applyAlignment="0" applyProtection="0"/>
    <xf numFmtId="0" fontId="91" fillId="51" borderId="0" applyNumberFormat="0" applyBorder="0" applyAlignment="0" applyProtection="0"/>
    <xf numFmtId="0" fontId="107" fillId="89" borderId="0" applyNumberFormat="0" applyBorder="0" applyAlignment="0" applyProtection="0"/>
    <xf numFmtId="191" fontId="108" fillId="51" borderId="0" applyNumberFormat="0" applyBorder="0" applyAlignment="0" applyProtection="0"/>
    <xf numFmtId="0" fontId="108" fillId="51" borderId="0" applyNumberFormat="0" applyBorder="0" applyAlignment="0" applyProtection="0"/>
    <xf numFmtId="0" fontId="46" fillId="84" borderId="0" applyNumberFormat="0" applyBorder="0" applyAlignment="0" applyProtection="0"/>
    <xf numFmtId="191" fontId="107" fillId="89" borderId="0" applyNumberFormat="0" applyBorder="0" applyAlignment="0" applyProtection="0"/>
    <xf numFmtId="192" fontId="107" fillId="89" borderId="0" applyNumberFormat="0" applyBorder="0" applyAlignment="0" applyProtection="0"/>
    <xf numFmtId="192" fontId="108" fillId="51" borderId="0" applyNumberFormat="0" applyBorder="0" applyAlignment="0" applyProtection="0"/>
    <xf numFmtId="191" fontId="108" fillId="51" borderId="0" applyNumberFormat="0" applyBorder="0" applyAlignment="0" applyProtection="0"/>
    <xf numFmtId="192" fontId="91" fillId="51" borderId="0" applyNumberFormat="0" applyBorder="0" applyAlignment="0" applyProtection="0"/>
    <xf numFmtId="191" fontId="46" fillId="84" borderId="0" applyNumberFormat="0" applyBorder="0" applyAlignment="0" applyProtection="0"/>
    <xf numFmtId="192" fontId="46" fillId="84" borderId="0" applyNumberFormat="0" applyBorder="0" applyAlignment="0" applyProtection="0"/>
    <xf numFmtId="192" fontId="46" fillId="84" borderId="0" applyNumberFormat="0" applyBorder="0" applyAlignment="0" applyProtection="0"/>
    <xf numFmtId="0" fontId="107" fillId="84" borderId="0" applyNumberFormat="0" applyBorder="0" applyAlignment="0" applyProtection="0"/>
    <xf numFmtId="193" fontId="46" fillId="84" borderId="0" applyNumberFormat="0" applyBorder="0" applyAlignment="0" applyProtection="0"/>
    <xf numFmtId="193" fontId="46" fillId="84" borderId="0" applyNumberFormat="0" applyBorder="0" applyAlignment="0" applyProtection="0"/>
    <xf numFmtId="190" fontId="107" fillId="89" borderId="0" applyNumberFormat="0" applyBorder="0" applyAlignment="0" applyProtection="0"/>
    <xf numFmtId="190" fontId="107" fillId="89" borderId="0" applyNumberFormat="0" applyBorder="0" applyAlignment="0" applyProtection="0"/>
    <xf numFmtId="0" fontId="46" fillId="84" borderId="0" applyNumberFormat="0" applyBorder="0" applyAlignment="0" applyProtection="0"/>
    <xf numFmtId="193" fontId="46" fillId="84" borderId="0" applyNumberFormat="0" applyBorder="0" applyAlignment="0" applyProtection="0"/>
    <xf numFmtId="191" fontId="46" fillId="84" borderId="0" applyNumberFormat="0" applyBorder="0" applyAlignment="0" applyProtection="0"/>
    <xf numFmtId="0" fontId="107" fillId="89" borderId="0" applyNumberFormat="0" applyBorder="0" applyAlignment="0" applyProtection="0"/>
    <xf numFmtId="0" fontId="46" fillId="84" borderId="0" applyNumberFormat="0" applyBorder="0" applyAlignment="0" applyProtection="0"/>
    <xf numFmtId="191" fontId="108" fillId="51" borderId="0" applyNumberFormat="0" applyBorder="0" applyAlignment="0" applyProtection="0"/>
    <xf numFmtId="0" fontId="108" fillId="51" borderId="0" applyNumberFormat="0" applyBorder="0" applyAlignment="0" applyProtection="0"/>
    <xf numFmtId="0" fontId="107" fillId="89" borderId="0" applyNumberFormat="0" applyBorder="0" applyAlignment="0" applyProtection="0"/>
    <xf numFmtId="0" fontId="46" fillId="84" borderId="0" applyNumberFormat="0" applyBorder="0" applyAlignment="0" applyProtection="0"/>
    <xf numFmtId="0" fontId="107" fillId="89" borderId="0" applyNumberFormat="0" applyBorder="0" applyAlignment="0" applyProtection="0"/>
    <xf numFmtId="0" fontId="107" fillId="84" borderId="0" applyNumberFormat="0" applyBorder="0" applyAlignment="0" applyProtection="0"/>
    <xf numFmtId="190" fontId="46" fillId="84" borderId="0" applyNumberFormat="0" applyBorder="0" applyAlignment="0" applyProtection="0"/>
    <xf numFmtId="190" fontId="46" fillId="84" borderId="0" applyNumberFormat="0" applyBorder="0" applyAlignment="0" applyProtection="0"/>
    <xf numFmtId="0" fontId="91" fillId="51" borderId="0" applyNumberFormat="0" applyBorder="0" applyAlignment="0" applyProtection="0"/>
    <xf numFmtId="0" fontId="46" fillId="84" borderId="0" applyNumberFormat="0" applyBorder="0" applyAlignment="0" applyProtection="0"/>
    <xf numFmtId="0" fontId="107" fillId="84" borderId="0" applyNumberFormat="0" applyBorder="0" applyAlignment="0" applyProtection="0"/>
    <xf numFmtId="190" fontId="46" fillId="84" borderId="0" applyNumberFormat="0" applyBorder="0" applyAlignment="0" applyProtection="0"/>
    <xf numFmtId="0" fontId="107" fillId="84" borderId="0" applyNumberFormat="0" applyBorder="0" applyAlignment="0" applyProtection="0"/>
    <xf numFmtId="189" fontId="46" fillId="84" borderId="0" applyNumberFormat="0" applyBorder="0" applyAlignment="0" applyProtection="0"/>
    <xf numFmtId="0" fontId="107" fillId="84" borderId="0" applyNumberFormat="0" applyBorder="0" applyAlignment="0" applyProtection="0"/>
    <xf numFmtId="190" fontId="46" fillId="84" borderId="0" applyNumberFormat="0" applyBorder="0" applyAlignment="0" applyProtection="0"/>
    <xf numFmtId="0" fontId="46" fillId="84" borderId="0" applyNumberFormat="0" applyBorder="0" applyAlignment="0" applyProtection="0"/>
    <xf numFmtId="0" fontId="107" fillId="84" borderId="0" applyNumberFormat="0" applyBorder="0" applyAlignment="0" applyProtection="0"/>
    <xf numFmtId="0" fontId="91" fillId="2" borderId="0" applyNumberFormat="0" applyBorder="0" applyAlignment="0" applyProtection="0"/>
    <xf numFmtId="0" fontId="91" fillId="51" borderId="0" applyNumberFormat="0" applyBorder="0" applyAlignment="0" applyProtection="0"/>
    <xf numFmtId="0" fontId="107" fillId="87"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193" fontId="107" fillId="87" borderId="0" applyNumberFormat="0" applyBorder="0" applyAlignment="0" applyProtection="0"/>
    <xf numFmtId="193" fontId="107" fillId="87" borderId="0" applyNumberFormat="0" applyBorder="0" applyAlignment="0" applyProtection="0"/>
    <xf numFmtId="190" fontId="107" fillId="87"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191" fontId="108" fillId="55" borderId="0" applyNumberFormat="0" applyBorder="0" applyAlignment="0" applyProtection="0"/>
    <xf numFmtId="190" fontId="107" fillId="87"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193" fontId="107" fillId="87" borderId="0" applyNumberFormat="0" applyBorder="0" applyAlignment="0" applyProtection="0"/>
    <xf numFmtId="190" fontId="108" fillId="55" borderId="0" applyNumberFormat="0" applyBorder="0" applyAlignment="0" applyProtection="0"/>
    <xf numFmtId="190" fontId="108" fillId="55" borderId="0" applyNumberFormat="0" applyBorder="0" applyAlignment="0" applyProtection="0"/>
    <xf numFmtId="0" fontId="46" fillId="80" borderId="0" applyNumberFormat="0" applyBorder="0" applyAlignment="0" applyProtection="0"/>
    <xf numFmtId="0" fontId="91" fillId="55" borderId="0" applyNumberFormat="0" applyBorder="0" applyAlignment="0" applyProtection="0"/>
    <xf numFmtId="0" fontId="107" fillId="87" borderId="0" applyNumberFormat="0" applyBorder="0" applyAlignment="0" applyProtection="0"/>
    <xf numFmtId="191" fontId="108" fillId="55" borderId="0" applyNumberFormat="0" applyBorder="0" applyAlignment="0" applyProtection="0"/>
    <xf numFmtId="0" fontId="108" fillId="55" borderId="0" applyNumberFormat="0" applyBorder="0" applyAlignment="0" applyProtection="0"/>
    <xf numFmtId="0" fontId="46" fillId="80" borderId="0" applyNumberFormat="0" applyBorder="0" applyAlignment="0" applyProtection="0"/>
    <xf numFmtId="191" fontId="107" fillId="87" borderId="0" applyNumberFormat="0" applyBorder="0" applyAlignment="0" applyProtection="0"/>
    <xf numFmtId="192" fontId="107" fillId="87" borderId="0" applyNumberFormat="0" applyBorder="0" applyAlignment="0" applyProtection="0"/>
    <xf numFmtId="192" fontId="108" fillId="55" borderId="0" applyNumberFormat="0" applyBorder="0" applyAlignment="0" applyProtection="0"/>
    <xf numFmtId="191" fontId="108" fillId="55" borderId="0" applyNumberFormat="0" applyBorder="0" applyAlignment="0" applyProtection="0"/>
    <xf numFmtId="192" fontId="91" fillId="55" borderId="0" applyNumberFormat="0" applyBorder="0" applyAlignment="0" applyProtection="0"/>
    <xf numFmtId="191" fontId="46" fillId="80" borderId="0" applyNumberFormat="0" applyBorder="0" applyAlignment="0" applyProtection="0"/>
    <xf numFmtId="192" fontId="46" fillId="80" borderId="0" applyNumberFormat="0" applyBorder="0" applyAlignment="0" applyProtection="0"/>
    <xf numFmtId="192" fontId="46" fillId="80" borderId="0" applyNumberFormat="0" applyBorder="0" applyAlignment="0" applyProtection="0"/>
    <xf numFmtId="0" fontId="107" fillId="87" borderId="0" applyNumberFormat="0" applyBorder="0" applyAlignment="0" applyProtection="0"/>
    <xf numFmtId="193" fontId="46" fillId="80" borderId="0" applyNumberFormat="0" applyBorder="0" applyAlignment="0" applyProtection="0"/>
    <xf numFmtId="193" fontId="46" fillId="80" borderId="0" applyNumberFormat="0" applyBorder="0" applyAlignment="0" applyProtection="0"/>
    <xf numFmtId="190" fontId="107" fillId="87" borderId="0" applyNumberFormat="0" applyBorder="0" applyAlignment="0" applyProtection="0"/>
    <xf numFmtId="190" fontId="107" fillId="87" borderId="0" applyNumberFormat="0" applyBorder="0" applyAlignment="0" applyProtection="0"/>
    <xf numFmtId="0" fontId="46" fillId="80" borderId="0" applyNumberFormat="0" applyBorder="0" applyAlignment="0" applyProtection="0"/>
    <xf numFmtId="193" fontId="46" fillId="80" borderId="0" applyNumberFormat="0" applyBorder="0" applyAlignment="0" applyProtection="0"/>
    <xf numFmtId="191" fontId="46" fillId="80" borderId="0" applyNumberFormat="0" applyBorder="0" applyAlignment="0" applyProtection="0"/>
    <xf numFmtId="0" fontId="107" fillId="87" borderId="0" applyNumberFormat="0" applyBorder="0" applyAlignment="0" applyProtection="0"/>
    <xf numFmtId="0" fontId="46" fillId="80" borderId="0" applyNumberFormat="0" applyBorder="0" applyAlignment="0" applyProtection="0"/>
    <xf numFmtId="191" fontId="108" fillId="55" borderId="0" applyNumberFormat="0" applyBorder="0" applyAlignment="0" applyProtection="0"/>
    <xf numFmtId="0" fontId="108" fillId="55" borderId="0" applyNumberFormat="0" applyBorder="0" applyAlignment="0" applyProtection="0"/>
    <xf numFmtId="0" fontId="107" fillId="87"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190" fontId="46" fillId="80" borderId="0" applyNumberFormat="0" applyBorder="0" applyAlignment="0" applyProtection="0"/>
    <xf numFmtId="190" fontId="46" fillId="80" borderId="0" applyNumberFormat="0" applyBorder="0" applyAlignment="0" applyProtection="0"/>
    <xf numFmtId="0" fontId="91" fillId="55"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190" fontId="46" fillId="80" borderId="0" applyNumberFormat="0" applyBorder="0" applyAlignment="0" applyProtection="0"/>
    <xf numFmtId="0" fontId="107" fillId="87" borderId="0" applyNumberFormat="0" applyBorder="0" applyAlignment="0" applyProtection="0"/>
    <xf numFmtId="189" fontId="46" fillId="80" borderId="0" applyNumberFormat="0" applyBorder="0" applyAlignment="0" applyProtection="0"/>
    <xf numFmtId="0" fontId="107" fillId="87" borderId="0" applyNumberFormat="0" applyBorder="0" applyAlignment="0" applyProtection="0"/>
    <xf numFmtId="190" fontId="46" fillId="80"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0" fontId="91" fillId="79" borderId="0" applyNumberFormat="0" applyBorder="0" applyAlignment="0" applyProtection="0"/>
    <xf numFmtId="0" fontId="91" fillId="55" borderId="0" applyNumberFormat="0" applyBorder="0" applyAlignment="0" applyProtection="0"/>
    <xf numFmtId="0" fontId="107" fillId="3" borderId="0" applyNumberFormat="0" applyBorder="0" applyAlignment="0" applyProtection="0"/>
    <xf numFmtId="0" fontId="46" fillId="75"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189" fontId="107" fillId="3" borderId="0" applyNumberFormat="0" applyBorder="0" applyAlignment="0" applyProtection="0"/>
    <xf numFmtId="193" fontId="107" fillId="3" borderId="0" applyNumberFormat="0" applyBorder="0" applyAlignment="0" applyProtection="0"/>
    <xf numFmtId="193" fontId="107" fillId="3" borderId="0" applyNumberFormat="0" applyBorder="0" applyAlignment="0" applyProtection="0"/>
    <xf numFmtId="190" fontId="107" fillId="3" borderId="0" applyNumberFormat="0" applyBorder="0" applyAlignment="0" applyProtection="0"/>
    <xf numFmtId="0" fontId="46" fillId="75" borderId="0" applyNumberFormat="0" applyBorder="0" applyAlignment="0" applyProtection="0"/>
    <xf numFmtId="0" fontId="107" fillId="3" borderId="0" applyNumberFormat="0" applyBorder="0" applyAlignment="0" applyProtection="0"/>
    <xf numFmtId="191" fontId="108" fillId="59" borderId="0" applyNumberFormat="0" applyBorder="0" applyAlignment="0" applyProtection="0"/>
    <xf numFmtId="190" fontId="107" fillId="3" borderId="0" applyNumberFormat="0" applyBorder="0" applyAlignment="0" applyProtection="0"/>
    <xf numFmtId="0" fontId="107" fillId="3" borderId="0" applyNumberFormat="0" applyBorder="0" applyAlignment="0" applyProtection="0"/>
    <xf numFmtId="189" fontId="107" fillId="3" borderId="0" applyNumberFormat="0" applyBorder="0" applyAlignment="0" applyProtection="0"/>
    <xf numFmtId="193" fontId="107" fillId="3" borderId="0" applyNumberFormat="0" applyBorder="0" applyAlignment="0" applyProtection="0"/>
    <xf numFmtId="190" fontId="108" fillId="59" borderId="0" applyNumberFormat="0" applyBorder="0" applyAlignment="0" applyProtection="0"/>
    <xf numFmtId="190" fontId="108" fillId="59" borderId="0" applyNumberFormat="0" applyBorder="0" applyAlignment="0" applyProtection="0"/>
    <xf numFmtId="0" fontId="46" fillId="75" borderId="0" applyNumberFormat="0" applyBorder="0" applyAlignment="0" applyProtection="0"/>
    <xf numFmtId="0" fontId="91" fillId="59" borderId="0" applyNumberFormat="0" applyBorder="0" applyAlignment="0" applyProtection="0"/>
    <xf numFmtId="0" fontId="107" fillId="3" borderId="0" applyNumberFormat="0" applyBorder="0" applyAlignment="0" applyProtection="0"/>
    <xf numFmtId="191" fontId="108" fillId="59" borderId="0" applyNumberFormat="0" applyBorder="0" applyAlignment="0" applyProtection="0"/>
    <xf numFmtId="0" fontId="108" fillId="59" borderId="0" applyNumberFormat="0" applyBorder="0" applyAlignment="0" applyProtection="0"/>
    <xf numFmtId="0" fontId="46" fillId="75" borderId="0" applyNumberFormat="0" applyBorder="0" applyAlignment="0" applyProtection="0"/>
    <xf numFmtId="191" fontId="107" fillId="3" borderId="0" applyNumberFormat="0" applyBorder="0" applyAlignment="0" applyProtection="0"/>
    <xf numFmtId="192" fontId="107" fillId="3" borderId="0" applyNumberFormat="0" applyBorder="0" applyAlignment="0" applyProtection="0"/>
    <xf numFmtId="192" fontId="108" fillId="59" borderId="0" applyNumberFormat="0" applyBorder="0" applyAlignment="0" applyProtection="0"/>
    <xf numFmtId="191" fontId="108" fillId="59" borderId="0" applyNumberFormat="0" applyBorder="0" applyAlignment="0" applyProtection="0"/>
    <xf numFmtId="192" fontId="91" fillId="59" borderId="0" applyNumberFormat="0" applyBorder="0" applyAlignment="0" applyProtection="0"/>
    <xf numFmtId="191" fontId="46" fillId="75" borderId="0" applyNumberFormat="0" applyBorder="0" applyAlignment="0" applyProtection="0"/>
    <xf numFmtId="192" fontId="46" fillId="75" borderId="0" applyNumberFormat="0" applyBorder="0" applyAlignment="0" applyProtection="0"/>
    <xf numFmtId="192" fontId="46" fillId="75" borderId="0" applyNumberFormat="0" applyBorder="0" applyAlignment="0" applyProtection="0"/>
    <xf numFmtId="0" fontId="107" fillId="75" borderId="0" applyNumberFormat="0" applyBorder="0" applyAlignment="0" applyProtection="0"/>
    <xf numFmtId="193" fontId="46" fillId="75" borderId="0" applyNumberFormat="0" applyBorder="0" applyAlignment="0" applyProtection="0"/>
    <xf numFmtId="193" fontId="46" fillId="75" borderId="0" applyNumberFormat="0" applyBorder="0" applyAlignment="0" applyProtection="0"/>
    <xf numFmtId="190" fontId="107" fillId="3" borderId="0" applyNumberFormat="0" applyBorder="0" applyAlignment="0" applyProtection="0"/>
    <xf numFmtId="190" fontId="107" fillId="3" borderId="0" applyNumberFormat="0" applyBorder="0" applyAlignment="0" applyProtection="0"/>
    <xf numFmtId="0" fontId="46" fillId="75" borderId="0" applyNumberFormat="0" applyBorder="0" applyAlignment="0" applyProtection="0"/>
    <xf numFmtId="193" fontId="46" fillId="75" borderId="0" applyNumberFormat="0" applyBorder="0" applyAlignment="0" applyProtection="0"/>
    <xf numFmtId="191" fontId="46" fillId="75" borderId="0" applyNumberFormat="0" applyBorder="0" applyAlignment="0" applyProtection="0"/>
    <xf numFmtId="0" fontId="107" fillId="3" borderId="0" applyNumberFormat="0" applyBorder="0" applyAlignment="0" applyProtection="0"/>
    <xf numFmtId="0" fontId="46" fillId="75" borderId="0" applyNumberFormat="0" applyBorder="0" applyAlignment="0" applyProtection="0"/>
    <xf numFmtId="191" fontId="108" fillId="59" borderId="0" applyNumberFormat="0" applyBorder="0" applyAlignment="0" applyProtection="0"/>
    <xf numFmtId="0" fontId="108" fillId="59" borderId="0" applyNumberFormat="0" applyBorder="0" applyAlignment="0" applyProtection="0"/>
    <xf numFmtId="0" fontId="107" fillId="3" borderId="0" applyNumberFormat="0" applyBorder="0" applyAlignment="0" applyProtection="0"/>
    <xf numFmtId="0" fontId="46" fillId="75" borderId="0" applyNumberFormat="0" applyBorder="0" applyAlignment="0" applyProtection="0"/>
    <xf numFmtId="0" fontId="107" fillId="3" borderId="0" applyNumberFormat="0" applyBorder="0" applyAlignment="0" applyProtection="0"/>
    <xf numFmtId="0" fontId="107" fillId="75" borderId="0" applyNumberFormat="0" applyBorder="0" applyAlignment="0" applyProtection="0"/>
    <xf numFmtId="190" fontId="46" fillId="75" borderId="0" applyNumberFormat="0" applyBorder="0" applyAlignment="0" applyProtection="0"/>
    <xf numFmtId="190" fontId="46" fillId="75" borderId="0" applyNumberFormat="0" applyBorder="0" applyAlignment="0" applyProtection="0"/>
    <xf numFmtId="0" fontId="91" fillId="59" borderId="0" applyNumberFormat="0" applyBorder="0" applyAlignment="0" applyProtection="0"/>
    <xf numFmtId="0" fontId="46" fillId="75" borderId="0" applyNumberFormat="0" applyBorder="0" applyAlignment="0" applyProtection="0"/>
    <xf numFmtId="0" fontId="107" fillId="75" borderId="0" applyNumberFormat="0" applyBorder="0" applyAlignment="0" applyProtection="0"/>
    <xf numFmtId="190" fontId="46" fillId="75" borderId="0" applyNumberFormat="0" applyBorder="0" applyAlignment="0" applyProtection="0"/>
    <xf numFmtId="0" fontId="107" fillId="75" borderId="0" applyNumberFormat="0" applyBorder="0" applyAlignment="0" applyProtection="0"/>
    <xf numFmtId="189" fontId="46" fillId="75" borderId="0" applyNumberFormat="0" applyBorder="0" applyAlignment="0" applyProtection="0"/>
    <xf numFmtId="0" fontId="107" fillId="75" borderId="0" applyNumberFormat="0" applyBorder="0" applyAlignment="0" applyProtection="0"/>
    <xf numFmtId="190" fontId="46" fillId="75" borderId="0" applyNumberFormat="0" applyBorder="0" applyAlignment="0" applyProtection="0"/>
    <xf numFmtId="0" fontId="46" fillId="75" borderId="0" applyNumberFormat="0" applyBorder="0" applyAlignment="0" applyProtection="0"/>
    <xf numFmtId="0" fontId="107" fillId="75" borderId="0" applyNumberFormat="0" applyBorder="0" applyAlignment="0" applyProtection="0"/>
    <xf numFmtId="0" fontId="91" fillId="72" borderId="0" applyNumberFormat="0" applyBorder="0" applyAlignment="0" applyProtection="0"/>
    <xf numFmtId="0" fontId="91" fillId="59" borderId="0" applyNumberFormat="0" applyBorder="0" applyAlignment="0" applyProtection="0"/>
    <xf numFmtId="0" fontId="64" fillId="90" borderId="0" applyNumberFormat="0" applyBorder="0" applyAlignment="0" applyProtection="0"/>
    <xf numFmtId="0" fontId="64" fillId="90" borderId="0" applyNumberFormat="0" applyBorder="0" applyAlignment="0" applyProtection="0"/>
    <xf numFmtId="193" fontId="64" fillId="90" borderId="0" applyNumberFormat="0" applyBorder="0" applyAlignment="0" applyProtection="0"/>
    <xf numFmtId="193" fontId="64" fillId="90" borderId="0" applyNumberFormat="0" applyBorder="0" applyAlignment="0" applyProtection="0"/>
    <xf numFmtId="190" fontId="64" fillId="91" borderId="0" applyNumberFormat="0" applyBorder="0" applyAlignment="0" applyProtection="0"/>
    <xf numFmtId="193" fontId="64" fillId="90" borderId="0" applyNumberFormat="0" applyBorder="0" applyAlignment="0" applyProtection="0"/>
    <xf numFmtId="190" fontId="64" fillId="91" borderId="0" applyNumberFormat="0" applyBorder="0" applyAlignment="0" applyProtection="0"/>
    <xf numFmtId="0" fontId="64" fillId="90" borderId="0" applyNumberFormat="0" applyBorder="0" applyAlignment="0" applyProtection="0"/>
    <xf numFmtId="189" fontId="64" fillId="91" borderId="0" applyNumberFormat="0" applyBorder="0" applyAlignment="0" applyProtection="0"/>
    <xf numFmtId="0" fontId="64" fillId="91" borderId="0" applyNumberFormat="0" applyBorder="0" applyAlignment="0" applyProtection="0"/>
    <xf numFmtId="193" fontId="64" fillId="91" borderId="0" applyNumberFormat="0" applyBorder="0" applyAlignment="0" applyProtection="0"/>
    <xf numFmtId="190" fontId="64" fillId="91" borderId="0" applyNumberFormat="0" applyBorder="0" applyAlignment="0" applyProtection="0"/>
    <xf numFmtId="193" fontId="64" fillId="91" borderId="0" applyNumberFormat="0" applyBorder="0" applyAlignment="0" applyProtection="0"/>
    <xf numFmtId="193" fontId="64" fillId="91" borderId="0" applyNumberFormat="0" applyBorder="0" applyAlignment="0" applyProtection="0"/>
    <xf numFmtId="192" fontId="64" fillId="91" borderId="0" applyNumberFormat="0" applyBorder="0" applyAlignment="0" applyProtection="0"/>
    <xf numFmtId="0" fontId="64" fillId="91" borderId="0" applyNumberFormat="0" applyBorder="0" applyAlignment="0" applyProtection="0"/>
    <xf numFmtId="192" fontId="64" fillId="91" borderId="0" applyNumberFormat="0" applyBorder="0" applyAlignment="0" applyProtection="0"/>
    <xf numFmtId="191" fontId="64" fillId="91" borderId="0" applyNumberFormat="0" applyBorder="0" applyAlignment="0" applyProtection="0"/>
    <xf numFmtId="190" fontId="64" fillId="91" borderId="0" applyNumberFormat="0" applyBorder="0" applyAlignment="0" applyProtection="0"/>
    <xf numFmtId="0" fontId="64" fillId="91" borderId="0" applyNumberFormat="0" applyBorder="0" applyAlignment="0" applyProtection="0"/>
    <xf numFmtId="189" fontId="64" fillId="91" borderId="0" applyNumberFormat="0" applyBorder="0" applyAlignment="0" applyProtection="0"/>
    <xf numFmtId="0" fontId="64" fillId="92" borderId="0" applyNumberFormat="0" applyBorder="0" applyAlignment="0" applyProtection="0"/>
    <xf numFmtId="0" fontId="64" fillId="92" borderId="0" applyNumberFormat="0" applyBorder="0" applyAlignment="0" applyProtection="0"/>
    <xf numFmtId="193" fontId="64" fillId="92" borderId="0" applyNumberFormat="0" applyBorder="0" applyAlignment="0" applyProtection="0"/>
    <xf numFmtId="193" fontId="64" fillId="92" borderId="0" applyNumberFormat="0" applyBorder="0" applyAlignment="0" applyProtection="0"/>
    <xf numFmtId="190" fontId="64" fillId="93" borderId="0" applyNumberFormat="0" applyBorder="0" applyAlignment="0" applyProtection="0"/>
    <xf numFmtId="193" fontId="64" fillId="92" borderId="0" applyNumberFormat="0" applyBorder="0" applyAlignment="0" applyProtection="0"/>
    <xf numFmtId="190" fontId="64" fillId="93" borderId="0" applyNumberFormat="0" applyBorder="0" applyAlignment="0" applyProtection="0"/>
    <xf numFmtId="0" fontId="64" fillId="92" borderId="0" applyNumberFormat="0" applyBorder="0" applyAlignment="0" applyProtection="0"/>
    <xf numFmtId="189" fontId="64" fillId="93" borderId="0" applyNumberFormat="0" applyBorder="0" applyAlignment="0" applyProtection="0"/>
    <xf numFmtId="0" fontId="64" fillId="93" borderId="0" applyNumberFormat="0" applyBorder="0" applyAlignment="0" applyProtection="0"/>
    <xf numFmtId="193" fontId="64" fillId="93" borderId="0" applyNumberFormat="0" applyBorder="0" applyAlignment="0" applyProtection="0"/>
    <xf numFmtId="190" fontId="64" fillId="93" borderId="0" applyNumberFormat="0" applyBorder="0" applyAlignment="0" applyProtection="0"/>
    <xf numFmtId="193" fontId="64" fillId="93" borderId="0" applyNumberFormat="0" applyBorder="0" applyAlignment="0" applyProtection="0"/>
    <xf numFmtId="193" fontId="64" fillId="93" borderId="0" applyNumberFormat="0" applyBorder="0" applyAlignment="0" applyProtection="0"/>
    <xf numFmtId="192" fontId="64" fillId="93" borderId="0" applyNumberFormat="0" applyBorder="0" applyAlignment="0" applyProtection="0"/>
    <xf numFmtId="0" fontId="64" fillId="93" borderId="0" applyNumberFormat="0" applyBorder="0" applyAlignment="0" applyProtection="0"/>
    <xf numFmtId="192" fontId="64" fillId="93" borderId="0" applyNumberFormat="0" applyBorder="0" applyAlignment="0" applyProtection="0"/>
    <xf numFmtId="191" fontId="64" fillId="93" borderId="0" applyNumberFormat="0" applyBorder="0" applyAlignment="0" applyProtection="0"/>
    <xf numFmtId="190" fontId="64" fillId="93" borderId="0" applyNumberFormat="0" applyBorder="0" applyAlignment="0" applyProtection="0"/>
    <xf numFmtId="0" fontId="64" fillId="93" borderId="0" applyNumberFormat="0" applyBorder="0" applyAlignment="0" applyProtection="0"/>
    <xf numFmtId="189" fontId="64" fillId="93" borderId="0" applyNumberFormat="0" applyBorder="0" applyAlignment="0" applyProtection="0"/>
    <xf numFmtId="0" fontId="107" fillId="94" borderId="0" applyNumberFormat="0" applyBorder="0" applyAlignment="0" applyProtection="0"/>
    <xf numFmtId="0" fontId="107" fillId="95" borderId="0" applyNumberFormat="0" applyBorder="0" applyAlignment="0" applyProtection="0"/>
    <xf numFmtId="193" fontId="107" fillId="94" borderId="0" applyNumberFormat="0" applyBorder="0" applyAlignment="0" applyProtection="0"/>
    <xf numFmtId="193" fontId="107" fillId="94" borderId="0" applyNumberFormat="0" applyBorder="0" applyAlignment="0" applyProtection="0"/>
    <xf numFmtId="190" fontId="107" fillId="95" borderId="0" applyNumberFormat="0" applyBorder="0" applyAlignment="0" applyProtection="0"/>
    <xf numFmtId="193" fontId="107" fillId="94" borderId="0" applyNumberFormat="0" applyBorder="0" applyAlignment="0" applyProtection="0"/>
    <xf numFmtId="190" fontId="107" fillId="95" borderId="0" applyNumberFormat="0" applyBorder="0" applyAlignment="0" applyProtection="0"/>
    <xf numFmtId="0" fontId="107" fillId="94" borderId="0" applyNumberFormat="0" applyBorder="0" applyAlignment="0" applyProtection="0"/>
    <xf numFmtId="189" fontId="107" fillId="95" borderId="0" applyNumberFormat="0" applyBorder="0" applyAlignment="0" applyProtection="0"/>
    <xf numFmtId="0" fontId="107" fillId="95" borderId="0" applyNumberFormat="0" applyBorder="0" applyAlignment="0" applyProtection="0"/>
    <xf numFmtId="193" fontId="107" fillId="95" borderId="0" applyNumberFormat="0" applyBorder="0" applyAlignment="0" applyProtection="0"/>
    <xf numFmtId="190" fontId="107" fillId="95" borderId="0" applyNumberFormat="0" applyBorder="0" applyAlignment="0" applyProtection="0"/>
    <xf numFmtId="193" fontId="107" fillId="95" borderId="0" applyNumberFormat="0" applyBorder="0" applyAlignment="0" applyProtection="0"/>
    <xf numFmtId="193" fontId="107" fillId="95" borderId="0" applyNumberFormat="0" applyBorder="0" applyAlignment="0" applyProtection="0"/>
    <xf numFmtId="192" fontId="107" fillId="95" borderId="0" applyNumberFormat="0" applyBorder="0" applyAlignment="0" applyProtection="0"/>
    <xf numFmtId="0" fontId="107" fillId="95" borderId="0" applyNumberFormat="0" applyBorder="0" applyAlignment="0" applyProtection="0"/>
    <xf numFmtId="192" fontId="107" fillId="95" borderId="0" applyNumberFormat="0" applyBorder="0" applyAlignment="0" applyProtection="0"/>
    <xf numFmtId="191" fontId="107" fillId="95" borderId="0" applyNumberFormat="0" applyBorder="0" applyAlignment="0" applyProtection="0"/>
    <xf numFmtId="190" fontId="107" fillId="95" borderId="0" applyNumberFormat="0" applyBorder="0" applyAlignment="0" applyProtection="0"/>
    <xf numFmtId="0" fontId="107" fillId="95" borderId="0" applyNumberFormat="0" applyBorder="0" applyAlignment="0" applyProtection="0"/>
    <xf numFmtId="189" fontId="107" fillId="95"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8" fillId="36" borderId="0" applyNumberFormat="0" applyBorder="0" applyAlignment="0" applyProtection="0"/>
    <xf numFmtId="0" fontId="109"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9"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9" fillId="3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9" fillId="36"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4"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89" fontId="107" fillId="4" borderId="0" applyNumberFormat="0" applyBorder="0" applyAlignment="0" applyProtection="0"/>
    <xf numFmtId="0" fontId="107" fillId="4" borderId="0" applyNumberFormat="0" applyBorder="0" applyAlignment="0" applyProtection="0"/>
    <xf numFmtId="193" fontId="107" fillId="4"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91" fontId="108" fillId="36" borderId="0" applyNumberFormat="0" applyBorder="0" applyAlignment="0" applyProtection="0"/>
    <xf numFmtId="190" fontId="107" fillId="4" borderId="0" applyNumberFormat="0" applyBorder="0" applyAlignment="0" applyProtection="0"/>
    <xf numFmtId="0" fontId="107" fillId="4" borderId="0" applyNumberFormat="0" applyBorder="0" applyAlignment="0" applyProtection="0"/>
    <xf numFmtId="189" fontId="107" fillId="4" borderId="0" applyNumberFormat="0" applyBorder="0" applyAlignment="0" applyProtection="0"/>
    <xf numFmtId="193" fontId="107" fillId="4" borderId="0" applyNumberFormat="0" applyBorder="0" applyAlignment="0" applyProtection="0"/>
    <xf numFmtId="190" fontId="108" fillId="36" borderId="0" applyNumberFormat="0" applyBorder="0" applyAlignment="0" applyProtection="0"/>
    <xf numFmtId="190" fontId="108"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191" fontId="108" fillId="36" borderId="0" applyNumberFormat="0" applyBorder="0" applyAlignment="0" applyProtection="0"/>
    <xf numFmtId="0" fontId="108" fillId="36" borderId="0" applyNumberFormat="0" applyBorder="0" applyAlignment="0" applyProtection="0"/>
    <xf numFmtId="192" fontId="107" fillId="4" borderId="0" applyNumberFormat="0" applyBorder="0" applyAlignment="0" applyProtection="0"/>
    <xf numFmtId="191" fontId="107" fillId="4" borderId="0" applyNumberFormat="0" applyBorder="0" applyAlignment="0" applyProtection="0"/>
    <xf numFmtId="192" fontId="108" fillId="36" borderId="0" applyNumberFormat="0" applyBorder="0" applyAlignment="0" applyProtection="0"/>
    <xf numFmtId="191" fontId="108" fillId="36" borderId="0" applyNumberFormat="0" applyBorder="0" applyAlignment="0" applyProtection="0"/>
    <xf numFmtId="192" fontId="91" fillId="36" borderId="0" applyNumberFormat="0" applyBorder="0" applyAlignment="0" applyProtection="0"/>
    <xf numFmtId="191" fontId="107" fillId="96" borderId="0" applyNumberFormat="0" applyBorder="0" applyAlignment="0" applyProtection="0"/>
    <xf numFmtId="192"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91" fillId="36" borderId="0" applyNumberFormat="0" applyBorder="0" applyAlignment="0" applyProtection="0"/>
    <xf numFmtId="190" fontId="91" fillId="3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1" fontId="107" fillId="96" borderId="0" applyNumberFormat="0" applyBorder="0" applyAlignment="0" applyProtection="0"/>
    <xf numFmtId="0" fontId="107" fillId="4" borderId="0" applyNumberFormat="0" applyBorder="0" applyAlignment="0" applyProtection="0"/>
    <xf numFmtId="192" fontId="108" fillId="36" borderId="0" applyNumberFormat="0" applyBorder="0" applyAlignment="0" applyProtection="0"/>
    <xf numFmtId="191" fontId="108" fillId="36" borderId="0" applyNumberFormat="0" applyBorder="0" applyAlignment="0" applyProtection="0"/>
    <xf numFmtId="192" fontId="91" fillId="36" borderId="0" applyNumberFormat="0" applyBorder="0" applyAlignment="0" applyProtection="0"/>
    <xf numFmtId="191"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92"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1" fontId="107" fillId="96" borderId="0" applyNumberFormat="0" applyBorder="0" applyAlignment="0" applyProtection="0"/>
    <xf numFmtId="192" fontId="107" fillId="96" borderId="0" applyNumberFormat="0" applyBorder="0" applyAlignment="0" applyProtection="0"/>
    <xf numFmtId="192" fontId="108" fillId="36" borderId="0" applyNumberFormat="0" applyBorder="0" applyAlignment="0" applyProtection="0"/>
    <xf numFmtId="191" fontId="108" fillId="36" borderId="0" applyNumberFormat="0" applyBorder="0" applyAlignment="0" applyProtection="0"/>
    <xf numFmtId="191"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189"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64" fillId="97" borderId="0" applyNumberFormat="0" applyBorder="0" applyAlignment="0" applyProtection="0"/>
    <xf numFmtId="0" fontId="64" fillId="97" borderId="0" applyNumberFormat="0" applyBorder="0" applyAlignment="0" applyProtection="0"/>
    <xf numFmtId="193" fontId="64" fillId="97" borderId="0" applyNumberFormat="0" applyBorder="0" applyAlignment="0" applyProtection="0"/>
    <xf numFmtId="193" fontId="64" fillId="97" borderId="0" applyNumberFormat="0" applyBorder="0" applyAlignment="0" applyProtection="0"/>
    <xf numFmtId="190" fontId="64" fillId="98" borderId="0" applyNumberFormat="0" applyBorder="0" applyAlignment="0" applyProtection="0"/>
    <xf numFmtId="193" fontId="64" fillId="97" borderId="0" applyNumberFormat="0" applyBorder="0" applyAlignment="0" applyProtection="0"/>
    <xf numFmtId="190" fontId="64" fillId="98" borderId="0" applyNumberFormat="0" applyBorder="0" applyAlignment="0" applyProtection="0"/>
    <xf numFmtId="0" fontId="64" fillId="97" borderId="0" applyNumberFormat="0" applyBorder="0" applyAlignment="0" applyProtection="0"/>
    <xf numFmtId="189" fontId="64" fillId="98" borderId="0" applyNumberFormat="0" applyBorder="0" applyAlignment="0" applyProtection="0"/>
    <xf numFmtId="0" fontId="64" fillId="98" borderId="0" applyNumberFormat="0" applyBorder="0" applyAlignment="0" applyProtection="0"/>
    <xf numFmtId="193" fontId="64" fillId="98" borderId="0" applyNumberFormat="0" applyBorder="0" applyAlignment="0" applyProtection="0"/>
    <xf numFmtId="190" fontId="64" fillId="98" borderId="0" applyNumberFormat="0" applyBorder="0" applyAlignment="0" applyProtection="0"/>
    <xf numFmtId="193" fontId="64" fillId="98" borderId="0" applyNumberFormat="0" applyBorder="0" applyAlignment="0" applyProtection="0"/>
    <xf numFmtId="193" fontId="64" fillId="98" borderId="0" applyNumberFormat="0" applyBorder="0" applyAlignment="0" applyProtection="0"/>
    <xf numFmtId="192" fontId="64" fillId="98" borderId="0" applyNumberFormat="0" applyBorder="0" applyAlignment="0" applyProtection="0"/>
    <xf numFmtId="0" fontId="64" fillId="98" borderId="0" applyNumberFormat="0" applyBorder="0" applyAlignment="0" applyProtection="0"/>
    <xf numFmtId="192" fontId="64" fillId="98" borderId="0" applyNumberFormat="0" applyBorder="0" applyAlignment="0" applyProtection="0"/>
    <xf numFmtId="191" fontId="64" fillId="98" borderId="0" applyNumberFormat="0" applyBorder="0" applyAlignment="0" applyProtection="0"/>
    <xf numFmtId="190" fontId="64" fillId="98" borderId="0" applyNumberFormat="0" applyBorder="0" applyAlignment="0" applyProtection="0"/>
    <xf numFmtId="0" fontId="64" fillId="98" borderId="0" applyNumberFormat="0" applyBorder="0" applyAlignment="0" applyProtection="0"/>
    <xf numFmtId="189" fontId="64" fillId="98" borderId="0" applyNumberFormat="0" applyBorder="0" applyAlignment="0" applyProtection="0"/>
    <xf numFmtId="0" fontId="64" fillId="99" borderId="0" applyNumberFormat="0" applyBorder="0" applyAlignment="0" applyProtection="0"/>
    <xf numFmtId="0" fontId="64" fillId="99" borderId="0" applyNumberFormat="0" applyBorder="0" applyAlignment="0" applyProtection="0"/>
    <xf numFmtId="193" fontId="64" fillId="99" borderId="0" applyNumberFormat="0" applyBorder="0" applyAlignment="0" applyProtection="0"/>
    <xf numFmtId="193" fontId="64" fillId="99" borderId="0" applyNumberFormat="0" applyBorder="0" applyAlignment="0" applyProtection="0"/>
    <xf numFmtId="190" fontId="64" fillId="100" borderId="0" applyNumberFormat="0" applyBorder="0" applyAlignment="0" applyProtection="0"/>
    <xf numFmtId="193" fontId="64" fillId="99" borderId="0" applyNumberFormat="0" applyBorder="0" applyAlignment="0" applyProtection="0"/>
    <xf numFmtId="190" fontId="64" fillId="100" borderId="0" applyNumberFormat="0" applyBorder="0" applyAlignment="0" applyProtection="0"/>
    <xf numFmtId="0" fontId="64" fillId="99" borderId="0" applyNumberFormat="0" applyBorder="0" applyAlignment="0" applyProtection="0"/>
    <xf numFmtId="189" fontId="64" fillId="100" borderId="0" applyNumberFormat="0" applyBorder="0" applyAlignment="0" applyProtection="0"/>
    <xf numFmtId="0" fontId="64" fillId="100" borderId="0" applyNumberFormat="0" applyBorder="0" applyAlignment="0" applyProtection="0"/>
    <xf numFmtId="193" fontId="64" fillId="100" borderId="0" applyNumberFormat="0" applyBorder="0" applyAlignment="0" applyProtection="0"/>
    <xf numFmtId="190" fontId="64" fillId="100" borderId="0" applyNumberFormat="0" applyBorder="0" applyAlignment="0" applyProtection="0"/>
    <xf numFmtId="193" fontId="64" fillId="100" borderId="0" applyNumberFormat="0" applyBorder="0" applyAlignment="0" applyProtection="0"/>
    <xf numFmtId="193" fontId="64" fillId="100" borderId="0" applyNumberFormat="0" applyBorder="0" applyAlignment="0" applyProtection="0"/>
    <xf numFmtId="192" fontId="64" fillId="100" borderId="0" applyNumberFormat="0" applyBorder="0" applyAlignment="0" applyProtection="0"/>
    <xf numFmtId="0" fontId="64" fillId="100" borderId="0" applyNumberFormat="0" applyBorder="0" applyAlignment="0" applyProtection="0"/>
    <xf numFmtId="192" fontId="64" fillId="100" borderId="0" applyNumberFormat="0" applyBorder="0" applyAlignment="0" applyProtection="0"/>
    <xf numFmtId="191" fontId="64" fillId="100" borderId="0" applyNumberFormat="0" applyBorder="0" applyAlignment="0" applyProtection="0"/>
    <xf numFmtId="190" fontId="64" fillId="100" borderId="0" applyNumberFormat="0" applyBorder="0" applyAlignment="0" applyProtection="0"/>
    <xf numFmtId="0" fontId="64" fillId="100" borderId="0" applyNumberFormat="0" applyBorder="0" applyAlignment="0" applyProtection="0"/>
    <xf numFmtId="189" fontId="64" fillId="100" borderId="0" applyNumberFormat="0" applyBorder="0" applyAlignment="0" applyProtection="0"/>
    <xf numFmtId="0" fontId="107" fillId="100" borderId="0" applyNumberFormat="0" applyBorder="0" applyAlignment="0" applyProtection="0"/>
    <xf numFmtId="0" fontId="107" fillId="101" borderId="0" applyNumberFormat="0" applyBorder="0" applyAlignment="0" applyProtection="0"/>
    <xf numFmtId="193" fontId="107" fillId="100" borderId="0" applyNumberFormat="0" applyBorder="0" applyAlignment="0" applyProtection="0"/>
    <xf numFmtId="193" fontId="107" fillId="100" borderId="0" applyNumberFormat="0" applyBorder="0" applyAlignment="0" applyProtection="0"/>
    <xf numFmtId="190" fontId="107" fillId="101" borderId="0" applyNumberFormat="0" applyBorder="0" applyAlignment="0" applyProtection="0"/>
    <xf numFmtId="193" fontId="107" fillId="100" borderId="0" applyNumberFormat="0" applyBorder="0" applyAlignment="0" applyProtection="0"/>
    <xf numFmtId="190" fontId="107" fillId="101" borderId="0" applyNumberFormat="0" applyBorder="0" applyAlignment="0" applyProtection="0"/>
    <xf numFmtId="0" fontId="107" fillId="100" borderId="0" applyNumberFormat="0" applyBorder="0" applyAlignment="0" applyProtection="0"/>
    <xf numFmtId="189"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191"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189" fontId="107" fillId="101"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8" fillId="40" borderId="0" applyNumberFormat="0" applyBorder="0" applyAlignment="0" applyProtection="0"/>
    <xf numFmtId="0" fontId="109"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9"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9" fillId="40"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9" fillId="40"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89" fontId="107" fillId="103" borderId="0" applyNumberFormat="0" applyBorder="0" applyAlignment="0" applyProtection="0"/>
    <xf numFmtId="0" fontId="107" fillId="103" borderId="0" applyNumberFormat="0" applyBorder="0" applyAlignment="0" applyProtection="0"/>
    <xf numFmtId="193" fontId="107" fillId="103"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1" fontId="108" fillId="40" borderId="0" applyNumberFormat="0" applyBorder="0" applyAlignment="0" applyProtection="0"/>
    <xf numFmtId="190" fontId="107" fillId="103" borderId="0" applyNumberFormat="0" applyBorder="0" applyAlignment="0" applyProtection="0"/>
    <xf numFmtId="0" fontId="107" fillId="103" borderId="0" applyNumberFormat="0" applyBorder="0" applyAlignment="0" applyProtection="0"/>
    <xf numFmtId="189" fontId="107" fillId="103" borderId="0" applyNumberFormat="0" applyBorder="0" applyAlignment="0" applyProtection="0"/>
    <xf numFmtId="193" fontId="107" fillId="103" borderId="0" applyNumberFormat="0" applyBorder="0" applyAlignment="0" applyProtection="0"/>
    <xf numFmtId="190" fontId="108" fillId="40" borderId="0" applyNumberFormat="0" applyBorder="0" applyAlignment="0" applyProtection="0"/>
    <xf numFmtId="190" fontId="108"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191" fontId="108" fillId="40" borderId="0" applyNumberFormat="0" applyBorder="0" applyAlignment="0" applyProtection="0"/>
    <xf numFmtId="0" fontId="108" fillId="40" borderId="0" applyNumberFormat="0" applyBorder="0" applyAlignment="0" applyProtection="0"/>
    <xf numFmtId="192" fontId="107" fillId="103" borderId="0" applyNumberFormat="0" applyBorder="0" applyAlignment="0" applyProtection="0"/>
    <xf numFmtId="191" fontId="107" fillId="103" borderId="0" applyNumberFormat="0" applyBorder="0" applyAlignment="0" applyProtection="0"/>
    <xf numFmtId="192" fontId="108" fillId="40" borderId="0" applyNumberFormat="0" applyBorder="0" applyAlignment="0" applyProtection="0"/>
    <xf numFmtId="191" fontId="108" fillId="40" borderId="0" applyNumberFormat="0" applyBorder="0" applyAlignment="0" applyProtection="0"/>
    <xf numFmtId="192" fontId="91" fillId="40" borderId="0" applyNumberFormat="0" applyBorder="0" applyAlignment="0" applyProtection="0"/>
    <xf numFmtId="191" fontId="107" fillId="102" borderId="0" applyNumberFormat="0" applyBorder="0" applyAlignment="0" applyProtection="0"/>
    <xf numFmtId="192"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91" fillId="40" borderId="0" applyNumberFormat="0" applyBorder="0" applyAlignment="0" applyProtection="0"/>
    <xf numFmtId="19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0" fontId="107" fillId="103" borderId="0" applyNumberFormat="0" applyBorder="0" applyAlignment="0" applyProtection="0"/>
    <xf numFmtId="192" fontId="108" fillId="40" borderId="0" applyNumberFormat="0" applyBorder="0" applyAlignment="0" applyProtection="0"/>
    <xf numFmtId="191" fontId="108" fillId="40" borderId="0" applyNumberFormat="0" applyBorder="0" applyAlignment="0" applyProtection="0"/>
    <xf numFmtId="192" fontId="91" fillId="40" borderId="0" applyNumberFormat="0" applyBorder="0" applyAlignment="0" applyProtection="0"/>
    <xf numFmtId="191"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2"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2" fontId="107" fillId="102" borderId="0" applyNumberFormat="0" applyBorder="0" applyAlignment="0" applyProtection="0"/>
    <xf numFmtId="192" fontId="108" fillId="40" borderId="0" applyNumberFormat="0" applyBorder="0" applyAlignment="0" applyProtection="0"/>
    <xf numFmtId="191" fontId="108" fillId="40" borderId="0" applyNumberFormat="0" applyBorder="0" applyAlignment="0" applyProtection="0"/>
    <xf numFmtId="191"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189"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64" fillId="104" borderId="0" applyNumberFormat="0" applyBorder="0" applyAlignment="0" applyProtection="0"/>
    <xf numFmtId="0" fontId="64" fillId="104" borderId="0" applyNumberFormat="0" applyBorder="0" applyAlignment="0" applyProtection="0"/>
    <xf numFmtId="193" fontId="64" fillId="104" borderId="0" applyNumberFormat="0" applyBorder="0" applyAlignment="0" applyProtection="0"/>
    <xf numFmtId="193" fontId="64" fillId="104" borderId="0" applyNumberFormat="0" applyBorder="0" applyAlignment="0" applyProtection="0"/>
    <xf numFmtId="190" fontId="64" fillId="105" borderId="0" applyNumberFormat="0" applyBorder="0" applyAlignment="0" applyProtection="0"/>
    <xf numFmtId="193" fontId="64" fillId="104" borderId="0" applyNumberFormat="0" applyBorder="0" applyAlignment="0" applyProtection="0"/>
    <xf numFmtId="190" fontId="64" fillId="105" borderId="0" applyNumberFormat="0" applyBorder="0" applyAlignment="0" applyProtection="0"/>
    <xf numFmtId="0" fontId="64" fillId="104" borderId="0" applyNumberFormat="0" applyBorder="0" applyAlignment="0" applyProtection="0"/>
    <xf numFmtId="189" fontId="64" fillId="105" borderId="0" applyNumberFormat="0" applyBorder="0" applyAlignment="0" applyProtection="0"/>
    <xf numFmtId="0" fontId="64" fillId="105" borderId="0" applyNumberFormat="0" applyBorder="0" applyAlignment="0" applyProtection="0"/>
    <xf numFmtId="193" fontId="64" fillId="105" borderId="0" applyNumberFormat="0" applyBorder="0" applyAlignment="0" applyProtection="0"/>
    <xf numFmtId="190" fontId="64" fillId="105" borderId="0" applyNumberFormat="0" applyBorder="0" applyAlignment="0" applyProtection="0"/>
    <xf numFmtId="193" fontId="64" fillId="105" borderId="0" applyNumberFormat="0" applyBorder="0" applyAlignment="0" applyProtection="0"/>
    <xf numFmtId="193" fontId="64" fillId="105" borderId="0" applyNumberFormat="0" applyBorder="0" applyAlignment="0" applyProtection="0"/>
    <xf numFmtId="192" fontId="64" fillId="105" borderId="0" applyNumberFormat="0" applyBorder="0" applyAlignment="0" applyProtection="0"/>
    <xf numFmtId="0" fontId="64" fillId="105" borderId="0" applyNumberFormat="0" applyBorder="0" applyAlignment="0" applyProtection="0"/>
    <xf numFmtId="192" fontId="64" fillId="105" borderId="0" applyNumberFormat="0" applyBorder="0" applyAlignment="0" applyProtection="0"/>
    <xf numFmtId="191" fontId="64" fillId="105" borderId="0" applyNumberFormat="0" applyBorder="0" applyAlignment="0" applyProtection="0"/>
    <xf numFmtId="190" fontId="64" fillId="105" borderId="0" applyNumberFormat="0" applyBorder="0" applyAlignment="0" applyProtection="0"/>
    <xf numFmtId="0" fontId="64" fillId="105" borderId="0" applyNumberFormat="0" applyBorder="0" applyAlignment="0" applyProtection="0"/>
    <xf numFmtId="189" fontId="64" fillId="105"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193" fontId="64" fillId="106" borderId="0" applyNumberFormat="0" applyBorder="0" applyAlignment="0" applyProtection="0"/>
    <xf numFmtId="193" fontId="64" fillId="106" borderId="0" applyNumberFormat="0" applyBorder="0" applyAlignment="0" applyProtection="0"/>
    <xf numFmtId="190" fontId="64" fillId="99" borderId="0" applyNumberFormat="0" applyBorder="0" applyAlignment="0" applyProtection="0"/>
    <xf numFmtId="193" fontId="64" fillId="106" borderId="0" applyNumberFormat="0" applyBorder="0" applyAlignment="0" applyProtection="0"/>
    <xf numFmtId="190" fontId="64" fillId="99" borderId="0" applyNumberFormat="0" applyBorder="0" applyAlignment="0" applyProtection="0"/>
    <xf numFmtId="0" fontId="64" fillId="106" borderId="0" applyNumberFormat="0" applyBorder="0" applyAlignment="0" applyProtection="0"/>
    <xf numFmtId="189" fontId="64" fillId="99" borderId="0" applyNumberFormat="0" applyBorder="0" applyAlignment="0" applyProtection="0"/>
    <xf numFmtId="0" fontId="64" fillId="99" borderId="0" applyNumberFormat="0" applyBorder="0" applyAlignment="0" applyProtection="0"/>
    <xf numFmtId="193" fontId="64" fillId="99" borderId="0" applyNumberFormat="0" applyBorder="0" applyAlignment="0" applyProtection="0"/>
    <xf numFmtId="190" fontId="64" fillId="99" borderId="0" applyNumberFormat="0" applyBorder="0" applyAlignment="0" applyProtection="0"/>
    <xf numFmtId="193" fontId="64" fillId="99" borderId="0" applyNumberFormat="0" applyBorder="0" applyAlignment="0" applyProtection="0"/>
    <xf numFmtId="193" fontId="64" fillId="99" borderId="0" applyNumberFormat="0" applyBorder="0" applyAlignment="0" applyProtection="0"/>
    <xf numFmtId="192" fontId="64" fillId="99" borderId="0" applyNumberFormat="0" applyBorder="0" applyAlignment="0" applyProtection="0"/>
    <xf numFmtId="0" fontId="64" fillId="99" borderId="0" applyNumberFormat="0" applyBorder="0" applyAlignment="0" applyProtection="0"/>
    <xf numFmtId="192" fontId="64" fillId="99" borderId="0" applyNumberFormat="0" applyBorder="0" applyAlignment="0" applyProtection="0"/>
    <xf numFmtId="191" fontId="64" fillId="99" borderId="0" applyNumberFormat="0" applyBorder="0" applyAlignment="0" applyProtection="0"/>
    <xf numFmtId="190" fontId="64" fillId="99" borderId="0" applyNumberFormat="0" applyBorder="0" applyAlignment="0" applyProtection="0"/>
    <xf numFmtId="0" fontId="64" fillId="99" borderId="0" applyNumberFormat="0" applyBorder="0" applyAlignment="0" applyProtection="0"/>
    <xf numFmtId="189" fontId="64" fillId="99" borderId="0" applyNumberFormat="0" applyBorder="0" applyAlignment="0" applyProtection="0"/>
    <xf numFmtId="0" fontId="107" fillId="107" borderId="0" applyNumberFormat="0" applyBorder="0" applyAlignment="0" applyProtection="0"/>
    <xf numFmtId="0" fontId="107" fillId="92" borderId="0" applyNumberFormat="0" applyBorder="0" applyAlignment="0" applyProtection="0"/>
    <xf numFmtId="193" fontId="107" fillId="107" borderId="0" applyNumberFormat="0" applyBorder="0" applyAlignment="0" applyProtection="0"/>
    <xf numFmtId="193" fontId="107" fillId="107" borderId="0" applyNumberFormat="0" applyBorder="0" applyAlignment="0" applyProtection="0"/>
    <xf numFmtId="190" fontId="107" fillId="92" borderId="0" applyNumberFormat="0" applyBorder="0" applyAlignment="0" applyProtection="0"/>
    <xf numFmtId="193" fontId="107" fillId="107" borderId="0" applyNumberFormat="0" applyBorder="0" applyAlignment="0" applyProtection="0"/>
    <xf numFmtId="190" fontId="107" fillId="92" borderId="0" applyNumberFormat="0" applyBorder="0" applyAlignment="0" applyProtection="0"/>
    <xf numFmtId="0" fontId="107" fillId="107" borderId="0" applyNumberFormat="0" applyBorder="0" applyAlignment="0" applyProtection="0"/>
    <xf numFmtId="189" fontId="107" fillId="92" borderId="0" applyNumberFormat="0" applyBorder="0" applyAlignment="0" applyProtection="0"/>
    <xf numFmtId="0" fontId="107" fillId="92" borderId="0" applyNumberFormat="0" applyBorder="0" applyAlignment="0" applyProtection="0"/>
    <xf numFmtId="193" fontId="107" fillId="92" borderId="0" applyNumberFormat="0" applyBorder="0" applyAlignment="0" applyProtection="0"/>
    <xf numFmtId="190" fontId="107" fillId="92" borderId="0" applyNumberFormat="0" applyBorder="0" applyAlignment="0" applyProtection="0"/>
    <xf numFmtId="193" fontId="107" fillId="92" borderId="0" applyNumberFormat="0" applyBorder="0" applyAlignment="0" applyProtection="0"/>
    <xf numFmtId="193" fontId="107" fillId="92" borderId="0" applyNumberFormat="0" applyBorder="0" applyAlignment="0" applyProtection="0"/>
    <xf numFmtId="192" fontId="107" fillId="92" borderId="0" applyNumberFormat="0" applyBorder="0" applyAlignment="0" applyProtection="0"/>
    <xf numFmtId="0" fontId="107" fillId="92" borderId="0" applyNumberFormat="0" applyBorder="0" applyAlignment="0" applyProtection="0"/>
    <xf numFmtId="192" fontId="107" fillId="92" borderId="0" applyNumberFormat="0" applyBorder="0" applyAlignment="0" applyProtection="0"/>
    <xf numFmtId="191" fontId="107" fillId="92" borderId="0" applyNumberFormat="0" applyBorder="0" applyAlignment="0" applyProtection="0"/>
    <xf numFmtId="190" fontId="107" fillId="92" borderId="0" applyNumberFormat="0" applyBorder="0" applyAlignment="0" applyProtection="0"/>
    <xf numFmtId="0" fontId="107" fillId="92" borderId="0" applyNumberFormat="0" applyBorder="0" applyAlignment="0" applyProtection="0"/>
    <xf numFmtId="189" fontId="107" fillId="92"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8" fillId="44"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107" fillId="10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189" fontId="107" fillId="83" borderId="0" applyNumberFormat="0" applyBorder="0" applyAlignment="0" applyProtection="0"/>
    <xf numFmtId="0" fontId="107" fillId="83" borderId="0" applyNumberFormat="0" applyBorder="0" applyAlignment="0" applyProtection="0"/>
    <xf numFmtId="193" fontId="107" fillId="83"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191" fontId="108" fillId="44" borderId="0" applyNumberFormat="0" applyBorder="0" applyAlignment="0" applyProtection="0"/>
    <xf numFmtId="190" fontId="107" fillId="83" borderId="0" applyNumberFormat="0" applyBorder="0" applyAlignment="0" applyProtection="0"/>
    <xf numFmtId="0" fontId="107" fillId="83" borderId="0" applyNumberFormat="0" applyBorder="0" applyAlignment="0" applyProtection="0"/>
    <xf numFmtId="189" fontId="107" fillId="83" borderId="0" applyNumberFormat="0" applyBorder="0" applyAlignment="0" applyProtection="0"/>
    <xf numFmtId="193" fontId="107" fillId="83" borderId="0" applyNumberFormat="0" applyBorder="0" applyAlignment="0" applyProtection="0"/>
    <xf numFmtId="190" fontId="108" fillId="44" borderId="0" applyNumberFormat="0" applyBorder="0" applyAlignment="0" applyProtection="0"/>
    <xf numFmtId="190" fontId="108" fillId="44" borderId="0" applyNumberFormat="0" applyBorder="0" applyAlignment="0" applyProtection="0"/>
    <xf numFmtId="0" fontId="107" fillId="101"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191" fontId="108" fillId="44" borderId="0" applyNumberFormat="0" applyBorder="0" applyAlignment="0" applyProtection="0"/>
    <xf numFmtId="0" fontId="108" fillId="44" borderId="0" applyNumberFormat="0" applyBorder="0" applyAlignment="0" applyProtection="0"/>
    <xf numFmtId="192" fontId="107" fillId="83" borderId="0" applyNumberFormat="0" applyBorder="0" applyAlignment="0" applyProtection="0"/>
    <xf numFmtId="191" fontId="107" fillId="83" borderId="0" applyNumberFormat="0" applyBorder="0" applyAlignment="0" applyProtection="0"/>
    <xf numFmtId="192" fontId="108" fillId="44" borderId="0" applyNumberFormat="0" applyBorder="0" applyAlignment="0" applyProtection="0"/>
    <xf numFmtId="191" fontId="108" fillId="44" borderId="0" applyNumberFormat="0" applyBorder="0" applyAlignment="0" applyProtection="0"/>
    <xf numFmtId="192" fontId="91" fillId="44" borderId="0" applyNumberFormat="0" applyBorder="0" applyAlignment="0" applyProtection="0"/>
    <xf numFmtId="191" fontId="107" fillId="101" borderId="0" applyNumberFormat="0" applyBorder="0" applyAlignment="0" applyProtection="0"/>
    <xf numFmtId="192"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91" fillId="44" borderId="0" applyNumberFormat="0" applyBorder="0" applyAlignment="0" applyProtection="0"/>
    <xf numFmtId="0" fontId="107" fillId="101" borderId="0" applyNumberFormat="0" applyBorder="0" applyAlignment="0" applyProtection="0"/>
    <xf numFmtId="190" fontId="91" fillId="44"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0" fontId="107" fillId="83" borderId="0" applyNumberFormat="0" applyBorder="0" applyAlignment="0" applyProtection="0"/>
    <xf numFmtId="192" fontId="108" fillId="44" borderId="0" applyNumberFormat="0" applyBorder="0" applyAlignment="0" applyProtection="0"/>
    <xf numFmtId="191" fontId="108" fillId="44" borderId="0" applyNumberFormat="0" applyBorder="0" applyAlignment="0" applyProtection="0"/>
    <xf numFmtId="192" fontId="91" fillId="44" borderId="0" applyNumberFormat="0" applyBorder="0" applyAlignment="0" applyProtection="0"/>
    <xf numFmtId="191"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192"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192" fontId="108" fillId="44" borderId="0" applyNumberFormat="0" applyBorder="0" applyAlignment="0" applyProtection="0"/>
    <xf numFmtId="191" fontId="107" fillId="101" borderId="0" applyNumberFormat="0" applyBorder="0" applyAlignment="0" applyProtection="0"/>
    <xf numFmtId="190" fontId="107" fillId="83"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89"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64" fillId="97" borderId="0" applyNumberFormat="0" applyBorder="0" applyAlignment="0" applyProtection="0"/>
    <xf numFmtId="0" fontId="64" fillId="97" borderId="0" applyNumberFormat="0" applyBorder="0" applyAlignment="0" applyProtection="0"/>
    <xf numFmtId="193" fontId="64" fillId="97" borderId="0" applyNumberFormat="0" applyBorder="0" applyAlignment="0" applyProtection="0"/>
    <xf numFmtId="193" fontId="64" fillId="97" borderId="0" applyNumberFormat="0" applyBorder="0" applyAlignment="0" applyProtection="0"/>
    <xf numFmtId="190" fontId="64" fillId="99" borderId="0" applyNumberFormat="0" applyBorder="0" applyAlignment="0" applyProtection="0"/>
    <xf numFmtId="193" fontId="64" fillId="97" borderId="0" applyNumberFormat="0" applyBorder="0" applyAlignment="0" applyProtection="0"/>
    <xf numFmtId="190" fontId="64" fillId="99" borderId="0" applyNumberFormat="0" applyBorder="0" applyAlignment="0" applyProtection="0"/>
    <xf numFmtId="0" fontId="64" fillId="97" borderId="0" applyNumberFormat="0" applyBorder="0" applyAlignment="0" applyProtection="0"/>
    <xf numFmtId="189" fontId="64" fillId="99" borderId="0" applyNumberFormat="0" applyBorder="0" applyAlignment="0" applyProtection="0"/>
    <xf numFmtId="0" fontId="64" fillId="99" borderId="0" applyNumberFormat="0" applyBorder="0" applyAlignment="0" applyProtection="0"/>
    <xf numFmtId="193" fontId="64" fillId="99" borderId="0" applyNumberFormat="0" applyBorder="0" applyAlignment="0" applyProtection="0"/>
    <xf numFmtId="190" fontId="64" fillId="99" borderId="0" applyNumberFormat="0" applyBorder="0" applyAlignment="0" applyProtection="0"/>
    <xf numFmtId="193" fontId="64" fillId="99" borderId="0" applyNumberFormat="0" applyBorder="0" applyAlignment="0" applyProtection="0"/>
    <xf numFmtId="193" fontId="64" fillId="99" borderId="0" applyNumberFormat="0" applyBorder="0" applyAlignment="0" applyProtection="0"/>
    <xf numFmtId="192" fontId="64" fillId="99" borderId="0" applyNumberFormat="0" applyBorder="0" applyAlignment="0" applyProtection="0"/>
    <xf numFmtId="0" fontId="64" fillId="99" borderId="0" applyNumberFormat="0" applyBorder="0" applyAlignment="0" applyProtection="0"/>
    <xf numFmtId="192" fontId="64" fillId="99" borderId="0" applyNumberFormat="0" applyBorder="0" applyAlignment="0" applyProtection="0"/>
    <xf numFmtId="191" fontId="64" fillId="99" borderId="0" applyNumberFormat="0" applyBorder="0" applyAlignment="0" applyProtection="0"/>
    <xf numFmtId="190" fontId="64" fillId="99" borderId="0" applyNumberFormat="0" applyBorder="0" applyAlignment="0" applyProtection="0"/>
    <xf numFmtId="0" fontId="64" fillId="99" borderId="0" applyNumberFormat="0" applyBorder="0" applyAlignment="0" applyProtection="0"/>
    <xf numFmtId="189" fontId="64" fillId="99" borderId="0" applyNumberFormat="0" applyBorder="0" applyAlignment="0" applyProtection="0"/>
    <xf numFmtId="0" fontId="64" fillId="101" borderId="0" applyNumberFormat="0" applyBorder="0" applyAlignment="0" applyProtection="0"/>
    <xf numFmtId="0" fontId="64" fillId="101" borderId="0" applyNumberFormat="0" applyBorder="0" applyAlignment="0" applyProtection="0"/>
    <xf numFmtId="193" fontId="64" fillId="101" borderId="0" applyNumberFormat="0" applyBorder="0" applyAlignment="0" applyProtection="0"/>
    <xf numFmtId="193" fontId="64" fillId="101" borderId="0" applyNumberFormat="0" applyBorder="0" applyAlignment="0" applyProtection="0"/>
    <xf numFmtId="190" fontId="64" fillId="92" borderId="0" applyNumberFormat="0" applyBorder="0" applyAlignment="0" applyProtection="0"/>
    <xf numFmtId="193" fontId="64" fillId="101" borderId="0" applyNumberFormat="0" applyBorder="0" applyAlignment="0" applyProtection="0"/>
    <xf numFmtId="190" fontId="64" fillId="92" borderId="0" applyNumberFormat="0" applyBorder="0" applyAlignment="0" applyProtection="0"/>
    <xf numFmtId="0" fontId="64" fillId="101" borderId="0" applyNumberFormat="0" applyBorder="0" applyAlignment="0" applyProtection="0"/>
    <xf numFmtId="189" fontId="64" fillId="92" borderId="0" applyNumberFormat="0" applyBorder="0" applyAlignment="0" applyProtection="0"/>
    <xf numFmtId="0" fontId="64" fillId="92" borderId="0" applyNumberFormat="0" applyBorder="0" applyAlignment="0" applyProtection="0"/>
    <xf numFmtId="193" fontId="64" fillId="92" borderId="0" applyNumberFormat="0" applyBorder="0" applyAlignment="0" applyProtection="0"/>
    <xf numFmtId="190" fontId="64" fillId="92" borderId="0" applyNumberFormat="0" applyBorder="0" applyAlignment="0" applyProtection="0"/>
    <xf numFmtId="193" fontId="64" fillId="92" borderId="0" applyNumberFormat="0" applyBorder="0" applyAlignment="0" applyProtection="0"/>
    <xf numFmtId="193" fontId="64" fillId="92" borderId="0" applyNumberFormat="0" applyBorder="0" applyAlignment="0" applyProtection="0"/>
    <xf numFmtId="192" fontId="64" fillId="92" borderId="0" applyNumberFormat="0" applyBorder="0" applyAlignment="0" applyProtection="0"/>
    <xf numFmtId="0" fontId="64" fillId="92" borderId="0" applyNumberFormat="0" applyBorder="0" applyAlignment="0" applyProtection="0"/>
    <xf numFmtId="192" fontId="64" fillId="92" borderId="0" applyNumberFormat="0" applyBorder="0" applyAlignment="0" applyProtection="0"/>
    <xf numFmtId="191" fontId="64" fillId="92" borderId="0" applyNumberFormat="0" applyBorder="0" applyAlignment="0" applyProtection="0"/>
    <xf numFmtId="190" fontId="64" fillId="92" borderId="0" applyNumberFormat="0" applyBorder="0" applyAlignment="0" applyProtection="0"/>
    <xf numFmtId="0" fontId="64" fillId="92" borderId="0" applyNumberFormat="0" applyBorder="0" applyAlignment="0" applyProtection="0"/>
    <xf numFmtId="189" fontId="64" fillId="92" borderId="0" applyNumberFormat="0" applyBorder="0" applyAlignment="0" applyProtection="0"/>
    <xf numFmtId="0" fontId="107" fillId="99" borderId="0" applyNumberFormat="0" applyBorder="0" applyAlignment="0" applyProtection="0"/>
    <xf numFmtId="0" fontId="107" fillId="92" borderId="0" applyNumberFormat="0" applyBorder="0" applyAlignment="0" applyProtection="0"/>
    <xf numFmtId="193" fontId="107" fillId="99" borderId="0" applyNumberFormat="0" applyBorder="0" applyAlignment="0" applyProtection="0"/>
    <xf numFmtId="193" fontId="107" fillId="99" borderId="0" applyNumberFormat="0" applyBorder="0" applyAlignment="0" applyProtection="0"/>
    <xf numFmtId="190" fontId="107" fillId="92" borderId="0" applyNumberFormat="0" applyBorder="0" applyAlignment="0" applyProtection="0"/>
    <xf numFmtId="193" fontId="107" fillId="99" borderId="0" applyNumberFormat="0" applyBorder="0" applyAlignment="0" applyProtection="0"/>
    <xf numFmtId="190" fontId="107" fillId="92" borderId="0" applyNumberFormat="0" applyBorder="0" applyAlignment="0" applyProtection="0"/>
    <xf numFmtId="0" fontId="107" fillId="99" borderId="0" applyNumberFormat="0" applyBorder="0" applyAlignment="0" applyProtection="0"/>
    <xf numFmtId="189" fontId="107" fillId="92" borderId="0" applyNumberFormat="0" applyBorder="0" applyAlignment="0" applyProtection="0"/>
    <xf numFmtId="0" fontId="107" fillId="92" borderId="0" applyNumberFormat="0" applyBorder="0" applyAlignment="0" applyProtection="0"/>
    <xf numFmtId="193" fontId="107" fillId="92" borderId="0" applyNumberFormat="0" applyBorder="0" applyAlignment="0" applyProtection="0"/>
    <xf numFmtId="190" fontId="107" fillId="92" borderId="0" applyNumberFormat="0" applyBorder="0" applyAlignment="0" applyProtection="0"/>
    <xf numFmtId="193" fontId="107" fillId="92" borderId="0" applyNumberFormat="0" applyBorder="0" applyAlignment="0" applyProtection="0"/>
    <xf numFmtId="193" fontId="107" fillId="92" borderId="0" applyNumberFormat="0" applyBorder="0" applyAlignment="0" applyProtection="0"/>
    <xf numFmtId="192" fontId="107" fillId="92" borderId="0" applyNumberFormat="0" applyBorder="0" applyAlignment="0" applyProtection="0"/>
    <xf numFmtId="0" fontId="107" fillId="92" borderId="0" applyNumberFormat="0" applyBorder="0" applyAlignment="0" applyProtection="0"/>
    <xf numFmtId="192" fontId="107" fillId="92" borderId="0" applyNumberFormat="0" applyBorder="0" applyAlignment="0" applyProtection="0"/>
    <xf numFmtId="191" fontId="107" fillId="92" borderId="0" applyNumberFormat="0" applyBorder="0" applyAlignment="0" applyProtection="0"/>
    <xf numFmtId="190" fontId="107" fillId="92" borderId="0" applyNumberFormat="0" applyBorder="0" applyAlignment="0" applyProtection="0"/>
    <xf numFmtId="0" fontId="107" fillId="92" borderId="0" applyNumberFormat="0" applyBorder="0" applyAlignment="0" applyProtection="0"/>
    <xf numFmtId="189" fontId="107" fillId="92"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8" fillId="48"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107" fillId="110"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0" fontId="107" fillId="89" borderId="0" applyNumberFormat="0" applyBorder="0" applyAlignment="0" applyProtection="0"/>
    <xf numFmtId="193" fontId="107" fillId="89"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191" fontId="108" fillId="48" borderId="0" applyNumberFormat="0" applyBorder="0" applyAlignment="0" applyProtection="0"/>
    <xf numFmtId="190" fontId="107" fillId="8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193" fontId="107" fillId="89" borderId="0" applyNumberFormat="0" applyBorder="0" applyAlignment="0" applyProtection="0"/>
    <xf numFmtId="190" fontId="108" fillId="48" borderId="0" applyNumberFormat="0" applyBorder="0" applyAlignment="0" applyProtection="0"/>
    <xf numFmtId="190" fontId="108" fillId="48" borderId="0" applyNumberFormat="0" applyBorder="0" applyAlignment="0" applyProtection="0"/>
    <xf numFmtId="0" fontId="107" fillId="110"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191" fontId="108" fillId="48" borderId="0" applyNumberFormat="0" applyBorder="0" applyAlignment="0" applyProtection="0"/>
    <xf numFmtId="0" fontId="108" fillId="48" borderId="0" applyNumberFormat="0" applyBorder="0" applyAlignment="0" applyProtection="0"/>
    <xf numFmtId="192" fontId="107" fillId="89" borderId="0" applyNumberFormat="0" applyBorder="0" applyAlignment="0" applyProtection="0"/>
    <xf numFmtId="191" fontId="107" fillId="89" borderId="0" applyNumberFormat="0" applyBorder="0" applyAlignment="0" applyProtection="0"/>
    <xf numFmtId="192" fontId="108" fillId="48" borderId="0" applyNumberFormat="0" applyBorder="0" applyAlignment="0" applyProtection="0"/>
    <xf numFmtId="191" fontId="108" fillId="48" borderId="0" applyNumberFormat="0" applyBorder="0" applyAlignment="0" applyProtection="0"/>
    <xf numFmtId="192" fontId="91" fillId="48" borderId="0" applyNumberFormat="0" applyBorder="0" applyAlignment="0" applyProtection="0"/>
    <xf numFmtId="191" fontId="107" fillId="110" borderId="0" applyNumberFormat="0" applyBorder="0" applyAlignment="0" applyProtection="0"/>
    <xf numFmtId="192"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91" fillId="48" borderId="0" applyNumberFormat="0" applyBorder="0" applyAlignment="0" applyProtection="0"/>
    <xf numFmtId="0" fontId="107" fillId="110" borderId="0" applyNumberFormat="0" applyBorder="0" applyAlignment="0" applyProtection="0"/>
    <xf numFmtId="190" fontId="91" fillId="48"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1" fontId="107" fillId="110" borderId="0" applyNumberFormat="0" applyBorder="0" applyAlignment="0" applyProtection="0"/>
    <xf numFmtId="0" fontId="107" fillId="89" borderId="0" applyNumberFormat="0" applyBorder="0" applyAlignment="0" applyProtection="0"/>
    <xf numFmtId="192" fontId="108" fillId="48" borderId="0" applyNumberFormat="0" applyBorder="0" applyAlignment="0" applyProtection="0"/>
    <xf numFmtId="191" fontId="108" fillId="48" borderId="0" applyNumberFormat="0" applyBorder="0" applyAlignment="0" applyProtection="0"/>
    <xf numFmtId="192" fontId="91" fillId="48" borderId="0" applyNumberFormat="0" applyBorder="0" applyAlignment="0" applyProtection="0"/>
    <xf numFmtId="191"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192"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1"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192" fontId="108" fillId="48" borderId="0" applyNumberFormat="0" applyBorder="0" applyAlignment="0" applyProtection="0"/>
    <xf numFmtId="191" fontId="107" fillId="110" borderId="0" applyNumberFormat="0" applyBorder="0" applyAlignment="0" applyProtection="0"/>
    <xf numFmtId="190" fontId="107" fillId="8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0" fontId="107" fillId="8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0" fontId="107" fillId="8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0" fontId="107" fillId="8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19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89"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64" fillId="105" borderId="0" applyNumberFormat="0" applyBorder="0" applyAlignment="0" applyProtection="0"/>
    <xf numFmtId="0" fontId="64" fillId="105" borderId="0" applyNumberFormat="0" applyBorder="0" applyAlignment="0" applyProtection="0"/>
    <xf numFmtId="193" fontId="64" fillId="105" borderId="0" applyNumberFormat="0" applyBorder="0" applyAlignment="0" applyProtection="0"/>
    <xf numFmtId="193" fontId="64" fillId="105" borderId="0" applyNumberFormat="0" applyBorder="0" applyAlignment="0" applyProtection="0"/>
    <xf numFmtId="190" fontId="64" fillId="91" borderId="0" applyNumberFormat="0" applyBorder="0" applyAlignment="0" applyProtection="0"/>
    <xf numFmtId="193" fontId="64" fillId="105" borderId="0" applyNumberFormat="0" applyBorder="0" applyAlignment="0" applyProtection="0"/>
    <xf numFmtId="190" fontId="64" fillId="91" borderId="0" applyNumberFormat="0" applyBorder="0" applyAlignment="0" applyProtection="0"/>
    <xf numFmtId="0" fontId="64" fillId="105" borderId="0" applyNumberFormat="0" applyBorder="0" applyAlignment="0" applyProtection="0"/>
    <xf numFmtId="189" fontId="64" fillId="91" borderId="0" applyNumberFormat="0" applyBorder="0" applyAlignment="0" applyProtection="0"/>
    <xf numFmtId="0" fontId="64" fillId="91" borderId="0" applyNumberFormat="0" applyBorder="0" applyAlignment="0" applyProtection="0"/>
    <xf numFmtId="193" fontId="64" fillId="91" borderId="0" applyNumberFormat="0" applyBorder="0" applyAlignment="0" applyProtection="0"/>
    <xf numFmtId="190" fontId="64" fillId="91" borderId="0" applyNumberFormat="0" applyBorder="0" applyAlignment="0" applyProtection="0"/>
    <xf numFmtId="193" fontId="64" fillId="91" borderId="0" applyNumberFormat="0" applyBorder="0" applyAlignment="0" applyProtection="0"/>
    <xf numFmtId="193" fontId="64" fillId="91" borderId="0" applyNumberFormat="0" applyBorder="0" applyAlignment="0" applyProtection="0"/>
    <xf numFmtId="192" fontId="64" fillId="91" borderId="0" applyNumberFormat="0" applyBorder="0" applyAlignment="0" applyProtection="0"/>
    <xf numFmtId="0" fontId="64" fillId="91" borderId="0" applyNumberFormat="0" applyBorder="0" applyAlignment="0" applyProtection="0"/>
    <xf numFmtId="192" fontId="64" fillId="91" borderId="0" applyNumberFormat="0" applyBorder="0" applyAlignment="0" applyProtection="0"/>
    <xf numFmtId="191" fontId="64" fillId="91" borderId="0" applyNumberFormat="0" applyBorder="0" applyAlignment="0" applyProtection="0"/>
    <xf numFmtId="190" fontId="64" fillId="91" borderId="0" applyNumberFormat="0" applyBorder="0" applyAlignment="0" applyProtection="0"/>
    <xf numFmtId="0" fontId="64" fillId="91" borderId="0" applyNumberFormat="0" applyBorder="0" applyAlignment="0" applyProtection="0"/>
    <xf numFmtId="189" fontId="64" fillId="91" borderId="0" applyNumberFormat="0" applyBorder="0" applyAlignment="0" applyProtection="0"/>
    <xf numFmtId="0" fontId="64" fillId="93" borderId="0" applyNumberFormat="0" applyBorder="0" applyAlignment="0" applyProtection="0"/>
    <xf numFmtId="0" fontId="64" fillId="93" borderId="0" applyNumberFormat="0" applyBorder="0" applyAlignment="0" applyProtection="0"/>
    <xf numFmtId="193" fontId="64" fillId="93" borderId="0" applyNumberFormat="0" applyBorder="0" applyAlignment="0" applyProtection="0"/>
    <xf numFmtId="190" fontId="64" fillId="93" borderId="0" applyNumberFormat="0" applyBorder="0" applyAlignment="0" applyProtection="0"/>
    <xf numFmtId="190" fontId="64" fillId="93" borderId="0" applyNumberFormat="0" applyBorder="0" applyAlignment="0" applyProtection="0"/>
    <xf numFmtId="189" fontId="64" fillId="93" borderId="0" applyNumberFormat="0" applyBorder="0" applyAlignment="0" applyProtection="0"/>
    <xf numFmtId="193" fontId="64" fillId="93" borderId="0" applyNumberFormat="0" applyBorder="0" applyAlignment="0" applyProtection="0"/>
    <xf numFmtId="190" fontId="64" fillId="93" borderId="0" applyNumberFormat="0" applyBorder="0" applyAlignment="0" applyProtection="0"/>
    <xf numFmtId="0" fontId="64" fillId="93" borderId="0" applyNumberFormat="0" applyBorder="0" applyAlignment="0" applyProtection="0"/>
    <xf numFmtId="192" fontId="64" fillId="93" borderId="0" applyNumberFormat="0" applyBorder="0" applyAlignment="0" applyProtection="0"/>
    <xf numFmtId="192" fontId="64" fillId="93" borderId="0" applyNumberFormat="0" applyBorder="0" applyAlignment="0" applyProtection="0"/>
    <xf numFmtId="191" fontId="64" fillId="93" borderId="0" applyNumberFormat="0" applyBorder="0" applyAlignment="0" applyProtection="0"/>
    <xf numFmtId="190" fontId="64" fillId="93" borderId="0" applyNumberFormat="0" applyBorder="0" applyAlignment="0" applyProtection="0"/>
    <xf numFmtId="0" fontId="64" fillId="93" borderId="0" applyNumberFormat="0" applyBorder="0" applyAlignment="0" applyProtection="0"/>
    <xf numFmtId="189" fontId="64" fillId="93" borderId="0" applyNumberFormat="0" applyBorder="0" applyAlignment="0" applyProtection="0"/>
    <xf numFmtId="0" fontId="107" fillId="94" borderId="0" applyNumberFormat="0" applyBorder="0" applyAlignment="0" applyProtection="0"/>
    <xf numFmtId="0" fontId="107" fillId="93" borderId="0" applyNumberFormat="0" applyBorder="0" applyAlignment="0" applyProtection="0"/>
    <xf numFmtId="193" fontId="107" fillId="94" borderId="0" applyNumberFormat="0" applyBorder="0" applyAlignment="0" applyProtection="0"/>
    <xf numFmtId="193" fontId="107" fillId="94" borderId="0" applyNumberFormat="0" applyBorder="0" applyAlignment="0" applyProtection="0"/>
    <xf numFmtId="190" fontId="107" fillId="93" borderId="0" applyNumberFormat="0" applyBorder="0" applyAlignment="0" applyProtection="0"/>
    <xf numFmtId="193" fontId="107" fillId="94" borderId="0" applyNumberFormat="0" applyBorder="0" applyAlignment="0" applyProtection="0"/>
    <xf numFmtId="190" fontId="107" fillId="93" borderId="0" applyNumberFormat="0" applyBorder="0" applyAlignment="0" applyProtection="0"/>
    <xf numFmtId="0" fontId="107" fillId="94" borderId="0" applyNumberFormat="0" applyBorder="0" applyAlignment="0" applyProtection="0"/>
    <xf numFmtId="189" fontId="107" fillId="93" borderId="0" applyNumberFormat="0" applyBorder="0" applyAlignment="0" applyProtection="0"/>
    <xf numFmtId="0" fontId="107" fillId="93" borderId="0" applyNumberFormat="0" applyBorder="0" applyAlignment="0" applyProtection="0"/>
    <xf numFmtId="193" fontId="107" fillId="93" borderId="0" applyNumberFormat="0" applyBorder="0" applyAlignment="0" applyProtection="0"/>
    <xf numFmtId="190" fontId="107" fillId="93" borderId="0" applyNumberFormat="0" applyBorder="0" applyAlignment="0" applyProtection="0"/>
    <xf numFmtId="193" fontId="107" fillId="93" borderId="0" applyNumberFormat="0" applyBorder="0" applyAlignment="0" applyProtection="0"/>
    <xf numFmtId="193" fontId="107" fillId="93" borderId="0" applyNumberFormat="0" applyBorder="0" applyAlignment="0" applyProtection="0"/>
    <xf numFmtId="192" fontId="107" fillId="93" borderId="0" applyNumberFormat="0" applyBorder="0" applyAlignment="0" applyProtection="0"/>
    <xf numFmtId="0" fontId="107" fillId="93" borderId="0" applyNumberFormat="0" applyBorder="0" applyAlignment="0" applyProtection="0"/>
    <xf numFmtId="192" fontId="107" fillId="93" borderId="0" applyNumberFormat="0" applyBorder="0" applyAlignment="0" applyProtection="0"/>
    <xf numFmtId="191" fontId="107" fillId="93" borderId="0" applyNumberFormat="0" applyBorder="0" applyAlignment="0" applyProtection="0"/>
    <xf numFmtId="190" fontId="107" fillId="93" borderId="0" applyNumberFormat="0" applyBorder="0" applyAlignment="0" applyProtection="0"/>
    <xf numFmtId="0" fontId="107" fillId="93" borderId="0" applyNumberFormat="0" applyBorder="0" applyAlignment="0" applyProtection="0"/>
    <xf numFmtId="189" fontId="107" fillId="93"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8" fillId="52"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107" fillId="111"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0" fontId="107" fillId="87" borderId="0" applyNumberFormat="0" applyBorder="0" applyAlignment="0" applyProtection="0"/>
    <xf numFmtId="193" fontId="107" fillId="87"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191" fontId="108" fillId="52" borderId="0" applyNumberFormat="0" applyBorder="0" applyAlignment="0" applyProtection="0"/>
    <xf numFmtId="190" fontId="107" fillId="87"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193" fontId="107" fillId="87" borderId="0" applyNumberFormat="0" applyBorder="0" applyAlignment="0" applyProtection="0"/>
    <xf numFmtId="190" fontId="108" fillId="52" borderId="0" applyNumberFormat="0" applyBorder="0" applyAlignment="0" applyProtection="0"/>
    <xf numFmtId="190" fontId="108" fillId="52" borderId="0" applyNumberFormat="0" applyBorder="0" applyAlignment="0" applyProtection="0"/>
    <xf numFmtId="0" fontId="107" fillId="111"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191" fontId="108" fillId="52" borderId="0" applyNumberFormat="0" applyBorder="0" applyAlignment="0" applyProtection="0"/>
    <xf numFmtId="0" fontId="108" fillId="52" borderId="0" applyNumberFormat="0" applyBorder="0" applyAlignment="0" applyProtection="0"/>
    <xf numFmtId="192" fontId="107" fillId="87" borderId="0" applyNumberFormat="0" applyBorder="0" applyAlignment="0" applyProtection="0"/>
    <xf numFmtId="191" fontId="107" fillId="87" borderId="0" applyNumberFormat="0" applyBorder="0" applyAlignment="0" applyProtection="0"/>
    <xf numFmtId="192" fontId="108" fillId="52" borderId="0" applyNumberFormat="0" applyBorder="0" applyAlignment="0" applyProtection="0"/>
    <xf numFmtId="191" fontId="108" fillId="52" borderId="0" applyNumberFormat="0" applyBorder="0" applyAlignment="0" applyProtection="0"/>
    <xf numFmtId="192" fontId="91" fillId="52" borderId="0" applyNumberFormat="0" applyBorder="0" applyAlignment="0" applyProtection="0"/>
    <xf numFmtId="191" fontId="107" fillId="111" borderId="0" applyNumberFormat="0" applyBorder="0" applyAlignment="0" applyProtection="0"/>
    <xf numFmtId="192"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91" fillId="52" borderId="0" applyNumberFormat="0" applyBorder="0" applyAlignment="0" applyProtection="0"/>
    <xf numFmtId="0" fontId="107" fillId="111" borderId="0" applyNumberFormat="0" applyBorder="0" applyAlignment="0" applyProtection="0"/>
    <xf numFmtId="190" fontId="91" fillId="52"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0" fontId="107" fillId="87" borderId="0" applyNumberFormat="0" applyBorder="0" applyAlignment="0" applyProtection="0"/>
    <xf numFmtId="192" fontId="108" fillId="52" borderId="0" applyNumberFormat="0" applyBorder="0" applyAlignment="0" applyProtection="0"/>
    <xf numFmtId="191" fontId="108" fillId="52" borderId="0" applyNumberFormat="0" applyBorder="0" applyAlignment="0" applyProtection="0"/>
    <xf numFmtId="192" fontId="91" fillId="52" borderId="0" applyNumberFormat="0" applyBorder="0" applyAlignment="0" applyProtection="0"/>
    <xf numFmtId="191"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192"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192" fontId="108" fillId="52" borderId="0" applyNumberFormat="0" applyBorder="0" applyAlignment="0" applyProtection="0"/>
    <xf numFmtId="191" fontId="107" fillId="111" borderId="0" applyNumberFormat="0" applyBorder="0" applyAlignment="0" applyProtection="0"/>
    <xf numFmtId="190" fontId="107" fillId="87"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19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89"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64" fillId="112" borderId="0" applyNumberFormat="0" applyBorder="0" applyAlignment="0" applyProtection="0"/>
    <xf numFmtId="0" fontId="64" fillId="112" borderId="0" applyNumberFormat="0" applyBorder="0" applyAlignment="0" applyProtection="0"/>
    <xf numFmtId="193" fontId="64" fillId="112" borderId="0" applyNumberFormat="0" applyBorder="0" applyAlignment="0" applyProtection="0"/>
    <xf numFmtId="190" fontId="64" fillId="112" borderId="0" applyNumberFormat="0" applyBorder="0" applyAlignment="0" applyProtection="0"/>
    <xf numFmtId="190" fontId="64" fillId="112" borderId="0" applyNumberFormat="0" applyBorder="0" applyAlignment="0" applyProtection="0"/>
    <xf numFmtId="189" fontId="64" fillId="112" borderId="0" applyNumberFormat="0" applyBorder="0" applyAlignment="0" applyProtection="0"/>
    <xf numFmtId="193" fontId="64" fillId="112" borderId="0" applyNumberFormat="0" applyBorder="0" applyAlignment="0" applyProtection="0"/>
    <xf numFmtId="190" fontId="64" fillId="112" borderId="0" applyNumberFormat="0" applyBorder="0" applyAlignment="0" applyProtection="0"/>
    <xf numFmtId="0" fontId="64" fillId="112" borderId="0" applyNumberFormat="0" applyBorder="0" applyAlignment="0" applyProtection="0"/>
    <xf numFmtId="192" fontId="64" fillId="112" borderId="0" applyNumberFormat="0" applyBorder="0" applyAlignment="0" applyProtection="0"/>
    <xf numFmtId="192" fontId="64" fillId="112" borderId="0" applyNumberFormat="0" applyBorder="0" applyAlignment="0" applyProtection="0"/>
    <xf numFmtId="191" fontId="64" fillId="112" borderId="0" applyNumberFormat="0" applyBorder="0" applyAlignment="0" applyProtection="0"/>
    <xf numFmtId="190" fontId="64" fillId="112" borderId="0" applyNumberFormat="0" applyBorder="0" applyAlignment="0" applyProtection="0"/>
    <xf numFmtId="0" fontId="64" fillId="112" borderId="0" applyNumberFormat="0" applyBorder="0" applyAlignment="0" applyProtection="0"/>
    <xf numFmtId="189" fontId="64" fillId="112" borderId="0" applyNumberFormat="0" applyBorder="0" applyAlignment="0" applyProtection="0"/>
    <xf numFmtId="0" fontId="64" fillId="113" borderId="0" applyNumberFormat="0" applyBorder="0" applyAlignment="0" applyProtection="0"/>
    <xf numFmtId="0" fontId="64" fillId="113" borderId="0" applyNumberFormat="0" applyBorder="0" applyAlignment="0" applyProtection="0"/>
    <xf numFmtId="193" fontId="64" fillId="113" borderId="0" applyNumberFormat="0" applyBorder="0" applyAlignment="0" applyProtection="0"/>
    <xf numFmtId="193" fontId="64" fillId="113" borderId="0" applyNumberFormat="0" applyBorder="0" applyAlignment="0" applyProtection="0"/>
    <xf numFmtId="190" fontId="64" fillId="100" borderId="0" applyNumberFormat="0" applyBorder="0" applyAlignment="0" applyProtection="0"/>
    <xf numFmtId="193" fontId="64" fillId="113" borderId="0" applyNumberFormat="0" applyBorder="0" applyAlignment="0" applyProtection="0"/>
    <xf numFmtId="190" fontId="64" fillId="100" borderId="0" applyNumberFormat="0" applyBorder="0" applyAlignment="0" applyProtection="0"/>
    <xf numFmtId="0" fontId="64" fillId="113" borderId="0" applyNumberFormat="0" applyBorder="0" applyAlignment="0" applyProtection="0"/>
    <xf numFmtId="189" fontId="64" fillId="100" borderId="0" applyNumberFormat="0" applyBorder="0" applyAlignment="0" applyProtection="0"/>
    <xf numFmtId="0" fontId="64" fillId="100" borderId="0" applyNumberFormat="0" applyBorder="0" applyAlignment="0" applyProtection="0"/>
    <xf numFmtId="193" fontId="64" fillId="100" borderId="0" applyNumberFormat="0" applyBorder="0" applyAlignment="0" applyProtection="0"/>
    <xf numFmtId="190" fontId="64" fillId="100" borderId="0" applyNumberFormat="0" applyBorder="0" applyAlignment="0" applyProtection="0"/>
    <xf numFmtId="193" fontId="64" fillId="100" borderId="0" applyNumberFormat="0" applyBorder="0" applyAlignment="0" applyProtection="0"/>
    <xf numFmtId="193" fontId="64" fillId="100" borderId="0" applyNumberFormat="0" applyBorder="0" applyAlignment="0" applyProtection="0"/>
    <xf numFmtId="192" fontId="64" fillId="100" borderId="0" applyNumberFormat="0" applyBorder="0" applyAlignment="0" applyProtection="0"/>
    <xf numFmtId="0" fontId="64" fillId="100" borderId="0" applyNumberFormat="0" applyBorder="0" applyAlignment="0" applyProtection="0"/>
    <xf numFmtId="192" fontId="64" fillId="100" borderId="0" applyNumberFormat="0" applyBorder="0" applyAlignment="0" applyProtection="0"/>
    <xf numFmtId="191" fontId="64" fillId="100" borderId="0" applyNumberFormat="0" applyBorder="0" applyAlignment="0" applyProtection="0"/>
    <xf numFmtId="190" fontId="64" fillId="100" borderId="0" applyNumberFormat="0" applyBorder="0" applyAlignment="0" applyProtection="0"/>
    <xf numFmtId="0" fontId="64" fillId="100" borderId="0" applyNumberFormat="0" applyBorder="0" applyAlignment="0" applyProtection="0"/>
    <xf numFmtId="189" fontId="64" fillId="100" borderId="0" applyNumberFormat="0" applyBorder="0" applyAlignment="0" applyProtection="0"/>
    <xf numFmtId="0" fontId="107" fillId="114" borderId="0" applyNumberFormat="0" applyBorder="0" applyAlignment="0" applyProtection="0"/>
    <xf numFmtId="0" fontId="107" fillId="113" borderId="0" applyNumberFormat="0" applyBorder="0" applyAlignment="0" applyProtection="0"/>
    <xf numFmtId="193" fontId="107" fillId="114" borderId="0" applyNumberFormat="0" applyBorder="0" applyAlignment="0" applyProtection="0"/>
    <xf numFmtId="193" fontId="107" fillId="114" borderId="0" applyNumberFormat="0" applyBorder="0" applyAlignment="0" applyProtection="0"/>
    <xf numFmtId="190" fontId="107" fillId="113" borderId="0" applyNumberFormat="0" applyBorder="0" applyAlignment="0" applyProtection="0"/>
    <xf numFmtId="193" fontId="107" fillId="114" borderId="0" applyNumberFormat="0" applyBorder="0" applyAlignment="0" applyProtection="0"/>
    <xf numFmtId="190" fontId="107" fillId="113" borderId="0" applyNumberFormat="0" applyBorder="0" applyAlignment="0" applyProtection="0"/>
    <xf numFmtId="0" fontId="107" fillId="114" borderId="0" applyNumberFormat="0" applyBorder="0" applyAlignment="0" applyProtection="0"/>
    <xf numFmtId="189" fontId="107" fillId="113" borderId="0" applyNumberFormat="0" applyBorder="0" applyAlignment="0" applyProtection="0"/>
    <xf numFmtId="0" fontId="107" fillId="113" borderId="0" applyNumberFormat="0" applyBorder="0" applyAlignment="0" applyProtection="0"/>
    <xf numFmtId="193" fontId="107" fillId="113" borderId="0" applyNumberFormat="0" applyBorder="0" applyAlignment="0" applyProtection="0"/>
    <xf numFmtId="190" fontId="107" fillId="113" borderId="0" applyNumberFormat="0" applyBorder="0" applyAlignment="0" applyProtection="0"/>
    <xf numFmtId="193" fontId="107" fillId="113" borderId="0" applyNumberFormat="0" applyBorder="0" applyAlignment="0" applyProtection="0"/>
    <xf numFmtId="193" fontId="107" fillId="113" borderId="0" applyNumberFormat="0" applyBorder="0" applyAlignment="0" applyProtection="0"/>
    <xf numFmtId="192" fontId="107" fillId="113" borderId="0" applyNumberFormat="0" applyBorder="0" applyAlignment="0" applyProtection="0"/>
    <xf numFmtId="0" fontId="107" fillId="113" borderId="0" applyNumberFormat="0" applyBorder="0" applyAlignment="0" applyProtection="0"/>
    <xf numFmtId="192" fontId="107" fillId="113" borderId="0" applyNumberFormat="0" applyBorder="0" applyAlignment="0" applyProtection="0"/>
    <xf numFmtId="191" fontId="107" fillId="113" borderId="0" applyNumberFormat="0" applyBorder="0" applyAlignment="0" applyProtection="0"/>
    <xf numFmtId="190" fontId="107" fillId="113" borderId="0" applyNumberFormat="0" applyBorder="0" applyAlignment="0" applyProtection="0"/>
    <xf numFmtId="0" fontId="107" fillId="113" borderId="0" applyNumberFormat="0" applyBorder="0" applyAlignment="0" applyProtection="0"/>
    <xf numFmtId="189" fontId="107" fillId="113"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8" fillId="5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107" fillId="11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189" fontId="107" fillId="88" borderId="0" applyNumberFormat="0" applyBorder="0" applyAlignment="0" applyProtection="0"/>
    <xf numFmtId="0" fontId="107" fillId="88" borderId="0" applyNumberFormat="0" applyBorder="0" applyAlignment="0" applyProtection="0"/>
    <xf numFmtId="193" fontId="107" fillId="88"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191" fontId="108" fillId="56" borderId="0" applyNumberFormat="0" applyBorder="0" applyAlignment="0" applyProtection="0"/>
    <xf numFmtId="190" fontId="107" fillId="88" borderId="0" applyNumberFormat="0" applyBorder="0" applyAlignment="0" applyProtection="0"/>
    <xf numFmtId="0" fontId="107" fillId="88" borderId="0" applyNumberFormat="0" applyBorder="0" applyAlignment="0" applyProtection="0"/>
    <xf numFmtId="189" fontId="107" fillId="88" borderId="0" applyNumberFormat="0" applyBorder="0" applyAlignment="0" applyProtection="0"/>
    <xf numFmtId="193" fontId="107" fillId="88" borderId="0" applyNumberFormat="0" applyBorder="0" applyAlignment="0" applyProtection="0"/>
    <xf numFmtId="190" fontId="108" fillId="56" borderId="0" applyNumberFormat="0" applyBorder="0" applyAlignment="0" applyProtection="0"/>
    <xf numFmtId="190" fontId="108" fillId="56" borderId="0" applyNumberFormat="0" applyBorder="0" applyAlignment="0" applyProtection="0"/>
    <xf numFmtId="0" fontId="107" fillId="116"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191" fontId="108" fillId="56" borderId="0" applyNumberFormat="0" applyBorder="0" applyAlignment="0" applyProtection="0"/>
    <xf numFmtId="0" fontId="108" fillId="56" borderId="0" applyNumberFormat="0" applyBorder="0" applyAlignment="0" applyProtection="0"/>
    <xf numFmtId="192" fontId="107" fillId="88" borderId="0" applyNumberFormat="0" applyBorder="0" applyAlignment="0" applyProtection="0"/>
    <xf numFmtId="191" fontId="107" fillId="88" borderId="0" applyNumberFormat="0" applyBorder="0" applyAlignment="0" applyProtection="0"/>
    <xf numFmtId="192" fontId="108" fillId="56" borderId="0" applyNumberFormat="0" applyBorder="0" applyAlignment="0" applyProtection="0"/>
    <xf numFmtId="191" fontId="108" fillId="56" borderId="0" applyNumberFormat="0" applyBorder="0" applyAlignment="0" applyProtection="0"/>
    <xf numFmtId="192" fontId="91" fillId="56" borderId="0" applyNumberFormat="0" applyBorder="0" applyAlignment="0" applyProtection="0"/>
    <xf numFmtId="191" fontId="107" fillId="116" borderId="0" applyNumberFormat="0" applyBorder="0" applyAlignment="0" applyProtection="0"/>
    <xf numFmtId="192"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91" fillId="56" borderId="0" applyNumberFormat="0" applyBorder="0" applyAlignment="0" applyProtection="0"/>
    <xf numFmtId="0" fontId="107" fillId="116" borderId="0" applyNumberFormat="0" applyBorder="0" applyAlignment="0" applyProtection="0"/>
    <xf numFmtId="190" fontId="91" fillId="56"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1" fontId="107" fillId="116" borderId="0" applyNumberFormat="0" applyBorder="0" applyAlignment="0" applyProtection="0"/>
    <xf numFmtId="0" fontId="107" fillId="88" borderId="0" applyNumberFormat="0" applyBorder="0" applyAlignment="0" applyProtection="0"/>
    <xf numFmtId="192" fontId="108" fillId="56" borderId="0" applyNumberFormat="0" applyBorder="0" applyAlignment="0" applyProtection="0"/>
    <xf numFmtId="191" fontId="108" fillId="56" borderId="0" applyNumberFormat="0" applyBorder="0" applyAlignment="0" applyProtection="0"/>
    <xf numFmtId="192" fontId="91" fillId="56" borderId="0" applyNumberFormat="0" applyBorder="0" applyAlignment="0" applyProtection="0"/>
    <xf numFmtId="191"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192"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1"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192" fontId="108" fillId="56" borderId="0" applyNumberFormat="0" applyBorder="0" applyAlignment="0" applyProtection="0"/>
    <xf numFmtId="191" fontId="107" fillId="116" borderId="0" applyNumberFormat="0" applyBorder="0" applyAlignment="0" applyProtection="0"/>
    <xf numFmtId="190" fontId="107" fillId="88"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0" fontId="107" fillId="88"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0" fontId="107" fillId="88"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0" fontId="107" fillId="85"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19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89"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194" fontId="13" fillId="5" borderId="2">
      <alignment horizontal="center" vertical="center"/>
    </xf>
    <xf numFmtId="168" fontId="14" fillId="5" borderId="2">
      <alignment horizontal="center" vertical="center"/>
    </xf>
    <xf numFmtId="194" fontId="13" fillId="5" borderId="2">
      <alignment horizontal="center" vertical="center"/>
    </xf>
    <xf numFmtId="194" fontId="13" fillId="5" borderId="2">
      <alignment horizontal="center" vertical="center"/>
    </xf>
    <xf numFmtId="194" fontId="13" fillId="5" borderId="2">
      <alignment horizontal="center" vertical="center"/>
    </xf>
    <xf numFmtId="195" fontId="110" fillId="5" borderId="2">
      <alignment horizontal="center" vertical="center"/>
    </xf>
    <xf numFmtId="194" fontId="13" fillId="5" borderId="2">
      <alignment horizontal="center" vertical="center"/>
    </xf>
    <xf numFmtId="168" fontId="14" fillId="5" borderId="2">
      <alignment horizontal="center" vertical="center"/>
    </xf>
    <xf numFmtId="168" fontId="14" fillId="5" borderId="2">
      <alignment horizontal="center" vertical="center"/>
    </xf>
    <xf numFmtId="195" fontId="110" fillId="5" borderId="2">
      <alignment horizontal="center" vertical="center"/>
    </xf>
    <xf numFmtId="194" fontId="13" fillId="5" borderId="2">
      <alignment horizontal="center" vertical="center"/>
    </xf>
    <xf numFmtId="49" fontId="13" fillId="0" borderId="1"/>
    <xf numFmtId="180" fontId="111" fillId="0" borderId="0"/>
    <xf numFmtId="180" fontId="111" fillId="0" borderId="0"/>
    <xf numFmtId="180" fontId="111" fillId="0" borderId="0"/>
    <xf numFmtId="180" fontId="111" fillId="0" borderId="0"/>
    <xf numFmtId="0" fontId="112" fillId="84" borderId="1" applyNumberFormat="0" applyFont="0" applyBorder="0" applyAlignment="0" applyProtection="0">
      <protection hidden="1"/>
    </xf>
    <xf numFmtId="0" fontId="112" fillId="84" borderId="1" applyNumberFormat="0" applyFont="0" applyBorder="0" applyAlignment="0" applyProtection="0">
      <protection hidden="1"/>
    </xf>
    <xf numFmtId="0" fontId="113" fillId="100" borderId="0" applyNumberFormat="0" applyBorder="0" applyAlignment="0" applyProtection="0"/>
    <xf numFmtId="0" fontId="114" fillId="112" borderId="0" applyNumberFormat="0" applyBorder="0" applyAlignment="0" applyProtection="0"/>
    <xf numFmtId="0" fontId="115" fillId="2" borderId="0" applyNumberFormat="0" applyBorder="0" applyAlignment="0" applyProtection="0"/>
    <xf numFmtId="189" fontId="115" fillId="2" borderId="0" applyNumberFormat="0" applyBorder="0" applyAlignment="0" applyProtection="0"/>
    <xf numFmtId="0" fontId="82" fillId="30" borderId="0" applyNumberFormat="0" applyBorder="0" applyAlignment="0" applyProtection="0"/>
    <xf numFmtId="193" fontId="115" fillId="2" borderId="0" applyNumberFormat="0" applyBorder="0" applyAlignment="0" applyProtection="0"/>
    <xf numFmtId="190" fontId="115" fillId="2" borderId="0" applyNumberFormat="0" applyBorder="0" applyAlignment="0" applyProtection="0"/>
    <xf numFmtId="0" fontId="113" fillId="100" borderId="0" applyNumberFormat="0" applyBorder="0" applyAlignment="0" applyProtection="0"/>
    <xf numFmtId="0" fontId="115" fillId="2" borderId="0" applyNumberFormat="0" applyBorder="0" applyAlignment="0" applyProtection="0"/>
    <xf numFmtId="191" fontId="116" fillId="30" borderId="0" applyNumberFormat="0" applyBorder="0" applyAlignment="0" applyProtection="0"/>
    <xf numFmtId="190" fontId="115" fillId="2" borderId="0" applyNumberFormat="0" applyBorder="0" applyAlignment="0" applyProtection="0"/>
    <xf numFmtId="0" fontId="115" fillId="2" borderId="0" applyNumberFormat="0" applyBorder="0" applyAlignment="0" applyProtection="0"/>
    <xf numFmtId="189" fontId="115" fillId="2" borderId="0" applyNumberFormat="0" applyBorder="0" applyAlignment="0" applyProtection="0"/>
    <xf numFmtId="0" fontId="115" fillId="2" borderId="0" applyNumberFormat="0" applyBorder="0" applyAlignment="0" applyProtection="0"/>
    <xf numFmtId="190" fontId="116" fillId="30" borderId="0" applyNumberFormat="0" applyBorder="0" applyAlignment="0" applyProtection="0"/>
    <xf numFmtId="190" fontId="116" fillId="30" borderId="0" applyNumberFormat="0" applyBorder="0" applyAlignment="0" applyProtection="0"/>
    <xf numFmtId="0" fontId="113" fillId="100" borderId="0" applyNumberFormat="0" applyBorder="0" applyAlignment="0" applyProtection="0"/>
    <xf numFmtId="0" fontId="82" fillId="30" borderId="0" applyNumberFormat="0" applyBorder="0" applyAlignment="0" applyProtection="0"/>
    <xf numFmtId="0" fontId="115" fillId="2" borderId="0" applyNumberFormat="0" applyBorder="0" applyAlignment="0" applyProtection="0"/>
    <xf numFmtId="191" fontId="116" fillId="30" borderId="0" applyNumberFormat="0" applyBorder="0" applyAlignment="0" applyProtection="0"/>
    <xf numFmtId="0" fontId="116" fillId="30" borderId="0" applyNumberFormat="0" applyBorder="0" applyAlignment="0" applyProtection="0"/>
    <xf numFmtId="192" fontId="115" fillId="2" borderId="0" applyNumberFormat="0" applyBorder="0" applyAlignment="0" applyProtection="0"/>
    <xf numFmtId="191" fontId="115" fillId="2" borderId="0" applyNumberFormat="0" applyBorder="0" applyAlignment="0" applyProtection="0"/>
    <xf numFmtId="192" fontId="116" fillId="30" borderId="0" applyNumberFormat="0" applyBorder="0" applyAlignment="0" applyProtection="0"/>
    <xf numFmtId="191" fontId="116" fillId="30" borderId="0" applyNumberFormat="0" applyBorder="0" applyAlignment="0" applyProtection="0"/>
    <xf numFmtId="192" fontId="82" fillId="30" borderId="0" applyNumberFormat="0" applyBorder="0" applyAlignment="0" applyProtection="0"/>
    <xf numFmtId="191" fontId="113" fillId="100" borderId="0" applyNumberFormat="0" applyBorder="0" applyAlignment="0" applyProtection="0"/>
    <xf numFmtId="192" fontId="113" fillId="100" borderId="0" applyNumberFormat="0" applyBorder="0" applyAlignment="0" applyProtection="0"/>
    <xf numFmtId="192" fontId="113" fillId="100" borderId="0" applyNumberFormat="0" applyBorder="0" applyAlignment="0" applyProtection="0"/>
    <xf numFmtId="0" fontId="115" fillId="2" borderId="0" applyNumberFormat="0" applyBorder="0" applyAlignment="0" applyProtection="0"/>
    <xf numFmtId="0" fontId="115" fillId="76" borderId="0" applyNumberFormat="0" applyBorder="0" applyAlignment="0" applyProtection="0"/>
    <xf numFmtId="193" fontId="113" fillId="100" borderId="0" applyNumberFormat="0" applyBorder="0" applyAlignment="0" applyProtection="0"/>
    <xf numFmtId="190" fontId="115" fillId="2" borderId="0" applyNumberFormat="0" applyBorder="0" applyAlignment="0" applyProtection="0"/>
    <xf numFmtId="193" fontId="113" fillId="100" borderId="0" applyNumberFormat="0" applyBorder="0" applyAlignment="0" applyProtection="0"/>
    <xf numFmtId="190" fontId="115" fillId="2" borderId="0" applyNumberFormat="0" applyBorder="0" applyAlignment="0" applyProtection="0"/>
    <xf numFmtId="0" fontId="113" fillId="100" borderId="0" applyNumberFormat="0" applyBorder="0" applyAlignment="0" applyProtection="0"/>
    <xf numFmtId="0" fontId="113" fillId="100" borderId="0" applyNumberFormat="0" applyBorder="0" applyAlignment="0" applyProtection="0"/>
    <xf numFmtId="193" fontId="113" fillId="100" borderId="0" applyNumberFormat="0" applyBorder="0" applyAlignment="0" applyProtection="0"/>
    <xf numFmtId="191" fontId="113" fillId="100" borderId="0" applyNumberFormat="0" applyBorder="0" applyAlignment="0" applyProtection="0"/>
    <xf numFmtId="0" fontId="115" fillId="2" borderId="0" applyNumberFormat="0" applyBorder="0" applyAlignment="0" applyProtection="0"/>
    <xf numFmtId="0" fontId="114" fillId="112" borderId="0" applyNumberFormat="0" applyBorder="0" applyAlignment="0" applyProtection="0"/>
    <xf numFmtId="191" fontId="116" fillId="30" borderId="0" applyNumberFormat="0" applyBorder="0" applyAlignment="0" applyProtection="0"/>
    <xf numFmtId="0" fontId="116" fillId="30" borderId="0" applyNumberFormat="0" applyBorder="0" applyAlignment="0" applyProtection="0"/>
    <xf numFmtId="0" fontId="115" fillId="2" borderId="0" applyNumberFormat="0" applyBorder="0" applyAlignment="0" applyProtection="0"/>
    <xf numFmtId="0" fontId="114" fillId="112" borderId="0" applyNumberFormat="0" applyBorder="0" applyAlignment="0" applyProtection="0"/>
    <xf numFmtId="0" fontId="115" fillId="2" borderId="0" applyNumberFormat="0" applyBorder="0" applyAlignment="0" applyProtection="0"/>
    <xf numFmtId="0" fontId="115" fillId="76" borderId="0" applyNumberFormat="0" applyBorder="0" applyAlignment="0" applyProtection="0"/>
    <xf numFmtId="190" fontId="113" fillId="100" borderId="0" applyNumberFormat="0" applyBorder="0" applyAlignment="0" applyProtection="0"/>
    <xf numFmtId="190" fontId="113" fillId="100" borderId="0" applyNumberFormat="0" applyBorder="0" applyAlignment="0" applyProtection="0"/>
    <xf numFmtId="0" fontId="82" fillId="30" borderId="0" applyNumberFormat="0" applyBorder="0" applyAlignment="0" applyProtection="0"/>
    <xf numFmtId="0" fontId="113" fillId="100" borderId="0" applyNumberFormat="0" applyBorder="0" applyAlignment="0" applyProtection="0"/>
    <xf numFmtId="0" fontId="115" fillId="76" borderId="0" applyNumberFormat="0" applyBorder="0" applyAlignment="0" applyProtection="0"/>
    <xf numFmtId="190" fontId="113" fillId="100" borderId="0" applyNumberFormat="0" applyBorder="0" applyAlignment="0" applyProtection="0"/>
    <xf numFmtId="0" fontId="115" fillId="2" borderId="0" applyNumberFormat="0" applyBorder="0" applyAlignment="0" applyProtection="0"/>
    <xf numFmtId="189" fontId="113" fillId="100" borderId="0" applyNumberFormat="0" applyBorder="0" applyAlignment="0" applyProtection="0"/>
    <xf numFmtId="0" fontId="115" fillId="76" borderId="0" applyNumberFormat="0" applyBorder="0" applyAlignment="0" applyProtection="0"/>
    <xf numFmtId="190" fontId="113" fillId="100" borderId="0" applyNumberFormat="0" applyBorder="0" applyAlignment="0" applyProtection="0"/>
    <xf numFmtId="0" fontId="113" fillId="100" borderId="0" applyNumberFormat="0" applyBorder="0" applyAlignment="0" applyProtection="0"/>
    <xf numFmtId="0" fontId="115" fillId="76" borderId="0" applyNumberFormat="0" applyBorder="0" applyAlignment="0" applyProtection="0"/>
    <xf numFmtId="0" fontId="117" fillId="30" borderId="0" applyNumberFormat="0" applyBorder="0" applyAlignment="0" applyProtection="0"/>
    <xf numFmtId="0" fontId="82" fillId="30" borderId="0" applyNumberFormat="0" applyBorder="0" applyAlignment="0" applyProtection="0"/>
    <xf numFmtId="0" fontId="115" fillId="2" borderId="0" applyNumberFormat="0" applyBorder="0" applyAlignment="0" applyProtection="0"/>
    <xf numFmtId="196" fontId="13" fillId="0" borderId="0" applyFont="0" applyFill="0" applyBorder="0" applyAlignment="0" applyProtection="0"/>
    <xf numFmtId="0" fontId="118" fillId="84" borderId="44" applyNumberFormat="0" applyAlignment="0" applyProtection="0"/>
    <xf numFmtId="0" fontId="119" fillId="117" borderId="44" applyNumberFormat="0" applyAlignment="0" applyProtection="0"/>
    <xf numFmtId="0" fontId="120" fillId="118" borderId="45"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7" fontId="118" fillId="84" borderId="44" applyNumberFormat="0" applyAlignment="0" applyProtection="0"/>
    <xf numFmtId="189"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89" fontId="118" fillId="84" borderId="44" applyNumberFormat="0" applyAlignment="0" applyProtection="0"/>
    <xf numFmtId="0" fontId="120" fillId="118" borderId="45" applyNumberFormat="0" applyAlignment="0" applyProtection="0"/>
    <xf numFmtId="193" fontId="118" fillId="84" borderId="44" applyNumberFormat="0" applyAlignment="0" applyProtection="0"/>
    <xf numFmtId="19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1" fontId="119" fillId="117"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2" fontId="119" fillId="117" borderId="44" applyNumberFormat="0" applyAlignment="0" applyProtection="0"/>
    <xf numFmtId="0" fontId="118" fillId="84" borderId="44" applyNumberFormat="0" applyAlignment="0" applyProtection="0"/>
    <xf numFmtId="193"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89"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0" fontId="118" fillId="84" borderId="44" applyNumberFormat="0" applyAlignment="0" applyProtection="0"/>
    <xf numFmtId="190" fontId="118" fillId="84" borderId="44" applyNumberFormat="0" applyAlignment="0" applyProtection="0"/>
    <xf numFmtId="193" fontId="118" fillId="84" borderId="44" applyNumberFormat="0" applyAlignment="0" applyProtection="0"/>
    <xf numFmtId="190" fontId="121" fillId="33" borderId="32"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1" fontId="119" fillId="117" borderId="44" applyNumberFormat="0" applyAlignment="0" applyProtection="0"/>
    <xf numFmtId="190" fontId="121" fillId="33" borderId="32"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2" fontId="119" fillId="117" borderId="44" applyNumberFormat="0" applyAlignment="0" applyProtection="0"/>
    <xf numFmtId="0" fontId="86" fillId="33" borderId="32" applyNumberFormat="0" applyAlignment="0" applyProtection="0"/>
    <xf numFmtId="193" fontId="118" fillId="84" borderId="44" applyNumberFormat="0" applyAlignment="0" applyProtection="0"/>
    <xf numFmtId="0" fontId="118" fillId="84" borderId="44" applyNumberFormat="0" applyAlignment="0" applyProtection="0"/>
    <xf numFmtId="191" fontId="121" fillId="33" borderId="32"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21" fillId="33" borderId="32" applyNumberFormat="0" applyAlignment="0" applyProtection="0"/>
    <xf numFmtId="0" fontId="118" fillId="84" borderId="44" applyNumberFormat="0" applyAlignment="0" applyProtection="0"/>
    <xf numFmtId="189" fontId="118" fillId="84" borderId="44" applyNumberFormat="0" applyAlignment="0" applyProtection="0"/>
    <xf numFmtId="191" fontId="118" fillId="84" borderId="44" applyNumberFormat="0" applyAlignment="0" applyProtection="0"/>
    <xf numFmtId="191"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2" fontId="118" fillId="84" borderId="44" applyNumberFormat="0" applyAlignment="0" applyProtection="0"/>
    <xf numFmtId="192" fontId="121" fillId="33" borderId="32" applyNumberFormat="0" applyAlignment="0" applyProtection="0"/>
    <xf numFmtId="191" fontId="121" fillId="33" borderId="32"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2" fontId="86" fillId="33" borderId="32" applyNumberFormat="0" applyAlignment="0" applyProtection="0"/>
    <xf numFmtId="191" fontId="119" fillId="117" borderId="44" applyNumberFormat="0" applyAlignment="0" applyProtection="0"/>
    <xf numFmtId="191" fontId="119" fillId="117" borderId="44" applyNumberFormat="0" applyAlignment="0" applyProtection="0"/>
    <xf numFmtId="192" fontId="119" fillId="117" borderId="44" applyNumberFormat="0" applyAlignment="0" applyProtection="0"/>
    <xf numFmtId="192" fontId="119" fillId="117" borderId="44" applyNumberFormat="0" applyAlignment="0" applyProtection="0"/>
    <xf numFmtId="192" fontId="119" fillId="117" borderId="44" applyNumberFormat="0" applyAlignment="0" applyProtection="0"/>
    <xf numFmtId="192" fontId="119" fillId="117" borderId="44" applyNumberFormat="0" applyAlignment="0" applyProtection="0"/>
    <xf numFmtId="0" fontId="119" fillId="78" borderId="44" applyNumberFormat="0" applyAlignment="0" applyProtection="0"/>
    <xf numFmtId="0" fontId="118" fillId="84" borderId="44" applyNumberFormat="0" applyAlignment="0" applyProtection="0"/>
    <xf numFmtId="0" fontId="120" fillId="118" borderId="45" applyNumberFormat="0" applyAlignment="0" applyProtection="0"/>
    <xf numFmtId="0" fontId="119" fillId="78" borderId="44" applyNumberFormat="0" applyAlignment="0" applyProtection="0"/>
    <xf numFmtId="193" fontId="119" fillId="117"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0" fontId="118" fillId="84" borderId="44" applyNumberFormat="0" applyAlignment="0" applyProtection="0"/>
    <xf numFmtId="193" fontId="119" fillId="117" borderId="44" applyNumberFormat="0" applyAlignment="0" applyProtection="0"/>
    <xf numFmtId="193" fontId="119" fillId="117" borderId="44" applyNumberFormat="0" applyAlignment="0" applyProtection="0"/>
    <xf numFmtId="19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19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193" fontId="119" fillId="117" borderId="44" applyNumberFormat="0" applyAlignment="0" applyProtection="0"/>
    <xf numFmtId="193" fontId="119" fillId="117" borderId="44" applyNumberFormat="0" applyAlignment="0" applyProtection="0"/>
    <xf numFmtId="0" fontId="118" fillId="84" borderId="44" applyNumberFormat="0" applyAlignment="0" applyProtection="0"/>
    <xf numFmtId="191" fontId="119" fillId="117" borderId="44"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192" fontId="119" fillId="117" borderId="44" applyNumberFormat="0" applyAlignment="0" applyProtection="0"/>
    <xf numFmtId="0" fontId="118" fillId="84" borderId="44" applyNumberFormat="0" applyAlignment="0" applyProtection="0"/>
    <xf numFmtId="193" fontId="119" fillId="117" borderId="44" applyNumberFormat="0" applyAlignment="0" applyProtection="0"/>
    <xf numFmtId="0" fontId="120" fillId="118" borderId="45"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20" fillId="118" borderId="45" applyNumberFormat="0" applyAlignment="0" applyProtection="0"/>
    <xf numFmtId="0" fontId="121" fillId="33" borderId="32"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8" fillId="84" borderId="44" applyNumberFormat="0" applyAlignment="0" applyProtection="0"/>
    <xf numFmtId="0" fontId="118" fillId="84" borderId="44"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18" fillId="84" borderId="44" applyNumberFormat="0" applyAlignment="0" applyProtection="0"/>
    <xf numFmtId="0" fontId="118" fillId="84" borderId="44" applyNumberFormat="0" applyAlignment="0" applyProtection="0"/>
    <xf numFmtId="0" fontId="119" fillId="78" borderId="44" applyNumberFormat="0" applyAlignment="0" applyProtection="0"/>
    <xf numFmtId="0" fontId="118" fillId="84" borderId="44" applyNumberFormat="0" applyAlignment="0" applyProtection="0"/>
    <xf numFmtId="0" fontId="119" fillId="78"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191"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117"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78"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0" fontId="119" fillId="117" borderId="44" applyNumberFormat="0" applyAlignment="0" applyProtection="0"/>
    <xf numFmtId="190" fontId="119" fillId="117" borderId="44" applyNumberFormat="0" applyAlignment="0" applyProtection="0"/>
    <xf numFmtId="192" fontId="119" fillId="117" borderId="44" applyNumberFormat="0" applyAlignment="0" applyProtection="0"/>
    <xf numFmtId="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189"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190" fontId="119" fillId="117" borderId="44" applyNumberFormat="0" applyAlignment="0" applyProtection="0"/>
    <xf numFmtId="190" fontId="119" fillId="117" borderId="44" applyNumberFormat="0" applyAlignment="0" applyProtection="0"/>
    <xf numFmtId="0" fontId="119" fillId="78" borderId="44" applyNumberFormat="0" applyAlignment="0" applyProtection="0"/>
    <xf numFmtId="192" fontId="119" fillId="117" borderId="44" applyNumberFormat="0" applyAlignment="0" applyProtection="0"/>
    <xf numFmtId="189" fontId="119" fillId="117" borderId="44" applyNumberFormat="0" applyAlignment="0" applyProtection="0"/>
    <xf numFmtId="0" fontId="118" fillId="84"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117" borderId="44" applyNumberFormat="0" applyAlignment="0" applyProtection="0"/>
    <xf numFmtId="0" fontId="118" fillId="77" borderId="44" applyNumberFormat="0" applyAlignment="0" applyProtection="0"/>
    <xf numFmtId="0" fontId="119" fillId="78" borderId="44" applyNumberFormat="0" applyAlignment="0" applyProtection="0"/>
    <xf numFmtId="0" fontId="118" fillId="77" borderId="44" applyNumberFormat="0" applyAlignment="0" applyProtection="0"/>
    <xf numFmtId="0" fontId="118" fillId="77" borderId="44" applyNumberFormat="0" applyAlignment="0" applyProtection="0"/>
    <xf numFmtId="0" fontId="119" fillId="78" borderId="44" applyNumberFormat="0" applyAlignment="0" applyProtection="0"/>
    <xf numFmtId="190" fontId="119" fillId="117" borderId="44" applyNumberFormat="0" applyAlignment="0" applyProtection="0"/>
    <xf numFmtId="190" fontId="119" fillId="117" borderId="44" applyNumberFormat="0" applyAlignment="0" applyProtection="0"/>
    <xf numFmtId="190" fontId="119" fillId="117" borderId="44" applyNumberFormat="0" applyAlignment="0" applyProtection="0"/>
    <xf numFmtId="0" fontId="119" fillId="117" borderId="44" applyNumberFormat="0" applyAlignment="0" applyProtection="0"/>
    <xf numFmtId="0" fontId="120" fillId="118" borderId="45"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117" borderId="44" applyNumberFormat="0" applyAlignment="0" applyProtection="0"/>
    <xf numFmtId="0" fontId="86" fillId="33" borderId="32" applyNumberFormat="0" applyAlignment="0" applyProtection="0"/>
    <xf numFmtId="0" fontId="122" fillId="101" borderId="46" applyNumberFormat="0" applyAlignment="0" applyProtection="0"/>
    <xf numFmtId="0" fontId="122" fillId="109" borderId="46" applyNumberFormat="0" applyAlignment="0" applyProtection="0"/>
    <xf numFmtId="0" fontId="122" fillId="6" borderId="46" applyNumberFormat="0" applyAlignment="0" applyProtection="0"/>
    <xf numFmtId="189" fontId="122" fillId="6" borderId="46" applyNumberFormat="0" applyAlignment="0" applyProtection="0"/>
    <xf numFmtId="0" fontId="122" fillId="6" borderId="46" applyNumberFormat="0" applyAlignment="0" applyProtection="0"/>
    <xf numFmtId="193" fontId="122" fillId="6" borderId="46" applyNumberFormat="0" applyAlignment="0" applyProtection="0"/>
    <xf numFmtId="190" fontId="122" fillId="6" borderId="46" applyNumberFormat="0" applyAlignment="0" applyProtection="0"/>
    <xf numFmtId="0" fontId="122" fillId="101" borderId="46" applyNumberFormat="0" applyAlignment="0" applyProtection="0"/>
    <xf numFmtId="0" fontId="122" fillId="6" borderId="46" applyNumberFormat="0" applyAlignment="0" applyProtection="0"/>
    <xf numFmtId="191" fontId="123" fillId="34" borderId="35" applyNumberFormat="0" applyAlignment="0" applyProtection="0"/>
    <xf numFmtId="190" fontId="122" fillId="6" borderId="46" applyNumberFormat="0" applyAlignment="0" applyProtection="0"/>
    <xf numFmtId="0" fontId="122" fillId="6" borderId="46" applyNumberFormat="0" applyAlignment="0" applyProtection="0"/>
    <xf numFmtId="189" fontId="122" fillId="6" borderId="46" applyNumberFormat="0" applyAlignment="0" applyProtection="0"/>
    <xf numFmtId="193" fontId="122" fillId="6" borderId="46" applyNumberFormat="0" applyAlignment="0" applyProtection="0"/>
    <xf numFmtId="190" fontId="123" fillId="34" borderId="35" applyNumberFormat="0" applyAlignment="0" applyProtection="0"/>
    <xf numFmtId="190" fontId="123" fillId="34" borderId="35" applyNumberFormat="0" applyAlignment="0" applyProtection="0"/>
    <xf numFmtId="0" fontId="122" fillId="101" borderId="46" applyNumberFormat="0" applyAlignment="0" applyProtection="0"/>
    <xf numFmtId="0" fontId="88" fillId="34" borderId="35" applyNumberFormat="0" applyAlignment="0" applyProtection="0"/>
    <xf numFmtId="0" fontId="122" fillId="6" borderId="46" applyNumberFormat="0" applyAlignment="0" applyProtection="0"/>
    <xf numFmtId="191" fontId="123" fillId="34" borderId="35" applyNumberFormat="0" applyAlignment="0" applyProtection="0"/>
    <xf numFmtId="0" fontId="122" fillId="101" borderId="46" applyNumberFormat="0" applyAlignment="0" applyProtection="0"/>
    <xf numFmtId="0" fontId="123" fillId="34" borderId="35" applyNumberFormat="0" applyAlignment="0" applyProtection="0"/>
    <xf numFmtId="192" fontId="122" fillId="6" borderId="46" applyNumberFormat="0" applyAlignment="0" applyProtection="0"/>
    <xf numFmtId="191" fontId="122" fillId="6" borderId="46" applyNumberFormat="0" applyAlignment="0" applyProtection="0"/>
    <xf numFmtId="192" fontId="123" fillId="34" borderId="35" applyNumberFormat="0" applyAlignment="0" applyProtection="0"/>
    <xf numFmtId="191" fontId="123" fillId="34" borderId="35" applyNumberFormat="0" applyAlignment="0" applyProtection="0"/>
    <xf numFmtId="192" fontId="88" fillId="34" borderId="35" applyNumberFormat="0" applyAlignment="0" applyProtection="0"/>
    <xf numFmtId="191" fontId="122" fillId="101" borderId="46" applyNumberFormat="0" applyAlignment="0" applyProtection="0"/>
    <xf numFmtId="192" fontId="122" fillId="101" borderId="46" applyNumberFormat="0" applyAlignment="0" applyProtection="0"/>
    <xf numFmtId="192" fontId="122" fillId="101" borderId="46" applyNumberFormat="0" applyAlignment="0" applyProtection="0"/>
    <xf numFmtId="0" fontId="122" fillId="119" borderId="46" applyNumberFormat="0" applyAlignment="0" applyProtection="0"/>
    <xf numFmtId="0" fontId="122" fillId="109" borderId="46" applyNumberFormat="0" applyAlignment="0" applyProtection="0"/>
    <xf numFmtId="193" fontId="122" fillId="101" borderId="46" applyNumberFormat="0" applyAlignment="0" applyProtection="0"/>
    <xf numFmtId="190" fontId="122" fillId="6" borderId="46" applyNumberFormat="0" applyAlignment="0" applyProtection="0"/>
    <xf numFmtId="193" fontId="122" fillId="101" borderId="46" applyNumberFormat="0" applyAlignment="0" applyProtection="0"/>
    <xf numFmtId="190" fontId="122" fillId="6" borderId="46" applyNumberFormat="0" applyAlignment="0" applyProtection="0"/>
    <xf numFmtId="0" fontId="122" fillId="101" borderId="46" applyNumberFormat="0" applyAlignment="0" applyProtection="0"/>
    <xf numFmtId="0" fontId="122" fillId="101" borderId="46" applyNumberFormat="0" applyAlignment="0" applyProtection="0"/>
    <xf numFmtId="193" fontId="122" fillId="101" borderId="46" applyNumberFormat="0" applyAlignment="0" applyProtection="0"/>
    <xf numFmtId="191" fontId="122" fillId="101" borderId="46" applyNumberFormat="0" applyAlignment="0" applyProtection="0"/>
    <xf numFmtId="0" fontId="122" fillId="101" borderId="46" applyNumberFormat="0" applyAlignment="0" applyProtection="0"/>
    <xf numFmtId="0" fontId="122" fillId="6" borderId="46" applyNumberFormat="0" applyAlignment="0" applyProtection="0"/>
    <xf numFmtId="0" fontId="122" fillId="109" borderId="46" applyNumberFormat="0" applyAlignment="0" applyProtection="0"/>
    <xf numFmtId="191" fontId="123" fillId="34" borderId="35" applyNumberFormat="0" applyAlignment="0" applyProtection="0"/>
    <xf numFmtId="0" fontId="123" fillId="34" borderId="35" applyNumberFormat="0" applyAlignment="0" applyProtection="0"/>
    <xf numFmtId="0" fontId="122" fillId="6" borderId="46" applyNumberFormat="0" applyAlignment="0" applyProtection="0"/>
    <xf numFmtId="0" fontId="122" fillId="109" borderId="46" applyNumberFormat="0" applyAlignment="0" applyProtection="0"/>
    <xf numFmtId="0" fontId="122" fillId="6" borderId="46" applyNumberFormat="0" applyAlignment="0" applyProtection="0"/>
    <xf numFmtId="0" fontId="122" fillId="119" borderId="46" applyNumberFormat="0" applyAlignment="0" applyProtection="0"/>
    <xf numFmtId="190" fontId="122" fillId="101" borderId="46" applyNumberFormat="0" applyAlignment="0" applyProtection="0"/>
    <xf numFmtId="190" fontId="122" fillId="101" borderId="46" applyNumberFormat="0" applyAlignment="0" applyProtection="0"/>
    <xf numFmtId="0" fontId="88" fillId="34" borderId="35" applyNumberFormat="0" applyAlignment="0" applyProtection="0"/>
    <xf numFmtId="0" fontId="122" fillId="101" borderId="46" applyNumberFormat="0" applyAlignment="0" applyProtection="0"/>
    <xf numFmtId="0" fontId="122" fillId="119" borderId="46" applyNumberFormat="0" applyAlignment="0" applyProtection="0"/>
    <xf numFmtId="190" fontId="122" fillId="101" borderId="46" applyNumberFormat="0" applyAlignment="0" applyProtection="0"/>
    <xf numFmtId="0" fontId="122" fillId="22" borderId="47" applyNumberFormat="0" applyAlignment="0" applyProtection="0"/>
    <xf numFmtId="189" fontId="122" fillId="101" borderId="46" applyNumberFormat="0" applyAlignment="0" applyProtection="0"/>
    <xf numFmtId="0" fontId="122" fillId="119" borderId="46" applyNumberFormat="0" applyAlignment="0" applyProtection="0"/>
    <xf numFmtId="190" fontId="122" fillId="101" borderId="46" applyNumberFormat="0" applyAlignment="0" applyProtection="0"/>
    <xf numFmtId="0" fontId="122" fillId="101" borderId="46" applyNumberFormat="0" applyAlignment="0" applyProtection="0"/>
    <xf numFmtId="0" fontId="122" fillId="119" borderId="46" applyNumberFormat="0" applyAlignment="0" applyProtection="0"/>
    <xf numFmtId="0" fontId="124" fillId="34" borderId="35" applyNumberFormat="0" applyAlignment="0" applyProtection="0"/>
    <xf numFmtId="0" fontId="88" fillId="34" borderId="35" applyNumberFormat="0" applyAlignment="0" applyProtection="0"/>
    <xf numFmtId="0" fontId="122" fillId="6" borderId="46" applyNumberFormat="0" applyAlignment="0" applyProtection="0"/>
    <xf numFmtId="49" fontId="13" fillId="0" borderId="1"/>
    <xf numFmtId="41" fontId="35" fillId="0" borderId="0" applyFont="0" applyFill="0" applyBorder="0" applyAlignment="0" applyProtection="0"/>
    <xf numFmtId="41" fontId="35" fillId="0" borderId="0" applyFont="0" applyFill="0" applyBorder="0" applyAlignment="0" applyProtection="0"/>
    <xf numFmtId="41" fontId="125" fillId="0" borderId="0" applyFont="0" applyFill="0" applyBorder="0" applyAlignment="0" applyProtection="0"/>
    <xf numFmtId="38" fontId="63" fillId="0" borderId="0" applyFont="0" applyFill="0" applyBorder="0" applyAlignment="0" applyProtection="0"/>
    <xf numFmtId="41"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26"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21"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198"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35"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05" fillId="0" borderId="0" applyFont="0" applyFill="0" applyBorder="0" applyAlignment="0" applyProtection="0"/>
    <xf numFmtId="44" fontId="13" fillId="0" borderId="0" applyFont="0" applyFill="0" applyBorder="0" applyAlignment="0" applyProtection="0"/>
    <xf numFmtId="199" fontId="13"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05" fillId="0" borderId="0" applyFont="0" applyFill="0" applyBorder="0" applyAlignment="0" applyProtection="0"/>
    <xf numFmtId="44" fontId="21" fillId="0" borderId="0" applyFont="0" applyFill="0" applyBorder="0" applyAlignment="0" applyProtection="0"/>
    <xf numFmtId="199" fontId="13"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199" fontId="13"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3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82"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7"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5"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199" fontId="1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8"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2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0" fontId="13" fillId="0" borderId="0" applyFont="0" applyFill="0" applyBorder="0" applyAlignment="0" applyProtection="0"/>
    <xf numFmtId="193" fontId="13" fillId="0" borderId="0" applyFont="0" applyFill="0" applyBorder="0" applyAlignment="0" applyProtection="0"/>
    <xf numFmtId="191" fontId="13" fillId="0" borderId="0" applyFon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9" fontId="13" fillId="0" borderId="0" applyFont="0" applyFill="0" applyBorder="0" applyAlignment="0" applyProtection="0"/>
    <xf numFmtId="5" fontId="129" fillId="0" borderId="0" applyFont="0" applyFill="0" applyBorder="0" applyAlignment="0" applyProtection="0"/>
    <xf numFmtId="200" fontId="35"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6" fontId="130" fillId="0" borderId="0">
      <protection locked="0"/>
    </xf>
    <xf numFmtId="14" fontId="13" fillId="0" borderId="0" applyFont="0" applyFill="0" applyBorder="0" applyAlignment="0" applyProtection="0"/>
    <xf numFmtId="14" fontId="13" fillId="0" borderId="0" applyFont="0" applyFill="0" applyBorder="0" applyAlignment="0" applyProtection="0"/>
    <xf numFmtId="6" fontId="130" fillId="0" borderId="0">
      <protection locked="0"/>
    </xf>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78" fontId="24" fillId="0" borderId="0">
      <alignment horizontal="right"/>
      <protection locked="0"/>
    </xf>
    <xf numFmtId="0" fontId="131" fillId="120" borderId="0" applyNumberFormat="0" applyBorder="0" applyAlignment="0" applyProtection="0"/>
    <xf numFmtId="0" fontId="131" fillId="121" borderId="0" applyNumberFormat="0" applyBorder="0" applyAlignment="0" applyProtection="0"/>
    <xf numFmtId="193" fontId="131" fillId="120" borderId="0" applyNumberFormat="0" applyBorder="0" applyAlignment="0" applyProtection="0"/>
    <xf numFmtId="193" fontId="131" fillId="120" borderId="0" applyNumberFormat="0" applyBorder="0" applyAlignment="0" applyProtection="0"/>
    <xf numFmtId="190" fontId="131" fillId="121" borderId="0" applyNumberFormat="0" applyBorder="0" applyAlignment="0" applyProtection="0"/>
    <xf numFmtId="193" fontId="131" fillId="120" borderId="0" applyNumberFormat="0" applyBorder="0" applyAlignment="0" applyProtection="0"/>
    <xf numFmtId="190" fontId="131" fillId="121" borderId="0" applyNumberFormat="0" applyBorder="0" applyAlignment="0" applyProtection="0"/>
    <xf numFmtId="0" fontId="131" fillId="120" borderId="0" applyNumberFormat="0" applyBorder="0" applyAlignment="0" applyProtection="0"/>
    <xf numFmtId="189" fontId="131" fillId="121" borderId="0" applyNumberFormat="0" applyBorder="0" applyAlignment="0" applyProtection="0"/>
    <xf numFmtId="0" fontId="131" fillId="121" borderId="0" applyNumberFormat="0" applyBorder="0" applyAlignment="0" applyProtection="0"/>
    <xf numFmtId="193" fontId="131" fillId="121" borderId="0" applyNumberFormat="0" applyBorder="0" applyAlignment="0" applyProtection="0"/>
    <xf numFmtId="190" fontId="131" fillId="121" borderId="0" applyNumberFormat="0" applyBorder="0" applyAlignment="0" applyProtection="0"/>
    <xf numFmtId="193" fontId="131" fillId="121" borderId="0" applyNumberFormat="0" applyBorder="0" applyAlignment="0" applyProtection="0"/>
    <xf numFmtId="193" fontId="131" fillId="121" borderId="0" applyNumberFormat="0" applyBorder="0" applyAlignment="0" applyProtection="0"/>
    <xf numFmtId="192" fontId="131" fillId="121" borderId="0" applyNumberFormat="0" applyBorder="0" applyAlignment="0" applyProtection="0"/>
    <xf numFmtId="0" fontId="131" fillId="121" borderId="0" applyNumberFormat="0" applyBorder="0" applyAlignment="0" applyProtection="0"/>
    <xf numFmtId="192" fontId="131" fillId="121" borderId="0" applyNumberFormat="0" applyBorder="0" applyAlignment="0" applyProtection="0"/>
    <xf numFmtId="191" fontId="131" fillId="121" borderId="0" applyNumberFormat="0" applyBorder="0" applyAlignment="0" applyProtection="0"/>
    <xf numFmtId="190" fontId="131" fillId="121" borderId="0" applyNumberFormat="0" applyBorder="0" applyAlignment="0" applyProtection="0"/>
    <xf numFmtId="0" fontId="131" fillId="121" borderId="0" applyNumberFormat="0" applyBorder="0" applyAlignment="0" applyProtection="0"/>
    <xf numFmtId="189" fontId="131" fillId="121" borderId="0" applyNumberFormat="0" applyBorder="0" applyAlignment="0" applyProtection="0"/>
    <xf numFmtId="0" fontId="131" fillId="122" borderId="0" applyNumberFormat="0" applyBorder="0" applyAlignment="0" applyProtection="0"/>
    <xf numFmtId="0" fontId="131" fillId="123" borderId="0" applyNumberFormat="0" applyBorder="0" applyAlignment="0" applyProtection="0"/>
    <xf numFmtId="193" fontId="131" fillId="122" borderId="0" applyNumberFormat="0" applyBorder="0" applyAlignment="0" applyProtection="0"/>
    <xf numFmtId="193" fontId="131" fillId="122" borderId="0" applyNumberFormat="0" applyBorder="0" applyAlignment="0" applyProtection="0"/>
    <xf numFmtId="190" fontId="131" fillId="123" borderId="0" applyNumberFormat="0" applyBorder="0" applyAlignment="0" applyProtection="0"/>
    <xf numFmtId="193" fontId="131" fillId="122" borderId="0" applyNumberFormat="0" applyBorder="0" applyAlignment="0" applyProtection="0"/>
    <xf numFmtId="190" fontId="131" fillId="123" borderId="0" applyNumberFormat="0" applyBorder="0" applyAlignment="0" applyProtection="0"/>
    <xf numFmtId="0" fontId="131" fillId="122" borderId="0" applyNumberFormat="0" applyBorder="0" applyAlignment="0" applyProtection="0"/>
    <xf numFmtId="189" fontId="131" fillId="123" borderId="0" applyNumberFormat="0" applyBorder="0" applyAlignment="0" applyProtection="0"/>
    <xf numFmtId="0" fontId="131" fillId="123" borderId="0" applyNumberFormat="0" applyBorder="0" applyAlignment="0" applyProtection="0"/>
    <xf numFmtId="193" fontId="131" fillId="123" borderId="0" applyNumberFormat="0" applyBorder="0" applyAlignment="0" applyProtection="0"/>
    <xf numFmtId="190" fontId="131" fillId="123" borderId="0" applyNumberFormat="0" applyBorder="0" applyAlignment="0" applyProtection="0"/>
    <xf numFmtId="193" fontId="131" fillId="123" borderId="0" applyNumberFormat="0" applyBorder="0" applyAlignment="0" applyProtection="0"/>
    <xf numFmtId="193" fontId="131" fillId="123" borderId="0" applyNumberFormat="0" applyBorder="0" applyAlignment="0" applyProtection="0"/>
    <xf numFmtId="192" fontId="131" fillId="123" borderId="0" applyNumberFormat="0" applyBorder="0" applyAlignment="0" applyProtection="0"/>
    <xf numFmtId="0" fontId="131" fillId="123" borderId="0" applyNumberFormat="0" applyBorder="0" applyAlignment="0" applyProtection="0"/>
    <xf numFmtId="192" fontId="131" fillId="123" borderId="0" applyNumberFormat="0" applyBorder="0" applyAlignment="0" applyProtection="0"/>
    <xf numFmtId="191" fontId="131" fillId="123" borderId="0" applyNumberFormat="0" applyBorder="0" applyAlignment="0" applyProtection="0"/>
    <xf numFmtId="190" fontId="131" fillId="123" borderId="0" applyNumberFormat="0" applyBorder="0" applyAlignment="0" applyProtection="0"/>
    <xf numFmtId="0" fontId="131" fillId="123" borderId="0" applyNumberFormat="0" applyBorder="0" applyAlignment="0" applyProtection="0"/>
    <xf numFmtId="189" fontId="131" fillId="123" borderId="0" applyNumberFormat="0" applyBorder="0" applyAlignment="0" applyProtection="0"/>
    <xf numFmtId="0" fontId="131" fillId="124" borderId="0" applyNumberFormat="0" applyBorder="0" applyAlignment="0" applyProtection="0"/>
    <xf numFmtId="193" fontId="131" fillId="124" borderId="0" applyNumberFormat="0" applyBorder="0" applyAlignment="0" applyProtection="0"/>
    <xf numFmtId="193" fontId="131" fillId="124" borderId="0" applyNumberFormat="0" applyBorder="0" applyAlignment="0" applyProtection="0"/>
    <xf numFmtId="190" fontId="131" fillId="124" borderId="0" applyNumberFormat="0" applyBorder="0" applyAlignment="0" applyProtection="0"/>
    <xf numFmtId="190" fontId="131" fillId="124" borderId="0" applyNumberFormat="0" applyBorder="0" applyAlignment="0" applyProtection="0"/>
    <xf numFmtId="189" fontId="131" fillId="124" borderId="0" applyNumberFormat="0" applyBorder="0" applyAlignment="0" applyProtection="0"/>
    <xf numFmtId="193" fontId="131" fillId="124" borderId="0" applyNumberFormat="0" applyBorder="0" applyAlignment="0" applyProtection="0"/>
    <xf numFmtId="190" fontId="131" fillId="124" borderId="0" applyNumberFormat="0" applyBorder="0" applyAlignment="0" applyProtection="0"/>
    <xf numFmtId="0" fontId="131" fillId="124" borderId="0" applyNumberFormat="0" applyBorder="0" applyAlignment="0" applyProtection="0"/>
    <xf numFmtId="192" fontId="131" fillId="124" borderId="0" applyNumberFormat="0" applyBorder="0" applyAlignment="0" applyProtection="0"/>
    <xf numFmtId="192" fontId="131" fillId="124" borderId="0" applyNumberFormat="0" applyBorder="0" applyAlignment="0" applyProtection="0"/>
    <xf numFmtId="191" fontId="131" fillId="124" borderId="0" applyNumberFormat="0" applyBorder="0" applyAlignment="0" applyProtection="0"/>
    <xf numFmtId="190" fontId="131" fillId="124" borderId="0" applyNumberFormat="0" applyBorder="0" applyAlignment="0" applyProtection="0"/>
    <xf numFmtId="0" fontId="131" fillId="124" borderId="0" applyNumberFormat="0" applyBorder="0" applyAlignment="0" applyProtection="0"/>
    <xf numFmtId="189" fontId="131" fillId="124" borderId="0" applyNumberFormat="0" applyBorder="0" applyAlignment="0" applyProtection="0"/>
    <xf numFmtId="201"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0" fontId="13" fillId="0" borderId="0"/>
    <xf numFmtId="0" fontId="13" fillId="0" borderId="0"/>
    <xf numFmtId="0" fontId="13" fillId="0" borderId="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89" fontId="133" fillId="0" borderId="0" applyNumberFormat="0" applyFill="0" applyBorder="0" applyAlignment="0" applyProtection="0"/>
    <xf numFmtId="193" fontId="133" fillId="0" borderId="0" applyNumberFormat="0" applyFill="0" applyBorder="0" applyAlignment="0" applyProtection="0"/>
    <xf numFmtId="193" fontId="133" fillId="0" borderId="0" applyNumberFormat="0" applyFill="0" applyBorder="0" applyAlignment="0" applyProtection="0"/>
    <xf numFmtId="19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91" fontId="134" fillId="0" borderId="0" applyNumberFormat="0" applyFill="0" applyBorder="0" applyAlignment="0" applyProtection="0"/>
    <xf numFmtId="190" fontId="133" fillId="0" borderId="0" applyNumberFormat="0" applyFill="0" applyBorder="0" applyAlignment="0" applyProtection="0"/>
    <xf numFmtId="0" fontId="133" fillId="0" borderId="0" applyNumberFormat="0" applyFill="0" applyBorder="0" applyAlignment="0" applyProtection="0"/>
    <xf numFmtId="189" fontId="133" fillId="0" borderId="0" applyNumberFormat="0" applyFill="0" applyBorder="0" applyAlignment="0" applyProtection="0"/>
    <xf numFmtId="193" fontId="133" fillId="0" borderId="0" applyNumberFormat="0" applyFill="0" applyBorder="0" applyAlignment="0" applyProtection="0"/>
    <xf numFmtId="190" fontId="134" fillId="0" borderId="0" applyNumberFormat="0" applyFill="0" applyBorder="0" applyAlignment="0" applyProtection="0"/>
    <xf numFmtId="190" fontId="134" fillId="0" borderId="0" applyNumberFormat="0" applyFill="0" applyBorder="0" applyAlignment="0" applyProtection="0"/>
    <xf numFmtId="0" fontId="132" fillId="0" borderId="0" applyNumberFormat="0" applyFill="0" applyBorder="0" applyAlignment="0" applyProtection="0"/>
    <xf numFmtId="0" fontId="90" fillId="0" borderId="0" applyNumberFormat="0" applyFill="0" applyBorder="0" applyAlignment="0" applyProtection="0"/>
    <xf numFmtId="0" fontId="133" fillId="0" borderId="0" applyNumberFormat="0" applyFill="0" applyBorder="0" applyAlignment="0" applyProtection="0"/>
    <xf numFmtId="191" fontId="134"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191" fontId="133" fillId="0" borderId="0" applyNumberFormat="0" applyFill="0" applyBorder="0" applyAlignment="0" applyProtection="0"/>
    <xf numFmtId="192" fontId="133" fillId="0" borderId="0" applyNumberFormat="0" applyFill="0" applyBorder="0" applyAlignment="0" applyProtection="0"/>
    <xf numFmtId="192" fontId="134" fillId="0" borderId="0" applyNumberFormat="0" applyFill="0" applyBorder="0" applyAlignment="0" applyProtection="0"/>
    <xf numFmtId="191" fontId="134" fillId="0" borderId="0" applyNumberFormat="0" applyFill="0" applyBorder="0" applyAlignment="0" applyProtection="0"/>
    <xf numFmtId="192" fontId="90" fillId="0" borderId="0" applyNumberFormat="0" applyFill="0" applyBorder="0" applyAlignment="0" applyProtection="0"/>
    <xf numFmtId="191" fontId="132" fillId="0" borderId="0" applyNumberFormat="0" applyFill="0" applyBorder="0" applyAlignment="0" applyProtection="0"/>
    <xf numFmtId="192" fontId="132" fillId="0" borderId="0" applyNumberFormat="0" applyFill="0" applyBorder="0" applyAlignment="0" applyProtection="0"/>
    <xf numFmtId="192" fontId="132" fillId="0" borderId="0" applyNumberFormat="0" applyFill="0" applyBorder="0" applyAlignment="0" applyProtection="0"/>
    <xf numFmtId="0" fontId="133" fillId="0" borderId="0" applyNumberFormat="0" applyFill="0" applyBorder="0" applyAlignment="0" applyProtection="0"/>
    <xf numFmtId="193" fontId="132" fillId="0" borderId="0" applyNumberFormat="0" applyFill="0" applyBorder="0" applyAlignment="0" applyProtection="0"/>
    <xf numFmtId="193" fontId="132" fillId="0" borderId="0" applyNumberFormat="0" applyFill="0" applyBorder="0" applyAlignment="0" applyProtection="0"/>
    <xf numFmtId="190" fontId="133" fillId="0" borderId="0" applyNumberFormat="0" applyFill="0" applyBorder="0" applyAlignment="0" applyProtection="0"/>
    <xf numFmtId="190" fontId="133" fillId="0" borderId="0" applyNumberFormat="0" applyFill="0" applyBorder="0" applyAlignment="0" applyProtection="0"/>
    <xf numFmtId="0" fontId="132" fillId="0" borderId="0" applyNumberFormat="0" applyFill="0" applyBorder="0" applyAlignment="0" applyProtection="0"/>
    <xf numFmtId="193" fontId="132" fillId="0" borderId="0" applyNumberFormat="0" applyFill="0" applyBorder="0" applyAlignment="0" applyProtection="0"/>
    <xf numFmtId="191"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191" fontId="134"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90" fontId="132" fillId="0" borderId="0" applyNumberFormat="0" applyFill="0" applyBorder="0" applyAlignment="0" applyProtection="0"/>
    <xf numFmtId="190" fontId="132" fillId="0" borderId="0" applyNumberFormat="0" applyFill="0" applyBorder="0" applyAlignment="0" applyProtection="0"/>
    <xf numFmtId="0" fontId="90"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90" fontId="132" fillId="0" borderId="0" applyNumberFormat="0" applyFill="0" applyBorder="0" applyAlignment="0" applyProtection="0"/>
    <xf numFmtId="0" fontId="133" fillId="0" borderId="0" applyNumberFormat="0" applyFill="0" applyBorder="0" applyAlignment="0" applyProtection="0"/>
    <xf numFmtId="189" fontId="132" fillId="0" borderId="0" applyNumberFormat="0" applyFill="0" applyBorder="0" applyAlignment="0" applyProtection="0"/>
    <xf numFmtId="0" fontId="133" fillId="0" borderId="0" applyNumberFormat="0" applyFill="0" applyBorder="0" applyAlignment="0" applyProtection="0"/>
    <xf numFmtId="19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90" fillId="0" borderId="0" applyNumberFormat="0" applyFill="0" applyBorder="0" applyAlignment="0" applyProtection="0"/>
    <xf numFmtId="0" fontId="133" fillId="0" borderId="0" applyNumberForma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06" fontId="13" fillId="0" borderId="0">
      <protection locked="0"/>
    </xf>
    <xf numFmtId="206" fontId="13" fillId="0" borderId="0">
      <protection locked="0"/>
    </xf>
    <xf numFmtId="206" fontId="13" fillId="0" borderId="0">
      <protection locked="0"/>
    </xf>
    <xf numFmtId="2" fontId="13" fillId="0" borderId="0" applyFont="0" applyFill="0" applyBorder="0" applyAlignment="0" applyProtection="0"/>
    <xf numFmtId="206" fontId="13" fillId="0" borderId="0">
      <protection locked="0"/>
    </xf>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06" fontId="13" fillId="0" borderId="0">
      <protection locked="0"/>
    </xf>
    <xf numFmtId="38" fontId="26" fillId="0" borderId="48">
      <alignment horizontal="right"/>
    </xf>
    <xf numFmtId="207" fontId="13" fillId="0" borderId="0" applyFont="0" applyFill="0" applyBorder="0" applyAlignment="0" applyProtection="0"/>
    <xf numFmtId="208" fontId="135" fillId="0" borderId="0" applyFont="0" applyFill="0" applyBorder="0" applyAlignment="0" applyProtection="0"/>
    <xf numFmtId="209" fontId="13" fillId="0" borderId="0" applyFont="0" applyFill="0" applyBorder="0" applyAlignment="0" applyProtection="0"/>
    <xf numFmtId="210" fontId="135" fillId="0" borderId="0" applyFont="0" applyFill="0" applyBorder="0" applyAlignment="0" applyProtection="0"/>
    <xf numFmtId="0" fontId="13" fillId="0" borderId="0" applyFont="0" applyFill="0" applyBorder="0"/>
    <xf numFmtId="0" fontId="136" fillId="74" borderId="0" applyNumberFormat="0" applyBorder="0" applyAlignment="0" applyProtection="0"/>
    <xf numFmtId="0" fontId="136" fillId="125" borderId="0" applyNumberFormat="0" applyBorder="0" applyAlignment="0" applyProtection="0"/>
    <xf numFmtId="0" fontId="64" fillId="106" borderId="0" applyNumberFormat="0" applyBorder="0" applyAlignment="0" applyProtection="0"/>
    <xf numFmtId="0" fontId="136" fillId="74" borderId="0" applyNumberFormat="0" applyBorder="0" applyAlignment="0" applyProtection="0"/>
    <xf numFmtId="189" fontId="136" fillId="74" borderId="0" applyNumberFormat="0" applyBorder="0" applyAlignment="0" applyProtection="0"/>
    <xf numFmtId="0" fontId="136" fillId="74" borderId="0" applyNumberFormat="0" applyBorder="0" applyAlignment="0" applyProtection="0"/>
    <xf numFmtId="193" fontId="136" fillId="74" borderId="0" applyNumberFormat="0" applyBorder="0" applyAlignment="0" applyProtection="0"/>
    <xf numFmtId="190" fontId="136" fillId="74" borderId="0" applyNumberFormat="0" applyBorder="0" applyAlignment="0" applyProtection="0"/>
    <xf numFmtId="0" fontId="136" fillId="125" borderId="0" applyNumberFormat="0" applyBorder="0" applyAlignment="0" applyProtection="0"/>
    <xf numFmtId="0" fontId="136" fillId="74" borderId="0" applyNumberFormat="0" applyBorder="0" applyAlignment="0" applyProtection="0"/>
    <xf numFmtId="191" fontId="137" fillId="29" borderId="0" applyNumberFormat="0" applyBorder="0" applyAlignment="0" applyProtection="0"/>
    <xf numFmtId="190" fontId="136" fillId="74" borderId="0" applyNumberFormat="0" applyBorder="0" applyAlignment="0" applyProtection="0"/>
    <xf numFmtId="0" fontId="136" fillId="74" borderId="0" applyNumberFormat="0" applyBorder="0" applyAlignment="0" applyProtection="0"/>
    <xf numFmtId="189" fontId="136" fillId="74" borderId="0" applyNumberFormat="0" applyBorder="0" applyAlignment="0" applyProtection="0"/>
    <xf numFmtId="0" fontId="64" fillId="106" borderId="0" applyNumberFormat="0" applyBorder="0" applyAlignment="0" applyProtection="0"/>
    <xf numFmtId="190" fontId="137" fillId="29" borderId="0" applyNumberFormat="0" applyBorder="0" applyAlignment="0" applyProtection="0"/>
    <xf numFmtId="190" fontId="137" fillId="29" borderId="0" applyNumberFormat="0" applyBorder="0" applyAlignment="0" applyProtection="0"/>
    <xf numFmtId="0" fontId="136" fillId="125" borderId="0" applyNumberFormat="0" applyBorder="0" applyAlignment="0" applyProtection="0"/>
    <xf numFmtId="0" fontId="81" fillId="29" borderId="0" applyNumberFormat="0" applyBorder="0" applyAlignment="0" applyProtection="0"/>
    <xf numFmtId="0" fontId="136" fillId="74" borderId="0" applyNumberFormat="0" applyBorder="0" applyAlignment="0" applyProtection="0"/>
    <xf numFmtId="191" fontId="137" fillId="29" borderId="0" applyNumberFormat="0" applyBorder="0" applyAlignment="0" applyProtection="0"/>
    <xf numFmtId="0" fontId="137" fillId="29" borderId="0" applyNumberFormat="0" applyBorder="0" applyAlignment="0" applyProtection="0"/>
    <xf numFmtId="192" fontId="136" fillId="74" borderId="0" applyNumberFormat="0" applyBorder="0" applyAlignment="0" applyProtection="0"/>
    <xf numFmtId="191" fontId="136" fillId="74" borderId="0" applyNumberFormat="0" applyBorder="0" applyAlignment="0" applyProtection="0"/>
    <xf numFmtId="192" fontId="137" fillId="29" borderId="0" applyNumberFormat="0" applyBorder="0" applyAlignment="0" applyProtection="0"/>
    <xf numFmtId="191" fontId="137" fillId="29" borderId="0" applyNumberFormat="0" applyBorder="0" applyAlignment="0" applyProtection="0"/>
    <xf numFmtId="192" fontId="81" fillId="29" borderId="0" applyNumberFormat="0" applyBorder="0" applyAlignment="0" applyProtection="0"/>
    <xf numFmtId="191" fontId="136" fillId="125" borderId="0" applyNumberFormat="0" applyBorder="0" applyAlignment="0" applyProtection="0"/>
    <xf numFmtId="192" fontId="136" fillId="125" borderId="0" applyNumberFormat="0" applyBorder="0" applyAlignment="0" applyProtection="0"/>
    <xf numFmtId="192" fontId="136" fillId="125" borderId="0" applyNumberFormat="0" applyBorder="0" applyAlignment="0" applyProtection="0"/>
    <xf numFmtId="0" fontId="136" fillId="126" borderId="0" applyNumberFormat="0" applyBorder="0" applyAlignment="0" applyProtection="0"/>
    <xf numFmtId="0" fontId="64" fillId="106" borderId="0" applyNumberFormat="0" applyBorder="0" applyAlignment="0" applyProtection="0"/>
    <xf numFmtId="193" fontId="136" fillId="125" borderId="0" applyNumberFormat="0" applyBorder="0" applyAlignment="0" applyProtection="0"/>
    <xf numFmtId="190" fontId="136" fillId="74" borderId="0" applyNumberFormat="0" applyBorder="0" applyAlignment="0" applyProtection="0"/>
    <xf numFmtId="193" fontId="136" fillId="125" borderId="0" applyNumberFormat="0" applyBorder="0" applyAlignment="0" applyProtection="0"/>
    <xf numFmtId="190" fontId="136" fillId="74"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193" fontId="136" fillId="125" borderId="0" applyNumberFormat="0" applyBorder="0" applyAlignment="0" applyProtection="0"/>
    <xf numFmtId="191" fontId="136" fillId="125" borderId="0" applyNumberFormat="0" applyBorder="0" applyAlignment="0" applyProtection="0"/>
    <xf numFmtId="0" fontId="136" fillId="74" borderId="0" applyNumberFormat="0" applyBorder="0" applyAlignment="0" applyProtection="0"/>
    <xf numFmtId="0" fontId="64" fillId="106" borderId="0" applyNumberFormat="0" applyBorder="0" applyAlignment="0" applyProtection="0"/>
    <xf numFmtId="191" fontId="137" fillId="29" borderId="0" applyNumberFormat="0" applyBorder="0" applyAlignment="0" applyProtection="0"/>
    <xf numFmtId="0" fontId="137" fillId="29" borderId="0" applyNumberFormat="0" applyBorder="0" applyAlignment="0" applyProtection="0"/>
    <xf numFmtId="0" fontId="136" fillId="74" borderId="0" applyNumberFormat="0" applyBorder="0" applyAlignment="0" applyProtection="0"/>
    <xf numFmtId="0" fontId="64" fillId="106" borderId="0" applyNumberFormat="0" applyBorder="0" applyAlignment="0" applyProtection="0"/>
    <xf numFmtId="0" fontId="136" fillId="74" borderId="0" applyNumberFormat="0" applyBorder="0" applyAlignment="0" applyProtection="0"/>
    <xf numFmtId="0" fontId="136" fillId="126" borderId="0" applyNumberFormat="0" applyBorder="0" applyAlignment="0" applyProtection="0"/>
    <xf numFmtId="190" fontId="136" fillId="125" borderId="0" applyNumberFormat="0" applyBorder="0" applyAlignment="0" applyProtection="0"/>
    <xf numFmtId="190" fontId="136" fillId="125" borderId="0" applyNumberFormat="0" applyBorder="0" applyAlignment="0" applyProtection="0"/>
    <xf numFmtId="0" fontId="81" fillId="29" borderId="0" applyNumberFormat="0" applyBorder="0" applyAlignment="0" applyProtection="0"/>
    <xf numFmtId="0" fontId="136" fillId="125" borderId="0" applyNumberFormat="0" applyBorder="0" applyAlignment="0" applyProtection="0"/>
    <xf numFmtId="0" fontId="136" fillId="126" borderId="0" applyNumberFormat="0" applyBorder="0" applyAlignment="0" applyProtection="0"/>
    <xf numFmtId="190" fontId="136" fillId="125" borderId="0" applyNumberFormat="0" applyBorder="0" applyAlignment="0" applyProtection="0"/>
    <xf numFmtId="0" fontId="136" fillId="74" borderId="0" applyNumberFormat="0" applyBorder="0" applyAlignment="0" applyProtection="0"/>
    <xf numFmtId="189" fontId="136" fillId="125" borderId="0" applyNumberFormat="0" applyBorder="0" applyAlignment="0" applyProtection="0"/>
    <xf numFmtId="0" fontId="136" fillId="126" borderId="0" applyNumberFormat="0" applyBorder="0" applyAlignment="0" applyProtection="0"/>
    <xf numFmtId="190" fontId="136" fillId="125" borderId="0" applyNumberFormat="0" applyBorder="0" applyAlignment="0" applyProtection="0"/>
    <xf numFmtId="0" fontId="136" fillId="125" borderId="0" applyNumberFormat="0" applyBorder="0" applyAlignment="0" applyProtection="0"/>
    <xf numFmtId="0" fontId="136" fillId="126" borderId="0" applyNumberFormat="0" applyBorder="0" applyAlignment="0" applyProtection="0"/>
    <xf numFmtId="0" fontId="138" fillId="29" borderId="0" applyNumberFormat="0" applyBorder="0" applyAlignment="0" applyProtection="0"/>
    <xf numFmtId="0" fontId="81" fillId="79" borderId="0" applyNumberFormat="0" applyBorder="0" applyAlignment="0" applyProtection="0"/>
    <xf numFmtId="0" fontId="81" fillId="29" borderId="0" applyNumberFormat="0" applyBorder="0" applyAlignment="0" applyProtection="0"/>
    <xf numFmtId="38" fontId="26" fillId="8" borderId="0" applyNumberFormat="0" applyBorder="0" applyAlignment="0" applyProtection="0"/>
    <xf numFmtId="38" fontId="26" fillId="8" borderId="0" applyNumberFormat="0" applyBorder="0" applyAlignment="0" applyProtection="0"/>
    <xf numFmtId="193" fontId="27" fillId="0" borderId="0" applyNumberFormat="0" applyFill="0" applyBorder="0" applyAlignment="0" applyProtection="0"/>
    <xf numFmtId="193" fontId="27" fillId="0" borderId="0" applyNumberFormat="0" applyFill="0" applyBorder="0" applyAlignment="0" applyProtection="0"/>
    <xf numFmtId="190" fontId="27" fillId="0" borderId="0" applyNumberFormat="0" applyFill="0" applyBorder="0" applyAlignment="0" applyProtection="0"/>
    <xf numFmtId="19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93" fontId="27" fillId="0" borderId="0" applyNumberFormat="0" applyFill="0" applyBorder="0" applyAlignment="0" applyProtection="0"/>
    <xf numFmtId="191" fontId="27" fillId="0" borderId="0" applyNumberFormat="0" applyFill="0" applyBorder="0" applyAlignment="0" applyProtection="0"/>
    <xf numFmtId="192" fontId="27" fillId="0" borderId="0" applyNumberFormat="0" applyFill="0" applyBorder="0" applyAlignment="0" applyProtection="0"/>
    <xf numFmtId="191" fontId="27" fillId="0" borderId="0" applyNumberFormat="0" applyFill="0" applyBorder="0" applyAlignment="0" applyProtection="0"/>
    <xf numFmtId="0" fontId="27" fillId="0" borderId="0" applyNumberFormat="0" applyFill="0" applyBorder="0" applyAlignment="0" applyProtection="0"/>
    <xf numFmtId="189" fontId="27" fillId="0" borderId="0" applyNumberFormat="0" applyFill="0" applyBorder="0" applyAlignment="0" applyProtection="0"/>
    <xf numFmtId="193" fontId="28" fillId="0" borderId="3" applyNumberFormat="0" applyAlignment="0" applyProtection="0">
      <alignment horizontal="left" vertical="center"/>
    </xf>
    <xf numFmtId="193" fontId="28" fillId="0" borderId="3" applyNumberFormat="0" applyAlignment="0" applyProtection="0">
      <alignment horizontal="left" vertical="center"/>
    </xf>
    <xf numFmtId="191" fontId="28" fillId="0" borderId="3" applyNumberFormat="0" applyAlignment="0" applyProtection="0">
      <alignment horizontal="left" vertical="center"/>
    </xf>
    <xf numFmtId="0" fontId="28" fillId="0" borderId="3" applyNumberFormat="0" applyAlignment="0" applyProtection="0">
      <alignment horizontal="left" vertical="center"/>
    </xf>
    <xf numFmtId="190" fontId="28" fillId="0" borderId="3" applyNumberFormat="0" applyAlignment="0" applyProtection="0">
      <alignment horizontal="left" vertical="center"/>
    </xf>
    <xf numFmtId="191" fontId="28" fillId="0" borderId="3" applyNumberFormat="0" applyAlignment="0" applyProtection="0">
      <alignment horizontal="left" vertical="center"/>
    </xf>
    <xf numFmtId="190" fontId="28" fillId="0" borderId="3" applyNumberFormat="0" applyAlignment="0" applyProtection="0">
      <alignment horizontal="left" vertical="center"/>
    </xf>
    <xf numFmtId="0" fontId="28" fillId="0" borderId="3" applyNumberFormat="0" applyAlignment="0" applyProtection="0">
      <alignment horizontal="left" vertical="center"/>
    </xf>
    <xf numFmtId="193" fontId="28" fillId="0" borderId="3" applyNumberFormat="0" applyAlignment="0" applyProtection="0">
      <alignment horizontal="left" vertical="center"/>
    </xf>
    <xf numFmtId="191" fontId="28" fillId="0" borderId="3" applyNumberFormat="0" applyAlignment="0" applyProtection="0">
      <alignment horizontal="left" vertical="center"/>
    </xf>
    <xf numFmtId="0" fontId="28" fillId="0" borderId="3" applyNumberFormat="0" applyAlignment="0" applyProtection="0">
      <alignment horizontal="left" vertical="center"/>
    </xf>
    <xf numFmtId="192" fontId="28" fillId="0" borderId="3" applyNumberFormat="0" applyAlignment="0" applyProtection="0">
      <alignment horizontal="left" vertical="center"/>
    </xf>
    <xf numFmtId="192" fontId="28" fillId="0" borderId="3" applyNumberFormat="0" applyAlignment="0" applyProtection="0">
      <alignment horizontal="left" vertical="center"/>
    </xf>
    <xf numFmtId="191" fontId="28" fillId="0" borderId="3" applyNumberFormat="0" applyAlignment="0" applyProtection="0">
      <alignment horizontal="left" vertical="center"/>
    </xf>
    <xf numFmtId="191" fontId="28" fillId="0" borderId="3" applyNumberFormat="0" applyAlignment="0" applyProtection="0">
      <alignment horizontal="left" vertical="center"/>
    </xf>
    <xf numFmtId="0" fontId="28" fillId="0" borderId="3" applyNumberFormat="0" applyAlignment="0" applyProtection="0">
      <alignment horizontal="left" vertical="center"/>
    </xf>
    <xf numFmtId="189" fontId="28" fillId="0" borderId="3" applyNumberFormat="0" applyAlignment="0" applyProtection="0">
      <alignment horizontal="left" vertical="center"/>
    </xf>
    <xf numFmtId="0" fontId="28" fillId="0" borderId="49">
      <alignment horizontal="left" vertical="center"/>
    </xf>
    <xf numFmtId="0" fontId="28" fillId="0" borderId="49">
      <alignment horizontal="left" vertical="center"/>
    </xf>
    <xf numFmtId="193" fontId="28" fillId="0" borderId="49">
      <alignment horizontal="left" vertical="center"/>
    </xf>
    <xf numFmtId="193" fontId="28" fillId="0" borderId="49">
      <alignment horizontal="left" vertical="center"/>
    </xf>
    <xf numFmtId="191" fontId="28" fillId="0" borderId="49">
      <alignment horizontal="left" vertical="center"/>
    </xf>
    <xf numFmtId="191" fontId="28" fillId="0" borderId="49">
      <alignment horizontal="left" vertical="center"/>
    </xf>
    <xf numFmtId="192" fontId="28" fillId="0" borderId="49">
      <alignment horizontal="left" vertical="center"/>
    </xf>
    <xf numFmtId="190" fontId="28" fillId="0" borderId="49">
      <alignment horizontal="left" vertical="center"/>
    </xf>
    <xf numFmtId="193" fontId="28" fillId="0" borderId="49">
      <alignment horizontal="left" vertical="center"/>
    </xf>
    <xf numFmtId="193" fontId="28" fillId="0" borderId="49">
      <alignment horizontal="left" vertical="center"/>
    </xf>
    <xf numFmtId="190" fontId="28" fillId="0" borderId="49">
      <alignment horizontal="left" vertical="center"/>
    </xf>
    <xf numFmtId="190" fontId="28" fillId="0" borderId="49">
      <alignment horizontal="left" vertical="center"/>
    </xf>
    <xf numFmtId="0" fontId="28" fillId="0" borderId="49">
      <alignment horizontal="left" vertical="center"/>
    </xf>
    <xf numFmtId="191"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7" fontId="28" fillId="0" borderId="49">
      <alignment horizontal="left" vertical="center"/>
    </xf>
    <xf numFmtId="0" fontId="28" fillId="0" borderId="49">
      <alignment horizontal="left" vertical="center"/>
    </xf>
    <xf numFmtId="193" fontId="28" fillId="0" borderId="49">
      <alignment horizontal="left" vertical="center"/>
    </xf>
    <xf numFmtId="193" fontId="28" fillId="0" borderId="49">
      <alignment horizontal="left" vertical="center"/>
    </xf>
    <xf numFmtId="191" fontId="28" fillId="0" borderId="49">
      <alignment horizontal="left" vertical="center"/>
    </xf>
    <xf numFmtId="0" fontId="28" fillId="0" borderId="49">
      <alignment horizontal="left" vertical="center"/>
    </xf>
    <xf numFmtId="0" fontId="28" fillId="0" borderId="49">
      <alignment horizontal="left" vertical="center"/>
    </xf>
    <xf numFmtId="191" fontId="28" fillId="0" borderId="49">
      <alignment horizontal="left" vertical="center"/>
    </xf>
    <xf numFmtId="190" fontId="28" fillId="0" borderId="49">
      <alignment horizontal="left" vertical="center"/>
    </xf>
    <xf numFmtId="190" fontId="28" fillId="0" borderId="49">
      <alignment horizontal="left" vertical="center"/>
    </xf>
    <xf numFmtId="0" fontId="28" fillId="0" borderId="49">
      <alignment horizontal="left" vertical="center"/>
    </xf>
    <xf numFmtId="0" fontId="28" fillId="0" borderId="49">
      <alignment horizontal="left" vertical="center"/>
    </xf>
    <xf numFmtId="192" fontId="28" fillId="0" borderId="49">
      <alignment horizontal="left" vertical="center"/>
    </xf>
    <xf numFmtId="190" fontId="28" fillId="0" borderId="49">
      <alignment horizontal="left" vertical="center"/>
    </xf>
    <xf numFmtId="193" fontId="28" fillId="0" borderId="49">
      <alignment horizontal="left" vertical="center"/>
    </xf>
    <xf numFmtId="193" fontId="28" fillId="0" borderId="49">
      <alignment horizontal="left" vertical="center"/>
    </xf>
    <xf numFmtId="192" fontId="28" fillId="0" borderId="49">
      <alignment horizontal="left" vertical="center"/>
    </xf>
    <xf numFmtId="191" fontId="28" fillId="0" borderId="49">
      <alignment horizontal="left" vertical="center"/>
    </xf>
    <xf numFmtId="191" fontId="28" fillId="0" borderId="49">
      <alignment horizontal="left" vertical="center"/>
    </xf>
    <xf numFmtId="0" fontId="28" fillId="0" borderId="49">
      <alignment horizontal="left" vertical="center"/>
    </xf>
    <xf numFmtId="0" fontId="28" fillId="0" borderId="49">
      <alignment horizontal="left" vertical="center"/>
    </xf>
    <xf numFmtId="192" fontId="28" fillId="0" borderId="49">
      <alignment horizontal="left" vertical="center"/>
    </xf>
    <xf numFmtId="191" fontId="28" fillId="0" borderId="49">
      <alignment horizontal="left" vertical="center"/>
    </xf>
    <xf numFmtId="191" fontId="28" fillId="0" borderId="49">
      <alignment horizontal="left" vertical="center"/>
    </xf>
    <xf numFmtId="0" fontId="28" fillId="0" borderId="49">
      <alignment horizontal="left" vertical="center"/>
    </xf>
    <xf numFmtId="0" fontId="28" fillId="0" borderId="49">
      <alignment horizontal="left" vertical="center"/>
    </xf>
    <xf numFmtId="197" fontId="28" fillId="0" borderId="49">
      <alignment horizontal="left" vertical="center"/>
    </xf>
    <xf numFmtId="189" fontId="28" fillId="0" borderId="49">
      <alignment horizontal="left" vertical="center"/>
    </xf>
    <xf numFmtId="0" fontId="28" fillId="0" borderId="49">
      <alignment horizontal="left" vertical="center"/>
    </xf>
    <xf numFmtId="0" fontId="139" fillId="0" borderId="50" applyNumberFormat="0" applyFill="0" applyAlignment="0" applyProtection="0"/>
    <xf numFmtId="0" fontId="29" fillId="0" borderId="0" applyNumberFormat="0" applyFont="0" applyFill="0" applyBorder="0" applyProtection="0"/>
    <xf numFmtId="0" fontId="139" fillId="0" borderId="50" applyNumberFormat="0" applyFill="0" applyAlignment="0" applyProtection="0"/>
    <xf numFmtId="189" fontId="139" fillId="0" borderId="50" applyNumberFormat="0" applyFill="0" applyAlignment="0" applyProtection="0"/>
    <xf numFmtId="193" fontId="139" fillId="0" borderId="50" applyNumberFormat="0" applyFill="0" applyAlignment="0" applyProtection="0"/>
    <xf numFmtId="190" fontId="139" fillId="0" borderId="50" applyNumberFormat="0" applyFill="0" applyAlignment="0" applyProtection="0"/>
    <xf numFmtId="0" fontId="140" fillId="0" borderId="51" applyNumberFormat="0" applyFill="0" applyAlignment="0" applyProtection="0"/>
    <xf numFmtId="0" fontId="139" fillId="0" borderId="50" applyNumberFormat="0" applyFill="0" applyAlignment="0" applyProtection="0"/>
    <xf numFmtId="191" fontId="141" fillId="0" borderId="52" applyNumberFormat="0" applyFill="0" applyAlignment="0" applyProtection="0"/>
    <xf numFmtId="0" fontId="29" fillId="0" borderId="0" applyNumberFormat="0" applyFont="0" applyFill="0" applyBorder="0" applyProtection="0"/>
    <xf numFmtId="190" fontId="139" fillId="0" borderId="50" applyNumberFormat="0" applyFill="0" applyAlignment="0" applyProtection="0"/>
    <xf numFmtId="0" fontId="139" fillId="0" borderId="50" applyNumberFormat="0" applyFill="0" applyAlignment="0" applyProtection="0"/>
    <xf numFmtId="189" fontId="139" fillId="0" borderId="50" applyNumberFormat="0" applyFill="0" applyAlignment="0" applyProtection="0"/>
    <xf numFmtId="0" fontId="140" fillId="0" borderId="51" applyNumberFormat="0" applyFill="0" applyAlignment="0" applyProtection="0"/>
    <xf numFmtId="190" fontId="141" fillId="0" borderId="52" applyNumberFormat="0" applyFill="0" applyAlignment="0" applyProtection="0"/>
    <xf numFmtId="190" fontId="141" fillId="0" borderId="52" applyNumberFormat="0" applyFill="0" applyAlignment="0" applyProtection="0"/>
    <xf numFmtId="0" fontId="140" fillId="0" borderId="51" applyNumberFormat="0" applyFill="0" applyAlignment="0" applyProtection="0"/>
    <xf numFmtId="0" fontId="142" fillId="0" borderId="52" applyNumberFormat="0" applyFill="0" applyAlignment="0" applyProtection="0"/>
    <xf numFmtId="0" fontId="139" fillId="0" borderId="50" applyNumberFormat="0" applyFill="0" applyAlignment="0" applyProtection="0"/>
    <xf numFmtId="191" fontId="141" fillId="0" borderId="52" applyNumberFormat="0" applyFill="0" applyAlignment="0" applyProtection="0"/>
    <xf numFmtId="0" fontId="141" fillId="0" borderId="52" applyNumberFormat="0" applyFill="0" applyAlignment="0" applyProtection="0"/>
    <xf numFmtId="192" fontId="139" fillId="0" borderId="50" applyNumberFormat="0" applyFill="0" applyAlignment="0" applyProtection="0"/>
    <xf numFmtId="191" fontId="139" fillId="0" borderId="50" applyNumberFormat="0" applyFill="0" applyAlignment="0" applyProtection="0"/>
    <xf numFmtId="192" fontId="141" fillId="0" borderId="52" applyNumberFormat="0" applyFill="0" applyAlignment="0" applyProtection="0"/>
    <xf numFmtId="191" fontId="141" fillId="0" borderId="52" applyNumberFormat="0" applyFill="0" applyAlignment="0" applyProtection="0"/>
    <xf numFmtId="192" fontId="142" fillId="0" borderId="52" applyNumberFormat="0" applyFill="0" applyAlignment="0" applyProtection="0"/>
    <xf numFmtId="191" fontId="140" fillId="0" borderId="51" applyNumberFormat="0" applyFill="0" applyAlignment="0" applyProtection="0"/>
    <xf numFmtId="192" fontId="140" fillId="0" borderId="51" applyNumberFormat="0" applyFill="0" applyAlignment="0" applyProtection="0"/>
    <xf numFmtId="192" fontId="140" fillId="0" borderId="51" applyNumberFormat="0" applyFill="0" applyAlignment="0" applyProtection="0"/>
    <xf numFmtId="0" fontId="29" fillId="0" borderId="0" applyNumberFormat="0" applyFont="0" applyFill="0" applyBorder="0" applyProtection="0"/>
    <xf numFmtId="0" fontId="140" fillId="0" borderId="51" applyNumberFormat="0" applyFill="0" applyAlignment="0" applyProtection="0"/>
    <xf numFmtId="193" fontId="29" fillId="0" borderId="0" applyNumberFormat="0" applyFont="0" applyFill="0" applyBorder="0" applyProtection="0"/>
    <xf numFmtId="190" fontId="139" fillId="0" borderId="50" applyNumberFormat="0" applyFill="0" applyAlignment="0" applyProtection="0"/>
    <xf numFmtId="193" fontId="29" fillId="0" borderId="0" applyNumberFormat="0" applyFont="0" applyFill="0" applyBorder="0" applyProtection="0"/>
    <xf numFmtId="190" fontId="139" fillId="0" borderId="50" applyNumberFormat="0" applyFill="0" applyAlignment="0" applyProtection="0"/>
    <xf numFmtId="193" fontId="29" fillId="0" borderId="0" applyNumberFormat="0" applyFont="0" applyFill="0" applyBorder="0" applyProtection="0"/>
    <xf numFmtId="191" fontId="140" fillId="0" borderId="51" applyNumberFormat="0" applyFill="0" applyAlignment="0" applyProtection="0"/>
    <xf numFmtId="0" fontId="139" fillId="0" borderId="50" applyNumberFormat="0" applyFill="0" applyAlignment="0" applyProtection="0"/>
    <xf numFmtId="0" fontId="140" fillId="0" borderId="51" applyNumberFormat="0" applyFill="0" applyAlignment="0" applyProtection="0"/>
    <xf numFmtId="191" fontId="141" fillId="0" borderId="52" applyNumberFormat="0" applyFill="0" applyAlignment="0" applyProtection="0"/>
    <xf numFmtId="0" fontId="141" fillId="0" borderId="52" applyNumberFormat="0" applyFill="0" applyAlignment="0" applyProtection="0"/>
    <xf numFmtId="0" fontId="139" fillId="0" borderId="50" applyNumberFormat="0" applyFill="0" applyAlignment="0" applyProtection="0"/>
    <xf numFmtId="0" fontId="140" fillId="0" borderId="51" applyNumberFormat="0" applyFill="0" applyAlignment="0" applyProtection="0"/>
    <xf numFmtId="0" fontId="139" fillId="0" borderId="50" applyNumberFormat="0" applyFill="0" applyAlignment="0" applyProtection="0"/>
    <xf numFmtId="0" fontId="140" fillId="0" borderId="53" applyNumberFormat="0" applyFill="0" applyAlignment="0" applyProtection="0"/>
    <xf numFmtId="193" fontId="29" fillId="0" borderId="0" applyNumberFormat="0" applyFont="0" applyFill="0" applyBorder="0" applyProtection="0"/>
    <xf numFmtId="193" fontId="29" fillId="0" borderId="0" applyNumberFormat="0" applyFont="0" applyFill="0" applyBorder="0" applyProtection="0"/>
    <xf numFmtId="190" fontId="140" fillId="0" borderId="51" applyNumberFormat="0" applyFill="0" applyAlignment="0" applyProtection="0"/>
    <xf numFmtId="193" fontId="29" fillId="0" borderId="0" applyNumberFormat="0" applyFont="0" applyFill="0" applyBorder="0" applyProtection="0"/>
    <xf numFmtId="190" fontId="140" fillId="0" borderId="51" applyNumberFormat="0" applyFill="0" applyAlignment="0" applyProtection="0"/>
    <xf numFmtId="0" fontId="142" fillId="0" borderId="52" applyNumberFormat="0" applyFill="0" applyAlignment="0" applyProtection="0"/>
    <xf numFmtId="0" fontId="140" fillId="0" borderId="51" applyNumberFormat="0" applyFill="0" applyAlignment="0" applyProtection="0"/>
    <xf numFmtId="0" fontId="140" fillId="0" borderId="53" applyNumberFormat="0" applyFill="0" applyAlignment="0" applyProtection="0"/>
    <xf numFmtId="0" fontId="29" fillId="0" borderId="0" applyNumberFormat="0" applyFont="0" applyFill="0" applyBorder="0" applyProtection="0"/>
    <xf numFmtId="190" fontId="140" fillId="0" borderId="51" applyNumberFormat="0" applyFill="0" applyAlignment="0" applyProtection="0"/>
    <xf numFmtId="0" fontId="143" fillId="0" borderId="53" applyNumberFormat="0" applyFill="0" applyAlignment="0" applyProtection="0"/>
    <xf numFmtId="189" fontId="140" fillId="0" borderId="51" applyNumberFormat="0" applyFill="0" applyAlignment="0" applyProtection="0"/>
    <xf numFmtId="0" fontId="140" fillId="0" borderId="53" applyNumberFormat="0" applyFill="0" applyAlignment="0" applyProtection="0"/>
    <xf numFmtId="190" fontId="140" fillId="0" borderId="51" applyNumberFormat="0" applyFill="0" applyAlignment="0" applyProtection="0"/>
    <xf numFmtId="0" fontId="140" fillId="0" borderId="53" applyNumberFormat="0" applyFill="0" applyAlignment="0" applyProtection="0"/>
    <xf numFmtId="0" fontId="144" fillId="0" borderId="54" applyNumberFormat="0" applyFill="0" applyAlignment="0" applyProtection="0"/>
    <xf numFmtId="0" fontId="142" fillId="0" borderId="52" applyNumberFormat="0" applyFill="0" applyAlignment="0" applyProtection="0"/>
    <xf numFmtId="0" fontId="145" fillId="0" borderId="55" applyNumberFormat="0" applyFill="0" applyAlignment="0" applyProtection="0"/>
    <xf numFmtId="0" fontId="28" fillId="0" borderId="0" applyNumberFormat="0" applyFont="0" applyFill="0" applyBorder="0" applyProtection="0"/>
    <xf numFmtId="0" fontId="145" fillId="0" borderId="55" applyNumberFormat="0" applyFill="0" applyAlignment="0" applyProtection="0"/>
    <xf numFmtId="189" fontId="145" fillId="0" borderId="55" applyNumberFormat="0" applyFill="0" applyAlignment="0" applyProtection="0"/>
    <xf numFmtId="193" fontId="145" fillId="0" borderId="55" applyNumberFormat="0" applyFill="0" applyAlignment="0" applyProtection="0"/>
    <xf numFmtId="190" fontId="145" fillId="0" borderId="55" applyNumberFormat="0" applyFill="0" applyAlignment="0" applyProtection="0"/>
    <xf numFmtId="0" fontId="146" fillId="0" borderId="55" applyNumberFormat="0" applyFill="0" applyAlignment="0" applyProtection="0"/>
    <xf numFmtId="0" fontId="145" fillId="0" borderId="55" applyNumberFormat="0" applyFill="0" applyAlignment="0" applyProtection="0"/>
    <xf numFmtId="191" fontId="147" fillId="0" borderId="56" applyNumberFormat="0" applyFill="0" applyAlignment="0" applyProtection="0"/>
    <xf numFmtId="0" fontId="28" fillId="0" borderId="0" applyNumberFormat="0" applyFont="0" applyFill="0" applyBorder="0" applyProtection="0"/>
    <xf numFmtId="190" fontId="145" fillId="0" borderId="55" applyNumberFormat="0" applyFill="0" applyAlignment="0" applyProtection="0"/>
    <xf numFmtId="0" fontId="145" fillId="0" borderId="55" applyNumberFormat="0" applyFill="0" applyAlignment="0" applyProtection="0"/>
    <xf numFmtId="189" fontId="145" fillId="0" borderId="55" applyNumberFormat="0" applyFill="0" applyAlignment="0" applyProtection="0"/>
    <xf numFmtId="0" fontId="146" fillId="0" borderId="57" applyNumberFormat="0" applyFill="0" applyAlignment="0" applyProtection="0"/>
    <xf numFmtId="190" fontId="147" fillId="0" borderId="56" applyNumberFormat="0" applyFill="0" applyAlignment="0" applyProtection="0"/>
    <xf numFmtId="190" fontId="147" fillId="0" borderId="56" applyNumberFormat="0" applyFill="0" applyAlignment="0" applyProtection="0"/>
    <xf numFmtId="0" fontId="146" fillId="0" borderId="55" applyNumberFormat="0" applyFill="0" applyAlignment="0" applyProtection="0"/>
    <xf numFmtId="0" fontId="148" fillId="0" borderId="56" applyNumberFormat="0" applyFill="0" applyAlignment="0" applyProtection="0"/>
    <xf numFmtId="0" fontId="145" fillId="0" borderId="55" applyNumberFormat="0" applyFill="0" applyAlignment="0" applyProtection="0"/>
    <xf numFmtId="191" fontId="147" fillId="0" borderId="56" applyNumberFormat="0" applyFill="0" applyAlignment="0" applyProtection="0"/>
    <xf numFmtId="0" fontId="147" fillId="0" borderId="56" applyNumberFormat="0" applyFill="0" applyAlignment="0" applyProtection="0"/>
    <xf numFmtId="192" fontId="145" fillId="0" borderId="55" applyNumberFormat="0" applyFill="0" applyAlignment="0" applyProtection="0"/>
    <xf numFmtId="191" fontId="145" fillId="0" borderId="55" applyNumberFormat="0" applyFill="0" applyAlignment="0" applyProtection="0"/>
    <xf numFmtId="192" fontId="147" fillId="0" borderId="56" applyNumberFormat="0" applyFill="0" applyAlignment="0" applyProtection="0"/>
    <xf numFmtId="191" fontId="147" fillId="0" borderId="56" applyNumberFormat="0" applyFill="0" applyAlignment="0" applyProtection="0"/>
    <xf numFmtId="192" fontId="148" fillId="0" borderId="56" applyNumberFormat="0" applyFill="0" applyAlignment="0" applyProtection="0"/>
    <xf numFmtId="191" fontId="146" fillId="0" borderId="55" applyNumberFormat="0" applyFill="0" applyAlignment="0" applyProtection="0"/>
    <xf numFmtId="192" fontId="146" fillId="0" borderId="55" applyNumberFormat="0" applyFill="0" applyAlignment="0" applyProtection="0"/>
    <xf numFmtId="192" fontId="146" fillId="0" borderId="55" applyNumberFormat="0" applyFill="0" applyAlignment="0" applyProtection="0"/>
    <xf numFmtId="0" fontId="28" fillId="0" borderId="0" applyNumberFormat="0" applyFont="0" applyFill="0" applyBorder="0" applyProtection="0"/>
    <xf numFmtId="0" fontId="146" fillId="0" borderId="57" applyNumberFormat="0" applyFill="0" applyAlignment="0" applyProtection="0"/>
    <xf numFmtId="193" fontId="28" fillId="0" borderId="0" applyNumberFormat="0" applyFont="0" applyFill="0" applyBorder="0" applyProtection="0"/>
    <xf numFmtId="190" fontId="145" fillId="0" borderId="55" applyNumberFormat="0" applyFill="0" applyAlignment="0" applyProtection="0"/>
    <xf numFmtId="193" fontId="28" fillId="0" borderId="0" applyNumberFormat="0" applyFont="0" applyFill="0" applyBorder="0" applyProtection="0"/>
    <xf numFmtId="190" fontId="145"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193" fontId="28" fillId="0" borderId="0" applyNumberFormat="0" applyFont="0" applyFill="0" applyBorder="0" applyProtection="0"/>
    <xf numFmtId="191" fontId="146" fillId="0" borderId="55" applyNumberFormat="0" applyFill="0" applyAlignment="0" applyProtection="0"/>
    <xf numFmtId="0" fontId="145" fillId="0" borderId="55" applyNumberFormat="0" applyFill="0" applyAlignment="0" applyProtection="0"/>
    <xf numFmtId="0" fontId="146" fillId="0" borderId="57" applyNumberFormat="0" applyFill="0" applyAlignment="0" applyProtection="0"/>
    <xf numFmtId="191" fontId="147" fillId="0" borderId="56" applyNumberFormat="0" applyFill="0" applyAlignment="0" applyProtection="0"/>
    <xf numFmtId="0" fontId="147" fillId="0" borderId="56" applyNumberFormat="0" applyFill="0" applyAlignment="0" applyProtection="0"/>
    <xf numFmtId="0" fontId="145" fillId="0" borderId="55" applyNumberFormat="0" applyFill="0" applyAlignment="0" applyProtection="0"/>
    <xf numFmtId="0" fontId="146" fillId="0" borderId="57" applyNumberFormat="0" applyFill="0" applyAlignment="0" applyProtection="0"/>
    <xf numFmtId="0" fontId="145" fillId="0" borderId="55" applyNumberFormat="0" applyFill="0" applyAlignment="0" applyProtection="0"/>
    <xf numFmtId="0" fontId="146" fillId="0" borderId="58" applyNumberFormat="0" applyFill="0" applyAlignment="0" applyProtection="0"/>
    <xf numFmtId="193" fontId="28" fillId="0" borderId="0" applyNumberFormat="0" applyFont="0" applyFill="0" applyBorder="0" applyProtection="0"/>
    <xf numFmtId="193" fontId="28" fillId="0" borderId="0" applyNumberFormat="0" applyFont="0" applyFill="0" applyBorder="0" applyProtection="0"/>
    <xf numFmtId="190" fontId="146" fillId="0" borderId="55" applyNumberFormat="0" applyFill="0" applyAlignment="0" applyProtection="0"/>
    <xf numFmtId="193" fontId="28" fillId="0" borderId="0" applyNumberFormat="0" applyFont="0" applyFill="0" applyBorder="0" applyProtection="0"/>
    <xf numFmtId="190" fontId="146" fillId="0" borderId="55" applyNumberFormat="0" applyFill="0" applyAlignment="0" applyProtection="0"/>
    <xf numFmtId="0" fontId="148" fillId="0" borderId="56" applyNumberFormat="0" applyFill="0" applyAlignment="0" applyProtection="0"/>
    <xf numFmtId="0" fontId="146" fillId="0" borderId="55" applyNumberFormat="0" applyFill="0" applyAlignment="0" applyProtection="0"/>
    <xf numFmtId="0" fontId="146" fillId="0" borderId="58" applyNumberFormat="0" applyFill="0" applyAlignment="0" applyProtection="0"/>
    <xf numFmtId="0" fontId="28" fillId="0" borderId="0" applyNumberFormat="0" applyFont="0" applyFill="0" applyBorder="0" applyProtection="0"/>
    <xf numFmtId="190" fontId="146" fillId="0" borderId="55" applyNumberFormat="0" applyFill="0" applyAlignment="0" applyProtection="0"/>
    <xf numFmtId="0" fontId="149" fillId="0" borderId="55" applyNumberFormat="0" applyFill="0" applyAlignment="0" applyProtection="0"/>
    <xf numFmtId="189" fontId="146" fillId="0" borderId="55" applyNumberFormat="0" applyFill="0" applyAlignment="0" applyProtection="0"/>
    <xf numFmtId="0" fontId="146" fillId="0" borderId="58" applyNumberFormat="0" applyFill="0" applyAlignment="0" applyProtection="0"/>
    <xf numFmtId="190" fontId="146" fillId="0" borderId="55" applyNumberFormat="0" applyFill="0" applyAlignment="0" applyProtection="0"/>
    <xf numFmtId="0" fontId="146" fillId="0" borderId="55" applyNumberFormat="0" applyFill="0" applyAlignment="0" applyProtection="0"/>
    <xf numFmtId="0" fontId="146" fillId="0" borderId="58" applyNumberFormat="0" applyFill="0" applyAlignment="0" applyProtection="0"/>
    <xf numFmtId="0" fontId="150" fillId="0" borderId="56" applyNumberFormat="0" applyFill="0" applyAlignment="0" applyProtection="0"/>
    <xf numFmtId="0" fontId="151" fillId="0" borderId="59" applyNumberFormat="0" applyFill="0" applyAlignment="0" applyProtection="0"/>
    <xf numFmtId="0" fontId="148" fillId="0" borderId="56" applyNumberFormat="0" applyFill="0" applyAlignment="0" applyProtection="0"/>
    <xf numFmtId="0" fontId="152" fillId="0" borderId="60" applyNumberFormat="0" applyFill="0" applyAlignment="0" applyProtection="0"/>
    <xf numFmtId="0" fontId="153" fillId="0" borderId="61" applyNumberFormat="0" applyFill="0" applyAlignment="0" applyProtection="0"/>
    <xf numFmtId="0" fontId="153" fillId="0" borderId="62" applyNumberFormat="0" applyFill="0" applyAlignment="0" applyProtection="0"/>
    <xf numFmtId="0" fontId="152" fillId="0" borderId="60" applyNumberFormat="0" applyFill="0" applyAlignment="0" applyProtection="0"/>
    <xf numFmtId="189" fontId="152" fillId="0" borderId="60" applyNumberFormat="0" applyFill="0" applyAlignment="0" applyProtection="0"/>
    <xf numFmtId="0" fontId="152" fillId="0" borderId="60" applyNumberFormat="0" applyFill="0" applyAlignment="0" applyProtection="0"/>
    <xf numFmtId="193" fontId="152" fillId="0" borderId="60" applyNumberFormat="0" applyFill="0" applyAlignment="0" applyProtection="0"/>
    <xf numFmtId="190" fontId="152" fillId="0" borderId="60" applyNumberFormat="0" applyFill="0" applyAlignment="0" applyProtection="0"/>
    <xf numFmtId="0" fontId="153" fillId="0" borderId="61" applyNumberFormat="0" applyFill="0" applyAlignment="0" applyProtection="0"/>
    <xf numFmtId="0" fontId="152" fillId="0" borderId="60" applyNumberFormat="0" applyFill="0" applyAlignment="0" applyProtection="0"/>
    <xf numFmtId="191" fontId="154" fillId="0" borderId="31" applyNumberFormat="0" applyFill="0" applyAlignment="0" applyProtection="0"/>
    <xf numFmtId="190" fontId="152" fillId="0" borderId="60" applyNumberFormat="0" applyFill="0" applyAlignment="0" applyProtection="0"/>
    <xf numFmtId="0" fontId="152" fillId="0" borderId="60" applyNumberFormat="0" applyFill="0" applyAlignment="0" applyProtection="0"/>
    <xf numFmtId="189" fontId="152" fillId="0" borderId="60" applyNumberFormat="0" applyFill="0" applyAlignment="0" applyProtection="0"/>
    <xf numFmtId="193" fontId="152" fillId="0" borderId="60" applyNumberFormat="0" applyFill="0" applyAlignment="0" applyProtection="0"/>
    <xf numFmtId="190" fontId="154" fillId="0" borderId="31" applyNumberFormat="0" applyFill="0" applyAlignment="0" applyProtection="0"/>
    <xf numFmtId="190" fontId="154" fillId="0" borderId="31" applyNumberFormat="0" applyFill="0" applyAlignment="0" applyProtection="0"/>
    <xf numFmtId="0" fontId="153" fillId="0" borderId="61" applyNumberFormat="0" applyFill="0" applyAlignment="0" applyProtection="0"/>
    <xf numFmtId="0" fontId="80" fillId="0" borderId="31" applyNumberFormat="0" applyFill="0" applyAlignment="0" applyProtection="0"/>
    <xf numFmtId="0" fontId="152" fillId="0" borderId="60" applyNumberFormat="0" applyFill="0" applyAlignment="0" applyProtection="0"/>
    <xf numFmtId="191" fontId="154" fillId="0" borderId="31" applyNumberFormat="0" applyFill="0" applyAlignment="0" applyProtection="0"/>
    <xf numFmtId="0" fontId="154" fillId="0" borderId="31" applyNumberFormat="0" applyFill="0" applyAlignment="0" applyProtection="0"/>
    <xf numFmtId="192" fontId="152" fillId="0" borderId="60" applyNumberFormat="0" applyFill="0" applyAlignment="0" applyProtection="0"/>
    <xf numFmtId="191" fontId="152" fillId="0" borderId="60" applyNumberFormat="0" applyFill="0" applyAlignment="0" applyProtection="0"/>
    <xf numFmtId="192" fontId="154" fillId="0" borderId="31" applyNumberFormat="0" applyFill="0" applyAlignment="0" applyProtection="0"/>
    <xf numFmtId="191" fontId="154" fillId="0" borderId="31" applyNumberFormat="0" applyFill="0" applyAlignment="0" applyProtection="0"/>
    <xf numFmtId="192" fontId="80" fillId="0" borderId="31" applyNumberFormat="0" applyFill="0" applyAlignment="0" applyProtection="0"/>
    <xf numFmtId="191" fontId="153" fillId="0" borderId="61" applyNumberFormat="0" applyFill="0" applyAlignment="0" applyProtection="0"/>
    <xf numFmtId="192" fontId="153" fillId="0" borderId="61" applyNumberFormat="0" applyFill="0" applyAlignment="0" applyProtection="0"/>
    <xf numFmtId="192" fontId="153" fillId="0" borderId="61" applyNumberFormat="0" applyFill="0" applyAlignment="0" applyProtection="0"/>
    <xf numFmtId="0" fontId="153" fillId="0" borderId="63" applyNumberFormat="0" applyFill="0" applyAlignment="0" applyProtection="0"/>
    <xf numFmtId="0" fontId="153" fillId="0" borderId="62" applyNumberFormat="0" applyFill="0" applyAlignment="0" applyProtection="0"/>
    <xf numFmtId="193" fontId="153" fillId="0" borderId="61" applyNumberFormat="0" applyFill="0" applyAlignment="0" applyProtection="0"/>
    <xf numFmtId="190" fontId="152" fillId="0" borderId="60" applyNumberFormat="0" applyFill="0" applyAlignment="0" applyProtection="0"/>
    <xf numFmtId="193" fontId="153" fillId="0" borderId="61" applyNumberFormat="0" applyFill="0" applyAlignment="0" applyProtection="0"/>
    <xf numFmtId="190" fontId="152" fillId="0" borderId="60" applyNumberFormat="0" applyFill="0" applyAlignment="0" applyProtection="0"/>
    <xf numFmtId="0" fontId="153" fillId="0" borderId="61" applyNumberFormat="0" applyFill="0" applyAlignment="0" applyProtection="0"/>
    <xf numFmtId="0" fontId="153" fillId="0" borderId="61" applyNumberFormat="0" applyFill="0" applyAlignment="0" applyProtection="0"/>
    <xf numFmtId="193" fontId="153" fillId="0" borderId="61" applyNumberFormat="0" applyFill="0" applyAlignment="0" applyProtection="0"/>
    <xf numFmtId="191" fontId="153" fillId="0" borderId="61" applyNumberFormat="0" applyFill="0" applyAlignment="0" applyProtection="0"/>
    <xf numFmtId="0" fontId="152" fillId="0" borderId="60" applyNumberFormat="0" applyFill="0" applyAlignment="0" applyProtection="0"/>
    <xf numFmtId="0" fontId="153" fillId="0" borderId="62" applyNumberFormat="0" applyFill="0" applyAlignment="0" applyProtection="0"/>
    <xf numFmtId="191" fontId="154" fillId="0" borderId="31" applyNumberFormat="0" applyFill="0" applyAlignment="0" applyProtection="0"/>
    <xf numFmtId="0" fontId="154" fillId="0" borderId="31" applyNumberFormat="0" applyFill="0" applyAlignment="0" applyProtection="0"/>
    <xf numFmtId="0" fontId="152" fillId="0" borderId="60" applyNumberFormat="0" applyFill="0" applyAlignment="0" applyProtection="0"/>
    <xf numFmtId="0" fontId="153" fillId="0" borderId="62" applyNumberFormat="0" applyFill="0" applyAlignment="0" applyProtection="0"/>
    <xf numFmtId="0" fontId="152" fillId="0" borderId="60" applyNumberFormat="0" applyFill="0" applyAlignment="0" applyProtection="0"/>
    <xf numFmtId="0" fontId="153" fillId="0" borderId="63" applyNumberFormat="0" applyFill="0" applyAlignment="0" applyProtection="0"/>
    <xf numFmtId="190" fontId="153" fillId="0" borderId="61" applyNumberFormat="0" applyFill="0" applyAlignment="0" applyProtection="0"/>
    <xf numFmtId="190" fontId="153" fillId="0" borderId="61" applyNumberFormat="0" applyFill="0" applyAlignment="0" applyProtection="0"/>
    <xf numFmtId="0" fontId="80" fillId="0" borderId="31" applyNumberFormat="0" applyFill="0" applyAlignment="0" applyProtection="0"/>
    <xf numFmtId="0" fontId="153" fillId="0" borderId="61" applyNumberFormat="0" applyFill="0" applyAlignment="0" applyProtection="0"/>
    <xf numFmtId="0" fontId="153" fillId="0" borderId="63" applyNumberFormat="0" applyFill="0" applyAlignment="0" applyProtection="0"/>
    <xf numFmtId="190" fontId="153" fillId="0" borderId="61" applyNumberFormat="0" applyFill="0" applyAlignment="0" applyProtection="0"/>
    <xf numFmtId="0" fontId="155" fillId="0" borderId="64" applyNumberFormat="0" applyFill="0" applyAlignment="0" applyProtection="0"/>
    <xf numFmtId="189" fontId="153" fillId="0" borderId="61" applyNumberFormat="0" applyFill="0" applyAlignment="0" applyProtection="0"/>
    <xf numFmtId="0" fontId="153" fillId="0" borderId="63" applyNumberFormat="0" applyFill="0" applyAlignment="0" applyProtection="0"/>
    <xf numFmtId="190" fontId="153" fillId="0" borderId="61" applyNumberFormat="0" applyFill="0" applyAlignment="0" applyProtection="0"/>
    <xf numFmtId="0" fontId="153" fillId="0" borderId="61" applyNumberFormat="0" applyFill="0" applyAlignment="0" applyProtection="0"/>
    <xf numFmtId="0" fontId="153" fillId="0" borderId="63" applyNumberFormat="0" applyFill="0" applyAlignment="0" applyProtection="0"/>
    <xf numFmtId="0" fontId="156" fillId="0" borderId="31" applyNumberFormat="0" applyFill="0" applyAlignment="0" applyProtection="0"/>
    <xf numFmtId="0" fontId="157" fillId="0" borderId="65" applyNumberFormat="0" applyFill="0" applyAlignment="0" applyProtection="0"/>
    <xf numFmtId="0" fontId="80" fillId="0" borderId="31" applyNumberFormat="0" applyFill="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189" fontId="152" fillId="0" borderId="0" applyNumberFormat="0" applyFill="0" applyBorder="0" applyAlignment="0" applyProtection="0"/>
    <xf numFmtId="0" fontId="152" fillId="0" borderId="0" applyNumberFormat="0" applyFill="0" applyBorder="0" applyAlignment="0" applyProtection="0"/>
    <xf numFmtId="193" fontId="152" fillId="0" borderId="0" applyNumberFormat="0" applyFill="0" applyBorder="0" applyAlignment="0" applyProtection="0"/>
    <xf numFmtId="19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191" fontId="154" fillId="0" borderId="0" applyNumberFormat="0" applyFill="0" applyBorder="0" applyAlignment="0" applyProtection="0"/>
    <xf numFmtId="190" fontId="152" fillId="0" borderId="0" applyNumberFormat="0" applyFill="0" applyBorder="0" applyAlignment="0" applyProtection="0"/>
    <xf numFmtId="0" fontId="152" fillId="0" borderId="0" applyNumberFormat="0" applyFill="0" applyBorder="0" applyAlignment="0" applyProtection="0"/>
    <xf numFmtId="189" fontId="152" fillId="0" borderId="0" applyNumberFormat="0" applyFill="0" applyBorder="0" applyAlignment="0" applyProtection="0"/>
    <xf numFmtId="193" fontId="152" fillId="0" borderId="0" applyNumberFormat="0" applyFill="0" applyBorder="0" applyAlignment="0" applyProtection="0"/>
    <xf numFmtId="190" fontId="154" fillId="0" borderId="0" applyNumberFormat="0" applyFill="0" applyBorder="0" applyAlignment="0" applyProtection="0"/>
    <xf numFmtId="190" fontId="154" fillId="0" borderId="0" applyNumberFormat="0" applyFill="0" applyBorder="0" applyAlignment="0" applyProtection="0"/>
    <xf numFmtId="0" fontId="153" fillId="0" borderId="0" applyNumberFormat="0" applyFill="0" applyBorder="0" applyAlignment="0" applyProtection="0"/>
    <xf numFmtId="0" fontId="80" fillId="0" borderId="0" applyNumberFormat="0" applyFill="0" applyBorder="0" applyAlignment="0" applyProtection="0"/>
    <xf numFmtId="0" fontId="152" fillId="0" borderId="0" applyNumberFormat="0" applyFill="0" applyBorder="0" applyAlignment="0" applyProtection="0"/>
    <xf numFmtId="191" fontId="154" fillId="0" borderId="0" applyNumberFormat="0" applyFill="0" applyBorder="0" applyAlignment="0" applyProtection="0"/>
    <xf numFmtId="0" fontId="154" fillId="0" borderId="0" applyNumberFormat="0" applyFill="0" applyBorder="0" applyAlignment="0" applyProtection="0"/>
    <xf numFmtId="192" fontId="152" fillId="0" borderId="0" applyNumberFormat="0" applyFill="0" applyBorder="0" applyAlignment="0" applyProtection="0"/>
    <xf numFmtId="191" fontId="152" fillId="0" borderId="0" applyNumberFormat="0" applyFill="0" applyBorder="0" applyAlignment="0" applyProtection="0"/>
    <xf numFmtId="192" fontId="154" fillId="0" borderId="0" applyNumberFormat="0" applyFill="0" applyBorder="0" applyAlignment="0" applyProtection="0"/>
    <xf numFmtId="191" fontId="154" fillId="0" borderId="0" applyNumberFormat="0" applyFill="0" applyBorder="0" applyAlignment="0" applyProtection="0"/>
    <xf numFmtId="192" fontId="80" fillId="0" borderId="0" applyNumberFormat="0" applyFill="0" applyBorder="0" applyAlignment="0" applyProtection="0"/>
    <xf numFmtId="191" fontId="153" fillId="0" borderId="0" applyNumberFormat="0" applyFill="0" applyBorder="0" applyAlignment="0" applyProtection="0"/>
    <xf numFmtId="192" fontId="153" fillId="0" borderId="0" applyNumberFormat="0" applyFill="0" applyBorder="0" applyAlignment="0" applyProtection="0"/>
    <xf numFmtId="192" fontId="153" fillId="0" borderId="0" applyNumberFormat="0" applyFill="0" applyBorder="0" applyAlignment="0" applyProtection="0"/>
    <xf numFmtId="0" fontId="153" fillId="0" borderId="0" applyNumberFormat="0" applyFill="0" applyBorder="0" applyAlignment="0" applyProtection="0"/>
    <xf numFmtId="193" fontId="153" fillId="0" borderId="0" applyNumberFormat="0" applyFill="0" applyBorder="0" applyAlignment="0" applyProtection="0"/>
    <xf numFmtId="193" fontId="153" fillId="0" borderId="0" applyNumberFormat="0" applyFill="0" applyBorder="0" applyAlignment="0" applyProtection="0"/>
    <xf numFmtId="190" fontId="152" fillId="0" borderId="0" applyNumberFormat="0" applyFill="0" applyBorder="0" applyAlignment="0" applyProtection="0"/>
    <xf numFmtId="190" fontId="152" fillId="0" borderId="0" applyNumberFormat="0" applyFill="0" applyBorder="0" applyAlignment="0" applyProtection="0"/>
    <xf numFmtId="0" fontId="153" fillId="0" borderId="0" applyNumberFormat="0" applyFill="0" applyBorder="0" applyAlignment="0" applyProtection="0"/>
    <xf numFmtId="193" fontId="153" fillId="0" borderId="0" applyNumberFormat="0" applyFill="0" applyBorder="0" applyAlignment="0" applyProtection="0"/>
    <xf numFmtId="191"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191" fontId="154" fillId="0" borderId="0" applyNumberFormat="0" applyFill="0" applyBorder="0" applyAlignment="0" applyProtection="0"/>
    <xf numFmtId="0" fontId="154"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190" fontId="153" fillId="0" borderId="0" applyNumberFormat="0" applyFill="0" applyBorder="0" applyAlignment="0" applyProtection="0"/>
    <xf numFmtId="190" fontId="153" fillId="0" borderId="0" applyNumberFormat="0" applyFill="0" applyBorder="0" applyAlignment="0" applyProtection="0"/>
    <xf numFmtId="0" fontId="80"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190" fontId="153" fillId="0" borderId="0" applyNumberFormat="0" applyFill="0" applyBorder="0" applyAlignment="0" applyProtection="0"/>
    <xf numFmtId="0" fontId="155" fillId="0" borderId="0" applyNumberFormat="0" applyFill="0" applyBorder="0" applyAlignment="0" applyProtection="0"/>
    <xf numFmtId="189" fontId="153" fillId="0" borderId="0" applyNumberFormat="0" applyFill="0" applyBorder="0" applyAlignment="0" applyProtection="0"/>
    <xf numFmtId="0" fontId="153" fillId="0" borderId="0" applyNumberFormat="0" applyFill="0" applyBorder="0" applyAlignment="0" applyProtection="0"/>
    <xf numFmtId="190" fontId="153" fillId="0" borderId="0" applyNumberFormat="0" applyFill="0" applyBorder="0" applyAlignment="0" applyProtection="0"/>
    <xf numFmtId="0" fontId="153" fillId="0" borderId="0" applyNumberFormat="0" applyFill="0" applyBorder="0" applyAlignment="0" applyProtection="0"/>
    <xf numFmtId="0" fontId="157" fillId="0" borderId="0" applyNumberFormat="0" applyFill="0" applyBorder="0" applyAlignment="0" applyProtection="0"/>
    <xf numFmtId="0" fontId="80" fillId="0" borderId="0" applyNumberFormat="0" applyFill="0" applyBorder="0" applyAlignment="0" applyProtection="0"/>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70" fontId="13" fillId="0" borderId="0" applyFont="0" applyFill="0" applyBorder="0" applyAlignment="0" applyProtection="0">
      <alignment horizontal="center"/>
    </xf>
    <xf numFmtId="170" fontId="13" fillId="0" borderId="0" applyFont="0" applyFill="0" applyBorder="0" applyAlignment="0" applyProtection="0">
      <alignment horizontal="center"/>
    </xf>
    <xf numFmtId="193" fontId="31" fillId="0" borderId="66" applyNumberFormat="0" applyFill="0" applyAlignment="0" applyProtection="0"/>
    <xf numFmtId="193" fontId="31" fillId="0" borderId="66" applyNumberFormat="0" applyFill="0" applyAlignment="0" applyProtection="0"/>
    <xf numFmtId="190" fontId="31" fillId="0" borderId="66" applyNumberFormat="0" applyFill="0" applyAlignment="0" applyProtection="0"/>
    <xf numFmtId="190" fontId="31" fillId="0" borderId="66" applyNumberFormat="0" applyFill="0" applyAlignment="0" applyProtection="0"/>
    <xf numFmtId="0" fontId="31" fillId="0" borderId="66" applyNumberFormat="0" applyFill="0" applyAlignment="0" applyProtection="0"/>
    <xf numFmtId="0" fontId="31" fillId="0" borderId="66" applyNumberFormat="0" applyFill="0" applyAlignment="0" applyProtection="0"/>
    <xf numFmtId="193" fontId="31" fillId="0" borderId="66" applyNumberFormat="0" applyFill="0" applyAlignment="0" applyProtection="0"/>
    <xf numFmtId="191" fontId="31" fillId="0" borderId="66" applyNumberFormat="0" applyFill="0" applyAlignment="0" applyProtection="0"/>
    <xf numFmtId="192" fontId="31" fillId="0" borderId="66" applyNumberFormat="0" applyFill="0" applyAlignment="0" applyProtection="0"/>
    <xf numFmtId="191" fontId="31" fillId="0" borderId="66" applyNumberFormat="0" applyFill="0" applyAlignment="0" applyProtection="0"/>
    <xf numFmtId="0" fontId="31" fillId="0" borderId="66" applyNumberFormat="0" applyFill="0" applyAlignment="0" applyProtection="0"/>
    <xf numFmtId="189" fontId="31" fillId="0" borderId="66" applyNumberFormat="0" applyFill="0" applyAlignment="0" applyProtection="0"/>
    <xf numFmtId="39" fontId="158" fillId="0" borderId="0">
      <protection locked="0"/>
    </xf>
    <xf numFmtId="180" fontId="158" fillId="0" borderId="0"/>
    <xf numFmtId="0" fontId="15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1"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2"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1" fontId="161" fillId="0" borderId="0" applyNumberFormat="0" applyFill="0" applyBorder="0" applyAlignment="0" applyProtection="0"/>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5" fillId="32" borderId="32" applyNumberFormat="0" applyAlignment="0" applyProtection="0"/>
    <xf numFmtId="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84" fillId="32" borderId="32"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7" fontId="164" fillId="75" borderId="44" applyNumberFormat="0" applyAlignment="0" applyProtection="0"/>
    <xf numFmtId="189"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89" fontId="164" fillId="75" borderId="44" applyNumberFormat="0" applyAlignment="0" applyProtection="0"/>
    <xf numFmtId="0" fontId="163" fillId="113" borderId="45" applyNumberFormat="0" applyAlignment="0" applyProtection="0"/>
    <xf numFmtId="193" fontId="164" fillId="75" borderId="44" applyNumberFormat="0" applyAlignment="0" applyProtection="0"/>
    <xf numFmtId="19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3" fillId="113"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0" fontId="164" fillId="75" borderId="44" applyNumberFormat="0" applyAlignment="0" applyProtection="0"/>
    <xf numFmtId="193"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89"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0" fontId="164" fillId="75" borderId="44" applyNumberFormat="0" applyAlignment="0" applyProtection="0"/>
    <xf numFmtId="190" fontId="164" fillId="75" borderId="44" applyNumberFormat="0" applyAlignment="0" applyProtection="0"/>
    <xf numFmtId="193" fontId="164" fillId="75" borderId="44" applyNumberFormat="0" applyAlignment="0" applyProtection="0"/>
    <xf numFmtId="190"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1" fontId="163" fillId="113" borderId="44" applyNumberFormat="0" applyAlignment="0" applyProtection="0"/>
    <xf numFmtId="190"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2" fontId="163" fillId="113" borderId="44" applyNumberFormat="0" applyAlignment="0" applyProtection="0"/>
    <xf numFmtId="0" fontId="84" fillId="32" borderId="32" applyNumberFormat="0" applyAlignment="0" applyProtection="0"/>
    <xf numFmtId="193" fontId="164" fillId="75" borderId="44" applyNumberFormat="0" applyAlignment="0" applyProtection="0"/>
    <xf numFmtId="0" fontId="164" fillId="75" borderId="44" applyNumberFormat="0" applyAlignment="0" applyProtection="0"/>
    <xf numFmtId="191"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7" fillId="32" borderId="32" applyNumberFormat="0" applyAlignment="0" applyProtection="0"/>
    <xf numFmtId="0" fontId="164" fillId="75" borderId="44" applyNumberFormat="0" applyAlignment="0" applyProtection="0"/>
    <xf numFmtId="189" fontId="164" fillId="75" borderId="44" applyNumberFormat="0" applyAlignment="0" applyProtection="0"/>
    <xf numFmtId="191" fontId="164" fillId="75" borderId="44" applyNumberFormat="0" applyAlignment="0" applyProtection="0"/>
    <xf numFmtId="191"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2" fontId="164" fillId="75" borderId="44" applyNumberFormat="0" applyAlignment="0" applyProtection="0"/>
    <xf numFmtId="192" fontId="167" fillId="32" borderId="32" applyNumberFormat="0" applyAlignment="0" applyProtection="0"/>
    <xf numFmtId="191" fontId="167"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84" fillId="32" borderId="32" applyNumberFormat="0" applyAlignment="0" applyProtection="0"/>
    <xf numFmtId="191" fontId="163" fillId="113" borderId="44" applyNumberFormat="0" applyAlignment="0" applyProtection="0"/>
    <xf numFmtId="191"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7"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19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191"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2" fontId="163" fillId="113"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5" applyNumberFormat="0" applyAlignment="0" applyProtection="0"/>
    <xf numFmtId="191" fontId="164" fillId="75" borderId="44" applyNumberFormat="0" applyAlignment="0" applyProtection="0"/>
    <xf numFmtId="191"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7"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4" fillId="75" borderId="44" applyNumberFormat="0" applyAlignment="0" applyProtection="0"/>
    <xf numFmtId="192"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192"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1" fontId="163" fillId="113"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192" fontId="164" fillId="75" borderId="44" applyNumberFormat="0" applyAlignment="0" applyProtection="0"/>
    <xf numFmtId="189"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19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193"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191"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89"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4" fillId="75" borderId="44" applyNumberFormat="0" applyAlignment="0" applyProtection="0"/>
    <xf numFmtId="192" fontId="164" fillId="75"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1"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4" fillId="75" borderId="44" applyNumberFormat="0" applyAlignment="0" applyProtection="0"/>
    <xf numFmtId="192" fontId="164" fillId="75"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1"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7"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192" fontId="164" fillId="75" borderId="44" applyNumberFormat="0" applyAlignment="0" applyProtection="0"/>
    <xf numFmtId="0" fontId="165" fillId="32" borderId="32" applyNumberFormat="0" applyAlignment="0" applyProtection="0"/>
    <xf numFmtId="0" fontId="164" fillId="75"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5" fillId="32" borderId="32" applyNumberFormat="0" applyAlignment="0" applyProtection="0"/>
    <xf numFmtId="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211" fontId="35" fillId="0" borderId="0" applyFont="0" applyFill="0" applyBorder="0" applyAlignment="0" applyProtection="0">
      <alignment horizontal="left" indent="1"/>
    </xf>
    <xf numFmtId="0" fontId="168" fillId="0" borderId="68" applyNumberFormat="0" applyFill="0" applyAlignment="0" applyProtection="0"/>
    <xf numFmtId="0" fontId="136" fillId="0" borderId="69" applyNumberFormat="0" applyFill="0" applyAlignment="0" applyProtection="0"/>
    <xf numFmtId="0" fontId="168" fillId="0" borderId="68" applyNumberFormat="0" applyFill="0" applyAlignment="0" applyProtection="0"/>
    <xf numFmtId="189" fontId="168" fillId="0" borderId="68" applyNumberFormat="0" applyFill="0" applyAlignment="0" applyProtection="0"/>
    <xf numFmtId="0" fontId="168" fillId="0" borderId="68" applyNumberFormat="0" applyFill="0" applyAlignment="0" applyProtection="0"/>
    <xf numFmtId="193" fontId="168" fillId="0" borderId="68" applyNumberFormat="0" applyFill="0" applyAlignment="0" applyProtection="0"/>
    <xf numFmtId="190" fontId="168" fillId="0" borderId="68" applyNumberFormat="0" applyFill="0" applyAlignment="0" applyProtection="0"/>
    <xf numFmtId="0" fontId="169" fillId="0" borderId="70" applyNumberFormat="0" applyFill="0" applyAlignment="0" applyProtection="0"/>
    <xf numFmtId="0" fontId="168" fillId="0" borderId="68" applyNumberFormat="0" applyFill="0" applyAlignment="0" applyProtection="0"/>
    <xf numFmtId="191" fontId="170" fillId="0" borderId="34" applyNumberFormat="0" applyFill="0" applyAlignment="0" applyProtection="0"/>
    <xf numFmtId="190" fontId="168" fillId="0" borderId="68" applyNumberFormat="0" applyFill="0" applyAlignment="0" applyProtection="0"/>
    <xf numFmtId="0" fontId="168" fillId="0" borderId="68" applyNumberFormat="0" applyFill="0" applyAlignment="0" applyProtection="0"/>
    <xf numFmtId="189" fontId="168" fillId="0" borderId="68" applyNumberFormat="0" applyFill="0" applyAlignment="0" applyProtection="0"/>
    <xf numFmtId="193" fontId="168" fillId="0" borderId="68" applyNumberFormat="0" applyFill="0" applyAlignment="0" applyProtection="0"/>
    <xf numFmtId="190" fontId="170" fillId="0" borderId="34" applyNumberFormat="0" applyFill="0" applyAlignment="0" applyProtection="0"/>
    <xf numFmtId="190" fontId="170" fillId="0" borderId="34" applyNumberFormat="0" applyFill="0" applyAlignment="0" applyProtection="0"/>
    <xf numFmtId="0" fontId="169" fillId="0" borderId="70" applyNumberFormat="0" applyFill="0" applyAlignment="0" applyProtection="0"/>
    <xf numFmtId="0" fontId="87" fillId="0" borderId="34" applyNumberFormat="0" applyFill="0" applyAlignment="0" applyProtection="0"/>
    <xf numFmtId="0" fontId="168" fillId="0" borderId="68" applyNumberFormat="0" applyFill="0" applyAlignment="0" applyProtection="0"/>
    <xf numFmtId="191" fontId="170" fillId="0" borderId="34" applyNumberFormat="0" applyFill="0" applyAlignment="0" applyProtection="0"/>
    <xf numFmtId="0" fontId="170" fillId="0" borderId="34" applyNumberFormat="0" applyFill="0" applyAlignment="0" applyProtection="0"/>
    <xf numFmtId="192" fontId="168" fillId="0" borderId="68" applyNumberFormat="0" applyFill="0" applyAlignment="0" applyProtection="0"/>
    <xf numFmtId="191" fontId="168" fillId="0" borderId="68" applyNumberFormat="0" applyFill="0" applyAlignment="0" applyProtection="0"/>
    <xf numFmtId="192" fontId="170" fillId="0" borderId="34" applyNumberFormat="0" applyFill="0" applyAlignment="0" applyProtection="0"/>
    <xf numFmtId="191" fontId="170" fillId="0" borderId="34" applyNumberFormat="0" applyFill="0" applyAlignment="0" applyProtection="0"/>
    <xf numFmtId="192" fontId="87" fillId="0" borderId="34" applyNumberFormat="0" applyFill="0" applyAlignment="0" applyProtection="0"/>
    <xf numFmtId="191" fontId="169" fillId="0" borderId="70" applyNumberFormat="0" applyFill="0" applyAlignment="0" applyProtection="0"/>
    <xf numFmtId="192" fontId="169" fillId="0" borderId="70" applyNumberFormat="0" applyFill="0" applyAlignment="0" applyProtection="0"/>
    <xf numFmtId="192" fontId="169" fillId="0" borderId="70" applyNumberFormat="0" applyFill="0" applyAlignment="0" applyProtection="0"/>
    <xf numFmtId="0" fontId="169" fillId="0" borderId="70" applyNumberFormat="0" applyFill="0" applyAlignment="0" applyProtection="0"/>
    <xf numFmtId="0" fontId="136" fillId="0" borderId="69" applyNumberFormat="0" applyFill="0" applyAlignment="0" applyProtection="0"/>
    <xf numFmtId="193" fontId="169" fillId="0" borderId="70" applyNumberFormat="0" applyFill="0" applyAlignment="0" applyProtection="0"/>
    <xf numFmtId="190" fontId="168" fillId="0" borderId="68" applyNumberFormat="0" applyFill="0" applyAlignment="0" applyProtection="0"/>
    <xf numFmtId="193" fontId="169" fillId="0" borderId="70" applyNumberFormat="0" applyFill="0" applyAlignment="0" applyProtection="0"/>
    <xf numFmtId="190" fontId="168" fillId="0" borderId="68" applyNumberFormat="0" applyFill="0" applyAlignment="0" applyProtection="0"/>
    <xf numFmtId="0" fontId="169" fillId="0" borderId="70" applyNumberFormat="0" applyFill="0" applyAlignment="0" applyProtection="0"/>
    <xf numFmtId="0" fontId="169" fillId="0" borderId="70" applyNumberFormat="0" applyFill="0" applyAlignment="0" applyProtection="0"/>
    <xf numFmtId="193" fontId="169" fillId="0" borderId="70" applyNumberFormat="0" applyFill="0" applyAlignment="0" applyProtection="0"/>
    <xf numFmtId="191" fontId="169" fillId="0" borderId="70" applyNumberFormat="0" applyFill="0" applyAlignment="0" applyProtection="0"/>
    <xf numFmtId="0" fontId="168" fillId="0" borderId="68" applyNumberFormat="0" applyFill="0" applyAlignment="0" applyProtection="0"/>
    <xf numFmtId="0" fontId="136" fillId="0" borderId="69" applyNumberFormat="0" applyFill="0" applyAlignment="0" applyProtection="0"/>
    <xf numFmtId="191" fontId="170" fillId="0" borderId="34" applyNumberFormat="0" applyFill="0" applyAlignment="0" applyProtection="0"/>
    <xf numFmtId="0" fontId="170" fillId="0" borderId="34" applyNumberFormat="0" applyFill="0" applyAlignment="0" applyProtection="0"/>
    <xf numFmtId="0" fontId="168" fillId="0" borderId="68" applyNumberFormat="0" applyFill="0" applyAlignment="0" applyProtection="0"/>
    <xf numFmtId="0" fontId="136" fillId="0" borderId="69" applyNumberFormat="0" applyFill="0" applyAlignment="0" applyProtection="0"/>
    <xf numFmtId="0" fontId="168" fillId="0" borderId="68" applyNumberFormat="0" applyFill="0" applyAlignment="0" applyProtection="0"/>
    <xf numFmtId="0" fontId="169" fillId="0" borderId="70" applyNumberFormat="0" applyFill="0" applyAlignment="0" applyProtection="0"/>
    <xf numFmtId="190" fontId="169" fillId="0" borderId="70" applyNumberFormat="0" applyFill="0" applyAlignment="0" applyProtection="0"/>
    <xf numFmtId="190" fontId="169" fillId="0" borderId="70" applyNumberFormat="0" applyFill="0" applyAlignment="0" applyProtection="0"/>
    <xf numFmtId="0" fontId="87" fillId="0" borderId="34" applyNumberFormat="0" applyFill="0" applyAlignment="0" applyProtection="0"/>
    <xf numFmtId="0" fontId="169" fillId="0" borderId="70" applyNumberFormat="0" applyFill="0" applyAlignment="0" applyProtection="0"/>
    <xf numFmtId="0" fontId="169" fillId="0" borderId="70" applyNumberFormat="0" applyFill="0" applyAlignment="0" applyProtection="0"/>
    <xf numFmtId="190" fontId="169" fillId="0" borderId="70" applyNumberFormat="0" applyFill="0" applyAlignment="0" applyProtection="0"/>
    <xf numFmtId="0" fontId="168" fillId="0" borderId="68" applyNumberFormat="0" applyFill="0" applyAlignment="0" applyProtection="0"/>
    <xf numFmtId="189" fontId="169" fillId="0" borderId="70" applyNumberFormat="0" applyFill="0" applyAlignment="0" applyProtection="0"/>
    <xf numFmtId="0" fontId="169" fillId="0" borderId="70" applyNumberFormat="0" applyFill="0" applyAlignment="0" applyProtection="0"/>
    <xf numFmtId="190" fontId="169" fillId="0" borderId="70" applyNumberFormat="0" applyFill="0" applyAlignment="0" applyProtection="0"/>
    <xf numFmtId="0" fontId="169" fillId="0" borderId="70" applyNumberFormat="0" applyFill="0" applyAlignment="0" applyProtection="0"/>
    <xf numFmtId="0" fontId="169" fillId="0" borderId="70" applyNumberFormat="0" applyFill="0" applyAlignment="0" applyProtection="0"/>
    <xf numFmtId="0" fontId="171" fillId="0" borderId="34" applyNumberFormat="0" applyFill="0" applyAlignment="0" applyProtection="0"/>
    <xf numFmtId="0" fontId="172" fillId="0" borderId="71" applyNumberFormat="0" applyFill="0" applyAlignment="0" applyProtection="0"/>
    <xf numFmtId="0" fontId="87" fillId="0" borderId="34" applyNumberFormat="0" applyFill="0" applyAlignment="0" applyProtection="0"/>
    <xf numFmtId="212" fontId="13" fillId="0" borderId="0" applyFont="0" applyFill="0" applyBorder="0" applyAlignment="0" applyProtection="0"/>
    <xf numFmtId="213" fontId="13" fillId="0" borderId="0" applyFont="0" applyFill="0" applyBorder="0" applyAlignment="0" applyProtection="0"/>
    <xf numFmtId="21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8" fillId="0" borderId="0"/>
    <xf numFmtId="0" fontId="13" fillId="0" borderId="1"/>
    <xf numFmtId="0" fontId="173" fillId="113" borderId="0" applyNumberFormat="0" applyBorder="0" applyAlignment="0" applyProtection="0"/>
    <xf numFmtId="0" fontId="136" fillId="113" borderId="0" applyNumberFormat="0" applyBorder="0" applyAlignment="0" applyProtection="0"/>
    <xf numFmtId="0" fontId="173" fillId="81" borderId="0" applyNumberFormat="0" applyBorder="0" applyAlignment="0" applyProtection="0"/>
    <xf numFmtId="189" fontId="173" fillId="81" borderId="0" applyNumberFormat="0" applyBorder="0" applyAlignment="0" applyProtection="0"/>
    <xf numFmtId="0" fontId="83" fillId="31" borderId="0" applyNumberFormat="0" applyBorder="0" applyAlignment="0" applyProtection="0"/>
    <xf numFmtId="193" fontId="173" fillId="81" borderId="0" applyNumberFormat="0" applyBorder="0" applyAlignment="0" applyProtection="0"/>
    <xf numFmtId="190" fontId="173" fillId="81" borderId="0" applyNumberFormat="0" applyBorder="0" applyAlignment="0" applyProtection="0"/>
    <xf numFmtId="0" fontId="173" fillId="113" borderId="0" applyNumberFormat="0" applyBorder="0" applyAlignment="0" applyProtection="0"/>
    <xf numFmtId="0" fontId="173" fillId="81" borderId="0" applyNumberFormat="0" applyBorder="0" applyAlignment="0" applyProtection="0"/>
    <xf numFmtId="191" fontId="174" fillId="31" borderId="0" applyNumberFormat="0" applyBorder="0" applyAlignment="0" applyProtection="0"/>
    <xf numFmtId="190" fontId="173" fillId="81" borderId="0" applyNumberFormat="0" applyBorder="0" applyAlignment="0" applyProtection="0"/>
    <xf numFmtId="0" fontId="173" fillId="81" borderId="0" applyNumberFormat="0" applyBorder="0" applyAlignment="0" applyProtection="0"/>
    <xf numFmtId="189" fontId="173" fillId="81" borderId="0" applyNumberFormat="0" applyBorder="0" applyAlignment="0" applyProtection="0"/>
    <xf numFmtId="0" fontId="173" fillId="81" borderId="0" applyNumberFormat="0" applyBorder="0" applyAlignment="0" applyProtection="0"/>
    <xf numFmtId="190" fontId="174" fillId="31" borderId="0" applyNumberFormat="0" applyBorder="0" applyAlignment="0" applyProtection="0"/>
    <xf numFmtId="190" fontId="174" fillId="31" borderId="0" applyNumberFormat="0" applyBorder="0" applyAlignment="0" applyProtection="0"/>
    <xf numFmtId="0" fontId="173" fillId="113" borderId="0" applyNumberFormat="0" applyBorder="0" applyAlignment="0" applyProtection="0"/>
    <xf numFmtId="0" fontId="83" fillId="31" borderId="0" applyNumberFormat="0" applyBorder="0" applyAlignment="0" applyProtection="0"/>
    <xf numFmtId="0" fontId="173" fillId="81" borderId="0" applyNumberFormat="0" applyBorder="0" applyAlignment="0" applyProtection="0"/>
    <xf numFmtId="191" fontId="174" fillId="31" borderId="0" applyNumberFormat="0" applyBorder="0" applyAlignment="0" applyProtection="0"/>
    <xf numFmtId="0" fontId="174" fillId="31" borderId="0" applyNumberFormat="0" applyBorder="0" applyAlignment="0" applyProtection="0"/>
    <xf numFmtId="192" fontId="173" fillId="81" borderId="0" applyNumberFormat="0" applyBorder="0" applyAlignment="0" applyProtection="0"/>
    <xf numFmtId="191" fontId="173" fillId="81" borderId="0" applyNumberFormat="0" applyBorder="0" applyAlignment="0" applyProtection="0"/>
    <xf numFmtId="192" fontId="174" fillId="31" borderId="0" applyNumberFormat="0" applyBorder="0" applyAlignment="0" applyProtection="0"/>
    <xf numFmtId="191" fontId="174" fillId="31" borderId="0" applyNumberFormat="0" applyBorder="0" applyAlignment="0" applyProtection="0"/>
    <xf numFmtId="192" fontId="83" fillId="31" borderId="0" applyNumberFormat="0" applyBorder="0" applyAlignment="0" applyProtection="0"/>
    <xf numFmtId="191" fontId="173" fillId="113" borderId="0" applyNumberFormat="0" applyBorder="0" applyAlignment="0" applyProtection="0"/>
    <xf numFmtId="192" fontId="173" fillId="113" borderId="0" applyNumberFormat="0" applyBorder="0" applyAlignment="0" applyProtection="0"/>
    <xf numFmtId="192" fontId="173" fillId="113" borderId="0" applyNumberFormat="0" applyBorder="0" applyAlignment="0" applyProtection="0"/>
    <xf numFmtId="0" fontId="173" fillId="81" borderId="0" applyNumberFormat="0" applyBorder="0" applyAlignment="0" applyProtection="0"/>
    <xf numFmtId="0" fontId="136" fillId="113" borderId="0" applyNumberFormat="0" applyBorder="0" applyAlignment="0" applyProtection="0"/>
    <xf numFmtId="193" fontId="173" fillId="113" borderId="0" applyNumberFormat="0" applyBorder="0" applyAlignment="0" applyProtection="0"/>
    <xf numFmtId="190" fontId="173" fillId="81" borderId="0" applyNumberFormat="0" applyBorder="0" applyAlignment="0" applyProtection="0"/>
    <xf numFmtId="193" fontId="173" fillId="113" borderId="0" applyNumberFormat="0" applyBorder="0" applyAlignment="0" applyProtection="0"/>
    <xf numFmtId="190" fontId="173" fillId="81" borderId="0" applyNumberFormat="0" applyBorder="0" applyAlignment="0" applyProtection="0"/>
    <xf numFmtId="0" fontId="173" fillId="113" borderId="0" applyNumberFormat="0" applyBorder="0" applyAlignment="0" applyProtection="0"/>
    <xf numFmtId="0" fontId="173" fillId="113" borderId="0" applyNumberFormat="0" applyBorder="0" applyAlignment="0" applyProtection="0"/>
    <xf numFmtId="193" fontId="173" fillId="113" borderId="0" applyNumberFormat="0" applyBorder="0" applyAlignment="0" applyProtection="0"/>
    <xf numFmtId="191" fontId="173" fillId="113" borderId="0" applyNumberFormat="0" applyBorder="0" applyAlignment="0" applyProtection="0"/>
    <xf numFmtId="0" fontId="173" fillId="81" borderId="0" applyNumberFormat="0" applyBorder="0" applyAlignment="0" applyProtection="0"/>
    <xf numFmtId="0" fontId="136" fillId="113" borderId="0" applyNumberFormat="0" applyBorder="0" applyAlignment="0" applyProtection="0"/>
    <xf numFmtId="191" fontId="174" fillId="31" borderId="0" applyNumberFormat="0" applyBorder="0" applyAlignment="0" applyProtection="0"/>
    <xf numFmtId="0" fontId="174" fillId="31" borderId="0" applyNumberFormat="0" applyBorder="0" applyAlignment="0" applyProtection="0"/>
    <xf numFmtId="0" fontId="173" fillId="81" borderId="0" applyNumberFormat="0" applyBorder="0" applyAlignment="0" applyProtection="0"/>
    <xf numFmtId="0" fontId="136" fillId="113" borderId="0" applyNumberFormat="0" applyBorder="0" applyAlignment="0" applyProtection="0"/>
    <xf numFmtId="0" fontId="173" fillId="81" borderId="0" applyNumberFormat="0" applyBorder="0" applyAlignment="0" applyProtection="0"/>
    <xf numFmtId="0" fontId="173" fillId="81" borderId="0" applyNumberFormat="0" applyBorder="0" applyAlignment="0" applyProtection="0"/>
    <xf numFmtId="190" fontId="173" fillId="113" borderId="0" applyNumberFormat="0" applyBorder="0" applyAlignment="0" applyProtection="0"/>
    <xf numFmtId="190" fontId="173" fillId="113" borderId="0" applyNumberFormat="0" applyBorder="0" applyAlignment="0" applyProtection="0"/>
    <xf numFmtId="0" fontId="83" fillId="31" borderId="0" applyNumberFormat="0" applyBorder="0" applyAlignment="0" applyProtection="0"/>
    <xf numFmtId="0" fontId="173" fillId="113" borderId="0" applyNumberFormat="0" applyBorder="0" applyAlignment="0" applyProtection="0"/>
    <xf numFmtId="0" fontId="173" fillId="81" borderId="0" applyNumberFormat="0" applyBorder="0" applyAlignment="0" applyProtection="0"/>
    <xf numFmtId="190" fontId="173" fillId="113" borderId="0" applyNumberFormat="0" applyBorder="0" applyAlignment="0" applyProtection="0"/>
    <xf numFmtId="0" fontId="173" fillId="81" borderId="0" applyNumberFormat="0" applyBorder="0" applyAlignment="0" applyProtection="0"/>
    <xf numFmtId="189" fontId="173" fillId="113" borderId="0" applyNumberFormat="0" applyBorder="0" applyAlignment="0" applyProtection="0"/>
    <xf numFmtId="0" fontId="173" fillId="81" borderId="0" applyNumberFormat="0" applyBorder="0" applyAlignment="0" applyProtection="0"/>
    <xf numFmtId="190" fontId="173" fillId="113" borderId="0" applyNumberFormat="0" applyBorder="0" applyAlignment="0" applyProtection="0"/>
    <xf numFmtId="0" fontId="173" fillId="113" borderId="0" applyNumberFormat="0" applyBorder="0" applyAlignment="0" applyProtection="0"/>
    <xf numFmtId="0" fontId="173" fillId="81" borderId="0" applyNumberFormat="0" applyBorder="0" applyAlignment="0" applyProtection="0"/>
    <xf numFmtId="0" fontId="175" fillId="31" borderId="0" applyNumberFormat="0" applyBorder="0" applyAlignment="0" applyProtection="0"/>
    <xf numFmtId="0" fontId="83" fillId="31" borderId="0" applyNumberFormat="0" applyBorder="0" applyAlignment="0" applyProtection="0"/>
    <xf numFmtId="0" fontId="173" fillId="81" borderId="0" applyNumberFormat="0" applyBorder="0" applyAlignment="0" applyProtection="0"/>
    <xf numFmtId="215" fontId="13" fillId="0" borderId="0"/>
    <xf numFmtId="169" fontId="33" fillId="0" borderId="0"/>
    <xf numFmtId="215" fontId="13" fillId="0" borderId="0"/>
    <xf numFmtId="215" fontId="13" fillId="0" borderId="0"/>
    <xf numFmtId="215" fontId="13" fillId="0" borderId="0"/>
    <xf numFmtId="216" fontId="110" fillId="0" borderId="0"/>
    <xf numFmtId="215" fontId="13" fillId="0" borderId="0"/>
    <xf numFmtId="169" fontId="33" fillId="0" borderId="0"/>
    <xf numFmtId="169" fontId="33" fillId="0" borderId="0"/>
    <xf numFmtId="216" fontId="110" fillId="0" borderId="0"/>
    <xf numFmtId="21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193" fontId="13" fillId="0" borderId="0"/>
    <xf numFmtId="193" fontId="13" fillId="0" borderId="0"/>
    <xf numFmtId="197" fontId="13" fillId="0" borderId="0"/>
    <xf numFmtId="190" fontId="13" fillId="0" borderId="0"/>
    <xf numFmtId="0" fontId="13" fillId="0" borderId="0"/>
    <xf numFmtId="190" fontId="13" fillId="0" borderId="0"/>
    <xf numFmtId="0" fontId="13" fillId="0" borderId="0"/>
    <xf numFmtId="0" fontId="7" fillId="0" borderId="0"/>
    <xf numFmtId="0" fontId="7" fillId="0" borderId="0"/>
    <xf numFmtId="192" fontId="13" fillId="0" borderId="0"/>
    <xf numFmtId="0" fontId="7" fillId="0" borderId="0"/>
    <xf numFmtId="0" fontId="7" fillId="0" borderId="0"/>
    <xf numFmtId="189" fontId="13" fillId="0" borderId="0"/>
    <xf numFmtId="0" fontId="7" fillId="0" borderId="0"/>
    <xf numFmtId="0" fontId="13" fillId="0" borderId="0"/>
    <xf numFmtId="0" fontId="13" fillId="0" borderId="0"/>
    <xf numFmtId="0" fontId="13" fillId="0" borderId="0"/>
    <xf numFmtId="0" fontId="13" fillId="0" borderId="0"/>
    <xf numFmtId="190" fontId="13" fillId="0" borderId="0"/>
    <xf numFmtId="0" fontId="13" fillId="0" borderId="0"/>
    <xf numFmtId="0" fontId="13"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191" fontId="125"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192"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192" fontId="13" fillId="0" borderId="0"/>
    <xf numFmtId="0" fontId="128" fillId="0" borderId="0"/>
    <xf numFmtId="0" fontId="7" fillId="0" borderId="0"/>
    <xf numFmtId="193" fontId="13" fillId="0" borderId="0"/>
    <xf numFmtId="193" fontId="13" fillId="0" borderId="0"/>
    <xf numFmtId="0" fontId="7" fillId="0" borderId="0"/>
    <xf numFmtId="0" fontId="7" fillId="0" borderId="0"/>
    <xf numFmtId="193" fontId="13" fillId="0" borderId="0"/>
    <xf numFmtId="0" fontId="7" fillId="0" borderId="0"/>
    <xf numFmtId="0" fontId="105" fillId="0" borderId="0"/>
    <xf numFmtId="192" fontId="13" fillId="0" borderId="0"/>
    <xf numFmtId="0" fontId="13" fillId="0" borderId="0"/>
    <xf numFmtId="0" fontId="105" fillId="0" borderId="0"/>
    <xf numFmtId="0" fontId="128" fillId="0" borderId="0"/>
    <xf numFmtId="0" fontId="7" fillId="0" borderId="0"/>
    <xf numFmtId="193" fontId="13" fillId="0" borderId="0"/>
    <xf numFmtId="193" fontId="13" fillId="0" borderId="0"/>
    <xf numFmtId="0" fontId="7" fillId="0" borderId="0"/>
    <xf numFmtId="0" fontId="7" fillId="0" borderId="0"/>
    <xf numFmtId="0" fontId="13" fillId="0" borderId="0"/>
    <xf numFmtId="193" fontId="13" fillId="0" borderId="0"/>
    <xf numFmtId="0" fontId="7" fillId="0" borderId="0"/>
    <xf numFmtId="0" fontId="105" fillId="0" borderId="0"/>
    <xf numFmtId="0" fontId="7" fillId="0" borderId="0"/>
    <xf numFmtId="0" fontId="13" fillId="0" borderId="0"/>
    <xf numFmtId="192" fontId="13" fillId="0" borderId="0"/>
    <xf numFmtId="0" fontId="105" fillId="0" borderId="0"/>
    <xf numFmtId="0" fontId="128" fillId="0" borderId="0"/>
    <xf numFmtId="0" fontId="7" fillId="0" borderId="0"/>
    <xf numFmtId="193" fontId="13" fillId="0" borderId="0"/>
    <xf numFmtId="193" fontId="13" fillId="0" borderId="0"/>
    <xf numFmtId="0" fontId="7" fillId="0" borderId="0"/>
    <xf numFmtId="0" fontId="7" fillId="0" borderId="0"/>
    <xf numFmtId="0" fontId="105" fillId="0" borderId="0"/>
    <xf numFmtId="0" fontId="105" fillId="0" borderId="0"/>
    <xf numFmtId="193" fontId="13" fillId="0" borderId="0"/>
    <xf numFmtId="0" fontId="7" fillId="0" borderId="0"/>
    <xf numFmtId="0" fontId="105" fillId="0" borderId="0"/>
    <xf numFmtId="0" fontId="7" fillId="0" borderId="0"/>
    <xf numFmtId="0" fontId="13" fillId="0" borderId="0"/>
    <xf numFmtId="192" fontId="13" fillId="0" borderId="0"/>
    <xf numFmtId="0" fontId="105" fillId="0" borderId="0"/>
    <xf numFmtId="0" fontId="13" fillId="0" borderId="0"/>
    <xf numFmtId="0" fontId="128" fillId="0" borderId="0"/>
    <xf numFmtId="0" fontId="7" fillId="0" borderId="0"/>
    <xf numFmtId="193" fontId="13" fillId="0" borderId="0"/>
    <xf numFmtId="193" fontId="13" fillId="0" borderId="0"/>
    <xf numFmtId="0" fontId="7" fillId="0" borderId="0"/>
    <xf numFmtId="0" fontId="7" fillId="0" borderId="0"/>
    <xf numFmtId="193" fontId="13" fillId="0" borderId="0"/>
    <xf numFmtId="0" fontId="7" fillId="0" borderId="0"/>
    <xf numFmtId="0" fontId="105" fillId="0" borderId="0"/>
    <xf numFmtId="0" fontId="7" fillId="0" borderId="0"/>
    <xf numFmtId="0" fontId="13" fillId="0" borderId="0"/>
    <xf numFmtId="192" fontId="13" fillId="0" borderId="0"/>
    <xf numFmtId="0" fontId="105" fillId="0" borderId="0"/>
    <xf numFmtId="0" fontId="13" fillId="0" borderId="0"/>
    <xf numFmtId="0" fontId="128" fillId="0" borderId="0"/>
    <xf numFmtId="0" fontId="7" fillId="0" borderId="0"/>
    <xf numFmtId="0" fontId="7" fillId="0" borderId="0"/>
    <xf numFmtId="0" fontId="128" fillId="0" borderId="0"/>
    <xf numFmtId="0" fontId="7" fillId="0" borderId="0"/>
    <xf numFmtId="0" fontId="7"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0" fontId="7" fillId="0" borderId="0"/>
    <xf numFmtId="193" fontId="105" fillId="0" borderId="0"/>
    <xf numFmtId="193" fontId="105" fillId="0" borderId="0"/>
    <xf numFmtId="193" fontId="105" fillId="0" borderId="0"/>
    <xf numFmtId="0" fontId="7" fillId="0" borderId="0"/>
    <xf numFmtId="193" fontId="105" fillId="0" borderId="0"/>
    <xf numFmtId="193" fontId="105" fillId="0" borderId="0"/>
    <xf numFmtId="0" fontId="7" fillId="0" borderId="0"/>
    <xf numFmtId="193"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193" fontId="13" fillId="0" borderId="0"/>
    <xf numFmtId="0" fontId="7" fillId="0" borderId="0"/>
    <xf numFmtId="0" fontId="7" fillId="0" borderId="0"/>
    <xf numFmtId="193" fontId="13" fillId="0" borderId="0"/>
    <xf numFmtId="0" fontId="7" fillId="0" borderId="0"/>
    <xf numFmtId="193" fontId="13" fillId="0" borderId="0"/>
    <xf numFmtId="0" fontId="7" fillId="0" borderId="0"/>
    <xf numFmtId="0" fontId="13" fillId="0" borderId="0"/>
    <xf numFmtId="192" fontId="13" fillId="0" borderId="0"/>
    <xf numFmtId="0" fontId="13" fillId="0" borderId="0"/>
    <xf numFmtId="0" fontId="128" fillId="0" borderId="0"/>
    <xf numFmtId="0" fontId="7" fillId="0" borderId="0"/>
    <xf numFmtId="193" fontId="105" fillId="0" borderId="0"/>
    <xf numFmtId="0" fontId="7" fillId="0" borderId="0"/>
    <xf numFmtId="0" fontId="7" fillId="0" borderId="0"/>
    <xf numFmtId="193" fontId="105" fillId="0" borderId="0"/>
    <xf numFmtId="0" fontId="7" fillId="0" borderId="0"/>
    <xf numFmtId="0" fontId="105" fillId="0" borderId="0"/>
    <xf numFmtId="0" fontId="7" fillId="0" borderId="0"/>
    <xf numFmtId="0" fontId="13" fillId="0" borderId="0"/>
    <xf numFmtId="192" fontId="13" fillId="0" borderId="0"/>
    <xf numFmtId="0" fontId="13" fillId="0" borderId="0"/>
    <xf numFmtId="0" fontId="128" fillId="0" borderId="0"/>
    <xf numFmtId="0"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105" fillId="0" borderId="0"/>
    <xf numFmtId="0" fontId="7" fillId="0" borderId="0"/>
    <xf numFmtId="0" fontId="13" fillId="0" borderId="0"/>
    <xf numFmtId="192" fontId="13" fillId="0" borderId="0"/>
    <xf numFmtId="0" fontId="13" fillId="0" borderId="0"/>
    <xf numFmtId="0" fontId="128" fillId="0" borderId="0"/>
    <xf numFmtId="0" fontId="127" fillId="0" borderId="0"/>
    <xf numFmtId="192" fontId="7" fillId="0" borderId="0"/>
    <xf numFmtId="191" fontId="7" fillId="0" borderId="0"/>
    <xf numFmtId="192" fontId="7" fillId="0" borderId="0"/>
    <xf numFmtId="0" fontId="13" fillId="0" borderId="0"/>
    <xf numFmtId="191" fontId="7" fillId="0" borderId="0"/>
    <xf numFmtId="192" fontId="7" fillId="0" borderId="0"/>
    <xf numFmtId="192" fontId="13" fillId="0" borderId="0"/>
    <xf numFmtId="0" fontId="13" fillId="0" borderId="0"/>
    <xf numFmtId="189" fontId="13"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7" fillId="0" borderId="0"/>
    <xf numFmtId="0" fontId="13" fillId="0" borderId="0"/>
    <xf numFmtId="0" fontId="7" fillId="0" borderId="0"/>
    <xf numFmtId="0" fontId="7" fillId="0" borderId="0"/>
    <xf numFmtId="0" fontId="13"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2"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0" fontId="35"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0"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13" fillId="0" borderId="0"/>
    <xf numFmtId="0" fontId="13" fillId="0" borderId="0"/>
    <xf numFmtId="192" fontId="7" fillId="0" borderId="0"/>
    <xf numFmtId="191" fontId="7" fillId="0" borderId="0"/>
    <xf numFmtId="192" fontId="7" fillId="0" borderId="0"/>
    <xf numFmtId="0" fontId="13" fillId="0" borderId="0"/>
    <xf numFmtId="192" fontId="7" fillId="0" borderId="0"/>
    <xf numFmtId="0" fontId="7" fillId="0" borderId="0"/>
    <xf numFmtId="191" fontId="7" fillId="0" borderId="0"/>
    <xf numFmtId="0" fontId="64" fillId="0" borderId="0"/>
    <xf numFmtId="192"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191"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05" fillId="0" borderId="0"/>
    <xf numFmtId="0" fontId="26" fillId="127" borderId="0"/>
    <xf numFmtId="192" fontId="7" fillId="0" borderId="0"/>
    <xf numFmtId="191" fontId="7" fillId="0" borderId="0"/>
    <xf numFmtId="192" fontId="7" fillId="0" borderId="0"/>
    <xf numFmtId="0" fontId="7" fillId="0" borderId="0"/>
    <xf numFmtId="192" fontId="7" fillId="0" borderId="0"/>
    <xf numFmtId="191" fontId="7" fillId="0" borderId="0"/>
    <xf numFmtId="192" fontId="7" fillId="0" borderId="0"/>
    <xf numFmtId="0" fontId="35" fillId="0" borderId="0"/>
    <xf numFmtId="0" fontId="26" fillId="127" borderId="0"/>
    <xf numFmtId="192" fontId="7" fillId="0" borderId="0"/>
    <xf numFmtId="191" fontId="7" fillId="0" borderId="0"/>
    <xf numFmtId="192" fontId="7" fillId="0" borderId="0"/>
    <xf numFmtId="0" fontId="7" fillId="0" borderId="0"/>
    <xf numFmtId="192" fontId="7" fillId="0" borderId="0"/>
    <xf numFmtId="191" fontId="7" fillId="0" borderId="0"/>
    <xf numFmtId="192" fontId="7" fillId="0" borderId="0"/>
    <xf numFmtId="0" fontId="7" fillId="0" borderId="0"/>
    <xf numFmtId="0" fontId="7" fillId="0" borderId="0"/>
    <xf numFmtId="192" fontId="7" fillId="0" borderId="0"/>
    <xf numFmtId="191" fontId="7" fillId="0" borderId="0"/>
    <xf numFmtId="192" fontId="7" fillId="0" borderId="0"/>
    <xf numFmtId="192" fontId="7" fillId="0" borderId="0"/>
    <xf numFmtId="191" fontId="7" fillId="0" borderId="0"/>
    <xf numFmtId="192" fontId="7" fillId="0" borderId="0"/>
    <xf numFmtId="0" fontId="127" fillId="0" borderId="0"/>
    <xf numFmtId="0" fontId="7" fillId="0" borderId="0"/>
    <xf numFmtId="192" fontId="7" fillId="0" borderId="0"/>
    <xf numFmtId="191" fontId="7" fillId="0" borderId="0"/>
    <xf numFmtId="192" fontId="7" fillId="0" borderId="0"/>
    <xf numFmtId="0" fontId="127" fillId="0" borderId="0"/>
    <xf numFmtId="192" fontId="13" fillId="0" borderId="0"/>
    <xf numFmtId="0" fontId="7" fillId="0" borderId="0"/>
    <xf numFmtId="191" fontId="13" fillId="0" borderId="0"/>
    <xf numFmtId="192" fontId="13" fillId="0" borderId="0"/>
    <xf numFmtId="0" fontId="63" fillId="0" borderId="0"/>
    <xf numFmtId="0" fontId="7" fillId="0" borderId="0"/>
    <xf numFmtId="0" fontId="128"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13" fillId="0" borderId="0"/>
    <xf numFmtId="192" fontId="13"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13" fillId="0" borderId="0"/>
    <xf numFmtId="0" fontId="7" fillId="0" borderId="0"/>
    <xf numFmtId="0" fontId="7" fillId="0" borderId="0"/>
    <xf numFmtId="0" fontId="13" fillId="0" borderId="0"/>
    <xf numFmtId="0" fontId="7" fillId="0" borderId="0"/>
    <xf numFmtId="193" fontId="13" fillId="0" borderId="0"/>
    <xf numFmtId="0" fontId="7" fillId="0" borderId="0"/>
    <xf numFmtId="192" fontId="13" fillId="0" borderId="0"/>
    <xf numFmtId="0" fontId="13" fillId="0" borderId="0"/>
    <xf numFmtId="0" fontId="128" fillId="0" borderId="0"/>
    <xf numFmtId="0" fontId="13" fillId="0" borderId="0"/>
    <xf numFmtId="193" fontId="13" fillId="0" borderId="0"/>
    <xf numFmtId="0" fontId="7" fillId="0" borderId="0"/>
    <xf numFmtId="0" fontId="7" fillId="0" borderId="0"/>
    <xf numFmtId="0" fontId="13" fillId="0" borderId="0"/>
    <xf numFmtId="0" fontId="7" fillId="0" borderId="0"/>
    <xf numFmtId="193" fontId="13" fillId="0" borderId="0"/>
    <xf numFmtId="0" fontId="7" fillId="0" borderId="0"/>
    <xf numFmtId="192" fontId="13" fillId="0" borderId="0"/>
    <xf numFmtId="0" fontId="128" fillId="0" borderId="0"/>
    <xf numFmtId="0" fontId="65" fillId="0" borderId="0"/>
    <xf numFmtId="193" fontId="13" fillId="0" borderId="0"/>
    <xf numFmtId="0" fontId="7" fillId="0" borderId="0"/>
    <xf numFmtId="0" fontId="7" fillId="0" borderId="0"/>
    <xf numFmtId="0" fontId="13" fillId="0" borderId="0"/>
    <xf numFmtId="0" fontId="7" fillId="0" borderId="0"/>
    <xf numFmtId="193" fontId="13" fillId="0" borderId="0"/>
    <xf numFmtId="0" fontId="7" fillId="0" borderId="0"/>
    <xf numFmtId="192" fontId="13" fillId="0" borderId="0"/>
    <xf numFmtId="0" fontId="128"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28" fillId="0" borderId="0"/>
    <xf numFmtId="193"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28" fillId="0" borderId="0"/>
    <xf numFmtId="193" fontId="13" fillId="0" borderId="0"/>
    <xf numFmtId="193" fontId="13" fillId="0" borderId="0"/>
    <xf numFmtId="0" fontId="7" fillId="0" borderId="0"/>
    <xf numFmtId="0" fontId="7" fillId="0" borderId="0"/>
    <xf numFmtId="0" fontId="13" fillId="0" borderId="0"/>
    <xf numFmtId="0" fontId="13" fillId="0" borderId="0"/>
    <xf numFmtId="0" fontId="7" fillId="0" borderId="0"/>
    <xf numFmtId="0" fontId="128" fillId="0" borderId="0"/>
    <xf numFmtId="193" fontId="13" fillId="0" borderId="0"/>
    <xf numFmtId="193" fontId="13" fillId="0" borderId="0"/>
    <xf numFmtId="0" fontId="7" fillId="0" borderId="0"/>
    <xf numFmtId="0" fontId="13" fillId="0" borderId="0"/>
    <xf numFmtId="0" fontId="7" fillId="0" borderId="0"/>
    <xf numFmtId="0" fontId="13" fillId="0" borderId="0"/>
    <xf numFmtId="0" fontId="13" fillId="0" borderId="0"/>
    <xf numFmtId="0" fontId="7" fillId="0" borderId="0"/>
    <xf numFmtId="0" fontId="128" fillId="0" borderId="0"/>
    <xf numFmtId="193"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28"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13" fillId="0" borderId="0"/>
    <xf numFmtId="0"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128" fillId="0" borderId="0"/>
    <xf numFmtId="193" fontId="7" fillId="0" borderId="0"/>
    <xf numFmtId="0" fontId="13" fillId="0" borderId="0"/>
    <xf numFmtId="0" fontId="64"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8" fillId="0" borderId="0"/>
    <xf numFmtId="0" fontId="7" fillId="0" borderId="0"/>
    <xf numFmtId="190" fontId="13" fillId="0" borderId="0"/>
    <xf numFmtId="0"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1"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0" fontId="3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05" fillId="0" borderId="0"/>
    <xf numFmtId="0" fontId="7" fillId="0" borderId="0"/>
    <xf numFmtId="0" fontId="7" fillId="0" borderId="0"/>
    <xf numFmtId="0" fontId="13"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05" fillId="0" borderId="0"/>
    <xf numFmtId="0" fontId="7" fillId="0" borderId="0"/>
    <xf numFmtId="0"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0" fontId="13" fillId="0" borderId="0"/>
    <xf numFmtId="0" fontId="3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26" fillId="127" borderId="0"/>
    <xf numFmtId="0"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28"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128" fillId="0" borderId="0"/>
    <xf numFmtId="0" fontId="13" fillId="0" borderId="0"/>
    <xf numFmtId="0" fontId="7" fillId="0" borderId="0"/>
    <xf numFmtId="0" fontId="7" fillId="0" borderId="0"/>
    <xf numFmtId="0" fontId="7" fillId="0" borderId="0"/>
    <xf numFmtId="0" fontId="7" fillId="0" borderId="0"/>
    <xf numFmtId="0" fontId="128" fillId="0" borderId="0"/>
    <xf numFmtId="0" fontId="13" fillId="0" borderId="0"/>
    <xf numFmtId="0" fontId="7" fillId="0" borderId="0"/>
    <xf numFmtId="0" fontId="7" fillId="0" borderId="0"/>
    <xf numFmtId="0" fontId="7" fillId="0" borderId="0"/>
    <xf numFmtId="0" fontId="7" fillId="0" borderId="0"/>
    <xf numFmtId="0" fontId="128" fillId="0" borderId="0"/>
    <xf numFmtId="0" fontId="13" fillId="0" borderId="0"/>
    <xf numFmtId="0" fontId="13" fillId="0" borderId="0"/>
    <xf numFmtId="0" fontId="64"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3" fillId="0" borderId="0"/>
    <xf numFmtId="0" fontId="128" fillId="0" borderId="0"/>
    <xf numFmtId="192" fontId="7" fillId="0" borderId="0"/>
    <xf numFmtId="191" fontId="7" fillId="0" borderId="0"/>
    <xf numFmtId="0" fontId="13" fillId="0" borderId="0"/>
    <xf numFmtId="0" fontId="26" fillId="127" borderId="0"/>
    <xf numFmtId="189" fontId="13" fillId="0" borderId="0"/>
    <xf numFmtId="0"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105"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3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0" fontId="7" fillId="0" borderId="0"/>
    <xf numFmtId="0" fontId="7" fillId="0" borderId="0"/>
    <xf numFmtId="0" fontId="7" fillId="0" borderId="0"/>
    <xf numFmtId="0" fontId="7" fillId="0" borderId="0"/>
    <xf numFmtId="0" fontId="13" fillId="0" borderId="0"/>
    <xf numFmtId="0" fontId="35" fillId="0" borderId="0"/>
    <xf numFmtId="0" fontId="35" fillId="0" borderId="0"/>
    <xf numFmtId="0" fontId="105" fillId="0" borderId="0"/>
    <xf numFmtId="0" fontId="105" fillId="0" borderId="0"/>
    <xf numFmtId="191" fontId="7" fillId="0" borderId="0"/>
    <xf numFmtId="0" fontId="105" fillId="0" borderId="0"/>
    <xf numFmtId="0" fontId="105" fillId="0" borderId="0"/>
    <xf numFmtId="193" fontId="13" fillId="0" borderId="0"/>
    <xf numFmtId="0" fontId="105" fillId="0" borderId="0"/>
    <xf numFmtId="0" fontId="105" fillId="0" borderId="0"/>
    <xf numFmtId="0" fontId="7" fillId="0" borderId="0"/>
    <xf numFmtId="191" fontId="7" fillId="0" borderId="0"/>
    <xf numFmtId="0" fontId="105" fillId="0" borderId="0"/>
    <xf numFmtId="0" fontId="105" fillId="0" borderId="0"/>
    <xf numFmtId="0" fontId="7" fillId="0" borderId="0"/>
    <xf numFmtId="0" fontId="7" fillId="0" borderId="0"/>
    <xf numFmtId="0" fontId="7" fillId="0" borderId="0"/>
    <xf numFmtId="190" fontId="105" fillId="0" borderId="0"/>
    <xf numFmtId="190" fontId="105" fillId="0" borderId="0"/>
    <xf numFmtId="190" fontId="105" fillId="0" borderId="0"/>
    <xf numFmtId="190" fontId="105" fillId="0" borderId="0"/>
    <xf numFmtId="0" fontId="105" fillId="0" borderId="0"/>
    <xf numFmtId="0" fontId="105" fillId="0" borderId="0"/>
    <xf numFmtId="0" fontId="7" fillId="0" borderId="0"/>
    <xf numFmtId="0" fontId="105" fillId="0" borderId="0"/>
    <xf numFmtId="0" fontId="105" fillId="0" borderId="0"/>
    <xf numFmtId="0" fontId="7" fillId="0" borderId="0"/>
    <xf numFmtId="0" fontId="7" fillId="0" borderId="0"/>
    <xf numFmtId="0" fontId="7" fillId="0" borderId="0"/>
    <xf numFmtId="0" fontId="7" fillId="0" borderId="0"/>
    <xf numFmtId="0" fontId="105" fillId="0" borderId="0"/>
    <xf numFmtId="0" fontId="105" fillId="0" borderId="0"/>
    <xf numFmtId="0" fontId="105" fillId="0" borderId="0"/>
    <xf numFmtId="0" fontId="105" fillId="0" borderId="0"/>
    <xf numFmtId="189" fontId="105" fillId="0" borderId="0"/>
    <xf numFmtId="189" fontId="105" fillId="0" borderId="0"/>
    <xf numFmtId="0" fontId="7" fillId="0" borderId="0"/>
    <xf numFmtId="190" fontId="105" fillId="0" borderId="0"/>
    <xf numFmtId="190" fontId="105" fillId="0" borderId="0"/>
    <xf numFmtId="0" fontId="7" fillId="0" borderId="0"/>
    <xf numFmtId="0" fontId="64" fillId="0" borderId="0"/>
    <xf numFmtId="189" fontId="105" fillId="0" borderId="0"/>
    <xf numFmtId="189" fontId="105" fillId="0" borderId="0"/>
    <xf numFmtId="0" fontId="7" fillId="0" borderId="0"/>
    <xf numFmtId="0" fontId="13" fillId="0" borderId="0"/>
    <xf numFmtId="0" fontId="26" fillId="127" borderId="0"/>
    <xf numFmtId="190" fontId="105" fillId="0" borderId="0"/>
    <xf numFmtId="190" fontId="105" fillId="0" borderId="0"/>
    <xf numFmtId="191" fontId="7" fillId="0" borderId="0"/>
    <xf numFmtId="190" fontId="105" fillId="0" borderId="0"/>
    <xf numFmtId="190" fontId="105" fillId="0" borderId="0"/>
    <xf numFmtId="0" fontId="7" fillId="0" borderId="0"/>
    <xf numFmtId="0" fontId="105" fillId="0" borderId="0"/>
    <xf numFmtId="0" fontId="105" fillId="0" borderId="0"/>
    <xf numFmtId="191" fontId="7" fillId="0" borderId="0"/>
    <xf numFmtId="190" fontId="105" fillId="0" borderId="0"/>
    <xf numFmtId="190" fontId="105" fillId="0" borderId="0"/>
    <xf numFmtId="0" fontId="105" fillId="0" borderId="0"/>
    <xf numFmtId="0" fontId="105" fillId="0" borderId="0"/>
    <xf numFmtId="0" fontId="35" fillId="0" borderId="0"/>
    <xf numFmtId="192" fontId="7" fillId="0" borderId="0"/>
    <xf numFmtId="192" fontId="7" fillId="0" borderId="0"/>
    <xf numFmtId="191" fontId="7" fillId="0" borderId="0"/>
    <xf numFmtId="192" fontId="7" fillId="0" borderId="0"/>
    <xf numFmtId="191" fontId="7" fillId="0" borderId="0"/>
    <xf numFmtId="0" fontId="7" fillId="0" borderId="0"/>
    <xf numFmtId="0" fontId="26" fillId="127" borderId="0"/>
    <xf numFmtId="192" fontId="7" fillId="0" borderId="0"/>
    <xf numFmtId="0" fontId="7" fillId="0" borderId="0"/>
    <xf numFmtId="0" fontId="7" fillId="0" borderId="0"/>
    <xf numFmtId="191" fontId="7" fillId="0" borderId="0"/>
    <xf numFmtId="192" fontId="7" fillId="0" borderId="0"/>
    <xf numFmtId="0" fontId="7" fillId="0" borderId="0"/>
    <xf numFmtId="192" fontId="13" fillId="0" borderId="0"/>
    <xf numFmtId="191" fontId="13" fillId="0" borderId="0"/>
    <xf numFmtId="192" fontId="13" fillId="0" borderId="0"/>
    <xf numFmtId="192" fontId="7" fillId="0" borderId="0"/>
    <xf numFmtId="192" fontId="7" fillId="0" borderId="0"/>
    <xf numFmtId="191" fontId="7" fillId="0" borderId="0"/>
    <xf numFmtId="0" fontId="63"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35" fillId="0" borderId="0"/>
    <xf numFmtId="193" fontId="13" fillId="0" borderId="0"/>
    <xf numFmtId="0" fontId="7" fillId="0" borderId="0"/>
    <xf numFmtId="193" fontId="13" fillId="0" borderId="0"/>
    <xf numFmtId="0" fontId="13" fillId="0" borderId="0"/>
    <xf numFmtId="0" fontId="7" fillId="0" borderId="0"/>
    <xf numFmtId="0" fontId="7" fillId="0" borderId="0"/>
    <xf numFmtId="0" fontId="7" fillId="0" borderId="0"/>
    <xf numFmtId="193" fontId="13" fillId="0" borderId="0"/>
    <xf numFmtId="192" fontId="13" fillId="0" borderId="0"/>
    <xf numFmtId="0" fontId="7" fillId="0" borderId="0"/>
    <xf numFmtId="191" fontId="13" fillId="0" borderId="0"/>
    <xf numFmtId="0" fontId="64" fillId="0" borderId="0"/>
    <xf numFmtId="0" fontId="7" fillId="0" borderId="0"/>
    <xf numFmtId="0" fontId="7" fillId="0" borderId="0"/>
    <xf numFmtId="0" fontId="26" fillId="127" borderId="0"/>
    <xf numFmtId="192" fontId="7" fillId="0" borderId="0"/>
    <xf numFmtId="0" fontId="7" fillId="0" borderId="0"/>
    <xf numFmtId="191" fontId="7" fillId="0" borderId="0"/>
    <xf numFmtId="0" fontId="7" fillId="0" borderId="0"/>
    <xf numFmtId="0" fontId="105" fillId="0" borderId="0"/>
    <xf numFmtId="191" fontId="105" fillId="0" borderId="0"/>
    <xf numFmtId="191" fontId="105" fillId="0" borderId="0"/>
    <xf numFmtId="0" fontId="26" fillId="127" borderId="0"/>
    <xf numFmtId="0" fontId="13" fillId="0" borderId="0"/>
    <xf numFmtId="0" fontId="7" fillId="0" borderId="0"/>
    <xf numFmtId="0" fontId="26" fillId="127" borderId="0"/>
    <xf numFmtId="189" fontId="13" fillId="0" borderId="0"/>
    <xf numFmtId="0" fontId="64" fillId="0" borderId="0"/>
    <xf numFmtId="0" fontId="13" fillId="0" borderId="0"/>
    <xf numFmtId="0" fontId="13" fillId="0" borderId="0"/>
    <xf numFmtId="0" fontId="13" fillId="0" borderId="0"/>
    <xf numFmtId="19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7" fillId="0" borderId="0"/>
    <xf numFmtId="0" fontId="128" fillId="0" borderId="0"/>
    <xf numFmtId="0" fontId="7" fillId="0" borderId="0"/>
    <xf numFmtId="0" fontId="13" fillId="0" borderId="0"/>
    <xf numFmtId="0" fontId="7" fillId="0" borderId="0"/>
    <xf numFmtId="0" fontId="13"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26" fillId="127" borderId="0"/>
    <xf numFmtId="189" fontId="13" fillId="0" borderId="0"/>
    <xf numFmtId="0" fontId="7" fillId="0" borderId="0"/>
    <xf numFmtId="0" fontId="7" fillId="0" borderId="0"/>
    <xf numFmtId="0" fontId="7" fillId="0" borderId="0"/>
    <xf numFmtId="0" fontId="7" fillId="0" borderId="0"/>
    <xf numFmtId="0" fontId="105" fillId="0" borderId="0"/>
    <xf numFmtId="0" fontId="7" fillId="0" borderId="0"/>
    <xf numFmtId="0" fontId="7" fillId="0" borderId="0"/>
    <xf numFmtId="0" fontId="13"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13"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26" fillId="127"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63" fillId="0" borderId="0"/>
    <xf numFmtId="193" fontId="13" fillId="0" borderId="0"/>
    <xf numFmtId="0" fontId="105" fillId="0" borderId="0"/>
    <xf numFmtId="0" fontId="105" fillId="0" borderId="0"/>
    <xf numFmtId="191" fontId="13" fillId="0" borderId="0"/>
    <xf numFmtId="0" fontId="105" fillId="0" borderId="0"/>
    <xf numFmtId="0" fontId="105" fillId="0" borderId="0"/>
    <xf numFmtId="193" fontId="13" fillId="0" borderId="0"/>
    <xf numFmtId="0" fontId="13" fillId="0" borderId="0"/>
    <xf numFmtId="0" fontId="7" fillId="0" borderId="0"/>
    <xf numFmtId="0" fontId="105" fillId="0" borderId="0"/>
    <xf numFmtId="0" fontId="105" fillId="0" borderId="0"/>
    <xf numFmtId="0" fontId="13" fillId="0" borderId="0"/>
    <xf numFmtId="0" fontId="105" fillId="0" borderId="0"/>
    <xf numFmtId="0" fontId="105" fillId="0" borderId="0"/>
    <xf numFmtId="0" fontId="64" fillId="0" borderId="0"/>
    <xf numFmtId="193" fontId="13" fillId="0" borderId="0"/>
    <xf numFmtId="192" fontId="7" fillId="0" borderId="0"/>
    <xf numFmtId="191" fontId="7" fillId="0" borderId="0"/>
    <xf numFmtId="0" fontId="105" fillId="0" borderId="0"/>
    <xf numFmtId="0" fontId="105" fillId="0" borderId="0"/>
    <xf numFmtId="0" fontId="7" fillId="0" borderId="0"/>
    <xf numFmtId="192" fontId="7" fillId="0" borderId="0"/>
    <xf numFmtId="191" fontId="7" fillId="0" borderId="0"/>
    <xf numFmtId="0" fontId="7" fillId="0" borderId="0"/>
    <xf numFmtId="0" fontId="105" fillId="0" borderId="0"/>
    <xf numFmtId="0" fontId="105" fillId="0" borderId="0"/>
    <xf numFmtId="0" fontId="13" fillId="0" borderId="0"/>
    <xf numFmtId="0" fontId="26" fillId="127" borderId="0"/>
    <xf numFmtId="0" fontId="105" fillId="0" borderId="0"/>
    <xf numFmtId="0" fontId="105" fillId="0" borderId="0"/>
    <xf numFmtId="0" fontId="7" fillId="0" borderId="0"/>
    <xf numFmtId="191" fontId="7" fillId="0" borderId="0"/>
    <xf numFmtId="0" fontId="64" fillId="0" borderId="0"/>
    <xf numFmtId="0" fontId="105" fillId="0" borderId="0"/>
    <xf numFmtId="0" fontId="105" fillId="0" borderId="0"/>
    <xf numFmtId="0" fontId="13" fillId="0" borderId="0"/>
    <xf numFmtId="192" fontId="13" fillId="0" borderId="0"/>
    <xf numFmtId="191" fontId="13" fillId="0" borderId="0"/>
    <xf numFmtId="192" fontId="13" fillId="0" borderId="0"/>
    <xf numFmtId="0" fontId="26" fillId="127" borderId="0"/>
    <xf numFmtId="191" fontId="21" fillId="0" borderId="0"/>
    <xf numFmtId="192" fontId="21" fillId="0" borderId="0"/>
    <xf numFmtId="0" fontId="7" fillId="0" borderId="0"/>
    <xf numFmtId="191" fontId="13" fillId="0" borderId="0"/>
    <xf numFmtId="192" fontId="13" fillId="0" borderId="0"/>
    <xf numFmtId="0" fontId="13" fillId="0" borderId="0"/>
    <xf numFmtId="0" fontId="63" fillId="0" borderId="0"/>
    <xf numFmtId="0" fontId="13" fillId="0" borderId="0"/>
    <xf numFmtId="0" fontId="13"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3" fillId="0" borderId="0"/>
    <xf numFmtId="190" fontId="13" fillId="0" borderId="0"/>
    <xf numFmtId="0" fontId="7" fillId="0" borderId="0"/>
    <xf numFmtId="0" fontId="13" fillId="0" borderId="0"/>
    <xf numFmtId="0" fontId="128"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1"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193" fontId="13" fillId="0" borderId="0"/>
    <xf numFmtId="0" fontId="7" fillId="0" borderId="0"/>
    <xf numFmtId="0" fontId="13"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193" fontId="13" fillId="0" borderId="0"/>
    <xf numFmtId="191" fontId="21"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13"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1"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21" fillId="0" borderId="0"/>
    <xf numFmtId="0" fontId="7" fillId="0" borderId="0"/>
    <xf numFmtId="0" fontId="63" fillId="0" borderId="0"/>
    <xf numFmtId="193" fontId="13" fillId="0" borderId="0"/>
    <xf numFmtId="191" fontId="7" fillId="0" borderId="0"/>
    <xf numFmtId="0" fontId="7" fillId="0" borderId="0"/>
    <xf numFmtId="192"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35" fillId="0" borderId="0"/>
    <xf numFmtId="0" fontId="128" fillId="0" borderId="0"/>
    <xf numFmtId="0" fontId="7" fillId="0" borderId="0"/>
    <xf numFmtId="0" fontId="7" fillId="0" borderId="0"/>
    <xf numFmtId="0" fontId="128" fillId="0" borderId="0"/>
    <xf numFmtId="0" fontId="7" fillId="0" borderId="0"/>
    <xf numFmtId="0" fontId="7" fillId="0" borderId="0"/>
    <xf numFmtId="0" fontId="26" fillId="127" borderId="0"/>
    <xf numFmtId="0" fontId="128" fillId="0" borderId="0"/>
    <xf numFmtId="0" fontId="7" fillId="0" borderId="0"/>
    <xf numFmtId="0" fontId="7" fillId="0" borderId="0"/>
    <xf numFmtId="0" fontId="128" fillId="0" borderId="0"/>
    <xf numFmtId="0" fontId="26" fillId="127" borderId="0"/>
    <xf numFmtId="0" fontId="128" fillId="0" borderId="0"/>
    <xf numFmtId="0" fontId="7" fillId="0" borderId="0"/>
    <xf numFmtId="0" fontId="7" fillId="0" borderId="0"/>
    <xf numFmtId="0" fontId="128" fillId="0" borderId="0"/>
    <xf numFmtId="0" fontId="7" fillId="0" borderId="0"/>
    <xf numFmtId="0" fontId="26" fillId="127" borderId="0"/>
    <xf numFmtId="0" fontId="128"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193" fontId="13" fillId="0" borderId="0"/>
    <xf numFmtId="0" fontId="7" fillId="0" borderId="0"/>
    <xf numFmtId="19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19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0" fontId="26" fillId="127" borderId="0"/>
    <xf numFmtId="0" fontId="128" fillId="0" borderId="0"/>
    <xf numFmtId="0" fontId="7" fillId="0" borderId="0"/>
    <xf numFmtId="0" fontId="7" fillId="0" borderId="0"/>
    <xf numFmtId="0" fontId="128" fillId="0" borderId="0"/>
    <xf numFmtId="0" fontId="7" fillId="0" borderId="0"/>
    <xf numFmtId="0" fontId="26" fillId="127" borderId="0"/>
    <xf numFmtId="0" fontId="128" fillId="0" borderId="0"/>
    <xf numFmtId="0" fontId="7" fillId="0" borderId="0"/>
    <xf numFmtId="0" fontId="7" fillId="0" borderId="0"/>
    <xf numFmtId="0" fontId="128" fillId="0" borderId="0"/>
    <xf numFmtId="0" fontId="7" fillId="0" borderId="0"/>
    <xf numFmtId="0" fontId="26" fillId="127"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128" fillId="0" borderId="0"/>
    <xf numFmtId="0" fontId="7" fillId="0" borderId="0"/>
    <xf numFmtId="0" fontId="7" fillId="0" borderId="0"/>
    <xf numFmtId="0" fontId="128"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35"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4"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105" fillId="0" borderId="0"/>
    <xf numFmtId="0" fontId="64"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64" fillId="0" borderId="0"/>
    <xf numFmtId="0" fontId="35" fillId="0" borderId="0"/>
    <xf numFmtId="0" fontId="35" fillId="0" borderId="0"/>
    <xf numFmtId="0" fontId="35" fillId="0" borderId="0"/>
    <xf numFmtId="0" fontId="105"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0" fontId="7" fillId="0" borderId="0"/>
    <xf numFmtId="0" fontId="7" fillId="0" borderId="0"/>
    <xf numFmtId="189" fontId="13"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35" fillId="0" borderId="0"/>
    <xf numFmtId="0" fontId="3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64" fillId="0" borderId="0"/>
    <xf numFmtId="0" fontId="63" fillId="0" borderId="0"/>
    <xf numFmtId="0" fontId="64" fillId="0" borderId="0"/>
    <xf numFmtId="0" fontId="64" fillId="0" borderId="0"/>
    <xf numFmtId="0" fontId="7" fillId="0" borderId="0"/>
    <xf numFmtId="191" fontId="13" fillId="0" borderId="0"/>
    <xf numFmtId="0" fontId="7" fillId="0" borderId="0"/>
    <xf numFmtId="190" fontId="13" fillId="0" borderId="0"/>
    <xf numFmtId="0" fontId="13" fillId="0" borderId="0"/>
    <xf numFmtId="190" fontId="13" fillId="0" borderId="0"/>
    <xf numFmtId="0" fontId="64" fillId="0" borderId="0"/>
    <xf numFmtId="0" fontId="64" fillId="0" borderId="0"/>
    <xf numFmtId="0" fontId="13" fillId="0" borderId="0"/>
    <xf numFmtId="0" fontId="13" fillId="0" borderId="0"/>
    <xf numFmtId="0" fontId="64" fillId="0" borderId="0"/>
    <xf numFmtId="0" fontId="7" fillId="0" borderId="0"/>
    <xf numFmtId="189" fontId="13" fillId="0" borderId="0"/>
    <xf numFmtId="0" fontId="64" fillId="0" borderId="0"/>
    <xf numFmtId="0" fontId="64" fillId="0" borderId="0"/>
    <xf numFmtId="0" fontId="7" fillId="0" borderId="0"/>
    <xf numFmtId="0" fontId="35" fillId="0" borderId="0"/>
    <xf numFmtId="0" fontId="7" fillId="0" borderId="0"/>
    <xf numFmtId="190" fontId="13" fillId="0" borderId="0"/>
    <xf numFmtId="0" fontId="13" fillId="0" borderId="0"/>
    <xf numFmtId="189" fontId="13" fillId="0" borderId="0"/>
    <xf numFmtId="0" fontId="64" fillId="0" borderId="0"/>
    <xf numFmtId="0" fontId="64" fillId="0" borderId="0"/>
    <xf numFmtId="0" fontId="64" fillId="0" borderId="0"/>
    <xf numFmtId="190" fontId="13" fillId="0" borderId="0"/>
    <xf numFmtId="0" fontId="63" fillId="0" borderId="0"/>
    <xf numFmtId="0" fontId="26" fillId="127" borderId="0"/>
    <xf numFmtId="0" fontId="64" fillId="0" borderId="0"/>
    <xf numFmtId="0" fontId="26" fillId="127" borderId="0"/>
    <xf numFmtId="0" fontId="13" fillId="0" borderId="0"/>
    <xf numFmtId="191" fontId="13" fillId="0" borderId="0"/>
    <xf numFmtId="0" fontId="7" fillId="0" borderId="0"/>
    <xf numFmtId="0" fontId="63" fillId="0" borderId="0"/>
    <xf numFmtId="217" fontId="13" fillId="0" borderId="0"/>
    <xf numFmtId="0" fontId="63" fillId="0" borderId="0"/>
    <xf numFmtId="0" fontId="63" fillId="0" borderId="0"/>
    <xf numFmtId="191" fontId="105" fillId="0" borderId="0"/>
    <xf numFmtId="0" fontId="63" fillId="0" borderId="0"/>
    <xf numFmtId="0"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90" fontId="13" fillId="0" borderId="0"/>
    <xf numFmtId="0" fontId="13" fillId="0" borderId="0"/>
    <xf numFmtId="192" fontId="13" fillId="0" borderId="0"/>
    <xf numFmtId="189" fontId="13" fillId="0" borderId="0"/>
    <xf numFmtId="0" fontId="7" fillId="0" borderId="0"/>
    <xf numFmtId="190" fontId="13" fillId="0" borderId="0"/>
    <xf numFmtId="0" fontId="63" fillId="0" borderId="0"/>
    <xf numFmtId="0" fontId="7" fillId="0" borderId="0"/>
    <xf numFmtId="190" fontId="13" fillId="0" borderId="0"/>
    <xf numFmtId="0" fontId="13" fillId="0" borderId="0"/>
    <xf numFmtId="189" fontId="13" fillId="0" borderId="0"/>
    <xf numFmtId="0" fontId="13" fillId="0" borderId="0"/>
    <xf numFmtId="190" fontId="13" fillId="0" borderId="0"/>
    <xf numFmtId="0" fontId="7" fillId="0" borderId="0"/>
    <xf numFmtId="0" fontId="7" fillId="0" borderId="0"/>
    <xf numFmtId="190" fontId="13" fillId="0" borderId="0"/>
    <xf numFmtId="0" fontId="7" fillId="0" borderId="0"/>
    <xf numFmtId="0" fontId="105" fillId="0" borderId="0"/>
    <xf numFmtId="192" fontId="13" fillId="0" borderId="0"/>
    <xf numFmtId="191" fontId="13" fillId="0" borderId="0"/>
    <xf numFmtId="0" fontId="13" fillId="0" borderId="0"/>
    <xf numFmtId="189" fontId="13" fillId="0" borderId="0"/>
    <xf numFmtId="0" fontId="6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64" fillId="0" borderId="0"/>
    <xf numFmtId="0" fontId="26" fillId="127" borderId="0"/>
    <xf numFmtId="0" fontId="26" fillId="127" borderId="0"/>
    <xf numFmtId="190" fontId="13" fillId="0" borderId="0"/>
    <xf numFmtId="0" fontId="26" fillId="127" borderId="0"/>
    <xf numFmtId="0" fontId="64" fillId="0" borderId="0"/>
    <xf numFmtId="192" fontId="13" fillId="0" borderId="0"/>
    <xf numFmtId="189" fontId="13" fillId="0" borderId="0"/>
    <xf numFmtId="0" fontId="64" fillId="0" borderId="0"/>
    <xf numFmtId="0" fontId="64" fillId="0" borderId="0"/>
    <xf numFmtId="189" fontId="13" fillId="0" borderId="0"/>
    <xf numFmtId="0" fontId="64" fillId="0" borderId="0"/>
    <xf numFmtId="0" fontId="13" fillId="0" borderId="0"/>
    <xf numFmtId="0" fontId="64"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64" fillId="0" borderId="0"/>
    <xf numFmtId="0" fontId="13" fillId="0" borderId="0"/>
    <xf numFmtId="190" fontId="13" fillId="0" borderId="0"/>
    <xf numFmtId="0" fontId="13" fillId="0" borderId="0"/>
    <xf numFmtId="189" fontId="13" fillId="0" borderId="0"/>
    <xf numFmtId="0" fontId="64" fillId="0" borderId="0"/>
    <xf numFmtId="0" fontId="13" fillId="0" borderId="0"/>
    <xf numFmtId="0" fontId="13" fillId="0" borderId="0"/>
    <xf numFmtId="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64" fillId="0" borderId="0"/>
    <xf numFmtId="0" fontId="13" fillId="0" borderId="0"/>
    <xf numFmtId="190" fontId="13" fillId="0" borderId="0"/>
    <xf numFmtId="0" fontId="13" fillId="0" borderId="0"/>
    <xf numFmtId="192" fontId="13" fillId="0" borderId="0"/>
    <xf numFmtId="189" fontId="13" fillId="0" borderId="0"/>
    <xf numFmtId="0" fontId="64" fillId="0" borderId="0"/>
    <xf numFmtId="0" fontId="13" fillId="0" borderId="0"/>
    <xf numFmtId="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89" fontId="13" fillId="0" borderId="0"/>
    <xf numFmtId="193" fontId="26" fillId="127" borderId="0"/>
    <xf numFmtId="193" fontId="26" fillId="127"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193" fontId="26" fillId="127" borderId="0"/>
    <xf numFmtId="0" fontId="7" fillId="0" borderId="0"/>
    <xf numFmtId="0" fontId="7" fillId="0" borderId="0"/>
    <xf numFmtId="0" fontId="13" fillId="0" borderId="0"/>
    <xf numFmtId="0" fontId="7" fillId="0" borderId="0"/>
    <xf numFmtId="0" fontId="26" fillId="127" borderId="0"/>
    <xf numFmtId="0" fontId="7" fillId="0" borderId="0"/>
    <xf numFmtId="0" fontId="13" fillId="0" borderId="0"/>
    <xf numFmtId="0" fontId="7" fillId="0" borderId="0"/>
    <xf numFmtId="0" fontId="7" fillId="0" borderId="0"/>
    <xf numFmtId="0" fontId="7" fillId="0" borderId="0"/>
    <xf numFmtId="192" fontId="13" fillId="0" borderId="0"/>
    <xf numFmtId="0" fontId="7" fillId="0" borderId="0"/>
    <xf numFmtId="189" fontId="13" fillId="0" borderId="0"/>
    <xf numFmtId="0" fontId="7" fillId="0" borderId="0"/>
    <xf numFmtId="193"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193"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190" fontId="13"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35"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35"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64"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63"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13" fillId="0" borderId="0"/>
    <xf numFmtId="0" fontId="7" fillId="0" borderId="0"/>
    <xf numFmtId="0" fontId="7" fillId="0" borderId="0"/>
    <xf numFmtId="0" fontId="7" fillId="0" borderId="0"/>
    <xf numFmtId="0" fontId="63" fillId="0" borderId="0"/>
    <xf numFmtId="0" fontId="7" fillId="0" borderId="0"/>
    <xf numFmtId="0" fontId="7" fillId="0" borderId="0"/>
    <xf numFmtId="0" fontId="63"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128"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190" fontId="63" fillId="0" borderId="0"/>
    <xf numFmtId="0" fontId="7" fillId="0" borderId="0"/>
    <xf numFmtId="0" fontId="7" fillId="0" borderId="0"/>
    <xf numFmtId="0" fontId="7" fillId="0" borderId="0"/>
    <xf numFmtId="0" fontId="7" fillId="0" borderId="0"/>
    <xf numFmtId="19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63" fillId="0"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63"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63" fillId="0"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19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21"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190" fontId="63" fillId="0" borderId="0"/>
    <xf numFmtId="0" fontId="7" fillId="0" borderId="0"/>
    <xf numFmtId="0" fontId="7" fillId="0" borderId="0"/>
    <xf numFmtId="0" fontId="7" fillId="0" borderId="0"/>
    <xf numFmtId="189" fontId="63"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190" fontId="21"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21"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13" fillId="0" borderId="0"/>
    <xf numFmtId="0" fontId="63" fillId="0" borderId="0"/>
    <xf numFmtId="0" fontId="13" fillId="0" borderId="0"/>
    <xf numFmtId="0" fontId="63" fillId="0" borderId="0"/>
    <xf numFmtId="0" fontId="13" fillId="0" borderId="0"/>
    <xf numFmtId="0" fontId="63"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2"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0" fontId="64"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05"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3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26" fillId="127"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193" fontId="13" fillId="0" borderId="0"/>
    <xf numFmtId="190" fontId="13" fillId="0" borderId="0"/>
    <xf numFmtId="0" fontId="13" fillId="0" borderId="0"/>
    <xf numFmtId="0" fontId="13" fillId="0" borderId="0"/>
    <xf numFmtId="189" fontId="13" fillId="0" borderId="0"/>
    <xf numFmtId="0" fontId="7" fillId="0" borderId="0"/>
    <xf numFmtId="0" fontId="7" fillId="0" borderId="0"/>
    <xf numFmtId="0" fontId="13" fillId="0" borderId="0"/>
    <xf numFmtId="0" fontId="7" fillId="0" borderId="0"/>
    <xf numFmtId="193" fontId="1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90" fontId="1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3" fillId="0" borderId="0"/>
    <xf numFmtId="0" fontId="7" fillId="0" borderId="0"/>
    <xf numFmtId="0" fontId="105" fillId="0" borderId="0"/>
    <xf numFmtId="0" fontId="105" fillId="0" borderId="0"/>
    <xf numFmtId="0" fontId="105" fillId="0" borderId="0"/>
    <xf numFmtId="0" fontId="7" fillId="0" borderId="0"/>
    <xf numFmtId="0" fontId="105" fillId="0" borderId="0"/>
    <xf numFmtId="0" fontId="105" fillId="0" borderId="0"/>
    <xf numFmtId="0" fontId="7" fillId="0" borderId="0"/>
    <xf numFmtId="0" fontId="105"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13" fillId="0" borderId="0"/>
    <xf numFmtId="0" fontId="63" fillId="0" borderId="0"/>
    <xf numFmtId="0" fontId="13" fillId="0" borderId="0"/>
    <xf numFmtId="0" fontId="63" fillId="0" borderId="0"/>
    <xf numFmtId="189" fontId="13" fillId="0" borderId="0"/>
    <xf numFmtId="0" fontId="63" fillId="0" borderId="0"/>
    <xf numFmtId="0" fontId="105" fillId="0" borderId="0"/>
    <xf numFmtId="0" fontId="63" fillId="0" borderId="0"/>
    <xf numFmtId="0" fontId="7" fillId="0" borderId="0"/>
    <xf numFmtId="0" fontId="63" fillId="0" borderId="0"/>
    <xf numFmtId="0" fontId="105" fillId="0" borderId="0"/>
    <xf numFmtId="0" fontId="63" fillId="0" borderId="0"/>
    <xf numFmtId="189" fontId="13" fillId="0" borderId="0"/>
    <xf numFmtId="0" fontId="63" fillId="0" borderId="0"/>
    <xf numFmtId="0" fontId="13" fillId="0" borderId="0"/>
    <xf numFmtId="0" fontId="63" fillId="0" borderId="0"/>
    <xf numFmtId="0" fontId="7" fillId="0" borderId="0"/>
    <xf numFmtId="0" fontId="63" fillId="0" borderId="0"/>
    <xf numFmtId="0" fontId="7" fillId="0" borderId="0"/>
    <xf numFmtId="0" fontId="63" fillId="0" borderId="0"/>
    <xf numFmtId="0" fontId="7" fillId="0" borderId="0"/>
    <xf numFmtId="0" fontId="7" fillId="0" borderId="0"/>
    <xf numFmtId="0" fontId="106" fillId="0" borderId="0"/>
    <xf numFmtId="0" fontId="7" fillId="0" borderId="0"/>
    <xf numFmtId="0" fontId="7" fillId="0" borderId="0"/>
    <xf numFmtId="0" fontId="65"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13" fillId="0" borderId="0"/>
    <xf numFmtId="0" fontId="63" fillId="0" borderId="0"/>
    <xf numFmtId="0" fontId="105" fillId="0" borderId="0"/>
    <xf numFmtId="0" fontId="63" fillId="0" borderId="0"/>
    <xf numFmtId="0" fontId="7" fillId="0" borderId="0"/>
    <xf numFmtId="0" fontId="63" fillId="0" borderId="0"/>
    <xf numFmtId="0" fontId="7" fillId="0" borderId="0"/>
    <xf numFmtId="0" fontId="63" fillId="0" borderId="0"/>
    <xf numFmtId="0" fontId="7" fillId="0" borderId="0"/>
    <xf numFmtId="0" fontId="63" fillId="0" borderId="0"/>
    <xf numFmtId="0" fontId="7" fillId="0" borderId="0"/>
    <xf numFmtId="0" fontId="63" fillId="0" borderId="0"/>
    <xf numFmtId="0" fontId="65" fillId="0" borderId="0"/>
    <xf numFmtId="0" fontId="63" fillId="0" borderId="0"/>
    <xf numFmtId="0" fontId="63" fillId="0" borderId="0"/>
    <xf numFmtId="0" fontId="63" fillId="0" borderId="0"/>
    <xf numFmtId="0" fontId="63" fillId="0" borderId="0"/>
    <xf numFmtId="0" fontId="63"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89" fontId="13" fillId="0" borderId="0"/>
    <xf numFmtId="0" fontId="7" fillId="0" borderId="0"/>
    <xf numFmtId="0" fontId="7" fillId="0" borderId="0"/>
    <xf numFmtId="0" fontId="7" fillId="0" borderId="0"/>
    <xf numFmtId="193" fontId="13" fillId="0" borderId="0"/>
    <xf numFmtId="190" fontId="13" fillId="0" borderId="0"/>
    <xf numFmtId="0" fontId="7" fillId="0" borderId="0"/>
    <xf numFmtId="0" fontId="7" fillId="0" borderId="0"/>
    <xf numFmtId="189" fontId="13"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18" fontId="106" fillId="0" borderId="0"/>
    <xf numFmtId="0" fontId="13" fillId="0" borderId="0"/>
    <xf numFmtId="0" fontId="35" fillId="0" borderId="0"/>
    <xf numFmtId="0" fontId="13"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13" fillId="0" borderId="0"/>
    <xf numFmtId="0" fontId="13" fillId="0" borderId="0"/>
    <xf numFmtId="0" fontId="7"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13"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193"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35" fillId="0" borderId="0"/>
    <xf numFmtId="193"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13"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4" fillId="0" borderId="0"/>
    <xf numFmtId="0" fontId="7" fillId="0" borderId="0"/>
    <xf numFmtId="0" fontId="7" fillId="0" borderId="0"/>
    <xf numFmtId="192"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191" fontId="105" fillId="0" borderId="0"/>
    <xf numFmtId="0" fontId="7" fillId="0" borderId="0"/>
    <xf numFmtId="0" fontId="7" fillId="0" borderId="0"/>
    <xf numFmtId="191"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7" fillId="0" borderId="0"/>
    <xf numFmtId="192"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13" fillId="0" borderId="0"/>
    <xf numFmtId="0" fontId="13"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0" fontId="21" fillId="0" borderId="0"/>
    <xf numFmtId="0" fontId="7" fillId="0" borderId="0"/>
    <xf numFmtId="0" fontId="7" fillId="0" borderId="0"/>
    <xf numFmtId="0" fontId="105" fillId="0" borderId="0"/>
    <xf numFmtId="0" fontId="105" fillId="0" borderId="0"/>
    <xf numFmtId="190" fontId="21" fillId="0" borderId="0"/>
    <xf numFmtId="0" fontId="64" fillId="0" borderId="0"/>
    <xf numFmtId="0" fontId="105"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06" fillId="0" borderId="0"/>
    <xf numFmtId="0" fontId="7" fillId="0" borderId="0"/>
    <xf numFmtId="0" fontId="7" fillId="0" borderId="0"/>
    <xf numFmtId="0" fontId="7" fillId="0" borderId="0"/>
    <xf numFmtId="193"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189" fontId="13"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192" fontId="13" fillId="0" borderId="0"/>
    <xf numFmtId="0" fontId="7" fillId="0" borderId="0"/>
    <xf numFmtId="0" fontId="7" fillId="0" borderId="0"/>
    <xf numFmtId="0" fontId="7" fillId="0" borderId="0"/>
    <xf numFmtId="191" fontId="13" fillId="0" borderId="0"/>
    <xf numFmtId="0" fontId="7" fillId="0" borderId="0"/>
    <xf numFmtId="0" fontId="7" fillId="0" borderId="0"/>
    <xf numFmtId="0"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26" fillId="127" borderId="0"/>
    <xf numFmtId="0" fontId="26" fillId="127" borderId="0"/>
    <xf numFmtId="0" fontId="105"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19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64"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193" fontId="64" fillId="0" borderId="0"/>
    <xf numFmtId="0" fontId="7" fillId="0" borderId="0"/>
    <xf numFmtId="192" fontId="7" fillId="0" borderId="0"/>
    <xf numFmtId="0" fontId="64" fillId="0" borderId="0"/>
    <xf numFmtId="0" fontId="7" fillId="0" borderId="0"/>
    <xf numFmtId="189" fontId="64" fillId="0" borderId="0"/>
    <xf numFmtId="0" fontId="64" fillId="0" borderId="0"/>
    <xf numFmtId="0" fontId="13" fillId="0" borderId="0"/>
    <xf numFmtId="0" fontId="7" fillId="0" borderId="0"/>
    <xf numFmtId="0" fontId="128"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26" fillId="127" borderId="0"/>
    <xf numFmtId="0" fontId="26" fillId="127"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19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0" fontId="13" fillId="0" borderId="0"/>
    <xf numFmtId="189" fontId="13" fillId="0" borderId="0"/>
    <xf numFmtId="0" fontId="7" fillId="0" borderId="0"/>
    <xf numFmtId="0"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0" fontId="13" fillId="0" borderId="0"/>
    <xf numFmtId="0" fontId="7" fillId="0" borderId="0"/>
    <xf numFmtId="0" fontId="7" fillId="0" borderId="0"/>
    <xf numFmtId="0" fontId="7" fillId="0" borderId="0"/>
    <xf numFmtId="19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3" fillId="0" borderId="0"/>
    <xf numFmtId="189"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92" fontId="13" fillId="0" borderId="0"/>
    <xf numFmtId="189" fontId="13"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92"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13" fillId="0" borderId="0"/>
    <xf numFmtId="0" fontId="64" fillId="0" borderId="0"/>
    <xf numFmtId="0" fontId="7" fillId="0" borderId="0"/>
    <xf numFmtId="189" fontId="64"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7" fillId="0" borderId="0"/>
    <xf numFmtId="0" fontId="64" fillId="0" borderId="0"/>
    <xf numFmtId="0" fontId="7" fillId="0" borderId="0"/>
    <xf numFmtId="189" fontId="64" fillId="0" borderId="0"/>
    <xf numFmtId="0" fontId="7" fillId="0" borderId="0"/>
    <xf numFmtId="189" fontId="105" fillId="0" borderId="0"/>
    <xf numFmtId="0" fontId="7" fillId="0" borderId="0"/>
    <xf numFmtId="0" fontId="7" fillId="0" borderId="0"/>
    <xf numFmtId="0" fontId="7" fillId="0" borderId="0"/>
    <xf numFmtId="193" fontId="13" fillId="0" borderId="0"/>
    <xf numFmtId="190" fontId="105" fillId="0" borderId="0"/>
    <xf numFmtId="190" fontId="105" fillId="0" borderId="0"/>
    <xf numFmtId="0" fontId="7" fillId="0" borderId="0"/>
    <xf numFmtId="0" fontId="7" fillId="0" borderId="0"/>
    <xf numFmtId="0" fontId="7" fillId="0" borderId="0"/>
    <xf numFmtId="0" fontId="7" fillId="0" borderId="0"/>
    <xf numFmtId="0" fontId="7" fillId="0" borderId="0"/>
    <xf numFmtId="190" fontId="105" fillId="0" borderId="0"/>
    <xf numFmtId="0" fontId="7" fillId="0" borderId="0"/>
    <xf numFmtId="0" fontId="7" fillId="0" borderId="0"/>
    <xf numFmtId="19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05" fillId="0" borderId="0"/>
    <xf numFmtId="0" fontId="7" fillId="0" borderId="0"/>
    <xf numFmtId="0" fontId="7" fillId="0" borderId="0"/>
    <xf numFmtId="189"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05"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7" fillId="0" borderId="0"/>
    <xf numFmtId="0" fontId="64" fillId="0" borderId="0"/>
    <xf numFmtId="0" fontId="7" fillId="0" borderId="0"/>
    <xf numFmtId="189" fontId="64" fillId="0" borderId="0"/>
    <xf numFmtId="0" fontId="63" fillId="0" borderId="0"/>
    <xf numFmtId="189" fontId="13" fillId="0" borderId="0"/>
    <xf numFmtId="0" fontId="7" fillId="0" borderId="0"/>
    <xf numFmtId="0" fontId="7" fillId="0" borderId="0"/>
    <xf numFmtId="0" fontId="7" fillId="0" borderId="0"/>
    <xf numFmtId="193" fontId="13"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7" fillId="0" borderId="0"/>
    <xf numFmtId="0" fontId="64" fillId="0" borderId="0"/>
    <xf numFmtId="0" fontId="7" fillId="0" borderId="0"/>
    <xf numFmtId="189"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64"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7" fillId="0" borderId="0"/>
    <xf numFmtId="190" fontId="13" fillId="0" borderId="0"/>
    <xf numFmtId="0" fontId="13" fillId="0" borderId="0"/>
    <xf numFmtId="189" fontId="13" fillId="0" borderId="0"/>
    <xf numFmtId="0" fontId="7" fillId="0" borderId="0"/>
    <xf numFmtId="0" fontId="7" fillId="0" borderId="0"/>
    <xf numFmtId="0" fontId="7" fillId="0" borderId="0"/>
    <xf numFmtId="190" fontId="13" fillId="0" borderId="0"/>
    <xf numFmtId="0" fontId="7" fillId="0" borderId="0"/>
    <xf numFmtId="0" fontId="7" fillId="0" borderId="0"/>
    <xf numFmtId="192" fontId="7" fillId="0" borderId="0"/>
    <xf numFmtId="0" fontId="7" fillId="0" borderId="0"/>
    <xf numFmtId="191" fontId="13" fillId="0" borderId="0"/>
    <xf numFmtId="0" fontId="13" fillId="0" borderId="0"/>
    <xf numFmtId="190" fontId="13" fillId="0" borderId="0"/>
    <xf numFmtId="0" fontId="7" fillId="0" borderId="0"/>
    <xf numFmtId="0" fontId="64" fillId="0" borderId="0"/>
    <xf numFmtId="0" fontId="13" fillId="0" borderId="0"/>
    <xf numFmtId="191" fontId="125" fillId="0" borderId="0"/>
    <xf numFmtId="0" fontId="7" fillId="0" borderId="0"/>
    <xf numFmtId="0" fontId="64" fillId="0" borderId="0"/>
    <xf numFmtId="192" fontId="13" fillId="0" borderId="0"/>
    <xf numFmtId="0" fontId="7" fillId="0" borderId="0"/>
    <xf numFmtId="0" fontId="13" fillId="0" borderId="0"/>
    <xf numFmtId="189" fontId="13" fillId="0" borderId="0"/>
    <xf numFmtId="0" fontId="63"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1" fontId="1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0" fontId="64" fillId="0" borderId="0"/>
    <xf numFmtId="0" fontId="7" fillId="0" borderId="0"/>
    <xf numFmtId="189" fontId="64" fillId="0" borderId="0"/>
    <xf numFmtId="0" fontId="6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193" fontId="13"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193" fontId="13" fillId="0" borderId="0"/>
    <xf numFmtId="0" fontId="13" fillId="0" borderId="0"/>
    <xf numFmtId="190" fontId="13" fillId="0" borderId="0"/>
    <xf numFmtId="0" fontId="13"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19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13" fillId="0" borderId="0"/>
    <xf numFmtId="0" fontId="7" fillId="0" borderId="0"/>
    <xf numFmtId="0" fontId="21" fillId="0" borderId="0"/>
    <xf numFmtId="0" fontId="26" fillId="127" borderId="0"/>
    <xf numFmtId="0" fontId="26" fillId="127" borderId="0"/>
    <xf numFmtId="0" fontId="13" fillId="0" borderId="0"/>
    <xf numFmtId="190" fontId="13" fillId="0" borderId="0"/>
    <xf numFmtId="0" fontId="13" fillId="0" borderId="0"/>
    <xf numFmtId="192" fontId="13" fillId="0" borderId="0"/>
    <xf numFmtId="189" fontId="13" fillId="0" borderId="0"/>
    <xf numFmtId="0" fontId="21" fillId="0" borderId="0"/>
    <xf numFmtId="0" fontId="13" fillId="0" borderId="0"/>
    <xf numFmtId="190" fontId="13" fillId="0" borderId="0"/>
    <xf numFmtId="0" fontId="13" fillId="0" borderId="0"/>
    <xf numFmtId="0" fontId="13" fillId="0" borderId="0"/>
    <xf numFmtId="0" fontId="13" fillId="0" borderId="0"/>
    <xf numFmtId="189" fontId="13" fillId="0" borderId="0"/>
    <xf numFmtId="0" fontId="21" fillId="0" borderId="0"/>
    <xf numFmtId="0" fontId="63" fillId="0" borderId="0"/>
    <xf numFmtId="0" fontId="13" fillId="0" borderId="0"/>
    <xf numFmtId="0" fontId="13" fillId="0" borderId="0"/>
    <xf numFmtId="0" fontId="7" fillId="0" borderId="0"/>
    <xf numFmtId="193" fontId="13" fillId="0" borderId="0"/>
    <xf numFmtId="0" fontId="13" fillId="0" borderId="0"/>
    <xf numFmtId="190" fontId="13" fillId="0" borderId="0"/>
    <xf numFmtId="0" fontId="13" fillId="0" borderId="0"/>
    <xf numFmtId="189" fontId="13" fillId="0" borderId="0"/>
    <xf numFmtId="0" fontId="13" fillId="0" borderId="0"/>
    <xf numFmtId="190" fontId="13" fillId="0" borderId="0"/>
    <xf numFmtId="0" fontId="13" fillId="0" borderId="0"/>
    <xf numFmtId="0" fontId="13" fillId="0" borderId="0"/>
    <xf numFmtId="0" fontId="13" fillId="0" borderId="0"/>
    <xf numFmtId="189" fontId="13" fillId="0" borderId="0"/>
    <xf numFmtId="0" fontId="13"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92"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13" fillId="0" borderId="0"/>
    <xf numFmtId="0" fontId="7" fillId="0" borderId="0"/>
    <xf numFmtId="0" fontId="13" fillId="0" borderId="0"/>
    <xf numFmtId="189" fontId="64" fillId="0" borderId="0"/>
    <xf numFmtId="0" fontId="63" fillId="0" borderId="0"/>
    <xf numFmtId="0" fontId="7" fillId="0" borderId="0"/>
    <xf numFmtId="0" fontId="7" fillId="0" borderId="0"/>
    <xf numFmtId="0" fontId="13" fillId="0" borderId="0"/>
    <xf numFmtId="0" fontId="7" fillId="0" borderId="0"/>
    <xf numFmtId="0" fontId="7" fillId="0" borderId="0"/>
    <xf numFmtId="0" fontId="64"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13" fillId="0" borderId="0"/>
    <xf numFmtId="0" fontId="7" fillId="0" borderId="0"/>
    <xf numFmtId="0" fontId="21" fillId="0" borderId="0"/>
    <xf numFmtId="0" fontId="7" fillId="0" borderId="0"/>
    <xf numFmtId="192" fontId="21" fillId="0" borderId="0"/>
    <xf numFmtId="0" fontId="7" fillId="0" borderId="0"/>
    <xf numFmtId="0" fontId="7" fillId="0" borderId="0"/>
    <xf numFmtId="0" fontId="26" fillId="127" borderId="0"/>
    <xf numFmtId="0" fontId="7" fillId="0" borderId="0"/>
    <xf numFmtId="192" fontId="7" fillId="0" borderId="0"/>
    <xf numFmtId="0" fontId="7" fillId="0" borderId="0"/>
    <xf numFmtId="0" fontId="7" fillId="0" borderId="0"/>
    <xf numFmtId="0" fontId="13"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13" fillId="0" borderId="0"/>
    <xf numFmtId="0" fontId="13" fillId="0" borderId="0"/>
    <xf numFmtId="0" fontId="7" fillId="0" borderId="0"/>
    <xf numFmtId="0" fontId="13" fillId="0" borderId="0"/>
    <xf numFmtId="0" fontId="13" fillId="0" borderId="0"/>
    <xf numFmtId="0" fontId="7" fillId="0" borderId="0"/>
    <xf numFmtId="0" fontId="7" fillId="0" borderId="0"/>
    <xf numFmtId="0" fontId="13" fillId="0" borderId="0"/>
    <xf numFmtId="0" fontId="13" fillId="0" borderId="0"/>
    <xf numFmtId="0" fontId="13" fillId="0" borderId="0"/>
    <xf numFmtId="0" fontId="13" fillId="0" borderId="0"/>
    <xf numFmtId="0" fontId="63"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190" fontId="13" fillId="0" borderId="0"/>
    <xf numFmtId="0" fontId="64" fillId="0" borderId="0"/>
    <xf numFmtId="0" fontId="13" fillId="0" borderId="0"/>
    <xf numFmtId="190" fontId="13" fillId="0" borderId="0"/>
    <xf numFmtId="0" fontId="13"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13" fillId="0" borderId="0"/>
    <xf numFmtId="0" fontId="26" fillId="127" borderId="0"/>
    <xf numFmtId="0" fontId="26" fillId="127" borderId="0"/>
    <xf numFmtId="0" fontId="13" fillId="0" borderId="0"/>
    <xf numFmtId="0" fontId="26" fillId="127" borderId="0"/>
    <xf numFmtId="0" fontId="13" fillId="0" borderId="0"/>
    <xf numFmtId="0" fontId="26" fillId="127" borderId="0"/>
    <xf numFmtId="0" fontId="13" fillId="0" borderId="0"/>
    <xf numFmtId="0" fontId="13" fillId="0" borderId="0"/>
    <xf numFmtId="0" fontId="13" fillId="0" borderId="0"/>
    <xf numFmtId="0" fontId="13"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13" fillId="0" borderId="0"/>
    <xf numFmtId="0" fontId="13" fillId="0" borderId="0"/>
    <xf numFmtId="0" fontId="7" fillId="0" borderId="0"/>
    <xf numFmtId="0" fontId="13"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35" fillId="0" borderId="0"/>
    <xf numFmtId="0" fontId="35"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0" fontId="13" fillId="112" borderId="72" applyNumberFormat="0" applyFont="0" applyAlignment="0" applyProtection="0"/>
    <xf numFmtId="0" fontId="7" fillId="35" borderId="36"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7"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189"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189"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193" fontId="13" fillId="73" borderId="72" applyNumberFormat="0" applyFont="0" applyAlignment="0" applyProtection="0"/>
    <xf numFmtId="0" fontId="64" fillId="35" borderId="36" applyNumberFormat="0" applyFont="0" applyAlignment="0" applyProtection="0"/>
    <xf numFmtId="190" fontId="13"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192" fontId="13" fillId="112" borderId="72" applyNumberFormat="0" applyFont="0" applyAlignment="0" applyProtection="0"/>
    <xf numFmtId="0" fontId="64" fillId="35" borderId="36"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191" fontId="13" fillId="112" borderId="72" applyNumberFormat="0" applyFont="0" applyAlignment="0" applyProtection="0"/>
    <xf numFmtId="0" fontId="13" fillId="73"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190" fontId="13"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7" fillId="35" borderId="36"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192" fontId="13" fillId="112" borderId="72" applyNumberFormat="0" applyFont="0" applyAlignment="0" applyProtection="0"/>
    <xf numFmtId="0" fontId="21"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13" fillId="73" borderId="72" applyNumberFormat="0" applyFont="0" applyAlignment="0" applyProtection="0"/>
    <xf numFmtId="189"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13" fillId="73"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7" fillId="35" borderId="36"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21"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189" fontId="13" fillId="73" borderId="72" applyNumberFormat="0" applyFont="0" applyAlignment="0" applyProtection="0"/>
    <xf numFmtId="193" fontId="13" fillId="73" borderId="72" applyNumberFormat="0" applyFont="0" applyAlignment="0" applyProtection="0"/>
    <xf numFmtId="0" fontId="26" fillId="112" borderId="45"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2" fontId="13" fillId="112"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0" fontId="13" fillId="73" borderId="72"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05" fillId="35" borderId="36" applyNumberFormat="0" applyFont="0" applyAlignment="0" applyProtection="0"/>
    <xf numFmtId="191" fontId="13" fillId="112"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189"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192"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64"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64"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191" fontId="13" fillId="73" borderId="72"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2" fontId="13" fillId="73"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191" fontId="13" fillId="112" borderId="72" applyNumberFormat="0" applyFont="0" applyAlignment="0" applyProtection="0"/>
    <xf numFmtId="0" fontId="105" fillId="35" borderId="36" applyNumberFormat="0" applyFont="0" applyAlignment="0" applyProtection="0"/>
    <xf numFmtId="0" fontId="7" fillId="35" borderId="36" applyNumberFormat="0" applyFont="0" applyAlignment="0" applyProtection="0"/>
    <xf numFmtId="0" fontId="13" fillId="0" borderId="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192" fontId="13" fillId="112" borderId="72" applyNumberFormat="0" applyFont="0" applyAlignment="0" applyProtection="0"/>
    <xf numFmtId="0" fontId="13" fillId="0" borderId="0"/>
    <xf numFmtId="0" fontId="13" fillId="0" borderId="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0" borderId="0"/>
    <xf numFmtId="0" fontId="26" fillId="112" borderId="45"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73" borderId="72"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7"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7" fillId="35" borderId="36"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190" fontId="105" fillId="35" borderId="36" applyNumberFormat="0" applyFont="0" applyAlignment="0" applyProtection="0"/>
    <xf numFmtId="190" fontId="105" fillId="35" borderId="36" applyNumberFormat="0" applyFont="0" applyAlignment="0" applyProtection="0"/>
    <xf numFmtId="193" fontId="13" fillId="112" borderId="72" applyNumberFormat="0" applyFont="0" applyAlignment="0" applyProtection="0"/>
    <xf numFmtId="0" fontId="13" fillId="0" borderId="0"/>
    <xf numFmtId="0" fontId="64" fillId="35" borderId="36" applyNumberFormat="0" applyFont="0" applyAlignment="0" applyProtection="0"/>
    <xf numFmtId="0" fontId="13" fillId="112" borderId="72" applyNumberFormat="0" applyFont="0" applyAlignment="0" applyProtection="0"/>
    <xf numFmtId="0" fontId="13" fillId="0" borderId="0"/>
    <xf numFmtId="0"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190" fontId="105"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190" fontId="105" fillId="35" borderId="36" applyNumberFormat="0" applyFont="0" applyAlignment="0" applyProtection="0"/>
    <xf numFmtId="193" fontId="13" fillId="112" borderId="72"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26" fillId="112" borderId="45" applyNumberFormat="0" applyFont="0" applyAlignment="0" applyProtection="0"/>
    <xf numFmtId="0" fontId="13" fillId="0" borderId="0"/>
    <xf numFmtId="193" fontId="13" fillId="112" borderId="72" applyNumberFormat="0" applyFont="0" applyAlignment="0" applyProtection="0"/>
    <xf numFmtId="0" fontId="64" fillId="35" borderId="36" applyNumberFormat="0" applyFont="0" applyAlignment="0" applyProtection="0"/>
    <xf numFmtId="0" fontId="26" fillId="112" borderId="45" applyNumberFormat="0" applyFont="0" applyAlignment="0" applyProtection="0"/>
    <xf numFmtId="0" fontId="13" fillId="0" borderId="0"/>
    <xf numFmtId="0" fontId="26" fillId="112" borderId="45"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26" fillId="112" borderId="45" applyNumberFormat="0" applyFont="0" applyAlignment="0" applyProtection="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193" fontId="13" fillId="112"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72"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26" fillId="112" borderId="45"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193" fontId="13" fillId="112" borderId="72"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112" borderId="72"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13" fillId="73" borderId="44"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13" fillId="73" borderId="44" applyNumberFormat="0" applyFont="0" applyAlignment="0" applyProtection="0"/>
    <xf numFmtId="0" fontId="7" fillId="35" borderId="36" applyNumberFormat="0" applyFont="0" applyAlignment="0" applyProtection="0"/>
    <xf numFmtId="0" fontId="13" fillId="0" borderId="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26" fillId="112" borderId="45" applyNumberFormat="0" applyFont="0" applyAlignment="0" applyProtection="0"/>
    <xf numFmtId="0" fontId="13" fillId="0" borderId="0"/>
    <xf numFmtId="0" fontId="13" fillId="0" borderId="0"/>
    <xf numFmtId="0" fontId="7" fillId="35" borderId="36"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192" fontId="13" fillId="112" borderId="72"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13" fillId="73" borderId="44" applyNumberFormat="0" applyFont="0" applyAlignment="0" applyProtection="0"/>
    <xf numFmtId="190"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0" fontId="13" fillId="112" borderId="72" applyNumberFormat="0" applyFont="0" applyAlignment="0" applyProtection="0"/>
    <xf numFmtId="193" fontId="13" fillId="112" borderId="72" applyNumberFormat="0" applyFont="0" applyAlignment="0" applyProtection="0"/>
    <xf numFmtId="193" fontId="13" fillId="112" borderId="72"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191" fontId="13" fillId="112" borderId="72" applyNumberFormat="0" applyFont="0" applyAlignment="0" applyProtection="0"/>
    <xf numFmtId="191"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2" fontId="13" fillId="112" borderId="72" applyNumberFormat="0" applyFont="0" applyAlignment="0" applyProtection="0"/>
    <xf numFmtId="190" fontId="13" fillId="112" borderId="72" applyNumberFormat="0" applyFont="0" applyAlignment="0" applyProtection="0"/>
    <xf numFmtId="193" fontId="13" fillId="112" borderId="72" applyNumberFormat="0" applyFont="0" applyAlignment="0" applyProtection="0"/>
    <xf numFmtId="0" fontId="105" fillId="35" borderId="36" applyNumberFormat="0" applyFont="0" applyAlignment="0" applyProtection="0"/>
    <xf numFmtId="0" fontId="7" fillId="35" borderId="36" applyNumberFormat="0" applyFont="0" applyAlignment="0" applyProtection="0"/>
    <xf numFmtId="0"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13" fillId="112" borderId="72" applyNumberFormat="0" applyFont="0" applyAlignment="0" applyProtection="0"/>
    <xf numFmtId="193" fontId="13" fillId="112" borderId="72" applyNumberFormat="0" applyFont="0" applyAlignment="0" applyProtection="0"/>
    <xf numFmtId="0" fontId="26" fillId="112" borderId="45" applyNumberFormat="0" applyFont="0" applyAlignment="0" applyProtection="0"/>
    <xf numFmtId="193" fontId="13" fillId="112" borderId="72"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193" fontId="13" fillId="112" borderId="72" applyNumberFormat="0" applyFont="0" applyAlignment="0" applyProtection="0"/>
    <xf numFmtId="0" fontId="105" fillId="35" borderId="36" applyNumberFormat="0" applyFont="0" applyAlignment="0" applyProtection="0"/>
    <xf numFmtId="191" fontId="13" fillId="112" borderId="72" applyNumberFormat="0" applyFont="0" applyAlignment="0" applyProtection="0"/>
    <xf numFmtId="191"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2" fontId="13" fillId="112" borderId="72" applyNumberFormat="0" applyFont="0" applyAlignment="0" applyProtection="0"/>
    <xf numFmtId="0" fontId="13" fillId="112" borderId="72" applyNumberFormat="0" applyFont="0" applyAlignment="0" applyProtection="0"/>
    <xf numFmtId="193" fontId="13" fillId="112" borderId="72" applyNumberFormat="0" applyFont="0" applyAlignment="0" applyProtection="0"/>
    <xf numFmtId="0" fontId="26" fillId="112" borderId="45" applyNumberFormat="0" applyFont="0" applyAlignment="0" applyProtection="0"/>
    <xf numFmtId="191" fontId="105" fillId="35" borderId="36" applyNumberFormat="0" applyFont="0" applyAlignment="0" applyProtection="0"/>
    <xf numFmtId="191" fontId="105" fillId="35" borderId="36"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2" fontId="105" fillId="35" borderId="36" applyNumberFormat="0" applyFont="0" applyAlignment="0" applyProtection="0"/>
    <xf numFmtId="192" fontId="105" fillId="35" borderId="36" applyNumberFormat="0" applyFont="0" applyAlignment="0" applyProtection="0"/>
    <xf numFmtId="0" fontId="26" fillId="112" borderId="45" applyNumberFormat="0" applyFont="0" applyAlignment="0" applyProtection="0"/>
    <xf numFmtId="0" fontId="105" fillId="35" borderId="36" applyNumberFormat="0" applyFont="0" applyAlignment="0" applyProtection="0"/>
    <xf numFmtId="0" fontId="7" fillId="35" borderId="36"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0" fontId="26" fillId="112" borderId="45" applyNumberFormat="0" applyFont="0" applyAlignment="0" applyProtection="0"/>
    <xf numFmtId="191" fontId="13" fillId="112" borderId="72" applyNumberFormat="0" applyFont="0" applyAlignment="0" applyProtection="0"/>
    <xf numFmtId="191" fontId="13" fillId="112" borderId="72"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190" fontId="13" fillId="112" borderId="72" applyNumberFormat="0" applyFont="0" applyAlignment="0" applyProtection="0"/>
    <xf numFmtId="0" fontId="13" fillId="0" borderId="0"/>
    <xf numFmtId="193"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190" fontId="13" fillId="112" borderId="72"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0" fontId="13" fillId="0" borderId="0"/>
    <xf numFmtId="0" fontId="13" fillId="0" borderId="0"/>
    <xf numFmtId="0" fontId="13" fillId="73" borderId="44" applyNumberFormat="0" applyFont="0" applyAlignment="0" applyProtection="0"/>
    <xf numFmtId="0" fontId="13" fillId="73" borderId="72"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13" fillId="73" borderId="44" applyNumberFormat="0" applyFont="0" applyAlignment="0" applyProtection="0"/>
    <xf numFmtId="0" fontId="13" fillId="112"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192" fontId="13" fillId="112" borderId="72" applyNumberFormat="0" applyFont="0" applyAlignment="0" applyProtection="0"/>
    <xf numFmtId="0" fontId="13" fillId="0" borderId="0"/>
    <xf numFmtId="0" fontId="13" fillId="0" borderId="0"/>
    <xf numFmtId="191" fontId="13" fillId="112" borderId="72" applyNumberFormat="0" applyFont="0" applyAlignment="0" applyProtection="0"/>
    <xf numFmtId="191" fontId="13" fillId="112" borderId="72" applyNumberFormat="0" applyFont="0" applyAlignment="0" applyProtection="0"/>
    <xf numFmtId="192" fontId="13" fillId="112" borderId="72" applyNumberFormat="0" applyFont="0" applyAlignment="0" applyProtection="0"/>
    <xf numFmtId="0" fontId="13" fillId="112" borderId="72" applyNumberFormat="0" applyFont="0" applyAlignment="0" applyProtection="0"/>
    <xf numFmtId="193"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190" fontId="13" fillId="112" borderId="72" applyNumberFormat="0" applyFont="0" applyAlignment="0" applyProtection="0"/>
    <xf numFmtId="0" fontId="13" fillId="0" borderId="0"/>
    <xf numFmtId="190"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190" fontId="13" fillId="112" borderId="72"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189" fontId="13" fillId="112" borderId="72" applyNumberFormat="0" applyFont="0" applyAlignment="0" applyProtection="0"/>
    <xf numFmtId="0" fontId="7"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13" fillId="73" borderId="44"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73"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73" borderId="44" applyNumberFormat="0" applyFont="0" applyAlignment="0" applyProtection="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0" fontId="13" fillId="0" borderId="0"/>
    <xf numFmtId="0" fontId="13" fillId="73"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73"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13" fillId="73" borderId="44"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73" borderId="44" applyNumberFormat="0" applyFont="0" applyAlignment="0" applyProtection="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13" fillId="0" borderId="0"/>
    <xf numFmtId="0" fontId="176" fillId="117" borderId="20" applyNumberFormat="0" applyAlignment="0" applyProtection="0"/>
    <xf numFmtId="0" fontId="13" fillId="0" borderId="0"/>
    <xf numFmtId="0" fontId="176" fillId="118"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7" fontId="176" fillId="84" borderId="20" applyNumberFormat="0" applyAlignment="0" applyProtection="0"/>
    <xf numFmtId="189"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118" borderId="20" applyNumberFormat="0" applyAlignment="0" applyProtection="0"/>
    <xf numFmtId="193" fontId="176" fillId="84" borderId="20" applyNumberFormat="0" applyAlignment="0" applyProtection="0"/>
    <xf numFmtId="190" fontId="176" fillId="84"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191"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192" fontId="176" fillId="117" borderId="20" applyNumberFormat="0" applyAlignment="0" applyProtection="0"/>
    <xf numFmtId="0" fontId="176" fillId="84" borderId="20" applyNumberFormat="0" applyAlignment="0" applyProtection="0"/>
    <xf numFmtId="193" fontId="176" fillId="84" borderId="20" applyNumberFormat="0" applyAlignment="0" applyProtection="0"/>
    <xf numFmtId="191"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0" fontId="176" fillId="84" borderId="20" applyNumberFormat="0" applyAlignment="0" applyProtection="0"/>
    <xf numFmtId="190" fontId="176" fillId="84" borderId="20" applyNumberFormat="0" applyAlignment="0" applyProtection="0"/>
    <xf numFmtId="189" fontId="176" fillId="84" borderId="20" applyNumberFormat="0" applyAlignment="0" applyProtection="0"/>
    <xf numFmtId="193" fontId="176" fillId="84" borderId="20" applyNumberFormat="0" applyAlignment="0" applyProtection="0"/>
    <xf numFmtId="190"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1" fontId="176" fillId="117" borderId="20" applyNumberFormat="0" applyAlignment="0" applyProtection="0"/>
    <xf numFmtId="190"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2" fontId="176" fillId="117" borderId="20" applyNumberFormat="0" applyAlignment="0" applyProtection="0"/>
    <xf numFmtId="0" fontId="85" fillId="33" borderId="33" applyNumberFormat="0" applyAlignment="0" applyProtection="0"/>
    <xf numFmtId="193" fontId="176" fillId="84" borderId="20" applyNumberFormat="0" applyAlignment="0" applyProtection="0"/>
    <xf numFmtId="0" fontId="176" fillId="84" borderId="20" applyNumberFormat="0" applyAlignment="0" applyProtection="0"/>
    <xf numFmtId="191"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7" fillId="33" borderId="33" applyNumberFormat="0" applyAlignment="0" applyProtection="0"/>
    <xf numFmtId="0" fontId="176" fillId="84" borderId="20" applyNumberFormat="0" applyAlignment="0" applyProtection="0"/>
    <xf numFmtId="192" fontId="176" fillId="84" borderId="20" applyNumberFormat="0" applyAlignment="0" applyProtection="0"/>
    <xf numFmtId="191" fontId="176" fillId="84" borderId="20" applyNumberFormat="0" applyAlignment="0" applyProtection="0"/>
    <xf numFmtId="191"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2" fontId="176" fillId="84" borderId="20" applyNumberFormat="0" applyAlignment="0" applyProtection="0"/>
    <xf numFmtId="192" fontId="177" fillId="33" borderId="33" applyNumberFormat="0" applyAlignment="0" applyProtection="0"/>
    <xf numFmtId="191" fontId="177" fillId="33" borderId="33"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192" fontId="85" fillId="33" borderId="33" applyNumberFormat="0" applyAlignment="0" applyProtection="0"/>
    <xf numFmtId="191" fontId="176" fillId="117" borderId="20" applyNumberFormat="0" applyAlignment="0" applyProtection="0"/>
    <xf numFmtId="191" fontId="176" fillId="117" borderId="20" applyNumberFormat="0" applyAlignment="0" applyProtection="0"/>
    <xf numFmtId="192" fontId="176" fillId="117" borderId="20" applyNumberFormat="0" applyAlignment="0" applyProtection="0"/>
    <xf numFmtId="192" fontId="176" fillId="117" borderId="20" applyNumberFormat="0" applyAlignment="0" applyProtection="0"/>
    <xf numFmtId="192" fontId="176" fillId="117" borderId="20" applyNumberFormat="0" applyAlignment="0" applyProtection="0"/>
    <xf numFmtId="192" fontId="176" fillId="117" borderId="20" applyNumberFormat="0" applyAlignment="0" applyProtection="0"/>
    <xf numFmtId="0" fontId="176" fillId="78"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118" borderId="20" applyNumberFormat="0" applyAlignment="0" applyProtection="0"/>
    <xf numFmtId="0" fontId="176" fillId="78" borderId="20" applyNumberFormat="0" applyAlignment="0" applyProtection="0"/>
    <xf numFmtId="193"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0" fontId="176" fillId="84" borderId="20" applyNumberFormat="0" applyAlignment="0" applyProtection="0"/>
    <xf numFmtId="193" fontId="176" fillId="117" borderId="20" applyNumberFormat="0" applyAlignment="0" applyProtection="0"/>
    <xf numFmtId="193"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0" fontId="176" fillId="84" borderId="20" applyNumberFormat="0" applyAlignment="0" applyProtection="0"/>
    <xf numFmtId="190" fontId="176" fillId="84"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7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0" fontId="176" fillId="84" borderId="20" applyNumberFormat="0" applyAlignment="0" applyProtection="0"/>
    <xf numFmtId="190" fontId="176" fillId="84" borderId="20" applyNumberFormat="0" applyAlignment="0" applyProtection="0"/>
    <xf numFmtId="0" fontId="176" fillId="117" borderId="20" applyNumberFormat="0" applyAlignment="0" applyProtection="0"/>
    <xf numFmtId="193" fontId="176" fillId="117" borderId="20" applyNumberFormat="0" applyAlignment="0" applyProtection="0"/>
    <xf numFmtId="193" fontId="176" fillId="117" borderId="20" applyNumberFormat="0" applyAlignment="0" applyProtection="0"/>
    <xf numFmtId="191" fontId="176" fillId="117" borderId="20" applyNumberFormat="0" applyAlignment="0" applyProtection="0"/>
    <xf numFmtId="191"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2" fontId="176" fillId="117" borderId="20" applyNumberFormat="0" applyAlignment="0" applyProtection="0"/>
    <xf numFmtId="0" fontId="176" fillId="84" borderId="20" applyNumberFormat="0" applyAlignment="0" applyProtection="0"/>
    <xf numFmtId="193"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1" fontId="177" fillId="33" borderId="33" applyNumberFormat="0" applyAlignment="0" applyProtection="0"/>
    <xf numFmtId="0" fontId="176" fillId="118" borderId="20" applyNumberFormat="0" applyAlignment="0" applyProtection="0"/>
    <xf numFmtId="0" fontId="177" fillId="33" borderId="33"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78" borderId="20" applyNumberFormat="0" applyAlignment="0" applyProtection="0"/>
    <xf numFmtId="0" fontId="176" fillId="78" borderId="20" applyNumberFormat="0" applyAlignment="0" applyProtection="0"/>
    <xf numFmtId="191"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190" fontId="176" fillId="117" borderId="20" applyNumberFormat="0" applyAlignment="0" applyProtection="0"/>
    <xf numFmtId="0" fontId="85" fillId="33" borderId="33"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190" fontId="176" fillId="117" borderId="20" applyNumberFormat="0" applyAlignment="0" applyProtection="0"/>
    <xf numFmtId="0" fontId="176" fillId="78" borderId="20" applyNumberFormat="0" applyAlignment="0" applyProtection="0"/>
    <xf numFmtId="192" fontId="176" fillId="117" borderId="20" applyNumberFormat="0" applyAlignment="0" applyProtection="0"/>
    <xf numFmtId="0" fontId="176" fillId="117" borderId="20" applyNumberFormat="0" applyAlignment="0" applyProtection="0"/>
    <xf numFmtId="0" fontId="176" fillId="84"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31" fillId="77" borderId="73" applyNumberFormat="0" applyAlignment="0" applyProtection="0"/>
    <xf numFmtId="0" fontId="131" fillId="77" borderId="73" applyNumberFormat="0" applyAlignment="0" applyProtection="0"/>
    <xf numFmtId="0" fontId="131" fillId="77" borderId="73" applyNumberFormat="0" applyAlignment="0" applyProtection="0"/>
    <xf numFmtId="0" fontId="131" fillId="77" borderId="73" applyNumberFormat="0" applyAlignment="0" applyProtection="0"/>
    <xf numFmtId="0" fontId="176" fillId="78" borderId="20" applyNumberFormat="0" applyAlignment="0" applyProtection="0"/>
    <xf numFmtId="0" fontId="131" fillId="77" borderId="73" applyNumberFormat="0" applyAlignment="0" applyProtection="0"/>
    <xf numFmtId="0" fontId="131" fillId="77" borderId="73" applyNumberFormat="0" applyAlignment="0" applyProtection="0"/>
    <xf numFmtId="0" fontId="176" fillId="78" borderId="20" applyNumberFormat="0" applyAlignment="0" applyProtection="0"/>
    <xf numFmtId="190" fontId="176" fillId="117" borderId="20" applyNumberFormat="0" applyAlignment="0" applyProtection="0"/>
    <xf numFmtId="190" fontId="176" fillId="117" borderId="20" applyNumberFormat="0" applyAlignment="0" applyProtection="0"/>
    <xf numFmtId="192" fontId="176" fillId="117" borderId="20" applyNumberFormat="0" applyAlignment="0" applyProtection="0"/>
    <xf numFmtId="189" fontId="176" fillId="117" borderId="20" applyNumberFormat="0" applyAlignment="0" applyProtection="0"/>
    <xf numFmtId="0" fontId="176" fillId="84"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0" fontId="176" fillId="78" borderId="20" applyNumberFormat="0" applyAlignment="0" applyProtection="0"/>
    <xf numFmtId="0"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11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3" fillId="0" borderId="0"/>
    <xf numFmtId="0" fontId="13" fillId="0" borderId="0"/>
    <xf numFmtId="0" fontId="13" fillId="0" borderId="0"/>
    <xf numFmtId="0" fontId="85" fillId="33" borderId="33" applyNumberFormat="0" applyAlignment="0" applyProtection="0"/>
    <xf numFmtId="0" fontId="13" fillId="0" borderId="0"/>
    <xf numFmtId="10" fontId="13" fillId="0" borderId="0" applyFont="0" applyFill="0" applyBorder="0" applyAlignment="0" applyProtection="0"/>
    <xf numFmtId="10" fontId="13" fillId="0" borderId="0" applyFont="0" applyFill="0" applyBorder="0" applyAlignment="0" applyProtection="0"/>
    <xf numFmtId="0" fontId="13" fillId="0" borderId="0"/>
    <xf numFmtId="10" fontId="13" fillId="0" borderId="0" applyFont="0" applyFill="0" applyBorder="0" applyAlignment="0" applyProtection="0"/>
    <xf numFmtId="10" fontId="13" fillId="0" borderId="0" applyFont="0" applyFill="0" applyBorder="0" applyAlignment="0" applyProtection="0"/>
    <xf numFmtId="0" fontId="13" fillId="0" borderId="0"/>
    <xf numFmtId="0" fontId="13" fillId="0" borderId="0"/>
    <xf numFmtId="10" fontId="13" fillId="0" borderId="0" applyFont="0" applyFill="0" applyBorder="0" applyAlignment="0" applyProtection="0"/>
    <xf numFmtId="10" fontId="13" fillId="0" borderId="0" applyFont="0" applyFill="0" applyBorder="0" applyAlignment="0" applyProtection="0"/>
    <xf numFmtId="0" fontId="13" fillId="0" borderId="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2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13"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7" fillId="0" borderId="0" applyFont="0" applyFill="0" applyBorder="0" applyAlignment="0" applyProtection="0"/>
    <xf numFmtId="0" fontId="13" fillId="0" borderId="0"/>
    <xf numFmtId="9" fontId="125"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7"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0" fontId="13" fillId="0" borderId="0"/>
    <xf numFmtId="9" fontId="64" fillId="0" borderId="0" applyFont="0" applyFill="0" applyBorder="0" applyAlignment="0" applyProtection="0"/>
    <xf numFmtId="0" fontId="13" fillId="0" borderId="0"/>
    <xf numFmtId="9" fontId="64"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35"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9" fontId="63" fillId="0" borderId="0" applyFont="0" applyFill="0" applyBorder="0" applyAlignment="0" applyProtection="0"/>
    <xf numFmtId="0" fontId="13" fillId="0" borderId="0"/>
    <xf numFmtId="9" fontId="7"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9" fontId="6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6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9" fontId="7" fillId="0" borderId="0" applyFont="0" applyFill="0" applyBorder="0" applyAlignment="0" applyProtection="0"/>
    <xf numFmtId="9" fontId="10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0" fontId="13" fillId="0" borderId="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xf numFmtId="9" fontId="35"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7"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0" fontId="13" fillId="0" borderId="0"/>
    <xf numFmtId="9" fontId="64" fillId="0" borderId="0" applyFont="0" applyFill="0" applyBorder="0" applyAlignment="0" applyProtection="0"/>
    <xf numFmtId="9" fontId="63"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26" fillId="0" borderId="0" applyFont="0" applyFill="0" applyBorder="0" applyAlignment="0" applyProtection="0"/>
    <xf numFmtId="9" fontId="64"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0" fontId="3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2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125"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7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7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19" fontId="179" fillId="0" borderId="0" applyProtection="0"/>
    <xf numFmtId="219" fontId="179" fillId="0" borderId="0" applyProtection="0"/>
    <xf numFmtId="0" fontId="13" fillId="0" borderId="0"/>
    <xf numFmtId="0" fontId="13" fillId="0" borderId="0"/>
    <xf numFmtId="0" fontId="180" fillId="0" borderId="1" applyNumberFormat="0" applyFill="0" applyBorder="0" applyAlignment="0" applyProtection="0">
      <protection hidden="1"/>
    </xf>
    <xf numFmtId="0" fontId="180" fillId="0" borderId="1" applyNumberFormat="0" applyFill="0" applyBorder="0" applyAlignment="0" applyProtection="0">
      <protection hidden="1"/>
    </xf>
    <xf numFmtId="0" fontId="13" fillId="0" borderId="0"/>
    <xf numFmtId="0" fontId="13" fillId="0" borderId="0"/>
    <xf numFmtId="0" fontId="13" fillId="0" borderId="0"/>
    <xf numFmtId="0" fontId="13" fillId="0" borderId="0"/>
    <xf numFmtId="0" fontId="13" fillId="0" borderId="0"/>
    <xf numFmtId="4" fontId="181" fillId="81" borderId="74" applyNumberFormat="0" applyProtection="0">
      <alignment vertical="center"/>
    </xf>
    <xf numFmtId="4" fontId="181" fillId="81" borderId="74" applyNumberFormat="0" applyProtection="0">
      <alignment vertical="center"/>
    </xf>
    <xf numFmtId="4" fontId="182" fillId="128" borderId="67" applyNumberFormat="0" applyProtection="0">
      <alignment horizontal="right" vertical="center" wrapText="1"/>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2" fillId="128" borderId="67" applyNumberFormat="0" applyProtection="0">
      <alignment horizontal="right" vertical="center" wrapText="1"/>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21" fillId="11" borderId="20"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2" fillId="129" borderId="67" applyNumberFormat="0" applyProtection="0">
      <alignment horizontal="right" vertical="center" wrapText="1"/>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44" fillId="11" borderId="20"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3" fillId="81" borderId="74" applyNumberFormat="0" applyProtection="0">
      <alignment vertical="center"/>
    </xf>
    <xf numFmtId="4" fontId="183" fillId="1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5" fillId="130" borderId="55">
      <alignment vertical="center"/>
    </xf>
    <xf numFmtId="4" fontId="185" fillId="130" borderId="55">
      <alignment vertical="center"/>
    </xf>
    <xf numFmtId="0" fontId="13" fillId="0" borderId="0"/>
    <xf numFmtId="0" fontId="13" fillId="0" borderId="0"/>
    <xf numFmtId="4" fontId="186" fillId="130" borderId="55">
      <alignment vertical="center"/>
    </xf>
    <xf numFmtId="4" fontId="186" fillId="130" borderId="55">
      <alignment vertical="center"/>
    </xf>
    <xf numFmtId="0" fontId="13" fillId="0" borderId="0"/>
    <xf numFmtId="0" fontId="13" fillId="0" borderId="0"/>
    <xf numFmtId="4" fontId="185" fillId="131" borderId="55">
      <alignment vertical="center"/>
    </xf>
    <xf numFmtId="4" fontId="185" fillId="131" borderId="55">
      <alignment vertical="center"/>
    </xf>
    <xf numFmtId="0" fontId="13" fillId="0" borderId="0"/>
    <xf numFmtId="0" fontId="13" fillId="0" borderId="0"/>
    <xf numFmtId="4" fontId="186" fillId="131" borderId="55">
      <alignment vertical="center"/>
    </xf>
    <xf numFmtId="4" fontId="186" fillId="131" borderId="55">
      <alignment vertical="center"/>
    </xf>
    <xf numFmtId="0" fontId="13" fillId="0" borderId="0"/>
    <xf numFmtId="0" fontId="13" fillId="0" borderId="0"/>
    <xf numFmtId="4" fontId="21" fillId="11" borderId="20"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2" fillId="129" borderId="67"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0" fontId="181" fillId="1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0" fontId="181" fillId="81" borderId="74" applyNumberFormat="0" applyProtection="0">
      <alignment horizontal="left" vertical="top" indent="1"/>
    </xf>
    <xf numFmtId="190" fontId="181" fillId="81" borderId="74" applyNumberFormat="0" applyProtection="0">
      <alignment horizontal="left" vertical="top" indent="1"/>
    </xf>
    <xf numFmtId="197" fontId="181" fillId="81" borderId="74" applyNumberFormat="0" applyProtection="0">
      <alignment horizontal="left" vertical="top" indent="1"/>
    </xf>
    <xf numFmtId="189" fontId="181" fillId="81" borderId="74" applyNumberFormat="0" applyProtection="0">
      <alignment horizontal="left" vertical="top" indent="1"/>
    </xf>
    <xf numFmtId="0" fontId="181" fillId="81" borderId="74" applyNumberFormat="0" applyProtection="0">
      <alignment horizontal="left" vertical="top" indent="1"/>
    </xf>
    <xf numFmtId="0" fontId="187" fillId="81" borderId="74" applyNumberFormat="0" applyProtection="0">
      <alignment horizontal="left" vertical="top" indent="1"/>
    </xf>
    <xf numFmtId="192" fontId="181" fillId="81" borderId="74" applyNumberFormat="0" applyProtection="0">
      <alignment horizontal="left" vertical="top" indent="1"/>
    </xf>
    <xf numFmtId="189" fontId="181" fillId="81" borderId="74" applyNumberFormat="0" applyProtection="0">
      <alignment horizontal="left" vertical="top" indent="1"/>
    </xf>
    <xf numFmtId="0" fontId="181" fillId="81" borderId="74" applyNumberFormat="0" applyProtection="0">
      <alignment horizontal="left" vertical="top" indent="1"/>
    </xf>
    <xf numFmtId="0" fontId="187" fillId="81" borderId="74" applyNumberFormat="0" applyProtection="0">
      <alignment horizontal="left" vertical="top" indent="1"/>
    </xf>
    <xf numFmtId="193" fontId="187"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1" fontId="181" fillId="81" borderId="74" applyNumberFormat="0" applyProtection="0">
      <alignment horizontal="left" vertical="top" indent="1"/>
    </xf>
    <xf numFmtId="190" fontId="181" fillId="81" borderId="74" applyNumberFormat="0" applyProtection="0">
      <alignment horizontal="left" vertical="top" indent="1"/>
    </xf>
    <xf numFmtId="193" fontId="187"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0" fontId="181" fillId="81" borderId="74" applyNumberFormat="0" applyProtection="0">
      <alignment horizontal="left" vertical="top" indent="1"/>
    </xf>
    <xf numFmtId="190" fontId="181"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0" fontId="181" fillId="81" borderId="74" applyNumberFormat="0" applyProtection="0">
      <alignment horizontal="left" vertical="top" indent="1"/>
    </xf>
    <xf numFmtId="190" fontId="181" fillId="81" borderId="74" applyNumberFormat="0" applyProtection="0">
      <alignment horizontal="left" vertical="top" indent="1"/>
    </xf>
    <xf numFmtId="0" fontId="181" fillId="11" borderId="74" applyNumberFormat="0" applyProtection="0">
      <alignment horizontal="left" vertical="top" indent="1"/>
    </xf>
    <xf numFmtId="193" fontId="181"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1" fontId="181" fillId="81" borderId="74" applyNumberFormat="0" applyProtection="0">
      <alignment horizontal="left" vertical="top" indent="1"/>
    </xf>
    <xf numFmtId="190" fontId="181" fillId="81" borderId="74" applyNumberFormat="0" applyProtection="0">
      <alignment horizontal="left" vertical="top" indent="1"/>
    </xf>
    <xf numFmtId="193" fontId="181"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2" fontId="181" fillId="81" borderId="74" applyNumberFormat="0" applyProtection="0">
      <alignment horizontal="left" vertical="top" indent="1"/>
    </xf>
    <xf numFmtId="0" fontId="187" fillId="81" borderId="74" applyNumberFormat="0" applyProtection="0">
      <alignment horizontal="left" vertical="top" indent="1"/>
    </xf>
    <xf numFmtId="4" fontId="21" fillId="11" borderId="20" applyNumberFormat="0" applyProtection="0">
      <alignment horizontal="left" vertical="center" indent="1"/>
    </xf>
    <xf numFmtId="193"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2" fontId="181" fillId="81" borderId="74" applyNumberFormat="0" applyProtection="0">
      <alignment horizontal="left" vertical="top" indent="1"/>
    </xf>
    <xf numFmtId="192"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2" fontId="181" fillId="81" borderId="74" applyNumberFormat="0" applyProtection="0">
      <alignment horizontal="left" vertical="top" indent="1"/>
    </xf>
    <xf numFmtId="192" fontId="181" fillId="81" borderId="74" applyNumberFormat="0" applyProtection="0">
      <alignment horizontal="left" vertical="top" indent="1"/>
    </xf>
    <xf numFmtId="0" fontId="181" fillId="81" borderId="74" applyNumberFormat="0" applyProtection="0">
      <alignment horizontal="left" vertical="top" indent="1"/>
    </xf>
    <xf numFmtId="191"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1" fontId="181" fillId="81" borderId="74" applyNumberFormat="0" applyProtection="0">
      <alignment horizontal="left" vertical="top" indent="1"/>
    </xf>
    <xf numFmtId="19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4" fontId="188" fillId="132" borderId="67" applyNumberFormat="0" applyProtection="0">
      <alignment horizontal="left" vertical="center"/>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88" fillId="132" borderId="67" applyNumberFormat="0" applyProtection="0">
      <alignment horizontal="left" vertical="center"/>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88" fillId="132" borderId="67" applyNumberFormat="0" applyProtection="0">
      <alignment horizontal="left" vertical="center"/>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0" fontId="13" fillId="133" borderId="20" applyNumberFormat="0" applyProtection="0">
      <alignment horizontal="left" vertical="center" indent="1"/>
    </xf>
    <xf numFmtId="4" fontId="188" fillId="132" borderId="67" applyNumberFormat="0" applyProtection="0">
      <alignment horizontal="left" vertical="center"/>
    </xf>
    <xf numFmtId="0" fontId="13" fillId="0" borderId="0"/>
    <xf numFmtId="0" fontId="13" fillId="133" borderId="20"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81" fillId="71" borderId="0"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66" fillId="15" borderId="67" applyNumberFormat="0">
      <alignment horizontal="right" vertical="center"/>
    </xf>
    <xf numFmtId="4" fontId="21" fillId="16" borderId="20"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134" borderId="20"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136" borderId="20"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8" borderId="20"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137" borderId="20"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17" borderId="20"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138" borderId="20"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139" borderId="20"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40" borderId="20"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181" fillId="141" borderId="20"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181" fillId="142" borderId="75" applyNumberFormat="0" applyProtection="0">
      <alignment horizontal="left" vertical="center" indent="1"/>
    </xf>
    <xf numFmtId="4" fontId="26" fillId="142" borderId="73" applyNumberFormat="0" applyProtection="0">
      <alignment horizontal="left" vertical="center" indent="1"/>
    </xf>
    <xf numFmtId="4" fontId="181" fillId="142" borderId="75" applyNumberFormat="0" applyProtection="0">
      <alignment horizontal="left" vertical="center" indent="1"/>
    </xf>
    <xf numFmtId="4" fontId="181" fillId="0" borderId="67" applyNumberFormat="0" applyProtection="0">
      <alignment horizontal="left" vertical="center" indent="1"/>
    </xf>
    <xf numFmtId="4" fontId="181" fillId="0" borderId="67" applyNumberFormat="0" applyProtection="0">
      <alignment horizontal="left" vertical="center" indent="1"/>
    </xf>
    <xf numFmtId="4" fontId="181" fillId="0" borderId="67" applyNumberFormat="0" applyProtection="0">
      <alignment horizontal="left" vertical="center" indent="1"/>
    </xf>
    <xf numFmtId="4" fontId="181" fillId="141" borderId="20" applyNumberFormat="0" applyProtection="0">
      <alignment horizontal="left" vertical="center" indent="1"/>
    </xf>
    <xf numFmtId="0" fontId="13" fillId="0" borderId="0"/>
    <xf numFmtId="4" fontId="181" fillId="141" borderId="20" applyNumberFormat="0" applyProtection="0">
      <alignment horizontal="left" vertical="center" indent="1"/>
    </xf>
    <xf numFmtId="4" fontId="181" fillId="141" borderId="20" applyNumberFormat="0" applyProtection="0">
      <alignment horizontal="left" vertical="center" indent="1"/>
    </xf>
    <xf numFmtId="4" fontId="181" fillId="141" borderId="20" applyNumberFormat="0" applyProtection="0">
      <alignment horizontal="left" vertical="center" indent="1"/>
    </xf>
    <xf numFmtId="0" fontId="13" fillId="0" borderId="0"/>
    <xf numFmtId="4" fontId="21" fillId="24" borderId="76"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21" fillId="143" borderId="0"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21" fillId="143" borderId="0" applyNumberFormat="0" applyProtection="0">
      <alignment horizontal="left" vertical="center" indent="1"/>
    </xf>
    <xf numFmtId="4" fontId="13" fillId="80" borderId="73" applyNumberFormat="0" applyProtection="0">
      <alignment horizontal="left" vertical="center" indent="1"/>
    </xf>
    <xf numFmtId="4" fontId="21" fillId="0" borderId="67"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21" fillId="143" borderId="0" applyNumberFormat="0" applyProtection="0">
      <alignment horizontal="left" vertical="center" indent="1"/>
    </xf>
    <xf numFmtId="4" fontId="21" fillId="24" borderId="77" applyNumberFormat="0" applyProtection="0">
      <alignment horizontal="left" vertical="center" indent="1"/>
    </xf>
    <xf numFmtId="4" fontId="21" fillId="143" borderId="0" applyNumberFormat="0" applyProtection="0">
      <alignment horizontal="left" vertical="center" indent="1"/>
    </xf>
    <xf numFmtId="0" fontId="13" fillId="0" borderId="0"/>
    <xf numFmtId="4" fontId="189" fillId="144" borderId="0"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89" fillId="80" borderId="0" applyNumberFormat="0" applyProtection="0">
      <alignment horizontal="left" vertical="center" indent="1"/>
    </xf>
    <xf numFmtId="4" fontId="189" fillId="80" borderId="0" applyNumberFormat="0" applyProtection="0">
      <alignment horizontal="left" vertical="center" indent="1"/>
    </xf>
    <xf numFmtId="4" fontId="189" fillId="80" borderId="0" applyNumberFormat="0" applyProtection="0">
      <alignment horizontal="left" vertical="center" indent="1"/>
    </xf>
    <xf numFmtId="0" fontId="13" fillId="0" borderId="0"/>
    <xf numFmtId="0" fontId="13" fillId="133" borderId="20" applyNumberFormat="0" applyProtection="0">
      <alignment horizontal="left" vertical="center" indent="1"/>
    </xf>
    <xf numFmtId="4" fontId="21" fillId="71" borderId="74" applyNumberFormat="0" applyProtection="0">
      <alignment horizontal="right" vertical="center"/>
    </xf>
    <xf numFmtId="4" fontId="21" fillId="71" borderId="74"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190" fillId="84" borderId="74" applyNumberFormat="0" applyProtection="0">
      <alignment horizontal="center"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191" fillId="10" borderId="78">
      <alignment horizontal="left" vertical="center" indent="1"/>
    </xf>
    <xf numFmtId="4" fontId="191" fillId="10" borderId="78">
      <alignment horizontal="left" vertical="center" indent="1"/>
    </xf>
    <xf numFmtId="0" fontId="13" fillId="0" borderId="0"/>
    <xf numFmtId="0" fontId="13" fillId="0" borderId="0"/>
    <xf numFmtId="4" fontId="21" fillId="24" borderId="20"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188" fillId="0" borderId="0" applyNumberFormat="0" applyProtection="0">
      <alignment horizontal="left" vertical="center" indent="1"/>
    </xf>
    <xf numFmtId="4" fontId="21" fillId="143" borderId="0" applyNumberFormat="0" applyProtection="0">
      <alignment horizontal="left" vertical="center" indent="1"/>
    </xf>
    <xf numFmtId="0" fontId="13" fillId="0" borderId="0"/>
    <xf numFmtId="0" fontId="13" fillId="0" borderId="0"/>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188" fillId="0" borderId="0"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1" fillId="143" borderId="0" applyNumberFormat="0" applyProtection="0">
      <alignment horizontal="left" vertical="center" indent="1"/>
    </xf>
    <xf numFmtId="4" fontId="26" fillId="143" borderId="73" applyNumberFormat="0" applyProtection="0">
      <alignment horizontal="left" vertical="center" indent="1"/>
    </xf>
    <xf numFmtId="0" fontId="13" fillId="0" borderId="0"/>
    <xf numFmtId="4" fontId="21" fillId="143" borderId="0" applyNumberFormat="0" applyProtection="0">
      <alignment horizontal="left" vertical="center" indent="1"/>
    </xf>
    <xf numFmtId="4" fontId="21" fillId="143" borderId="0" applyNumberFormat="0" applyProtection="0">
      <alignment horizontal="left" vertical="center" indent="1"/>
    </xf>
    <xf numFmtId="4" fontId="21" fillId="143" borderId="0" applyNumberFormat="0" applyProtection="0">
      <alignment horizontal="left" vertical="center" indent="1"/>
    </xf>
    <xf numFmtId="4" fontId="21" fillId="143" borderId="0" applyNumberFormat="0" applyProtection="0">
      <alignment horizontal="left" vertical="center" indent="1"/>
    </xf>
    <xf numFmtId="0" fontId="13" fillId="0" borderId="0"/>
    <xf numFmtId="4" fontId="188" fillId="0" borderId="0" applyNumberFormat="0" applyProtection="0">
      <alignment horizontal="left" vertical="center" indent="1"/>
    </xf>
    <xf numFmtId="4" fontId="21" fillId="145" borderId="20"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188" fillId="0" borderId="0" applyNumberFormat="0" applyProtection="0">
      <alignment horizontal="left" vertical="center" indent="1"/>
    </xf>
    <xf numFmtId="4" fontId="21" fillId="71" borderId="0" applyNumberFormat="0" applyProtection="0">
      <alignment horizontal="left" vertical="center" indent="1"/>
    </xf>
    <xf numFmtId="0" fontId="13" fillId="0" borderId="0"/>
    <xf numFmtId="0" fontId="13" fillId="0" borderId="0"/>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188" fillId="0" borderId="0"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1" fillId="71" borderId="0" applyNumberFormat="0" applyProtection="0">
      <alignment horizontal="left" vertical="center" indent="1"/>
    </xf>
    <xf numFmtId="4" fontId="26" fillId="71" borderId="73" applyNumberFormat="0" applyProtection="0">
      <alignment horizontal="left" vertical="center" indent="1"/>
    </xf>
    <xf numFmtId="0" fontId="13" fillId="0" borderId="0"/>
    <xf numFmtId="4" fontId="21" fillId="71" borderId="0" applyNumberFormat="0" applyProtection="0">
      <alignment horizontal="left" vertical="center" indent="1"/>
    </xf>
    <xf numFmtId="4" fontId="21" fillId="71" borderId="0" applyNumberFormat="0" applyProtection="0">
      <alignment horizontal="left" vertical="center" indent="1"/>
    </xf>
    <xf numFmtId="4" fontId="21" fillId="71" borderId="0" applyNumberFormat="0" applyProtection="0">
      <alignment horizontal="left" vertical="center" indent="1"/>
    </xf>
    <xf numFmtId="4" fontId="21" fillId="71" borderId="0" applyNumberFormat="0" applyProtection="0">
      <alignment horizontal="left" vertical="center" indent="1"/>
    </xf>
    <xf numFmtId="0" fontId="13" fillId="0" borderId="0"/>
    <xf numFmtId="4" fontId="188" fillId="0" borderId="0" applyNumberFormat="0" applyProtection="0">
      <alignment horizontal="left" vertical="center" indent="1"/>
    </xf>
    <xf numFmtId="0" fontId="13" fillId="145" borderId="20"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197" fontId="13" fillId="80" borderId="74" applyNumberFormat="0" applyProtection="0">
      <alignment horizontal="left" vertical="center" indent="1"/>
    </xf>
    <xf numFmtId="189"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189"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0" fontId="13" fillId="80" borderId="74"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2"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1" fontId="13" fillId="80" borderId="74" applyNumberFormat="0" applyProtection="0">
      <alignment horizontal="left" vertical="center" indent="1"/>
    </xf>
    <xf numFmtId="0" fontId="13" fillId="80" borderId="74" applyNumberFormat="0" applyProtection="0">
      <alignment horizontal="left" vertical="center" indent="1"/>
    </xf>
    <xf numFmtId="193" fontId="13" fillId="80" borderId="74" applyNumberFormat="0" applyProtection="0">
      <alignment horizontal="left" vertical="center" indent="1"/>
    </xf>
    <xf numFmtId="0" fontId="188" fillId="146" borderId="67" applyNumberFormat="0" applyProtection="0">
      <alignment horizontal="left" vertical="center" indent="2"/>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192" fontId="13" fillId="80" borderId="74" applyNumberFormat="0" applyProtection="0">
      <alignment horizontal="left" vertical="center" indent="1"/>
    </xf>
    <xf numFmtId="0" fontId="188" fillId="146" borderId="67" applyNumberFormat="0" applyProtection="0">
      <alignment horizontal="left" vertical="center" indent="2"/>
    </xf>
    <xf numFmtId="0" fontId="13" fillId="80" borderId="74" applyNumberFormat="0" applyProtection="0">
      <alignment horizontal="left" vertical="center" indent="1"/>
    </xf>
    <xf numFmtId="193"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3" fontId="26" fillId="84" borderId="45" applyNumberFormat="0" applyProtection="0">
      <alignment horizontal="left" vertical="center" indent="1"/>
    </xf>
    <xf numFmtId="193"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3" fontId="26" fillId="84" borderId="45" applyNumberFormat="0" applyProtection="0">
      <alignment horizontal="left" vertical="center" indent="1"/>
    </xf>
    <xf numFmtId="193"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3" fontId="26" fillId="84" borderId="45" applyNumberFormat="0" applyProtection="0">
      <alignment horizontal="left" vertical="center" indent="1"/>
    </xf>
    <xf numFmtId="0"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0" fontId="26" fillId="84" borderId="45" applyNumberFormat="0" applyProtection="0">
      <alignment horizontal="left" vertical="center" indent="1"/>
    </xf>
    <xf numFmtId="0" fontId="188" fillId="146" borderId="67" applyNumberFormat="0" applyProtection="0">
      <alignment horizontal="left" vertical="center" indent="2"/>
    </xf>
    <xf numFmtId="193"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3"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0" fontId="13" fillId="80" borderId="74" applyNumberFormat="0" applyProtection="0">
      <alignment horizontal="left" vertical="center" indent="1"/>
    </xf>
    <xf numFmtId="0" fontId="13" fillId="80" borderId="74" applyNumberFormat="0" applyProtection="0">
      <alignment horizontal="left" vertical="center" indent="1"/>
    </xf>
    <xf numFmtId="0" fontId="78" fillId="147" borderId="67" applyNumberFormat="0" applyProtection="0">
      <alignment horizontal="left" vertical="center" indent="2"/>
    </xf>
    <xf numFmtId="192" fontId="13" fillId="80" borderId="74" applyNumberFormat="0" applyProtection="0">
      <alignment horizontal="left" vertical="center" indent="1"/>
    </xf>
    <xf numFmtId="193"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0" fontId="188" fillId="146" borderId="67" applyNumberFormat="0" applyProtection="0">
      <alignment horizontal="left" vertical="center" indent="2"/>
    </xf>
    <xf numFmtId="0" fontId="13" fillId="145" borderId="20" applyNumberFormat="0" applyProtection="0">
      <alignment horizontal="left" vertical="center"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197" fontId="13" fillId="80" borderId="74" applyNumberFormat="0" applyProtection="0">
      <alignment horizontal="left" vertical="top" indent="1"/>
    </xf>
    <xf numFmtId="189"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189" fontId="13" fillId="80" borderId="74" applyNumberFormat="0" applyProtection="0">
      <alignment horizontal="left" vertical="top" indent="1"/>
    </xf>
    <xf numFmtId="0" fontId="26" fillId="80" borderId="74" applyNumberFormat="0" applyProtection="0">
      <alignment horizontal="left" vertical="top" indent="1"/>
    </xf>
    <xf numFmtId="0" fontId="13" fillId="144"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0" fontId="13" fillId="80" borderId="74" applyNumberFormat="0" applyProtection="0">
      <alignment horizontal="left" vertical="top" indent="1"/>
    </xf>
    <xf numFmtId="193"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0" fontId="13" fillId="144" borderId="74" applyNumberFormat="0" applyProtection="0">
      <alignment horizontal="left" vertical="top" indent="1"/>
    </xf>
    <xf numFmtId="0" fontId="13" fillId="144"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3" fontId="26" fillId="80"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144"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26" fillId="80"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0" fontId="26" fillId="80" borderId="74" applyNumberFormat="0" applyProtection="0">
      <alignment horizontal="left" vertical="top" indent="1"/>
    </xf>
    <xf numFmtId="0" fontId="13" fillId="144"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0"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0" fontId="13" fillId="144" borderId="74" applyNumberFormat="0" applyProtection="0">
      <alignment horizontal="left" vertical="top" indent="1"/>
    </xf>
    <xf numFmtId="0" fontId="13" fillId="15" borderId="20"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197" fontId="13" fillId="71" borderId="74" applyNumberFormat="0" applyProtection="0">
      <alignment horizontal="left" vertical="center" indent="1"/>
    </xf>
    <xf numFmtId="189"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189"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0" fontId="13" fillId="71" borderId="74"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2"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1" fontId="13" fillId="71" borderId="74" applyNumberFormat="0" applyProtection="0">
      <alignment horizontal="left" vertical="center" indent="1"/>
    </xf>
    <xf numFmtId="0" fontId="13" fillId="71" borderId="74" applyNumberFormat="0" applyProtection="0">
      <alignment horizontal="left" vertical="center" indent="1"/>
    </xf>
    <xf numFmtId="193" fontId="13" fillId="71" borderId="74" applyNumberFormat="0" applyProtection="0">
      <alignment horizontal="left" vertical="center" indent="1"/>
    </xf>
    <xf numFmtId="0"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192" fontId="13" fillId="71" borderId="74" applyNumberFormat="0" applyProtection="0">
      <alignment horizontal="left" vertical="center" indent="1"/>
    </xf>
    <xf numFmtId="0" fontId="78" fillId="0" borderId="67" applyNumberFormat="0" applyProtection="0">
      <alignment horizontal="left" vertical="center" indent="2"/>
    </xf>
    <xf numFmtId="0" fontId="13" fillId="71" borderId="74" applyNumberFormat="0" applyProtection="0">
      <alignment horizontal="left" vertical="center" indent="1"/>
    </xf>
    <xf numFmtId="193"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3" fontId="26" fillId="119" borderId="45" applyNumberFormat="0" applyProtection="0">
      <alignment horizontal="left" vertical="center" indent="1"/>
    </xf>
    <xf numFmtId="193"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3" fontId="26" fillId="119" borderId="45" applyNumberFormat="0" applyProtection="0">
      <alignment horizontal="left" vertical="center" indent="1"/>
    </xf>
    <xf numFmtId="193"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3" fontId="26" fillId="119" borderId="45" applyNumberFormat="0" applyProtection="0">
      <alignment horizontal="left" vertical="center" indent="1"/>
    </xf>
    <xf numFmtId="0"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0" fontId="26" fillId="119" borderId="45" applyNumberFormat="0" applyProtection="0">
      <alignment horizontal="left" vertical="center" indent="1"/>
    </xf>
    <xf numFmtId="0" fontId="78" fillId="148" borderId="67" applyNumberFormat="0" applyProtection="0">
      <alignment horizontal="left" vertical="center" indent="2"/>
    </xf>
    <xf numFmtId="193"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3"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0" fontId="13" fillId="71" borderId="74" applyNumberFormat="0" applyProtection="0">
      <alignment horizontal="left" vertical="center" indent="1"/>
    </xf>
    <xf numFmtId="0"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0" fontId="13" fillId="15" borderId="20" applyNumberFormat="0" applyProtection="0">
      <alignment horizontal="left" vertical="center"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197" fontId="13" fillId="71" borderId="74" applyNumberFormat="0" applyProtection="0">
      <alignment horizontal="left" vertical="top" indent="1"/>
    </xf>
    <xf numFmtId="189"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189" fontId="13" fillId="71" borderId="74" applyNumberFormat="0" applyProtection="0">
      <alignment horizontal="left" vertical="top" indent="1"/>
    </xf>
    <xf numFmtId="0" fontId="26" fillId="71" borderId="74" applyNumberFormat="0" applyProtection="0">
      <alignment horizontal="left" vertical="top" indent="1"/>
    </xf>
    <xf numFmtId="0" fontId="13" fillId="149"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0" fontId="13" fillId="71" borderId="74" applyNumberFormat="0" applyProtection="0">
      <alignment horizontal="left" vertical="top" indent="1"/>
    </xf>
    <xf numFmtId="193"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0" fontId="13" fillId="149" borderId="74" applyNumberFormat="0" applyProtection="0">
      <alignment horizontal="left" vertical="top" indent="1"/>
    </xf>
    <xf numFmtId="0" fontId="13" fillId="149"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3" fontId="26" fillId="71"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149"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26" fillId="71"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0" fontId="26" fillId="71" borderId="74" applyNumberFormat="0" applyProtection="0">
      <alignment horizontal="left" vertical="top" indent="1"/>
    </xf>
    <xf numFmtId="0" fontId="13" fillId="149"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0"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0" fontId="13" fillId="149" borderId="74" applyNumberFormat="0" applyProtection="0">
      <alignment horizontal="left" vertical="top" indent="1"/>
    </xf>
    <xf numFmtId="0" fontId="13" fillId="8" borderId="20"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197" fontId="13" fillId="69" borderId="74" applyNumberFormat="0" applyProtection="0">
      <alignment horizontal="left" vertical="center" indent="1"/>
    </xf>
    <xf numFmtId="189"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189"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0" fontId="13" fillId="69" borderId="74"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2"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1" fontId="13" fillId="69" borderId="74" applyNumberFormat="0" applyProtection="0">
      <alignment horizontal="left" vertical="center" indent="1"/>
    </xf>
    <xf numFmtId="0" fontId="13" fillId="69" borderId="74" applyNumberFormat="0" applyProtection="0">
      <alignment horizontal="left" vertical="center" indent="1"/>
    </xf>
    <xf numFmtId="193" fontId="13" fillId="69" borderId="74"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192" fontId="13" fillId="69" borderId="74" applyNumberFormat="0" applyProtection="0">
      <alignment horizontal="left" vertical="center" indent="1"/>
    </xf>
    <xf numFmtId="0" fontId="78" fillId="0" borderId="67" applyNumberFormat="0" applyProtection="0">
      <alignment horizontal="left" vertical="center" indent="2"/>
    </xf>
    <xf numFmtId="0" fontId="13" fillId="69" borderId="74" applyNumberFormat="0" applyProtection="0">
      <alignment horizontal="left" vertical="center" indent="1"/>
    </xf>
    <xf numFmtId="193"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3" fontId="26" fillId="69" borderId="45" applyNumberFormat="0" applyProtection="0">
      <alignment horizontal="left" vertical="center" indent="1"/>
    </xf>
    <xf numFmtId="193"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3" fontId="26" fillId="69" borderId="45" applyNumberFormat="0" applyProtection="0">
      <alignment horizontal="left" vertical="center" indent="1"/>
    </xf>
    <xf numFmtId="193"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3" fontId="26" fillId="69" borderId="45"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193"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3"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0" fontId="13" fillId="69" borderId="74" applyNumberFormat="0" applyProtection="0">
      <alignment horizontal="left" vertical="center" indent="1"/>
    </xf>
    <xf numFmtId="0"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0" fontId="13" fillId="8" borderId="20" applyNumberFormat="0" applyProtection="0">
      <alignment horizontal="left" vertical="center"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197" fontId="13" fillId="69" borderId="74" applyNumberFormat="0" applyProtection="0">
      <alignment horizontal="left" vertical="top" indent="1"/>
    </xf>
    <xf numFmtId="189"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189" fontId="13" fillId="69" borderId="74" applyNumberFormat="0" applyProtection="0">
      <alignment horizontal="left" vertical="top" indent="1"/>
    </xf>
    <xf numFmtId="0" fontId="26" fillId="69" borderId="74" applyNumberFormat="0" applyProtection="0">
      <alignment horizontal="left" vertical="top" indent="1"/>
    </xf>
    <xf numFmtId="0" fontId="13" fillId="5"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0" fontId="13" fillId="69" borderId="74" applyNumberFormat="0" applyProtection="0">
      <alignment horizontal="left" vertical="top" indent="1"/>
    </xf>
    <xf numFmtId="193"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0" fontId="13" fillId="5" borderId="74" applyNumberFormat="0" applyProtection="0">
      <alignment horizontal="left" vertical="top" indent="1"/>
    </xf>
    <xf numFmtId="0" fontId="13" fillId="5"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3" fontId="26" fillId="69"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5"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26" fillId="69"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0" fontId="26" fillId="69" borderId="74" applyNumberFormat="0" applyProtection="0">
      <alignment horizontal="left" vertical="top" indent="1"/>
    </xf>
    <xf numFmtId="0" fontId="13" fillId="5"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0"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0" fontId="13" fillId="5" borderId="74" applyNumberFormat="0" applyProtection="0">
      <alignment horizontal="left" vertical="top" indent="1"/>
    </xf>
    <xf numFmtId="0" fontId="13" fillId="133" borderId="20"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197" fontId="13" fillId="143" borderId="74" applyNumberFormat="0" applyProtection="0">
      <alignment horizontal="left" vertical="center" indent="1"/>
    </xf>
    <xf numFmtId="189"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189"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0" fontId="13" fillId="143" borderId="74"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2"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1" fontId="13" fillId="143" borderId="74" applyNumberFormat="0" applyProtection="0">
      <alignment horizontal="left" vertical="center" indent="1"/>
    </xf>
    <xf numFmtId="0" fontId="13" fillId="143" borderId="74" applyNumberFormat="0" applyProtection="0">
      <alignment horizontal="left" vertical="center" indent="1"/>
    </xf>
    <xf numFmtId="193" fontId="13" fillId="143" borderId="74"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192" fontId="13" fillId="143" borderId="74" applyNumberFormat="0" applyProtection="0">
      <alignment horizontal="left" vertical="center" indent="1"/>
    </xf>
    <xf numFmtId="0" fontId="78" fillId="0" borderId="67" applyNumberFormat="0" applyProtection="0">
      <alignment horizontal="left" vertical="center" indent="2"/>
    </xf>
    <xf numFmtId="0" fontId="13" fillId="143" borderId="74" applyNumberFormat="0" applyProtection="0">
      <alignment horizontal="left" vertical="center" indent="1"/>
    </xf>
    <xf numFmtId="193"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3" fontId="26" fillId="143" borderId="45" applyNumberFormat="0" applyProtection="0">
      <alignment horizontal="left" vertical="center" indent="1"/>
    </xf>
    <xf numFmtId="193"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26" fillId="143" borderId="45" applyNumberFormat="0" applyProtection="0">
      <alignment horizontal="left" vertical="center" indent="1"/>
    </xf>
    <xf numFmtId="193"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3" fontId="26" fillId="143" borderId="45"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193"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3"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0" fontId="13" fillId="143" borderId="74" applyNumberFormat="0" applyProtection="0">
      <alignment horizontal="left" vertical="center" indent="1"/>
    </xf>
    <xf numFmtId="0"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26" fillId="143" borderId="45" applyNumberFormat="0" applyProtection="0">
      <alignment horizontal="left" vertical="center" indent="1"/>
    </xf>
    <xf numFmtId="0" fontId="13" fillId="133" borderId="20" applyNumberFormat="0" applyProtection="0">
      <alignment horizontal="left" vertical="center"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197" fontId="13" fillId="143" borderId="74" applyNumberFormat="0" applyProtection="0">
      <alignment horizontal="left" vertical="top" indent="1"/>
    </xf>
    <xf numFmtId="189"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189" fontId="13" fillId="143" borderId="74" applyNumberFormat="0" applyProtection="0">
      <alignment horizontal="left" vertical="top" indent="1"/>
    </xf>
    <xf numFmtId="0" fontId="26" fillId="143" borderId="74" applyNumberFormat="0" applyProtection="0">
      <alignment horizontal="left" vertical="top" indent="1"/>
    </xf>
    <xf numFmtId="0" fontId="13" fillId="150"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0" fontId="13" fillId="143" borderId="74" applyNumberFormat="0" applyProtection="0">
      <alignment horizontal="left" vertical="top" indent="1"/>
    </xf>
    <xf numFmtId="193"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0" fontId="13" fillId="150" borderId="74" applyNumberFormat="0" applyProtection="0">
      <alignment horizontal="left" vertical="top" indent="1"/>
    </xf>
    <xf numFmtId="0" fontId="13" fillId="150"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3" fontId="26" fillId="143"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50"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26" fillId="143"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0" fontId="26" fillId="143" borderId="74" applyNumberFormat="0" applyProtection="0">
      <alignment horizontal="left" vertical="top" indent="1"/>
    </xf>
    <xf numFmtId="0" fontId="13" fillId="150"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0"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0" fontId="13" fillId="150" borderId="74" applyNumberFormat="0" applyProtection="0">
      <alignment horizontal="left" vertical="top" indent="1"/>
    </xf>
    <xf numFmtId="0" fontId="7" fillId="0" borderId="0"/>
    <xf numFmtId="192" fontId="13" fillId="77" borderId="67" applyNumberFormat="0">
      <protection locked="0"/>
    </xf>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91" fontId="13" fillId="77" borderId="67" applyNumberFormat="0">
      <protection locked="0"/>
    </xf>
    <xf numFmtId="0" fontId="7" fillId="0" borderId="0"/>
    <xf numFmtId="0" fontId="7" fillId="0" borderId="0"/>
    <xf numFmtId="190" fontId="13" fillId="77" borderId="67" applyNumberFormat="0">
      <protection locked="0"/>
    </xf>
    <xf numFmtId="0" fontId="7" fillId="0" borderId="0"/>
    <xf numFmtId="0" fontId="7" fillId="0" borderId="0"/>
    <xf numFmtId="0" fontId="13" fillId="77" borderId="67" applyNumberFormat="0">
      <protection locked="0"/>
    </xf>
    <xf numFmtId="189" fontId="13" fillId="77" borderId="67" applyNumberFormat="0">
      <protection locked="0"/>
    </xf>
    <xf numFmtId="0" fontId="7" fillId="0" borderId="0"/>
    <xf numFmtId="0" fontId="26" fillId="77" borderId="79" applyNumberFormat="0">
      <protection locked="0"/>
    </xf>
    <xf numFmtId="0" fontId="13" fillId="77" borderId="67" applyNumberFormat="0">
      <protection locked="0"/>
    </xf>
    <xf numFmtId="193" fontId="13" fillId="77" borderId="67" applyNumberFormat="0">
      <protection locked="0"/>
    </xf>
    <xf numFmtId="190" fontId="13" fillId="77" borderId="67" applyNumberFormat="0">
      <protection locked="0"/>
    </xf>
    <xf numFmtId="0" fontId="13" fillId="77" borderId="67" applyNumberFormat="0">
      <protection locked="0"/>
    </xf>
    <xf numFmtId="0" fontId="13" fillId="77" borderId="67" applyNumberFormat="0">
      <protection locked="0"/>
    </xf>
    <xf numFmtId="193" fontId="13" fillId="77" borderId="67" applyNumberFormat="0">
      <protection locked="0"/>
    </xf>
    <xf numFmtId="0" fontId="13" fillId="77" borderId="67" applyNumberFormat="0">
      <protection locked="0"/>
    </xf>
    <xf numFmtId="0" fontId="13" fillId="77" borderId="67" applyNumberFormat="0">
      <protection locked="0"/>
    </xf>
    <xf numFmtId="0" fontId="26" fillId="77" borderId="79" applyNumberFormat="0">
      <protection locked="0"/>
    </xf>
    <xf numFmtId="0" fontId="13" fillId="77" borderId="67" applyNumberFormat="0">
      <protection locked="0"/>
    </xf>
    <xf numFmtId="190" fontId="13" fillId="77" borderId="67" applyNumberFormat="0">
      <protection locked="0"/>
    </xf>
    <xf numFmtId="0" fontId="26" fillId="77" borderId="79" applyNumberFormat="0">
      <protection locked="0"/>
    </xf>
    <xf numFmtId="189" fontId="13" fillId="77" borderId="67"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77" borderId="67" applyNumberFormat="0">
      <protection locked="0"/>
    </xf>
    <xf numFmtId="0" fontId="13" fillId="77" borderId="67" applyNumberFormat="0">
      <protection locked="0"/>
    </xf>
    <xf numFmtId="0" fontId="13" fillId="0" borderId="0"/>
    <xf numFmtId="0" fontId="13" fillId="0" borderId="0"/>
    <xf numFmtId="0" fontId="13" fillId="77" borderId="67" applyNumberFormat="0">
      <protection locked="0"/>
    </xf>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77" borderId="67" applyNumberFormat="0">
      <protection locked="0"/>
    </xf>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77" borderId="67" applyNumberFormat="0">
      <protection locked="0"/>
    </xf>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77" borderId="67" applyNumberFormat="0">
      <protection locked="0"/>
    </xf>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92" fontId="13" fillId="77" borderId="67"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77" borderId="67" applyNumberFormat="0">
      <protection locked="0"/>
    </xf>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77" borderId="67" applyNumberFormat="0">
      <protection locked="0"/>
    </xf>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92" fontId="13" fillId="77" borderId="67"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77" borderId="67" applyNumberFormat="0">
      <protection locked="0"/>
    </xf>
    <xf numFmtId="192" fontId="13" fillId="77" borderId="67" applyNumberFormat="0">
      <protection locked="0"/>
    </xf>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77" borderId="67" applyNumberFormat="0">
      <protection locked="0"/>
    </xf>
    <xf numFmtId="0" fontId="66" fillId="80" borderId="80" applyBorder="0"/>
    <xf numFmtId="0" fontId="66" fillId="80" borderId="80" applyBorder="0"/>
    <xf numFmtId="193" fontId="66" fillId="80" borderId="80" applyBorder="0"/>
    <xf numFmtId="193" fontId="66" fillId="80" borderId="80" applyBorder="0"/>
    <xf numFmtId="191" fontId="66" fillId="80" borderId="80" applyBorder="0"/>
    <xf numFmtId="191" fontId="66" fillId="80" borderId="80" applyBorder="0"/>
    <xf numFmtId="193"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2" fontId="66" fillId="80" borderId="80" applyBorder="0"/>
    <xf numFmtId="190" fontId="66" fillId="80" borderId="80" applyBorder="0"/>
    <xf numFmtId="193" fontId="66" fillId="80" borderId="80" applyBorder="0"/>
    <xf numFmtId="193"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1" fontId="66" fillId="80" borderId="80" applyBorder="0"/>
    <xf numFmtId="191" fontId="66" fillId="80" borderId="80" applyBorder="0"/>
    <xf numFmtId="193" fontId="66" fillId="80" borderId="80" applyBorder="0"/>
    <xf numFmtId="19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0" fontId="66" fillId="80" borderId="80" applyBorder="0"/>
    <xf numFmtId="190" fontId="66" fillId="80" borderId="80" applyBorder="0"/>
    <xf numFmtId="197" fontId="66" fillId="80" borderId="80" applyBorder="0"/>
    <xf numFmtId="4" fontId="21" fillId="9" borderId="20"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9"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44" fillId="9" borderId="20"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184" fillId="9" borderId="67" applyNumberFormat="0" applyProtection="0">
      <alignment vertical="center"/>
    </xf>
    <xf numFmtId="4" fontId="184" fillId="9" borderId="67" applyNumberFormat="0" applyProtection="0">
      <alignment vertical="center"/>
    </xf>
    <xf numFmtId="4" fontId="44" fillId="9"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184" fillId="9" borderId="67" applyNumberFormat="0" applyProtection="0">
      <alignment vertical="center"/>
    </xf>
    <xf numFmtId="4" fontId="44" fillId="9" borderId="74" applyNumberFormat="0" applyProtection="0">
      <alignment vertical="center"/>
    </xf>
    <xf numFmtId="4" fontId="44" fillId="9" borderId="74" applyNumberFormat="0" applyProtection="0">
      <alignment vertical="center"/>
    </xf>
    <xf numFmtId="4" fontId="44" fillId="73" borderId="74" applyNumberFormat="0" applyProtection="0">
      <alignment vertical="center"/>
    </xf>
    <xf numFmtId="4" fontId="184" fillId="9" borderId="67" applyNumberFormat="0" applyProtection="0">
      <alignment vertical="center"/>
    </xf>
    <xf numFmtId="4" fontId="184" fillId="9" borderId="67" applyNumberFormat="0" applyProtection="0">
      <alignment vertical="center"/>
    </xf>
    <xf numFmtId="4" fontId="44" fillId="9"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192" fillId="130" borderId="78">
      <alignment vertical="center"/>
    </xf>
    <xf numFmtId="4" fontId="192" fillId="130" borderId="78">
      <alignment vertical="center"/>
    </xf>
    <xf numFmtId="0" fontId="13" fillId="0" borderId="0"/>
    <xf numFmtId="0" fontId="13" fillId="0" borderId="0"/>
    <xf numFmtId="4" fontId="193" fillId="130" borderId="78">
      <alignment vertical="center"/>
    </xf>
    <xf numFmtId="4" fontId="193" fillId="130" borderId="78">
      <alignment vertical="center"/>
    </xf>
    <xf numFmtId="0" fontId="13" fillId="0" borderId="0"/>
    <xf numFmtId="0" fontId="13" fillId="0" borderId="0"/>
    <xf numFmtId="4" fontId="192" fillId="131" borderId="78">
      <alignment vertical="center"/>
    </xf>
    <xf numFmtId="4" fontId="192" fillId="131" borderId="78">
      <alignment vertical="center"/>
    </xf>
    <xf numFmtId="0" fontId="13" fillId="0" borderId="0"/>
    <xf numFmtId="0" fontId="13" fillId="0" borderId="0"/>
    <xf numFmtId="4" fontId="193" fillId="131" borderId="78">
      <alignment vertical="center"/>
    </xf>
    <xf numFmtId="4" fontId="193" fillId="131" borderId="78">
      <alignment vertical="center"/>
    </xf>
    <xf numFmtId="0" fontId="13" fillId="0" borderId="0"/>
    <xf numFmtId="0" fontId="13" fillId="0" borderId="0"/>
    <xf numFmtId="4" fontId="21" fillId="9" borderId="20"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179" fillId="0" borderId="0"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9" borderId="20" applyNumberFormat="0" applyProtection="0">
      <alignment horizontal="left" vertical="center"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0" fontId="21" fillId="73" borderId="74" applyNumberFormat="0" applyProtection="0">
      <alignment horizontal="left" vertical="top" indent="1"/>
    </xf>
    <xf numFmtId="190" fontId="21" fillId="73" borderId="74" applyNumberFormat="0" applyProtection="0">
      <alignment horizontal="left" vertical="top" indent="1"/>
    </xf>
    <xf numFmtId="197" fontId="21" fillId="73" borderId="74" applyNumberFormat="0" applyProtection="0">
      <alignment horizontal="left" vertical="top" indent="1"/>
    </xf>
    <xf numFmtId="189"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197" fontId="21" fillId="73" borderId="74" applyNumberFormat="0" applyProtection="0">
      <alignment horizontal="left" vertical="top" indent="1"/>
    </xf>
    <xf numFmtId="189"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193" fontId="179" fillId="73" borderId="74" applyNumberFormat="0" applyProtection="0">
      <alignment horizontal="left" vertical="top" indent="1"/>
    </xf>
    <xf numFmtId="193" fontId="179" fillId="73" borderId="74" applyNumberFormat="0" applyProtection="0">
      <alignment horizontal="left" vertical="top" indent="1"/>
    </xf>
    <xf numFmtId="193"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1" fontId="21" fillId="73" borderId="74" applyNumberFormat="0" applyProtection="0">
      <alignment horizontal="left" vertical="top" indent="1"/>
    </xf>
    <xf numFmtId="190" fontId="21" fillId="73" borderId="74" applyNumberFormat="0" applyProtection="0">
      <alignment horizontal="left" vertical="top" indent="1"/>
    </xf>
    <xf numFmtId="193"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193"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1" fontId="21" fillId="73" borderId="74" applyNumberFormat="0" applyProtection="0">
      <alignment horizontal="left" vertical="top" indent="1"/>
    </xf>
    <xf numFmtId="191" fontId="21" fillId="73" borderId="74" applyNumberFormat="0" applyProtection="0">
      <alignment horizontal="left" vertical="top" indent="1"/>
    </xf>
    <xf numFmtId="193" fontId="179" fillId="73" borderId="74" applyNumberFormat="0" applyProtection="0">
      <alignment horizontal="left" vertical="top" indent="1"/>
    </xf>
    <xf numFmtId="19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0" fontId="21" fillId="73" borderId="74" applyNumberFormat="0" applyProtection="0">
      <alignment horizontal="left" vertical="top" indent="1"/>
    </xf>
    <xf numFmtId="190" fontId="21" fillId="73" borderId="74" applyNumberFormat="0" applyProtection="0">
      <alignment horizontal="left" vertical="top" indent="1"/>
    </xf>
    <xf numFmtId="0" fontId="21" fillId="9" borderId="74" applyNumberFormat="0" applyProtection="0">
      <alignment horizontal="left" vertical="top" indent="1"/>
    </xf>
    <xf numFmtId="0" fontId="179" fillId="73" borderId="74" applyNumberFormat="0" applyProtection="0">
      <alignment horizontal="left" vertical="top" indent="1"/>
    </xf>
    <xf numFmtId="193"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1" fontId="21" fillId="73" borderId="74" applyNumberFormat="0" applyProtection="0">
      <alignment horizontal="left" vertical="top" indent="1"/>
    </xf>
    <xf numFmtId="190" fontId="21" fillId="73" borderId="74" applyNumberFormat="0" applyProtection="0">
      <alignment horizontal="left" vertical="top" indent="1"/>
    </xf>
    <xf numFmtId="193"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2" fontId="21" fillId="73" borderId="74" applyNumberFormat="0" applyProtection="0">
      <alignment horizontal="left" vertical="top" indent="1"/>
    </xf>
    <xf numFmtId="193" fontId="21" fillId="73" borderId="74" applyNumberFormat="0" applyProtection="0">
      <alignment horizontal="left" vertical="top" indent="1"/>
    </xf>
    <xf numFmtId="193" fontId="21" fillId="73" borderId="74" applyNumberFormat="0" applyProtection="0">
      <alignment horizontal="left" vertical="top" indent="1"/>
    </xf>
    <xf numFmtId="191"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1"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191"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1" fontId="21" fillId="73" borderId="74" applyNumberFormat="0" applyProtection="0">
      <alignment horizontal="left" vertical="top" indent="1"/>
    </xf>
    <xf numFmtId="190" fontId="21" fillId="73" borderId="74" applyNumberFormat="0" applyProtection="0">
      <alignment horizontal="left" vertical="top" indent="1"/>
    </xf>
    <xf numFmtId="19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66" fillId="15" borderId="67" applyNumberFormat="0">
      <alignment horizontal="left" vertical="center"/>
    </xf>
    <xf numFmtId="4" fontId="26" fillId="0" borderId="67" applyNumberFormat="0" applyProtection="0">
      <alignment horizontal="left" vertical="center" indent="1"/>
    </xf>
    <xf numFmtId="4" fontId="26" fillId="0" borderId="45" applyNumberFormat="0" applyProtection="0">
      <alignment horizontal="right" vertical="center"/>
    </xf>
    <xf numFmtId="4" fontId="21" fillId="143" borderId="74" applyNumberFormat="0" applyProtection="0">
      <alignment horizontal="right" vertical="center"/>
    </xf>
    <xf numFmtId="4" fontId="21" fillId="24" borderId="20"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194" fillId="0" borderId="67" applyNumberFormat="0" applyProtection="0">
      <alignment horizontal="right" vertical="center" wrapText="1"/>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194" fillId="151" borderId="67" applyNumberFormat="0" applyProtection="0">
      <alignment horizontal="right" vertical="center" wrapText="1"/>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194" fillId="151" borderId="67" applyNumberFormat="0" applyProtection="0">
      <alignment horizontal="right" vertical="center" wrapText="1"/>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194" fillId="0" borderId="67" applyNumberFormat="0" applyProtection="0">
      <alignment horizontal="right" vertical="center" wrapText="1"/>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179" fillId="0" borderId="0" applyNumberFormat="0" applyProtection="0">
      <alignment horizontal="right" vertical="center" wrapText="1"/>
    </xf>
    <xf numFmtId="4" fontId="44" fillId="24" borderId="20"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195" fillId="130" borderId="78">
      <alignment vertical="center"/>
    </xf>
    <xf numFmtId="4" fontId="195" fillId="130" borderId="78">
      <alignment vertical="center"/>
    </xf>
    <xf numFmtId="0" fontId="13" fillId="0" borderId="0"/>
    <xf numFmtId="0" fontId="13" fillId="0" borderId="0"/>
    <xf numFmtId="4" fontId="196" fillId="130" borderId="78">
      <alignment vertical="center"/>
    </xf>
    <xf numFmtId="4" fontId="196" fillId="130" borderId="78">
      <alignment vertical="center"/>
    </xf>
    <xf numFmtId="0" fontId="13" fillId="0" borderId="0"/>
    <xf numFmtId="0" fontId="13" fillId="0" borderId="0"/>
    <xf numFmtId="4" fontId="195" fillId="131" borderId="78">
      <alignment vertical="center"/>
    </xf>
    <xf numFmtId="4" fontId="195" fillId="131" borderId="78">
      <alignment vertical="center"/>
    </xf>
    <xf numFmtId="0" fontId="13" fillId="0" borderId="0"/>
    <xf numFmtId="0" fontId="13" fillId="0" borderId="0"/>
    <xf numFmtId="4" fontId="196" fillId="136" borderId="78">
      <alignment vertical="center"/>
    </xf>
    <xf numFmtId="4" fontId="196" fillId="136" borderId="78">
      <alignment vertical="center"/>
    </xf>
    <xf numFmtId="0" fontId="13" fillId="0" borderId="0"/>
    <xf numFmtId="0" fontId="13" fillId="0" borderId="0"/>
    <xf numFmtId="0" fontId="13" fillId="133" borderId="20"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94" fillId="0" borderId="67"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194" fillId="0" borderId="67"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152" borderId="81"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179" fillId="0" borderId="0" applyNumberFormat="0" applyProtection="0">
      <alignment horizontal="left" vertical="center" indent="1"/>
    </xf>
    <xf numFmtId="0" fontId="13" fillId="133" borderId="20" applyNumberFormat="0" applyProtection="0">
      <alignment horizontal="left" vertical="center"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0" fontId="21" fillId="71" borderId="74" applyNumberFormat="0" applyProtection="0">
      <alignment horizontal="left" vertical="top" indent="1"/>
    </xf>
    <xf numFmtId="190" fontId="21" fillId="71" borderId="74" applyNumberFormat="0" applyProtection="0">
      <alignment horizontal="left" vertical="top" indent="1"/>
    </xf>
    <xf numFmtId="197" fontId="21" fillId="71" borderId="74" applyNumberFormat="0" applyProtection="0">
      <alignment horizontal="left" vertical="top" indent="1"/>
    </xf>
    <xf numFmtId="189"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197" fontId="21" fillId="71" borderId="74" applyNumberFormat="0" applyProtection="0">
      <alignment horizontal="left" vertical="top" indent="1"/>
    </xf>
    <xf numFmtId="189"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88" fillId="153" borderId="67" applyNumberFormat="0" applyProtection="0">
      <alignment horizontal="center" vertical="top" wrapText="1"/>
    </xf>
    <xf numFmtId="193" fontId="179" fillId="71" borderId="74" applyNumberFormat="0" applyProtection="0">
      <alignment horizontal="left" vertical="top" indent="1"/>
    </xf>
    <xf numFmtId="193"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1" fontId="21" fillId="71" borderId="74" applyNumberFormat="0" applyProtection="0">
      <alignment horizontal="left" vertical="top" indent="1"/>
    </xf>
    <xf numFmtId="190" fontId="21" fillId="71" borderId="74" applyNumberFormat="0" applyProtection="0">
      <alignment horizontal="left" vertical="top" indent="1"/>
    </xf>
    <xf numFmtId="193"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193"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1" fontId="21" fillId="71" borderId="74" applyNumberFormat="0" applyProtection="0">
      <alignment horizontal="left" vertical="top" indent="1"/>
    </xf>
    <xf numFmtId="191" fontId="21" fillId="71" borderId="74" applyNumberFormat="0" applyProtection="0">
      <alignment horizontal="left" vertical="top" indent="1"/>
    </xf>
    <xf numFmtId="193" fontId="179" fillId="71" borderId="74" applyNumberFormat="0" applyProtection="0">
      <alignment horizontal="left" vertical="top" indent="1"/>
    </xf>
    <xf numFmtId="19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0" fontId="21" fillId="71" borderId="74" applyNumberFormat="0" applyProtection="0">
      <alignment horizontal="left" vertical="top" indent="1"/>
    </xf>
    <xf numFmtId="190" fontId="21" fillId="71" borderId="74" applyNumberFormat="0" applyProtection="0">
      <alignment horizontal="left" vertical="top" indent="1"/>
    </xf>
    <xf numFmtId="0" fontId="188" fillId="153" borderId="67" applyNumberFormat="0" applyProtection="0">
      <alignment horizontal="center" vertical="top"/>
    </xf>
    <xf numFmtId="0" fontId="179" fillId="71" borderId="74" applyNumberFormat="0" applyProtection="0">
      <alignment horizontal="left" vertical="top" indent="1"/>
    </xf>
    <xf numFmtId="0" fontId="188" fillId="153" borderId="67" applyNumberFormat="0" applyProtection="0">
      <alignment horizontal="center" vertical="top"/>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1" fontId="21" fillId="71" borderId="74" applyNumberFormat="0" applyProtection="0">
      <alignment horizontal="left" vertical="top" indent="1"/>
    </xf>
    <xf numFmtId="190" fontId="21" fillId="71" borderId="74" applyNumberFormat="0" applyProtection="0">
      <alignment horizontal="left" vertical="top" indent="1"/>
    </xf>
    <xf numFmtId="193" fontId="21" fillId="71" borderId="74" applyNumberFormat="0" applyProtection="0">
      <alignment horizontal="left" vertical="top" indent="1"/>
    </xf>
    <xf numFmtId="0" fontId="188" fillId="153" borderId="67" applyNumberFormat="0" applyProtection="0">
      <alignment horizontal="center" vertical="top" wrapTex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2" fontId="21" fillId="71" borderId="74" applyNumberFormat="0" applyProtection="0">
      <alignment horizontal="left" vertical="top" indent="1"/>
    </xf>
    <xf numFmtId="193" fontId="21" fillId="71" borderId="74" applyNumberFormat="0" applyProtection="0">
      <alignment horizontal="left" vertical="top" indent="1"/>
    </xf>
    <xf numFmtId="193" fontId="21" fillId="71" borderId="74" applyNumberFormat="0" applyProtection="0">
      <alignment horizontal="left" vertical="top" indent="1"/>
    </xf>
    <xf numFmtId="191"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1"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191"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1" fontId="21" fillId="71" borderId="74" applyNumberFormat="0" applyProtection="0">
      <alignment horizontal="left" vertical="top" indent="1"/>
    </xf>
    <xf numFmtId="190" fontId="21" fillId="71" borderId="74" applyNumberFormat="0" applyProtection="0">
      <alignment horizontal="left" vertical="top" indent="1"/>
    </xf>
    <xf numFmtId="19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88" fillId="153" borderId="67" applyNumberFormat="0" applyProtection="0">
      <alignment horizontal="center" vertical="top" wrapText="1"/>
    </xf>
    <xf numFmtId="4" fontId="197" fillId="10" borderId="82">
      <alignment vertical="center"/>
    </xf>
    <xf numFmtId="4" fontId="197" fillId="10" borderId="82">
      <alignment vertical="center"/>
    </xf>
    <xf numFmtId="0" fontId="13" fillId="0" borderId="0"/>
    <xf numFmtId="0" fontId="13" fillId="0" borderId="0"/>
    <xf numFmtId="4" fontId="198" fillId="10" borderId="82">
      <alignment vertical="center"/>
    </xf>
    <xf numFmtId="4" fontId="198" fillId="10" borderId="82">
      <alignment vertical="center"/>
    </xf>
    <xf numFmtId="0" fontId="13" fillId="0" borderId="0"/>
    <xf numFmtId="0" fontId="13" fillId="0" borderId="0"/>
    <xf numFmtId="4" fontId="185" fillId="130" borderId="82">
      <alignment vertical="center"/>
    </xf>
    <xf numFmtId="4" fontId="185" fillId="130" borderId="82">
      <alignment vertical="center"/>
    </xf>
    <xf numFmtId="0" fontId="13" fillId="0" borderId="0"/>
    <xf numFmtId="0" fontId="13" fillId="0" borderId="0"/>
    <xf numFmtId="4" fontId="186" fillId="130" borderId="82">
      <alignment vertical="center"/>
    </xf>
    <xf numFmtId="4" fontId="186" fillId="130" borderId="82">
      <alignment vertical="center"/>
    </xf>
    <xf numFmtId="0" fontId="13" fillId="0" borderId="0"/>
    <xf numFmtId="0" fontId="13" fillId="0" borderId="0"/>
    <xf numFmtId="4" fontId="185" fillId="131" borderId="78">
      <alignment vertical="center"/>
    </xf>
    <xf numFmtId="4" fontId="185" fillId="131" borderId="78">
      <alignment vertical="center"/>
    </xf>
    <xf numFmtId="0" fontId="13" fillId="0" borderId="0"/>
    <xf numFmtId="0" fontId="13" fillId="0" borderId="0"/>
    <xf numFmtId="4" fontId="186" fillId="131" borderId="78">
      <alignment vertical="center"/>
    </xf>
    <xf numFmtId="4" fontId="186" fillId="131" borderId="78">
      <alignment vertical="center"/>
    </xf>
    <xf numFmtId="0" fontId="13" fillId="0" borderId="0"/>
    <xf numFmtId="0" fontId="13" fillId="0" borderId="0"/>
    <xf numFmtId="4" fontId="199" fillId="9" borderId="82">
      <alignment horizontal="left" vertical="center" indent="1"/>
    </xf>
    <xf numFmtId="4" fontId="199" fillId="9" borderId="82">
      <alignment horizontal="left" vertical="center" indent="1"/>
    </xf>
    <xf numFmtId="0" fontId="13" fillId="0" borderId="0"/>
    <xf numFmtId="0" fontId="13" fillId="0" borderId="0"/>
    <xf numFmtId="0" fontId="200" fillId="0" borderId="0"/>
    <xf numFmtId="4" fontId="201" fillId="154" borderId="73" applyNumberFormat="0" applyProtection="0">
      <alignment horizontal="left" vertical="center" indent="1"/>
    </xf>
    <xf numFmtId="4" fontId="202" fillId="154" borderId="0"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2" fillId="154" borderId="0"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3" fillId="0" borderId="0" applyNumberFormat="0" applyProtection="0">
      <alignment vertical="center"/>
    </xf>
    <xf numFmtId="4" fontId="202" fillId="154" borderId="0" applyNumberFormat="0" applyProtection="0">
      <alignment horizontal="left" vertical="center" indent="1"/>
    </xf>
    <xf numFmtId="4" fontId="201" fillId="154" borderId="73" applyNumberFormat="0" applyProtection="0">
      <alignment horizontal="left" vertical="center" indent="1"/>
    </xf>
    <xf numFmtId="0" fontId="200" fillId="0" borderId="0"/>
    <xf numFmtId="0" fontId="13" fillId="0" borderId="0"/>
    <xf numFmtId="4" fontId="202" fillId="154" borderId="0" applyNumberFormat="0" applyProtection="0">
      <alignment horizontal="left" vertical="center" indent="1"/>
    </xf>
    <xf numFmtId="4" fontId="202" fillId="154" borderId="0" applyNumberFormat="0" applyProtection="0">
      <alignment horizontal="left" vertical="center" indent="1"/>
    </xf>
    <xf numFmtId="4" fontId="202" fillId="154" borderId="0" applyNumberFormat="0" applyProtection="0">
      <alignment horizontal="left" vertical="center" indent="1"/>
    </xf>
    <xf numFmtId="4" fontId="202" fillId="154" borderId="0" applyNumberFormat="0" applyProtection="0">
      <alignment horizontal="left" vertical="center" indent="1"/>
    </xf>
    <xf numFmtId="0" fontId="13" fillId="0" borderId="0"/>
    <xf numFmtId="0" fontId="26" fillId="155" borderId="67"/>
    <xf numFmtId="0" fontId="26" fillId="155" borderId="67"/>
    <xf numFmtId="193" fontId="26" fillId="155" borderId="67"/>
    <xf numFmtId="0" fontId="26" fillId="155" borderId="67"/>
    <xf numFmtId="191" fontId="26" fillId="155" borderId="67"/>
    <xf numFmtId="193" fontId="26" fillId="155" borderId="67"/>
    <xf numFmtId="0" fontId="26" fillId="155" borderId="67"/>
    <xf numFmtId="0" fontId="26" fillId="155" borderId="67"/>
    <xf numFmtId="190" fontId="26" fillId="155" borderId="67"/>
    <xf numFmtId="0" fontId="26" fillId="155" borderId="67"/>
    <xf numFmtId="0" fontId="26" fillId="155" borderId="67"/>
    <xf numFmtId="191" fontId="26" fillId="155" borderId="67"/>
    <xf numFmtId="0" fontId="13" fillId="0" borderId="0"/>
    <xf numFmtId="190" fontId="26" fillId="155" borderId="67"/>
    <xf numFmtId="0" fontId="26" fillId="155" borderId="67"/>
    <xf numFmtId="0" fontId="26" fillId="155" borderId="67"/>
    <xf numFmtId="0" fontId="13" fillId="0" borderId="0"/>
    <xf numFmtId="4" fontId="204" fillId="24" borderId="20"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4" fillId="143" borderId="74" applyNumberFormat="0" applyProtection="0">
      <alignment horizontal="right" vertical="center"/>
    </xf>
    <xf numFmtId="4" fontId="204" fillId="0"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0" fontId="206" fillId="0" borderId="83" applyNumberFormat="0" applyFont="0" applyFill="0" applyAlignment="0" applyProtection="0"/>
    <xf numFmtId="220" fontId="207" fillId="0" borderId="84" applyNumberFormat="0" applyProtection="0">
      <alignment horizontal="right" vertical="center"/>
    </xf>
    <xf numFmtId="220" fontId="208" fillId="0" borderId="85" applyNumberFormat="0" applyProtection="0">
      <alignment horizontal="right" vertical="center"/>
    </xf>
    <xf numFmtId="0" fontId="208" fillId="156" borderId="83" applyNumberFormat="0" applyAlignment="0" applyProtection="0">
      <alignment horizontal="left" vertical="center" indent="1"/>
    </xf>
    <xf numFmtId="0" fontId="209" fillId="157" borderId="85" applyNumberFormat="0" applyAlignment="0" applyProtection="0">
      <alignment horizontal="left" vertical="center" indent="1"/>
    </xf>
    <xf numFmtId="0" fontId="209" fillId="157" borderId="85" applyNumberFormat="0" applyAlignment="0" applyProtection="0">
      <alignment horizontal="left" vertical="center" indent="1"/>
    </xf>
    <xf numFmtId="0" fontId="210" fillId="0" borderId="86" applyNumberFormat="0" applyFill="0" applyBorder="0" applyAlignment="0" applyProtection="0"/>
    <xf numFmtId="0" fontId="210" fillId="157" borderId="85" applyNumberFormat="0" applyAlignment="0" applyProtection="0">
      <alignment horizontal="left" vertical="center" indent="1"/>
    </xf>
    <xf numFmtId="0" fontId="210" fillId="157" borderId="85" applyNumberFormat="0" applyAlignment="0" applyProtection="0">
      <alignment horizontal="left" vertical="center" indent="1"/>
    </xf>
    <xf numFmtId="220" fontId="211" fillId="158" borderId="84" applyNumberFormat="0" applyBorder="0" applyProtection="0">
      <alignment horizontal="right" vertical="center"/>
    </xf>
    <xf numFmtId="220" fontId="212" fillId="158" borderId="85" applyNumberFormat="0" applyBorder="0" applyProtection="0">
      <alignment horizontal="right" vertical="center"/>
    </xf>
    <xf numFmtId="0" fontId="210" fillId="159" borderId="85" applyNumberFormat="0" applyAlignment="0" applyProtection="0">
      <alignment horizontal="left" vertical="center" indent="1"/>
    </xf>
    <xf numFmtId="220" fontId="212" fillId="159" borderId="85" applyNumberFormat="0" applyProtection="0">
      <alignment horizontal="right" vertical="center"/>
    </xf>
    <xf numFmtId="0" fontId="213" fillId="0" borderId="86" applyNumberFormat="0" applyBorder="0" applyAlignment="0" applyProtection="0"/>
    <xf numFmtId="220" fontId="214" fillId="160" borderId="87" applyNumberFormat="0" applyBorder="0" applyAlignment="0" applyProtection="0">
      <alignment horizontal="right" vertical="center" indent="1"/>
    </xf>
    <xf numFmtId="220" fontId="215" fillId="161" borderId="87" applyNumberFormat="0" applyBorder="0" applyAlignment="0" applyProtection="0">
      <alignment horizontal="right" vertical="center" indent="1"/>
    </xf>
    <xf numFmtId="220" fontId="215" fillId="162" borderId="87" applyNumberFormat="0" applyBorder="0" applyAlignment="0" applyProtection="0">
      <alignment horizontal="right" vertical="center" indent="1"/>
    </xf>
    <xf numFmtId="220" fontId="216" fillId="163" borderId="87" applyNumberFormat="0" applyBorder="0" applyAlignment="0" applyProtection="0">
      <alignment horizontal="right" vertical="center" indent="1"/>
    </xf>
    <xf numFmtId="220" fontId="216" fillId="164" borderId="87" applyNumberFormat="0" applyBorder="0" applyAlignment="0" applyProtection="0">
      <alignment horizontal="right" vertical="center" indent="1"/>
    </xf>
    <xf numFmtId="220" fontId="216" fillId="165" borderId="87" applyNumberFormat="0" applyBorder="0" applyAlignment="0" applyProtection="0">
      <alignment horizontal="right" vertical="center" indent="1"/>
    </xf>
    <xf numFmtId="220" fontId="217" fillId="166" borderId="87" applyNumberFormat="0" applyBorder="0" applyAlignment="0" applyProtection="0">
      <alignment horizontal="right" vertical="center" indent="1"/>
    </xf>
    <xf numFmtId="220" fontId="217" fillId="167" borderId="87" applyNumberFormat="0" applyBorder="0" applyAlignment="0" applyProtection="0">
      <alignment horizontal="right" vertical="center" indent="1"/>
    </xf>
    <xf numFmtId="220" fontId="217" fillId="168" borderId="87" applyNumberFormat="0" applyBorder="0" applyAlignment="0" applyProtection="0">
      <alignment horizontal="right" vertical="center" indent="1"/>
    </xf>
    <xf numFmtId="0" fontId="209" fillId="169" borderId="83" applyNumberFormat="0" applyAlignment="0" applyProtection="0">
      <alignment horizontal="left" vertical="center" indent="1"/>
    </xf>
    <xf numFmtId="0" fontId="209" fillId="170" borderId="83" applyNumberFormat="0" applyAlignment="0" applyProtection="0">
      <alignment horizontal="left" vertical="center" indent="1"/>
    </xf>
    <xf numFmtId="0" fontId="209" fillId="171" borderId="83" applyNumberFormat="0" applyAlignment="0" applyProtection="0">
      <alignment horizontal="left" vertical="center" indent="1"/>
    </xf>
    <xf numFmtId="0" fontId="209" fillId="158" borderId="83" applyNumberFormat="0" applyAlignment="0" applyProtection="0">
      <alignment horizontal="left" vertical="center" indent="1"/>
    </xf>
    <xf numFmtId="0" fontId="209" fillId="159" borderId="85" applyNumberFormat="0" applyAlignment="0" applyProtection="0">
      <alignment horizontal="left" vertical="center" indent="1"/>
    </xf>
    <xf numFmtId="220" fontId="207" fillId="158" borderId="84" applyNumberFormat="0" applyBorder="0" applyProtection="0">
      <alignment horizontal="right" vertical="center"/>
    </xf>
    <xf numFmtId="220" fontId="208" fillId="158" borderId="85" applyNumberFormat="0" applyBorder="0" applyProtection="0">
      <alignment horizontal="right" vertical="center"/>
    </xf>
    <xf numFmtId="220" fontId="207" fillId="172" borderId="83" applyNumberFormat="0" applyAlignment="0" applyProtection="0">
      <alignment horizontal="left" vertical="center" indent="1"/>
    </xf>
    <xf numFmtId="0" fontId="208" fillId="156" borderId="85" applyNumberFormat="0" applyAlignment="0" applyProtection="0">
      <alignment horizontal="left" vertical="center" indent="1"/>
    </xf>
    <xf numFmtId="0" fontId="209" fillId="159" borderId="85" applyNumberFormat="0" applyAlignment="0" applyProtection="0">
      <alignment horizontal="left" vertical="center" indent="1"/>
    </xf>
    <xf numFmtId="220" fontId="208" fillId="159" borderId="85" applyNumberFormat="0" applyProtection="0">
      <alignment horizontal="right" vertical="center"/>
    </xf>
    <xf numFmtId="1" fontId="13" fillId="0" borderId="9" applyFill="0" applyBorder="0">
      <alignment horizontal="center"/>
    </xf>
    <xf numFmtId="1" fontId="13" fillId="0" borderId="9" applyFill="0" applyBorder="0">
      <alignment horizontal="center"/>
    </xf>
    <xf numFmtId="0" fontId="13" fillId="0" borderId="0"/>
    <xf numFmtId="0" fontId="13" fillId="0" borderId="0"/>
    <xf numFmtId="0" fontId="218" fillId="14" borderId="0"/>
    <xf numFmtId="0" fontId="218" fillId="14" borderId="0"/>
    <xf numFmtId="0" fontId="13" fillId="0" borderId="0"/>
    <xf numFmtId="0" fontId="13" fillId="0" borderId="0"/>
    <xf numFmtId="49" fontId="219" fillId="14" borderId="0"/>
    <xf numFmtId="49" fontId="219" fillId="14" borderId="0"/>
    <xf numFmtId="0" fontId="13" fillId="0" borderId="0"/>
    <xf numFmtId="0" fontId="13" fillId="0" borderId="0"/>
    <xf numFmtId="49" fontId="220" fillId="14" borderId="88"/>
    <xf numFmtId="49" fontId="220" fillId="14" borderId="88"/>
    <xf numFmtId="0" fontId="13" fillId="0" borderId="0"/>
    <xf numFmtId="0" fontId="13" fillId="0" borderId="0"/>
    <xf numFmtId="49" fontId="220" fillId="14" borderId="0"/>
    <xf numFmtId="49" fontId="220" fillId="14" borderId="0"/>
    <xf numFmtId="0" fontId="13" fillId="0" borderId="0"/>
    <xf numFmtId="0" fontId="13" fillId="0" borderId="0"/>
    <xf numFmtId="0" fontId="218" fillId="10" borderId="88">
      <protection locked="0"/>
    </xf>
    <xf numFmtId="0" fontId="218" fillId="10" borderId="88">
      <protection locked="0"/>
    </xf>
    <xf numFmtId="0" fontId="13" fillId="0" borderId="0"/>
    <xf numFmtId="0" fontId="13" fillId="0" borderId="0"/>
    <xf numFmtId="0" fontId="218" fillId="14" borderId="0"/>
    <xf numFmtId="0" fontId="218" fillId="14" borderId="0"/>
    <xf numFmtId="0" fontId="13" fillId="0" borderId="0"/>
    <xf numFmtId="0" fontId="13" fillId="0" borderId="0"/>
    <xf numFmtId="0" fontId="221" fillId="19" borderId="0"/>
    <xf numFmtId="0" fontId="221" fillId="19" borderId="0"/>
    <xf numFmtId="0" fontId="13" fillId="0" borderId="0"/>
    <xf numFmtId="0" fontId="13" fillId="0" borderId="0"/>
    <xf numFmtId="0" fontId="221" fillId="140" borderId="0"/>
    <xf numFmtId="0" fontId="221" fillId="140" borderId="0"/>
    <xf numFmtId="0" fontId="13" fillId="0" borderId="0"/>
    <xf numFmtId="0" fontId="13" fillId="0" borderId="0"/>
    <xf numFmtId="0" fontId="221" fillId="18" borderId="0"/>
    <xf numFmtId="0" fontId="221" fillId="18" borderId="0"/>
    <xf numFmtId="0" fontId="13" fillId="0" borderId="0"/>
    <xf numFmtId="0" fontId="13" fillId="0" borderId="0"/>
    <xf numFmtId="0" fontId="222" fillId="0" borderId="0" applyNumberFormat="0" applyFill="0" applyBorder="0" applyAlignment="0" applyProtection="0"/>
    <xf numFmtId="193" fontId="222" fillId="0" borderId="0" applyNumberFormat="0" applyFill="0" applyBorder="0" applyAlignment="0" applyProtection="0"/>
    <xf numFmtId="193" fontId="222" fillId="0" borderId="0" applyNumberFormat="0" applyFill="0" applyBorder="0" applyAlignment="0" applyProtection="0"/>
    <xf numFmtId="190" fontId="222" fillId="0" borderId="0" applyNumberFormat="0" applyFill="0" applyBorder="0" applyAlignment="0" applyProtection="0"/>
    <xf numFmtId="190" fontId="222" fillId="0" borderId="0" applyNumberFormat="0" applyFill="0" applyBorder="0" applyAlignment="0" applyProtection="0"/>
    <xf numFmtId="189" fontId="222" fillId="0" borderId="0" applyNumberFormat="0" applyFill="0" applyBorder="0" applyAlignment="0" applyProtection="0"/>
    <xf numFmtId="193" fontId="222" fillId="0" borderId="0" applyNumberFormat="0" applyFill="0" applyBorder="0" applyAlignment="0" applyProtection="0"/>
    <xf numFmtId="190" fontId="222" fillId="0" borderId="0" applyNumberFormat="0" applyFill="0" applyBorder="0" applyAlignment="0" applyProtection="0"/>
    <xf numFmtId="0" fontId="222" fillId="0" borderId="0" applyNumberFormat="0" applyFill="0" applyBorder="0" applyAlignment="0" applyProtection="0"/>
    <xf numFmtId="192" fontId="222" fillId="0" borderId="0" applyNumberFormat="0" applyFill="0" applyBorder="0" applyAlignment="0" applyProtection="0"/>
    <xf numFmtId="192" fontId="222" fillId="0" borderId="0" applyNumberFormat="0" applyFill="0" applyBorder="0" applyAlignment="0" applyProtection="0"/>
    <xf numFmtId="191" fontId="222" fillId="0" borderId="0" applyNumberFormat="0" applyFill="0" applyBorder="0" applyAlignment="0" applyProtection="0"/>
    <xf numFmtId="190" fontId="222" fillId="0" borderId="0" applyNumberFormat="0" applyFill="0" applyBorder="0" applyAlignment="0" applyProtection="0"/>
    <xf numFmtId="0" fontId="222" fillId="0" borderId="0" applyNumberFormat="0" applyFill="0" applyBorder="0" applyAlignment="0" applyProtection="0"/>
    <xf numFmtId="189" fontId="222" fillId="0" borderId="0" applyNumberFormat="0" applyFill="0" applyBorder="0" applyAlignment="0" applyProtection="0"/>
    <xf numFmtId="180" fontId="223" fillId="0" borderId="89">
      <alignment horizontal="center"/>
    </xf>
    <xf numFmtId="180" fontId="223" fillId="0" borderId="89">
      <alignment horizontal="center"/>
    </xf>
    <xf numFmtId="0" fontId="13" fillId="0" borderId="0"/>
    <xf numFmtId="180" fontId="223" fillId="0" borderId="89">
      <alignment horizontal="center"/>
    </xf>
    <xf numFmtId="49" fontId="13" fillId="0" borderId="90"/>
    <xf numFmtId="0" fontId="104" fillId="0" borderId="0"/>
    <xf numFmtId="0" fontId="104" fillId="0" borderId="0"/>
    <xf numFmtId="0" fontId="13" fillId="0" borderId="0"/>
    <xf numFmtId="0" fontId="13" fillId="0" borderId="0"/>
    <xf numFmtId="0" fontId="13" fillId="0" borderId="0"/>
    <xf numFmtId="0" fontId="13" fillId="0" borderId="0"/>
    <xf numFmtId="0" fontId="13" fillId="0" borderId="0"/>
    <xf numFmtId="0" fontId="224" fillId="0" borderId="0" applyNumberFormat="0" applyFill="0" applyBorder="0" applyProtection="0">
      <alignment vertical="center"/>
    </xf>
    <xf numFmtId="193" fontId="224" fillId="0" borderId="0" applyNumberFormat="0" applyFill="0" applyBorder="0" applyProtection="0">
      <alignment vertical="center"/>
    </xf>
    <xf numFmtId="193" fontId="224" fillId="0" borderId="0" applyNumberFormat="0" applyFill="0" applyBorder="0" applyProtection="0">
      <alignment vertical="center"/>
    </xf>
    <xf numFmtId="0" fontId="13" fillId="10" borderId="91" applyNumberFormat="0" applyProtection="0">
      <alignment horizontal="center" vertical="center"/>
    </xf>
    <xf numFmtId="0" fontId="13" fillId="10" borderId="91" applyNumberFormat="0" applyProtection="0">
      <alignment horizontal="center" vertical="center"/>
    </xf>
    <xf numFmtId="193" fontId="224" fillId="0" borderId="0" applyNumberFormat="0" applyFill="0" applyBorder="0" applyProtection="0">
      <alignment vertical="center"/>
    </xf>
    <xf numFmtId="0" fontId="13" fillId="10" borderId="91" applyNumberFormat="0" applyProtection="0">
      <alignment horizontal="center" vertical="center"/>
    </xf>
    <xf numFmtId="0" fontId="13" fillId="10" borderId="91" applyNumberFormat="0" applyProtection="0">
      <alignment horizontal="center" vertical="center"/>
    </xf>
    <xf numFmtId="0" fontId="13" fillId="10" borderId="91" applyNumberFormat="0" applyProtection="0">
      <alignment horizontal="center" vertical="center"/>
    </xf>
    <xf numFmtId="0" fontId="225" fillId="0" borderId="0" applyNumberFormat="0" applyFill="0" applyBorder="0" applyProtection="0">
      <alignment horizontal="center" wrapText="1"/>
    </xf>
    <xf numFmtId="0" fontId="225" fillId="0" borderId="0" applyNumberFormat="0" applyFill="0" applyBorder="0" applyProtection="0">
      <alignment horizontal="center" wrapText="1"/>
    </xf>
    <xf numFmtId="193" fontId="225" fillId="0" borderId="0" applyNumberFormat="0" applyFill="0" applyBorder="0" applyProtection="0">
      <alignment horizontal="center" wrapText="1"/>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193" fontId="225" fillId="0" borderId="0" applyNumberFormat="0" applyFill="0" applyBorder="0" applyProtection="0">
      <alignment horizontal="center" wrapText="1"/>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0" fontId="226" fillId="0" borderId="0" applyNumberFormat="0" applyFill="0" applyBorder="0" applyAlignment="0" applyProtection="0"/>
    <xf numFmtId="0" fontId="226" fillId="0" borderId="0" applyNumberFormat="0" applyFill="0" applyBorder="0" applyAlignment="0" applyProtection="0"/>
    <xf numFmtId="193" fontId="226" fillId="0" borderId="0" applyNumberFormat="0" applyFill="0" applyBorder="0" applyAlignment="0" applyProtection="0"/>
    <xf numFmtId="193" fontId="226" fillId="0" borderId="0" applyNumberFormat="0" applyFill="0" applyBorder="0" applyAlignment="0" applyProtection="0"/>
    <xf numFmtId="6" fontId="13" fillId="10" borderId="93" applyProtection="0">
      <alignment horizontal="center" wrapText="1"/>
    </xf>
    <xf numFmtId="193" fontId="226" fillId="0" borderId="0" applyNumberFormat="0" applyFill="0" applyBorder="0" applyAlignment="0" applyProtection="0"/>
    <xf numFmtId="6" fontId="13" fillId="10" borderId="93" applyProtection="0">
      <alignment horizontal="center" wrapText="1"/>
    </xf>
    <xf numFmtId="193" fontId="226" fillId="0" borderId="0" applyNumberFormat="0" applyFill="0" applyBorder="0" applyAlignment="0" applyProtection="0"/>
    <xf numFmtId="193" fontId="226" fillId="0" borderId="0" applyNumberFormat="0" applyFill="0" applyBorder="0" applyAlignment="0" applyProtection="0"/>
    <xf numFmtId="6" fontId="13" fillId="10" borderId="93" applyProtection="0">
      <alignment horizontal="center" wrapText="1"/>
    </xf>
    <xf numFmtId="193" fontId="226" fillId="0" borderId="0" applyNumberFormat="0" applyFill="0" applyBorder="0" applyAlignment="0" applyProtection="0"/>
    <xf numFmtId="6" fontId="13" fillId="10" borderId="93" applyProtection="0">
      <alignment horizontal="center" wrapText="1"/>
    </xf>
    <xf numFmtId="0" fontId="227" fillId="0" borderId="94" applyNumberFormat="0" applyFill="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93" fontId="228" fillId="0" borderId="0" applyNumberFormat="0" applyFill="0" applyBorder="0" applyAlignment="0" applyProtection="0"/>
    <xf numFmtId="193" fontId="228" fillId="0" borderId="0" applyNumberFormat="0" applyFill="0" applyBorder="0" applyAlignment="0" applyProtection="0"/>
    <xf numFmtId="193" fontId="228" fillId="0" borderId="0" applyNumberFormat="0" applyFill="0" applyBorder="0" applyAlignment="0" applyProtection="0"/>
    <xf numFmtId="6" fontId="45" fillId="173" borderId="93" applyProtection="0">
      <alignment horizontal="center" wrapText="1"/>
    </xf>
    <xf numFmtId="193" fontId="228" fillId="0" borderId="0" applyNumberFormat="0" applyFill="0" applyBorder="0" applyAlignment="0" applyProtection="0"/>
    <xf numFmtId="193" fontId="228" fillId="0" borderId="0" applyNumberFormat="0" applyFill="0" applyBorder="0" applyAlignment="0" applyProtection="0"/>
    <xf numFmtId="6" fontId="45" fillId="173" borderId="93" applyProtection="0">
      <alignment horizontal="center" wrapText="1"/>
    </xf>
    <xf numFmtId="193" fontId="228" fillId="0" borderId="0" applyNumberFormat="0" applyFill="0" applyBorder="0" applyAlignment="0" applyProtection="0"/>
    <xf numFmtId="6" fontId="45" fillId="173" borderId="93" applyProtection="0">
      <alignment horizontal="center" wrapText="1"/>
    </xf>
    <xf numFmtId="0" fontId="227" fillId="0" borderId="94" applyNumberFormat="0" applyFill="0" applyProtection="0">
      <alignment horizontal="right" wrapText="1"/>
    </xf>
    <xf numFmtId="0" fontId="225" fillId="0" borderId="0" applyNumberFormat="0" applyFill="0" applyBorder="0" applyAlignment="0" applyProtection="0"/>
    <xf numFmtId="0" fontId="225" fillId="0" borderId="0" applyNumberFormat="0" applyFill="0" applyBorder="0" applyAlignment="0" applyProtection="0"/>
    <xf numFmtId="193" fontId="225" fillId="0" borderId="0" applyNumberFormat="0" applyFill="0" applyBorder="0" applyAlignment="0" applyProtection="0"/>
    <xf numFmtId="193" fontId="225" fillId="0" borderId="0" applyNumberFormat="0" applyFill="0" applyBorder="0" applyAlignment="0" applyProtection="0"/>
    <xf numFmtId="4" fontId="13" fillId="10" borderId="93" applyProtection="0">
      <alignment horizontal="center" wrapText="1"/>
    </xf>
    <xf numFmtId="193" fontId="225" fillId="0" borderId="0" applyNumberFormat="0" applyFill="0" applyBorder="0" applyAlignment="0" applyProtection="0"/>
    <xf numFmtId="4" fontId="13" fillId="10" borderId="93" applyProtection="0">
      <alignment horizontal="center" wrapText="1"/>
    </xf>
    <xf numFmtId="193" fontId="225" fillId="0" borderId="0" applyNumberFormat="0" applyFill="0" applyBorder="0" applyAlignment="0" applyProtection="0"/>
    <xf numFmtId="193" fontId="225" fillId="0" borderId="0" applyNumberFormat="0" applyFill="0" applyBorder="0" applyAlignment="0" applyProtection="0"/>
    <xf numFmtId="4" fontId="13" fillId="10" borderId="93" applyProtection="0">
      <alignment horizontal="center" wrapText="1"/>
    </xf>
    <xf numFmtId="193" fontId="225" fillId="0" borderId="0" applyNumberFormat="0" applyFill="0" applyBorder="0" applyAlignment="0" applyProtection="0"/>
    <xf numFmtId="4" fontId="13" fillId="10" borderId="93" applyProtection="0">
      <alignment horizontal="center" wrapText="1"/>
    </xf>
    <xf numFmtId="0" fontId="227" fillId="0" borderId="94" applyNumberFormat="0" applyFill="0" applyProtection="0">
      <alignment horizontal="left" wrapText="1"/>
    </xf>
    <xf numFmtId="0" fontId="229" fillId="0" borderId="0" applyNumberFormat="0" applyFont="0" applyFill="0" applyBorder="0" applyAlignment="0" applyProtection="0"/>
    <xf numFmtId="0" fontId="229" fillId="0" borderId="0" applyNumberFormat="0" applyFont="0" applyFill="0" applyBorder="0" applyAlignment="0" applyProtection="0"/>
    <xf numFmtId="193" fontId="229" fillId="0" borderId="0" applyNumberFormat="0" applyFont="0" applyFill="0" applyBorder="0" applyAlignment="0" applyProtection="0"/>
    <xf numFmtId="193" fontId="229" fillId="0" borderId="0" applyNumberFormat="0" applyFont="0" applyFill="0" applyBorder="0" applyAlignment="0" applyProtection="0"/>
    <xf numFmtId="0" fontId="229" fillId="0" borderId="0" applyNumberFormat="0" applyFont="0" applyFill="0" applyBorder="0" applyAlignment="0" applyProtection="0"/>
    <xf numFmtId="221" fontId="13" fillId="10" borderId="93" applyProtection="0">
      <alignment horizontal="center"/>
    </xf>
    <xf numFmtId="190" fontId="229" fillId="0" borderId="0" applyNumberFormat="0" applyFont="0" applyFill="0" applyBorder="0" applyAlignment="0" applyProtection="0"/>
    <xf numFmtId="193" fontId="229" fillId="0" borderId="0" applyNumberFormat="0" applyFont="0" applyFill="0" applyBorder="0" applyAlignment="0" applyProtection="0"/>
    <xf numFmtId="0" fontId="229" fillId="0" borderId="0" applyNumberFormat="0" applyFont="0" applyFill="0" applyBorder="0" applyAlignment="0" applyProtection="0"/>
    <xf numFmtId="190" fontId="229" fillId="0" borderId="0" applyNumberFormat="0" applyFont="0" applyFill="0" applyBorder="0" applyAlignment="0" applyProtection="0"/>
    <xf numFmtId="221" fontId="13" fillId="10" borderId="93" applyProtection="0">
      <alignment horizontal="center"/>
    </xf>
    <xf numFmtId="0" fontId="229" fillId="0" borderId="0" applyNumberFormat="0" applyFont="0" applyFill="0" applyBorder="0" applyAlignment="0" applyProtection="0"/>
    <xf numFmtId="193" fontId="229" fillId="0" borderId="0" applyNumberFormat="0" applyFont="0" applyFill="0" applyBorder="0" applyAlignment="0" applyProtection="0"/>
    <xf numFmtId="193" fontId="229" fillId="0" borderId="0" applyNumberFormat="0" applyFont="0" applyFill="0" applyBorder="0" applyAlignment="0" applyProtection="0"/>
    <xf numFmtId="191" fontId="229" fillId="0" borderId="0" applyNumberFormat="0" applyFont="0" applyFill="0" applyBorder="0" applyAlignment="0" applyProtection="0"/>
    <xf numFmtId="221" fontId="13" fillId="10" borderId="93" applyProtection="0">
      <alignment horizontal="center"/>
    </xf>
    <xf numFmtId="192" fontId="229" fillId="0" borderId="0" applyNumberFormat="0" applyFont="0" applyFill="0" applyBorder="0" applyAlignment="0" applyProtection="0"/>
    <xf numFmtId="193" fontId="229" fillId="0" borderId="0" applyNumberFormat="0" applyFont="0" applyFill="0" applyBorder="0" applyAlignment="0" applyProtection="0"/>
    <xf numFmtId="221" fontId="13" fillId="10" borderId="93" applyProtection="0">
      <alignment horizontal="center"/>
    </xf>
    <xf numFmtId="191" fontId="229" fillId="0" borderId="0" applyNumberFormat="0" applyFont="0" applyFill="0" applyBorder="0" applyAlignment="0" applyProtection="0"/>
    <xf numFmtId="0" fontId="229" fillId="0" borderId="0" applyNumberFormat="0" applyFont="0" applyFill="0" applyBorder="0" applyAlignment="0" applyProtection="0"/>
    <xf numFmtId="221" fontId="13" fillId="10" borderId="93" applyProtection="0">
      <alignment horizontal="center"/>
    </xf>
    <xf numFmtId="189" fontId="229" fillId="0" borderId="0" applyNumberFormat="0" applyFont="0" applyFill="0" applyBorder="0" applyAlignment="0" applyProtection="0"/>
    <xf numFmtId="0" fontId="229" fillId="0" borderId="0" applyNumberFormat="0" applyFont="0" applyFill="0" applyBorder="0" applyAlignment="0" applyProtection="0"/>
    <xf numFmtId="173" fontId="225" fillId="0" borderId="0" applyFill="0" applyBorder="0" applyProtection="0">
      <alignment horizontal="center"/>
    </xf>
    <xf numFmtId="173" fontId="225" fillId="0" borderId="0" applyFill="0" applyBorder="0" applyProtection="0">
      <alignment horizontal="center"/>
    </xf>
    <xf numFmtId="171" fontId="13" fillId="10" borderId="93" applyProtection="0">
      <alignment horizontal="center"/>
    </xf>
    <xf numFmtId="171" fontId="13" fillId="10" borderId="93" applyProtection="0">
      <alignment horizontal="center"/>
    </xf>
    <xf numFmtId="171" fontId="13" fillId="10" borderId="93" applyProtection="0">
      <alignment horizontal="center"/>
    </xf>
    <xf numFmtId="171" fontId="13" fillId="10" borderId="93" applyProtection="0">
      <alignment horizontal="center"/>
    </xf>
    <xf numFmtId="222" fontId="229" fillId="0" borderId="0" applyFont="0" applyFill="0" applyBorder="0" applyAlignment="0" applyProtection="0"/>
    <xf numFmtId="223" fontId="13" fillId="0" borderId="0" applyFill="0" applyBorder="0" applyAlignment="0" applyProtection="0">
      <alignment wrapText="1"/>
    </xf>
    <xf numFmtId="173" fontId="228" fillId="0" borderId="0" applyFill="0" applyBorder="0" applyProtection="0">
      <alignment horizontal="center"/>
    </xf>
    <xf numFmtId="4" fontId="45" fillId="173" borderId="93" applyProtection="0">
      <alignment horizontal="center" wrapText="1"/>
    </xf>
    <xf numFmtId="4" fontId="45" fillId="173" borderId="93" applyProtection="0">
      <alignment horizontal="center" wrapText="1"/>
    </xf>
    <xf numFmtId="4" fontId="45" fillId="173" borderId="93" applyProtection="0">
      <alignment horizontal="center" wrapText="1"/>
    </xf>
    <xf numFmtId="173" fontId="228" fillId="0" borderId="0" applyFill="0" applyBorder="0" applyProtection="0">
      <alignment horizontal="center"/>
    </xf>
    <xf numFmtId="0" fontId="13" fillId="0" borderId="0"/>
    <xf numFmtId="0" fontId="229" fillId="0" borderId="0" applyNumberFormat="0" applyFont="0" applyFill="0" applyBorder="0" applyAlignment="0" applyProtection="0"/>
    <xf numFmtId="224" fontId="225" fillId="0" borderId="0" applyFill="0" applyBorder="0" applyProtection="0">
      <alignment horizontal="center"/>
    </xf>
    <xf numFmtId="224" fontId="225" fillId="0" borderId="0" applyFill="0" applyBorder="0" applyProtection="0">
      <alignment horizontal="center"/>
    </xf>
    <xf numFmtId="4" fontId="45" fillId="173" borderId="93" applyProtection="0">
      <alignment horizontal="center" wrapText="1"/>
    </xf>
    <xf numFmtId="4" fontId="45" fillId="173" borderId="93" applyProtection="0">
      <alignment horizontal="center" wrapText="1"/>
    </xf>
    <xf numFmtId="4" fontId="45" fillId="173" borderId="93" applyProtection="0">
      <alignment horizontal="center" wrapText="1"/>
    </xf>
    <xf numFmtId="0" fontId="229" fillId="0" borderId="0" applyNumberFormat="0" applyFont="0" applyFill="0" applyBorder="0" applyProtection="0">
      <alignment horizontal="center"/>
    </xf>
    <xf numFmtId="41" fontId="35" fillId="0" borderId="0" applyFont="0" applyFill="0" applyBorder="0" applyAlignment="0" applyProtection="0"/>
    <xf numFmtId="41" fontId="35" fillId="0" borderId="0" applyFont="0" applyFill="0" applyBorder="0" applyAlignment="0" applyProtection="0"/>
    <xf numFmtId="0" fontId="13" fillId="0" borderId="0"/>
    <xf numFmtId="0" fontId="13" fillId="0" borderId="0"/>
    <xf numFmtId="224" fontId="228" fillId="0" borderId="0" applyFill="0" applyBorder="0" applyProtection="0">
      <alignment horizontal="center"/>
    </xf>
    <xf numFmtId="224" fontId="228" fillId="0" borderId="0" applyFill="0" applyBorder="0" applyProtection="0">
      <alignment horizontal="center"/>
    </xf>
    <xf numFmtId="171" fontId="45" fillId="173" borderId="93" applyProtection="0">
      <alignment horizontal="center" wrapText="1"/>
    </xf>
    <xf numFmtId="171" fontId="45" fillId="173" borderId="93" applyProtection="0">
      <alignment horizontal="center" wrapText="1"/>
    </xf>
    <xf numFmtId="171" fontId="45" fillId="173" borderId="93" applyProtection="0">
      <alignment horizontal="center" wrapText="1"/>
    </xf>
    <xf numFmtId="225" fontId="229" fillId="0" borderId="0" applyFont="0" applyFill="0" applyBorder="0" applyAlignment="0" applyProtection="0"/>
    <xf numFmtId="0" fontId="228" fillId="0" borderId="0" applyNumberFormat="0" applyFill="0" applyBorder="0" applyProtection="0">
      <alignment wrapText="1"/>
    </xf>
    <xf numFmtId="0" fontId="228" fillId="0" borderId="0" applyNumberFormat="0" applyFill="0" applyBorder="0" applyProtection="0">
      <alignment wrapText="1"/>
    </xf>
    <xf numFmtId="193" fontId="228" fillId="0" borderId="0" applyNumberFormat="0" applyFill="0" applyBorder="0" applyProtection="0">
      <alignment wrapText="1"/>
    </xf>
    <xf numFmtId="193" fontId="228" fillId="0" borderId="0" applyNumberFormat="0" applyFill="0" applyBorder="0" applyProtection="0">
      <alignment wrapText="1"/>
    </xf>
    <xf numFmtId="193" fontId="228" fillId="0" borderId="0" applyNumberFormat="0" applyFill="0" applyBorder="0" applyProtection="0">
      <alignment wrapText="1"/>
    </xf>
    <xf numFmtId="0" fontId="45" fillId="10" borderId="93" applyNumberFormat="0" applyProtection="0">
      <alignment horizontal="left" vertical="center"/>
    </xf>
    <xf numFmtId="193" fontId="228" fillId="0" borderId="0" applyNumberFormat="0" applyFill="0" applyBorder="0" applyProtection="0">
      <alignment wrapText="1"/>
    </xf>
    <xf numFmtId="193" fontId="228" fillId="0" borderId="0" applyNumberFormat="0" applyFill="0" applyBorder="0" applyProtection="0">
      <alignment wrapText="1"/>
    </xf>
    <xf numFmtId="0" fontId="45" fillId="10" borderId="93" applyNumberFormat="0" applyProtection="0">
      <alignment horizontal="left" vertical="center"/>
    </xf>
    <xf numFmtId="193" fontId="228" fillId="0" borderId="0" applyNumberFormat="0" applyFill="0" applyBorder="0" applyProtection="0">
      <alignment wrapText="1"/>
    </xf>
    <xf numFmtId="0" fontId="45" fillId="10" borderId="93" applyNumberFormat="0" applyProtection="0">
      <alignment horizontal="left" vertical="center"/>
    </xf>
    <xf numFmtId="0" fontId="45" fillId="10" borderId="93" applyNumberFormat="0" applyProtection="0">
      <alignment horizontal="left" vertical="center"/>
    </xf>
    <xf numFmtId="0" fontId="228" fillId="0" borderId="67" applyNumberFormat="0" applyFill="0" applyProtection="0">
      <alignment wrapText="1"/>
    </xf>
    <xf numFmtId="0" fontId="228" fillId="0" borderId="67" applyNumberFormat="0" applyFill="0" applyProtection="0">
      <alignment wrapText="1"/>
    </xf>
    <xf numFmtId="193" fontId="228" fillId="0" borderId="67" applyNumberFormat="0" applyFill="0" applyProtection="0">
      <alignment wrapText="1"/>
    </xf>
    <xf numFmtId="193" fontId="228" fillId="0" borderId="67" applyNumberFormat="0" applyFill="0" applyProtection="0">
      <alignment wrapText="1"/>
    </xf>
    <xf numFmtId="193" fontId="228" fillId="0" borderId="67" applyNumberFormat="0" applyFill="0" applyProtection="0">
      <alignment wrapText="1"/>
    </xf>
    <xf numFmtId="0" fontId="45" fillId="173" borderId="93" applyNumberFormat="0" applyProtection="0">
      <alignment horizontal="center" vertical="center" wrapText="1"/>
    </xf>
    <xf numFmtId="193" fontId="228" fillId="0" borderId="67" applyNumberFormat="0" applyFill="0" applyProtection="0">
      <alignment wrapText="1"/>
    </xf>
    <xf numFmtId="193" fontId="228" fillId="0" borderId="67" applyNumberFormat="0" applyFill="0" applyProtection="0">
      <alignment wrapText="1"/>
    </xf>
    <xf numFmtId="0" fontId="45" fillId="173" borderId="93" applyNumberFormat="0" applyProtection="0">
      <alignment horizontal="center" vertical="center" wrapText="1"/>
    </xf>
    <xf numFmtId="193" fontId="228" fillId="0" borderId="67" applyNumberFormat="0" applyFill="0" applyProtection="0">
      <alignment wrapText="1"/>
    </xf>
    <xf numFmtId="0" fontId="45" fillId="173" borderId="93" applyNumberFormat="0" applyProtection="0">
      <alignment horizontal="center" vertical="center" wrapText="1"/>
    </xf>
    <xf numFmtId="0" fontId="45" fillId="173" borderId="93" applyNumberFormat="0" applyProtection="0">
      <alignment horizontal="center" vertical="center" wrapText="1"/>
    </xf>
    <xf numFmtId="0" fontId="228" fillId="0" borderId="0" applyNumberFormat="0" applyFill="0" applyBorder="0" applyAlignment="0" applyProtection="0"/>
    <xf numFmtId="0" fontId="228" fillId="0" borderId="0" applyNumberFormat="0" applyFill="0" applyBorder="0" applyAlignment="0" applyProtection="0"/>
    <xf numFmtId="193" fontId="228" fillId="0" borderId="0" applyNumberFormat="0" applyFill="0" applyBorder="0" applyAlignment="0" applyProtection="0"/>
    <xf numFmtId="193" fontId="228" fillId="0" borderId="0" applyNumberFormat="0" applyFill="0" applyBorder="0" applyAlignment="0" applyProtection="0"/>
    <xf numFmtId="0" fontId="13" fillId="10" borderId="93" applyNumberFormat="0" applyProtection="0">
      <alignment horizontal="left"/>
    </xf>
    <xf numFmtId="193" fontId="228" fillId="0" borderId="0" applyNumberFormat="0" applyFill="0" applyBorder="0" applyAlignment="0" applyProtection="0"/>
    <xf numFmtId="0" fontId="13" fillId="10" borderId="93" applyNumberFormat="0" applyProtection="0">
      <alignment horizontal="left"/>
    </xf>
    <xf numFmtId="193" fontId="228" fillId="0" borderId="0" applyNumberFormat="0" applyFill="0" applyBorder="0" applyAlignment="0" applyProtection="0"/>
    <xf numFmtId="193" fontId="228" fillId="0" borderId="0" applyNumberFormat="0" applyFill="0" applyBorder="0" applyAlignment="0" applyProtection="0"/>
    <xf numFmtId="0" fontId="13" fillId="10" borderId="93" applyNumberFormat="0" applyProtection="0">
      <alignment horizontal="left"/>
    </xf>
    <xf numFmtId="193" fontId="228" fillId="0" borderId="0" applyNumberFormat="0" applyFill="0" applyBorder="0" applyAlignment="0" applyProtection="0"/>
    <xf numFmtId="0" fontId="13" fillId="10" borderId="93" applyNumberFormat="0" applyProtection="0">
      <alignment horizontal="left"/>
    </xf>
    <xf numFmtId="8" fontId="78" fillId="0" borderId="0" applyFill="0" applyBorder="0" applyProtection="0">
      <alignment horizontal="right"/>
    </xf>
    <xf numFmtId="0" fontId="13" fillId="0" borderId="95" applyNumberFormat="0" applyFont="0" applyFill="0" applyAlignment="0" applyProtection="0"/>
    <xf numFmtId="0"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0"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0" fontId="13" fillId="0" borderId="95" applyNumberFormat="0" applyFont="0" applyFill="0" applyAlignment="0" applyProtection="0"/>
    <xf numFmtId="2" fontId="13" fillId="10" borderId="93" applyProtection="0">
      <alignment horizontal="center" wrapText="1"/>
    </xf>
    <xf numFmtId="0" fontId="45" fillId="0" borderId="0" applyNumberFormat="0" applyFill="0" applyBorder="0">
      <alignment horizontal="center" wrapText="1"/>
    </xf>
    <xf numFmtId="0" fontId="13" fillId="0" borderId="7" applyNumberFormat="0" applyFont="0" applyFill="0" applyAlignment="0" applyProtection="0"/>
    <xf numFmtId="193" fontId="13" fillId="0" borderId="7" applyNumberFormat="0" applyFont="0" applyFill="0" applyAlignment="0" applyProtection="0"/>
    <xf numFmtId="193" fontId="13" fillId="0" borderId="7" applyNumberFormat="0" applyFont="0" applyFill="0" applyAlignment="0" applyProtection="0"/>
    <xf numFmtId="0" fontId="13" fillId="10" borderId="93" applyNumberFormat="0" applyProtection="0">
      <alignment horizontal="left" wrapText="1"/>
    </xf>
    <xf numFmtId="193" fontId="13" fillId="0" borderId="7" applyNumberFormat="0" applyFont="0" applyFill="0" applyAlignment="0" applyProtection="0"/>
    <xf numFmtId="0" fontId="13" fillId="10" borderId="93" applyNumberFormat="0" applyProtection="0">
      <alignment horizontal="left" wrapText="1"/>
    </xf>
    <xf numFmtId="193" fontId="13" fillId="0" borderId="7" applyNumberFormat="0" applyFont="0" applyFill="0" applyAlignment="0" applyProtection="0"/>
    <xf numFmtId="193" fontId="13" fillId="0" borderId="7" applyNumberFormat="0" applyFont="0" applyFill="0" applyAlignment="0" applyProtection="0"/>
    <xf numFmtId="0" fontId="13" fillId="10" borderId="93" applyNumberFormat="0" applyProtection="0">
      <alignment horizontal="left" wrapText="1"/>
    </xf>
    <xf numFmtId="193" fontId="13" fillId="0" borderId="7" applyNumberFormat="0" applyFont="0" applyFill="0" applyAlignment="0" applyProtection="0"/>
    <xf numFmtId="0" fontId="13" fillId="10" borderId="93" applyNumberFormat="0" applyProtection="0">
      <alignment horizontal="left" wrapText="1"/>
    </xf>
    <xf numFmtId="0" fontId="13" fillId="0" borderId="7" applyNumberFormat="0" applyFont="0" applyFill="0" applyAlignment="0" applyProtection="0"/>
    <xf numFmtId="0" fontId="13" fillId="0" borderId="0"/>
    <xf numFmtId="0" fontId="13" fillId="10" borderId="93" applyNumberFormat="0" applyProtection="0">
      <alignment horizontal="left" wrapText="1"/>
    </xf>
    <xf numFmtId="0" fontId="45" fillId="0" borderId="0" applyNumberFormat="0" applyFill="0" applyBorder="0">
      <alignment horizontal="center" wrapText="1"/>
    </xf>
    <xf numFmtId="0" fontId="13" fillId="0" borderId="96" applyNumberFormat="0" applyFont="0" applyFill="0" applyAlignment="0" applyProtection="0"/>
    <xf numFmtId="193" fontId="13" fillId="0" borderId="96" applyNumberFormat="0" applyFont="0" applyFill="0" applyAlignment="0" applyProtection="0"/>
    <xf numFmtId="193" fontId="13" fillId="0" borderId="96" applyNumberFormat="0" applyFont="0" applyFill="0" applyAlignment="0" applyProtection="0"/>
    <xf numFmtId="193" fontId="13" fillId="0" borderId="96" applyNumberFormat="0" applyFont="0" applyFill="0" applyAlignment="0" applyProtection="0"/>
    <xf numFmtId="0" fontId="45" fillId="10" borderId="93" applyNumberFormat="0" applyProtection="0">
      <alignment horizontal="left" wrapText="1"/>
    </xf>
    <xf numFmtId="193" fontId="13" fillId="0" borderId="96" applyNumberFormat="0" applyFont="0" applyFill="0" applyAlignment="0" applyProtection="0"/>
    <xf numFmtId="193" fontId="13" fillId="0" borderId="96" applyNumberFormat="0" applyFont="0" applyFill="0" applyAlignment="0" applyProtection="0"/>
    <xf numFmtId="0" fontId="45" fillId="10" borderId="93" applyNumberFormat="0" applyProtection="0">
      <alignment horizontal="left" wrapText="1"/>
    </xf>
    <xf numFmtId="193" fontId="13" fillId="0" borderId="96" applyNumberFormat="0" applyFont="0" applyFill="0" applyAlignment="0" applyProtection="0"/>
    <xf numFmtId="0" fontId="45" fillId="10" borderId="93" applyNumberFormat="0" applyProtection="0">
      <alignment horizontal="left" wrapText="1"/>
    </xf>
    <xf numFmtId="0" fontId="13" fillId="0" borderId="96" applyNumberFormat="0" applyFont="0" applyFill="0" applyAlignment="0" applyProtection="0"/>
    <xf numFmtId="0" fontId="13" fillId="0" borderId="0"/>
    <xf numFmtId="0" fontId="45" fillId="10" borderId="93" applyNumberFormat="0" applyProtection="0">
      <alignment horizontal="left" wrapText="1"/>
    </xf>
    <xf numFmtId="0" fontId="13" fillId="0" borderId="21" applyNumberFormat="0" applyFont="0" applyFill="0" applyAlignment="0" applyProtection="0"/>
    <xf numFmtId="0" fontId="13" fillId="0" borderId="21" applyNumberFormat="0" applyFont="0" applyFill="0" applyAlignment="0" applyProtection="0"/>
    <xf numFmtId="193" fontId="13" fillId="0" borderId="21" applyNumberFormat="0" applyFont="0" applyFill="0" applyAlignment="0" applyProtection="0"/>
    <xf numFmtId="193" fontId="13" fillId="0" borderId="21" applyNumberFormat="0" applyFont="0" applyFill="0" applyAlignment="0" applyProtection="0"/>
    <xf numFmtId="193" fontId="13" fillId="0" borderId="21" applyNumberFormat="0" applyFont="0" applyFill="0" applyAlignment="0" applyProtection="0"/>
    <xf numFmtId="0" fontId="45" fillId="174" borderId="93" applyNumberFormat="0" applyProtection="0">
      <alignment horizontal="right" vertical="center" wrapText="1"/>
    </xf>
    <xf numFmtId="193" fontId="13" fillId="0" borderId="21" applyNumberFormat="0" applyFont="0" applyFill="0" applyAlignment="0" applyProtection="0"/>
    <xf numFmtId="193" fontId="13" fillId="0" borderId="21" applyNumberFormat="0" applyFont="0" applyFill="0" applyAlignment="0" applyProtection="0"/>
    <xf numFmtId="0" fontId="45" fillId="174" borderId="93" applyNumberFormat="0" applyProtection="0">
      <alignment horizontal="right" vertical="center" wrapText="1"/>
    </xf>
    <xf numFmtId="193" fontId="13" fillId="0" borderId="21" applyNumberFormat="0" applyFont="0" applyFill="0" applyAlignment="0" applyProtection="0"/>
    <xf numFmtId="0" fontId="45" fillId="174" borderId="93" applyNumberFormat="0" applyProtection="0">
      <alignment horizontal="right" vertical="center" wrapText="1"/>
    </xf>
    <xf numFmtId="0" fontId="45" fillId="174" borderId="93" applyNumberFormat="0" applyProtection="0">
      <alignment horizontal="right" vertical="center" wrapText="1"/>
    </xf>
    <xf numFmtId="0" fontId="13" fillId="0" borderId="29" applyNumberFormat="0" applyFont="0" applyFill="0" applyAlignment="0" applyProtection="0"/>
    <xf numFmtId="0" fontId="13" fillId="0" borderId="29" applyNumberFormat="0" applyFont="0" applyFill="0" applyAlignment="0" applyProtection="0"/>
    <xf numFmtId="193" fontId="13" fillId="0" borderId="29" applyNumberFormat="0" applyFont="0" applyFill="0" applyAlignment="0" applyProtection="0"/>
    <xf numFmtId="193" fontId="13" fillId="0" borderId="29" applyNumberFormat="0" applyFont="0" applyFill="0" applyAlignment="0" applyProtection="0"/>
    <xf numFmtId="6" fontId="13" fillId="10" borderId="93" applyProtection="0">
      <alignment horizontal="center" wrapText="1"/>
    </xf>
    <xf numFmtId="193" fontId="13" fillId="0" borderId="29" applyNumberFormat="0" applyFont="0" applyFill="0" applyAlignment="0" applyProtection="0"/>
    <xf numFmtId="6" fontId="13" fillId="10" borderId="93" applyProtection="0">
      <alignment horizontal="center" wrapText="1"/>
    </xf>
    <xf numFmtId="193" fontId="13" fillId="0" borderId="29" applyNumberFormat="0" applyFont="0" applyFill="0" applyAlignment="0" applyProtection="0"/>
    <xf numFmtId="193" fontId="13" fillId="0" borderId="29" applyNumberFormat="0" applyFont="0" applyFill="0" applyAlignment="0" applyProtection="0"/>
    <xf numFmtId="6" fontId="13" fillId="10" borderId="93" applyProtection="0">
      <alignment horizontal="center" wrapText="1"/>
    </xf>
    <xf numFmtId="193" fontId="13" fillId="0" borderId="29" applyNumberFormat="0" applyFont="0" applyFill="0" applyAlignment="0" applyProtection="0"/>
    <xf numFmtId="6" fontId="13" fillId="10" borderId="93" applyProtection="0">
      <alignment horizontal="center" wrapText="1"/>
    </xf>
    <xf numFmtId="6" fontId="13" fillId="10" borderId="93" applyProtection="0">
      <alignment horizontal="center" wrapText="1"/>
    </xf>
    <xf numFmtId="0" fontId="13" fillId="0" borderId="30" applyNumberFormat="0" applyFont="0" applyFill="0" applyAlignment="0" applyProtection="0"/>
    <xf numFmtId="0" fontId="13" fillId="0" borderId="30" applyNumberFormat="0" applyFont="0" applyFill="0" applyAlignment="0" applyProtection="0"/>
    <xf numFmtId="193" fontId="13" fillId="0" borderId="30" applyNumberFormat="0" applyFont="0" applyFill="0" applyAlignment="0" applyProtection="0"/>
    <xf numFmtId="193" fontId="13" fillId="0" borderId="30" applyNumberFormat="0" applyFont="0" applyFill="0" applyAlignment="0" applyProtection="0"/>
    <xf numFmtId="4" fontId="13" fillId="10" borderId="93" applyProtection="0">
      <alignment horizontal="center" wrapText="1"/>
    </xf>
    <xf numFmtId="193" fontId="13" fillId="0" borderId="30" applyNumberFormat="0" applyFont="0" applyFill="0" applyAlignment="0" applyProtection="0"/>
    <xf numFmtId="4" fontId="13" fillId="10" borderId="93" applyProtection="0">
      <alignment horizontal="center" wrapText="1"/>
    </xf>
    <xf numFmtId="193" fontId="13" fillId="0" borderId="30" applyNumberFormat="0" applyFont="0" applyFill="0" applyAlignment="0" applyProtection="0"/>
    <xf numFmtId="193" fontId="13" fillId="0" borderId="30" applyNumberFormat="0" applyFont="0" applyFill="0" applyAlignment="0" applyProtection="0"/>
    <xf numFmtId="4" fontId="13" fillId="10" borderId="93" applyProtection="0">
      <alignment horizontal="center" wrapText="1"/>
    </xf>
    <xf numFmtId="193" fontId="13" fillId="0" borderId="30" applyNumberFormat="0" applyFont="0" applyFill="0" applyAlignment="0" applyProtection="0"/>
    <xf numFmtId="4" fontId="13" fillId="10" borderId="93" applyProtection="0">
      <alignment horizontal="center" wrapText="1"/>
    </xf>
    <xf numFmtId="4" fontId="13" fillId="10" borderId="93" applyProtection="0">
      <alignment horizontal="center" wrapText="1"/>
    </xf>
    <xf numFmtId="0" fontId="13" fillId="0" borderId="89" applyNumberFormat="0" applyFont="0" applyFill="0" applyAlignment="0" applyProtection="0"/>
    <xf numFmtId="0"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0"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0" fontId="13" fillId="0" borderId="89" applyNumberFormat="0" applyFont="0" applyFill="0" applyAlignment="0" applyProtection="0"/>
    <xf numFmtId="10" fontId="13" fillId="10" borderId="93" applyProtection="0">
      <alignment horizontal="center" wrapText="1"/>
    </xf>
    <xf numFmtId="0" fontId="13" fillId="0" borderId="97" applyNumberFormat="0" applyFont="0" applyFill="0" applyAlignment="0" applyProtection="0"/>
    <xf numFmtId="0"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0"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0" fontId="13" fillId="0" borderId="97" applyNumberFormat="0" applyFont="0" applyFill="0" applyAlignment="0" applyProtection="0"/>
    <xf numFmtId="49" fontId="28" fillId="0" borderId="0" applyFont="0" applyFill="0" applyBorder="0" applyAlignment="0" applyProtection="0"/>
    <xf numFmtId="49" fontId="28" fillId="0" borderId="0" applyFont="0" applyFill="0" applyBorder="0" applyAlignment="0" applyProtection="0"/>
    <xf numFmtId="0" fontId="13" fillId="0" borderId="0"/>
    <xf numFmtId="0" fontId="13" fillId="0" borderId="0"/>
    <xf numFmtId="226" fontId="28" fillId="0" borderId="0" applyFont="0" applyFill="0" applyBorder="0" applyAlignment="0" applyProtection="0"/>
    <xf numFmtId="226" fontId="28" fillId="0" borderId="0" applyFont="0" applyFill="0" applyBorder="0" applyAlignment="0" applyProtection="0"/>
    <xf numFmtId="0" fontId="13" fillId="0" borderId="0"/>
    <xf numFmtId="0" fontId="13" fillId="0" borderId="0"/>
    <xf numFmtId="227" fontId="35" fillId="0" borderId="0" applyFont="0" applyFill="0" applyBorder="0" applyAlignment="0" applyProtection="0"/>
    <xf numFmtId="227" fontId="35" fillId="0" borderId="0" applyFont="0" applyFill="0" applyBorder="0" applyAlignment="0" applyProtection="0"/>
    <xf numFmtId="0" fontId="13" fillId="0" borderId="0"/>
    <xf numFmtId="0" fontId="13" fillId="0" borderId="0"/>
    <xf numFmtId="0" fontId="13" fillId="0" borderId="0"/>
    <xf numFmtId="0" fontId="222" fillId="0" borderId="0" applyNumberFormat="0" applyFill="0" applyBorder="0" applyAlignment="0" applyProtection="0"/>
    <xf numFmtId="0" fontId="13" fillId="0" borderId="0"/>
    <xf numFmtId="0" fontId="230" fillId="0" borderId="0" applyNumberFormat="0" applyFill="0" applyBorder="0" applyAlignment="0" applyProtection="0"/>
    <xf numFmtId="0" fontId="230" fillId="0" borderId="0" applyNumberFormat="0" applyFill="0" applyBorder="0" applyAlignment="0" applyProtection="0"/>
    <xf numFmtId="189" fontId="230" fillId="0" borderId="0" applyNumberFormat="0" applyFill="0" applyBorder="0" applyAlignment="0" applyProtection="0"/>
    <xf numFmtId="193" fontId="230" fillId="0" borderId="0" applyNumberFormat="0" applyFill="0" applyBorder="0" applyAlignment="0" applyProtection="0"/>
    <xf numFmtId="193" fontId="230" fillId="0" borderId="0" applyNumberFormat="0" applyFill="0" applyBorder="0" applyAlignment="0" applyProtection="0"/>
    <xf numFmtId="190" fontId="230" fillId="0" borderId="0" applyNumberFormat="0" applyFill="0" applyBorder="0" applyAlignment="0" applyProtection="0"/>
    <xf numFmtId="0" fontId="230" fillId="0" borderId="0" applyNumberFormat="0" applyFill="0" applyBorder="0" applyAlignment="0" applyProtection="0"/>
    <xf numFmtId="190" fontId="230" fillId="0" borderId="0" applyNumberFormat="0" applyFill="0" applyBorder="0" applyAlignment="0" applyProtection="0"/>
    <xf numFmtId="0" fontId="230" fillId="0" borderId="0" applyNumberFormat="0" applyFill="0" applyBorder="0" applyAlignment="0" applyProtection="0"/>
    <xf numFmtId="189" fontId="230" fillId="0" borderId="0" applyNumberFormat="0" applyFill="0" applyBorder="0" applyAlignment="0" applyProtection="0"/>
    <xf numFmtId="193" fontId="230" fillId="0" borderId="0" applyNumberFormat="0" applyFill="0" applyBorder="0" applyAlignment="0" applyProtection="0"/>
    <xf numFmtId="190" fontId="79" fillId="0" borderId="0" applyNumberFormat="0" applyFill="0" applyBorder="0" applyAlignment="0" applyProtection="0"/>
    <xf numFmtId="190" fontId="79" fillId="0" borderId="0" applyNumberFormat="0" applyFill="0" applyBorder="0" applyAlignment="0" applyProtection="0"/>
    <xf numFmtId="0" fontId="222" fillId="0" borderId="0" applyNumberFormat="0" applyFill="0" applyBorder="0" applyAlignment="0" applyProtection="0"/>
    <xf numFmtId="0" fontId="79" fillId="0" borderId="0" applyNumberFormat="0" applyFill="0" applyBorder="0" applyAlignment="0" applyProtection="0"/>
    <xf numFmtId="0" fontId="230" fillId="0" borderId="0" applyNumberFormat="0" applyFill="0" applyBorder="0" applyAlignment="0" applyProtection="0"/>
    <xf numFmtId="191" fontId="79" fillId="0" borderId="0" applyNumberFormat="0" applyFill="0" applyBorder="0" applyAlignment="0" applyProtection="0"/>
    <xf numFmtId="192" fontId="79" fillId="0" borderId="0" applyNumberFormat="0" applyFill="0" applyBorder="0" applyAlignment="0" applyProtection="0"/>
    <xf numFmtId="0" fontId="222" fillId="0" borderId="0" applyNumberFormat="0" applyFill="0" applyBorder="0" applyAlignment="0" applyProtection="0"/>
    <xf numFmtId="191" fontId="230" fillId="0" borderId="0" applyNumberFormat="0" applyFill="0" applyBorder="0" applyAlignment="0" applyProtection="0"/>
    <xf numFmtId="192" fontId="230" fillId="0" borderId="0" applyNumberFormat="0" applyFill="0" applyBorder="0" applyAlignment="0" applyProtection="0"/>
    <xf numFmtId="192" fontId="222" fillId="0" borderId="0" applyNumberFormat="0" applyFill="0" applyBorder="0" applyAlignment="0" applyProtection="0"/>
    <xf numFmtId="191" fontId="222" fillId="0" borderId="0" applyNumberFormat="0" applyFill="0" applyBorder="0" applyAlignment="0" applyProtection="0"/>
    <xf numFmtId="192" fontId="79" fillId="0" borderId="0" applyNumberFormat="0" applyFill="0" applyBorder="0" applyAlignment="0" applyProtection="0"/>
    <xf numFmtId="191" fontId="222" fillId="0" borderId="0" applyNumberFormat="0" applyFill="0" applyBorder="0" applyAlignment="0" applyProtection="0"/>
    <xf numFmtId="192" fontId="222" fillId="0" borderId="0" applyNumberFormat="0" applyFill="0" applyBorder="0" applyAlignment="0" applyProtection="0"/>
    <xf numFmtId="192" fontId="222" fillId="0" borderId="0" applyNumberFormat="0" applyFill="0" applyBorder="0" applyAlignment="0" applyProtection="0"/>
    <xf numFmtId="0" fontId="222" fillId="0" borderId="0" applyNumberFormat="0" applyFill="0" applyBorder="0" applyAlignment="0" applyProtection="0"/>
    <xf numFmtId="193" fontId="222" fillId="0" borderId="0" applyNumberFormat="0" applyFill="0" applyBorder="0" applyAlignment="0" applyProtection="0"/>
    <xf numFmtId="193" fontId="222" fillId="0" borderId="0" applyNumberFormat="0" applyFill="0" applyBorder="0" applyAlignment="0" applyProtection="0"/>
    <xf numFmtId="190" fontId="230" fillId="0" borderId="0" applyNumberFormat="0" applyFill="0" applyBorder="0" applyAlignment="0" applyProtection="0"/>
    <xf numFmtId="0" fontId="222" fillId="0" borderId="0" applyNumberFormat="0" applyFill="0" applyBorder="0" applyAlignment="0" applyProtection="0"/>
    <xf numFmtId="193" fontId="222" fillId="0" borderId="0" applyNumberFormat="0" applyFill="0" applyBorder="0" applyAlignment="0" applyProtection="0"/>
    <xf numFmtId="0" fontId="230" fillId="0" borderId="0" applyNumberFormat="0" applyFill="0" applyBorder="0" applyAlignment="0" applyProtection="0"/>
    <xf numFmtId="0" fontId="222" fillId="0" borderId="0" applyNumberFormat="0" applyFill="0" applyBorder="0" applyAlignment="0" applyProtection="0"/>
    <xf numFmtId="0" fontId="230" fillId="0" borderId="0" applyNumberFormat="0" applyFill="0" applyBorder="0" applyAlignment="0" applyProtection="0"/>
    <xf numFmtId="0" fontId="222" fillId="0" borderId="0" applyNumberFormat="0" applyFill="0" applyBorder="0" applyAlignment="0" applyProtection="0"/>
    <xf numFmtId="190" fontId="222" fillId="0" borderId="0" applyNumberFormat="0" applyFill="0" applyBorder="0" applyAlignment="0" applyProtection="0"/>
    <xf numFmtId="0" fontId="13" fillId="0" borderId="0"/>
    <xf numFmtId="190" fontId="222" fillId="0" borderId="0" applyNumberFormat="0" applyFill="0" applyBorder="0" applyAlignment="0" applyProtection="0"/>
    <xf numFmtId="0" fontId="79"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90" fontId="222" fillId="0" borderId="0" applyNumberFormat="0" applyFill="0" applyBorder="0" applyAlignment="0" applyProtection="0"/>
    <xf numFmtId="0" fontId="13" fillId="0" borderId="0"/>
    <xf numFmtId="190" fontId="222" fillId="0" borderId="0" applyNumberFormat="0" applyFill="0" applyBorder="0" applyAlignment="0" applyProtection="0"/>
    <xf numFmtId="0" fontId="231" fillId="0" borderId="0" applyNumberFormat="0" applyFill="0" applyBorder="0" applyAlignment="0" applyProtection="0"/>
    <xf numFmtId="189" fontId="222" fillId="0" borderId="0" applyNumberFormat="0" applyFill="0" applyBorder="0" applyAlignment="0" applyProtection="0"/>
    <xf numFmtId="0" fontId="222" fillId="0" borderId="0" applyNumberFormat="0" applyFill="0" applyBorder="0" applyAlignment="0" applyProtection="0"/>
    <xf numFmtId="190" fontId="222" fillId="0" borderId="0" applyNumberFormat="0" applyFill="0" applyBorder="0" applyAlignment="0" applyProtection="0"/>
    <xf numFmtId="0" fontId="13" fillId="0" borderId="0"/>
    <xf numFmtId="0" fontId="13" fillId="0" borderId="0"/>
    <xf numFmtId="0" fontId="222" fillId="0" borderId="0" applyNumberFormat="0" applyFill="0" applyBorder="0" applyAlignment="0" applyProtection="0"/>
    <xf numFmtId="0" fontId="222" fillId="0" borderId="0" applyNumberFormat="0" applyFill="0" applyBorder="0" applyAlignment="0" applyProtection="0"/>
    <xf numFmtId="0" fontId="13" fillId="0" borderId="0"/>
    <xf numFmtId="0" fontId="13" fillId="0" borderId="0"/>
    <xf numFmtId="0" fontId="79" fillId="0" borderId="0" applyNumberFormat="0" applyFill="0" applyBorder="0" applyAlignment="0" applyProtection="0"/>
    <xf numFmtId="0" fontId="13" fillId="0" borderId="0"/>
    <xf numFmtId="0" fontId="13" fillId="0" borderId="0"/>
    <xf numFmtId="0" fontId="79" fillId="0" borderId="0" applyNumberFormat="0" applyFill="0" applyBorder="0" applyAlignment="0" applyProtection="0"/>
    <xf numFmtId="0" fontId="13" fillId="0" borderId="0"/>
    <xf numFmtId="0" fontId="13" fillId="0" borderId="0"/>
    <xf numFmtId="0" fontId="13" fillId="0" borderId="98" applyNumberFormat="0" applyFill="0" applyBorder="0" applyAlignment="0" applyProtection="0"/>
    <xf numFmtId="0" fontId="13" fillId="0" borderId="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89" fontId="131" fillId="0" borderId="99" applyNumberFormat="0" applyFill="0" applyAlignment="0" applyProtection="0"/>
    <xf numFmtId="0" fontId="131" fillId="0" borderId="99" applyNumberFormat="0" applyFill="0" applyAlignment="0" applyProtection="0"/>
    <xf numFmtId="189" fontId="131" fillId="0" borderId="99" applyNumberFormat="0" applyFill="0" applyAlignment="0" applyProtection="0"/>
    <xf numFmtId="0" fontId="131" fillId="0" borderId="100" applyNumberFormat="0" applyFill="0" applyAlignment="0" applyProtection="0"/>
    <xf numFmtId="193" fontId="131" fillId="0" borderId="99" applyNumberFormat="0" applyFill="0" applyAlignment="0" applyProtection="0"/>
    <xf numFmtId="190" fontId="131" fillId="0" borderId="99"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1"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2" fontId="131" fillId="0" borderId="100" applyNumberFormat="0" applyFill="0" applyAlignment="0" applyProtection="0"/>
    <xf numFmtId="0" fontId="131" fillId="0" borderId="99" applyNumberFormat="0" applyFill="0" applyAlignment="0" applyProtection="0"/>
    <xf numFmtId="193" fontId="131" fillId="0" borderId="99" applyNumberFormat="0" applyFill="0" applyAlignment="0" applyProtection="0"/>
    <xf numFmtId="191" fontId="232" fillId="0" borderId="101"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0" fontId="131" fillId="0" borderId="99" applyNumberFormat="0" applyFill="0" applyAlignment="0" applyProtection="0"/>
    <xf numFmtId="0" fontId="13" fillId="0" borderId="98" applyNumberFormat="0" applyFill="0" applyBorder="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0" fontId="131" fillId="0" borderId="99" applyNumberFormat="0" applyFill="0" applyAlignment="0" applyProtection="0"/>
    <xf numFmtId="190" fontId="131" fillId="0" borderId="99" applyNumberFormat="0" applyFill="0" applyAlignment="0" applyProtection="0"/>
    <xf numFmtId="0" fontId="131" fillId="0" borderId="100" applyNumberFormat="0" applyFill="0" applyAlignment="0" applyProtection="0"/>
    <xf numFmtId="190" fontId="232" fillId="0" borderId="101" applyNumberFormat="0" applyFill="0" applyAlignment="0" applyProtection="0"/>
    <xf numFmtId="191" fontId="131" fillId="0" borderId="100" applyNumberFormat="0" applyFill="0" applyAlignment="0" applyProtection="0"/>
    <xf numFmtId="190" fontId="232" fillId="0" borderId="101"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2" fontId="131" fillId="0" borderId="100" applyNumberFormat="0" applyFill="0" applyAlignment="0" applyProtection="0"/>
    <xf numFmtId="0" fontId="100" fillId="0" borderId="101" applyNumberFormat="0" applyFill="0" applyAlignment="0" applyProtection="0"/>
    <xf numFmtId="193" fontId="131" fillId="0" borderId="99" applyNumberFormat="0" applyFill="0" applyAlignment="0" applyProtection="0"/>
    <xf numFmtId="0" fontId="131" fillId="0" borderId="99" applyNumberFormat="0" applyFill="0" applyAlignment="0" applyProtection="0"/>
    <xf numFmtId="191" fontId="232" fillId="0" borderId="101"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232" fillId="0" borderId="101" applyNumberFormat="0" applyFill="0" applyAlignment="0" applyProtection="0"/>
    <xf numFmtId="0" fontId="131" fillId="0" borderId="99" applyNumberFormat="0" applyFill="0" applyAlignment="0" applyProtection="0"/>
    <xf numFmtId="192" fontId="131" fillId="0" borderId="99" applyNumberFormat="0" applyFill="0" applyAlignment="0" applyProtection="0"/>
    <xf numFmtId="191" fontId="131" fillId="0" borderId="99" applyNumberFormat="0" applyFill="0" applyAlignment="0" applyProtection="0"/>
    <xf numFmtId="191" fontId="131" fillId="0" borderId="99"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2" fontId="131" fillId="0" borderId="99" applyNumberFormat="0" applyFill="0" applyAlignment="0" applyProtection="0"/>
    <xf numFmtId="192" fontId="232" fillId="0" borderId="101" applyNumberFormat="0" applyFill="0" applyAlignment="0" applyProtection="0"/>
    <xf numFmtId="191" fontId="232" fillId="0" borderId="101" applyNumberFormat="0" applyFill="0" applyAlignment="0" applyProtection="0"/>
    <xf numFmtId="192" fontId="100" fillId="0" borderId="101" applyNumberFormat="0" applyFill="0" applyAlignment="0" applyProtection="0"/>
    <xf numFmtId="191" fontId="131" fillId="0" borderId="100" applyNumberFormat="0" applyFill="0" applyAlignment="0" applyProtection="0"/>
    <xf numFmtId="191" fontId="131" fillId="0" borderId="100" applyNumberFormat="0" applyFill="0" applyAlignment="0" applyProtection="0"/>
    <xf numFmtId="192" fontId="131" fillId="0" borderId="100" applyNumberFormat="0" applyFill="0" applyAlignment="0" applyProtection="0"/>
    <xf numFmtId="192" fontId="131" fillId="0" borderId="100" applyNumberFormat="0" applyFill="0" applyAlignment="0" applyProtection="0"/>
    <xf numFmtId="192" fontId="131" fillId="0" borderId="100" applyNumberFormat="0" applyFill="0" applyAlignment="0" applyProtection="0"/>
    <xf numFmtId="192" fontId="131" fillId="0" borderId="100" applyNumberFormat="0" applyFill="0" applyAlignment="0" applyProtection="0"/>
    <xf numFmtId="0"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193"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99" applyNumberFormat="0" applyFill="0" applyAlignment="0" applyProtection="0"/>
    <xf numFmtId="193"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99" applyNumberFormat="0" applyFill="0" applyAlignment="0" applyProtection="0"/>
    <xf numFmtId="190" fontId="131" fillId="0" borderId="99" applyNumberFormat="0" applyFill="0" applyAlignment="0" applyProtection="0"/>
    <xf numFmtId="0"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99" applyNumberFormat="0" applyFill="0" applyAlignment="0" applyProtection="0"/>
    <xf numFmtId="190" fontId="131" fillId="0" borderId="99" applyNumberFormat="0" applyFill="0" applyAlignment="0" applyProtection="0"/>
    <xf numFmtId="193" fontId="13" fillId="0" borderId="98" applyNumberFormat="0" applyFill="0" applyBorder="0" applyAlignment="0" applyProtection="0"/>
    <xf numFmtId="191" fontId="131" fillId="0" borderId="100" applyNumberFormat="0" applyFill="0" applyAlignment="0" applyProtection="0"/>
    <xf numFmtId="191"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2" fontId="131" fillId="0" borderId="100" applyNumberFormat="0" applyFill="0" applyAlignment="0" applyProtection="0"/>
    <xf numFmtId="167" fontId="13" fillId="0" borderId="102">
      <protection locked="0"/>
    </xf>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1" fontId="232" fillId="0" borderId="101" applyNumberFormat="0" applyFill="0" applyAlignment="0" applyProtection="0"/>
    <xf numFmtId="0" fontId="131" fillId="0" borderId="100" applyNumberFormat="0" applyFill="0" applyAlignment="0" applyProtection="0"/>
    <xf numFmtId="0" fontId="232" fillId="0" borderId="101"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67" fontId="13" fillId="0" borderId="102">
      <protection locked="0"/>
    </xf>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99" applyNumberFormat="0" applyFill="0" applyAlignment="0" applyProtection="0"/>
    <xf numFmtId="167" fontId="13" fillId="0" borderId="102">
      <protection locked="0"/>
    </xf>
    <xf numFmtId="193" fontId="13" fillId="0" borderId="98" applyNumberFormat="0" applyFill="0" applyBorder="0" applyAlignment="0" applyProtection="0"/>
    <xf numFmtId="193" fontId="13" fillId="0" borderId="98" applyNumberFormat="0" applyFill="0" applyBorder="0" applyAlignment="0" applyProtection="0"/>
    <xf numFmtId="191" fontId="131" fillId="0" borderId="100" applyNumberFormat="0" applyFill="0" applyAlignment="0" applyProtection="0"/>
    <xf numFmtId="190" fontId="131" fillId="0" borderId="100" applyNumberFormat="0" applyFill="0" applyAlignment="0" applyProtection="0"/>
    <xf numFmtId="193" fontId="13" fillId="0" borderId="98" applyNumberFormat="0" applyFill="0" applyBorder="0" applyAlignment="0" applyProtection="0"/>
    <xf numFmtId="190" fontId="131" fillId="0" borderId="100" applyNumberFormat="0" applyFill="0" applyAlignment="0" applyProtection="0"/>
    <xf numFmtId="19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92" fontId="131" fillId="0" borderId="100" applyNumberFormat="0" applyFill="0" applyAlignment="0" applyProtection="0"/>
    <xf numFmtId="0" fontId="131" fillId="0" borderId="100" applyNumberFormat="0" applyFill="0" applyAlignment="0" applyProtection="0"/>
    <xf numFmtId="167" fontId="13" fillId="0" borderId="102">
      <protection locked="0"/>
    </xf>
    <xf numFmtId="167" fontId="13" fillId="0" borderId="102">
      <protection locked="0"/>
    </xf>
    <xf numFmtId="190" fontId="131" fillId="0" borderId="100" applyNumberFormat="0" applyFill="0" applyAlignment="0" applyProtection="0"/>
    <xf numFmtId="190" fontId="131" fillId="0" borderId="100" applyNumberFormat="0" applyFill="0" applyAlignment="0" applyProtection="0"/>
    <xf numFmtId="0" fontId="13" fillId="0" borderId="98" applyNumberFormat="0" applyFill="0" applyBorder="0" applyAlignment="0" applyProtection="0"/>
    <xf numFmtId="0" fontId="100" fillId="0" borderId="101"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92" fontId="131" fillId="0" borderId="100" applyNumberFormat="0" applyFill="0" applyAlignment="0" applyProtection="0"/>
    <xf numFmtId="189" fontId="131" fillId="0" borderId="100" applyNumberFormat="0" applyFill="0" applyAlignment="0" applyProtection="0"/>
    <xf numFmtId="167" fontId="13" fillId="0" borderId="102">
      <protection locked="0"/>
    </xf>
    <xf numFmtId="193" fontId="13" fillId="0" borderId="98" applyNumberFormat="0" applyFill="0" applyBorder="0" applyAlignment="0" applyProtection="0"/>
    <xf numFmtId="193" fontId="13" fillId="0" borderId="98" applyNumberFormat="0" applyFill="0" applyBorder="0" applyAlignment="0" applyProtection="0"/>
    <xf numFmtId="0" fontId="131" fillId="0" borderId="103" applyNumberFormat="0" applyFill="0" applyAlignment="0" applyProtection="0"/>
    <xf numFmtId="190" fontId="131" fillId="0" borderId="100" applyNumberFormat="0" applyFill="0" applyAlignment="0" applyProtection="0"/>
    <xf numFmtId="193" fontId="13" fillId="0" borderId="98" applyNumberFormat="0" applyFill="0" applyBorder="0" applyAlignment="0" applyProtection="0"/>
    <xf numFmtId="0" fontId="131" fillId="0" borderId="103" applyNumberFormat="0" applyFill="0" applyAlignment="0" applyProtection="0"/>
    <xf numFmtId="0" fontId="131" fillId="0" borderId="103" applyNumberFormat="0" applyFill="0" applyAlignment="0" applyProtection="0"/>
    <xf numFmtId="167" fontId="13" fillId="0" borderId="102">
      <protection locked="0"/>
    </xf>
    <xf numFmtId="0" fontId="131" fillId="0" borderId="103" applyNumberFormat="0" applyFill="0" applyAlignment="0" applyProtection="0"/>
    <xf numFmtId="0" fontId="131" fillId="0" borderId="103"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67" fontId="13" fillId="0" borderId="102">
      <protection locked="0"/>
    </xf>
    <xf numFmtId="0" fontId="233" fillId="0" borderId="101" applyNumberFormat="0" applyFill="0" applyAlignment="0" applyProtection="0"/>
    <xf numFmtId="167" fontId="13" fillId="0" borderId="102">
      <protection locked="0"/>
    </xf>
    <xf numFmtId="0" fontId="131" fillId="0" borderId="100" applyNumberFormat="0" applyFill="0" applyAlignment="0" applyProtection="0"/>
    <xf numFmtId="167" fontId="13" fillId="0" borderId="102">
      <protection locked="0"/>
    </xf>
    <xf numFmtId="167" fontId="13" fillId="0" borderId="102">
      <protection locked="0"/>
    </xf>
    <xf numFmtId="0" fontId="13" fillId="0" borderId="0"/>
    <xf numFmtId="0" fontId="13" fillId="0" borderId="0"/>
    <xf numFmtId="0" fontId="100" fillId="0" borderId="101" applyNumberFormat="0" applyFill="0" applyAlignment="0" applyProtection="0"/>
    <xf numFmtId="0" fontId="13" fillId="0" borderId="0"/>
    <xf numFmtId="37" fontId="26" fillId="11" borderId="0" applyNumberFormat="0" applyBorder="0" applyAlignment="0" applyProtection="0"/>
    <xf numFmtId="37" fontId="26" fillId="11" borderId="0" applyNumberFormat="0" applyBorder="0" applyAlignment="0" applyProtection="0"/>
    <xf numFmtId="0" fontId="13" fillId="0" borderId="0"/>
    <xf numFmtId="0" fontId="13" fillId="0" borderId="0"/>
    <xf numFmtId="0" fontId="13" fillId="0" borderId="0"/>
    <xf numFmtId="37" fontId="26" fillId="11" borderId="0" applyNumberFormat="0" applyBorder="0" applyAlignment="0" applyProtection="0"/>
    <xf numFmtId="0" fontId="13" fillId="0" borderId="0"/>
    <xf numFmtId="0" fontId="13" fillId="0" borderId="0"/>
    <xf numFmtId="37" fontId="26" fillId="0" borderId="0"/>
    <xf numFmtId="37" fontId="26" fillId="0" borderId="0"/>
    <xf numFmtId="0" fontId="13" fillId="0" borderId="0"/>
    <xf numFmtId="37" fontId="26" fillId="11" borderId="0" applyNumberFormat="0" applyBorder="0" applyAlignment="0" applyProtection="0"/>
    <xf numFmtId="3" fontId="43" fillId="0" borderId="66" applyProtection="0"/>
    <xf numFmtId="3" fontId="43" fillId="0" borderId="66" applyProtection="0"/>
    <xf numFmtId="0" fontId="13" fillId="0" borderId="0"/>
    <xf numFmtId="228" fontId="234" fillId="0" borderId="0" applyFont="0" applyFill="0" applyBorder="0" applyAlignment="0" applyProtection="0"/>
    <xf numFmtId="228" fontId="234" fillId="0" borderId="0" applyFont="0" applyFill="0" applyBorder="0" applyAlignment="0" applyProtection="0"/>
    <xf numFmtId="0" fontId="13" fillId="0" borderId="0"/>
    <xf numFmtId="0" fontId="13" fillId="0" borderId="0"/>
    <xf numFmtId="229" fontId="135" fillId="0" borderId="0" applyFont="0" applyFill="0" applyBorder="0" applyAlignment="0" applyProtection="0"/>
    <xf numFmtId="229" fontId="135" fillId="0" borderId="0" applyFont="0" applyFill="0" applyBorder="0" applyAlignment="0" applyProtection="0"/>
    <xf numFmtId="0" fontId="13" fillId="0" borderId="0"/>
    <xf numFmtId="0" fontId="13" fillId="0" borderId="0"/>
    <xf numFmtId="230" fontId="135" fillId="0" borderId="0" applyFont="0" applyFill="0" applyBorder="0" applyAlignment="0" applyProtection="0"/>
    <xf numFmtId="230" fontId="135" fillId="0" borderId="0" applyFont="0" applyFill="0" applyBorder="0" applyAlignment="0" applyProtection="0"/>
    <xf numFmtId="0" fontId="13" fillId="0" borderId="0"/>
    <xf numFmtId="0" fontId="13" fillId="0" borderId="0"/>
    <xf numFmtId="231" fontId="135" fillId="0" borderId="0" applyFont="0" applyFill="0" applyBorder="0" applyAlignment="0" applyProtection="0"/>
    <xf numFmtId="231" fontId="135" fillId="0" borderId="0" applyFont="0" applyFill="0" applyBorder="0" applyAlignment="0" applyProtection="0"/>
    <xf numFmtId="0" fontId="13" fillId="0" borderId="0"/>
    <xf numFmtId="0" fontId="13" fillId="0" borderId="0"/>
    <xf numFmtId="0" fontId="13" fillId="0" borderId="0"/>
    <xf numFmtId="0" fontId="235" fillId="0" borderId="0" applyNumberFormat="0" applyFill="0" applyBorder="0" applyAlignment="0" applyProtection="0"/>
    <xf numFmtId="0" fontId="13" fillId="0" borderId="0"/>
    <xf numFmtId="0" fontId="236" fillId="0" borderId="0" applyNumberFormat="0" applyFill="0" applyBorder="0" applyAlignment="0" applyProtection="0"/>
    <xf numFmtId="0" fontId="235" fillId="0" borderId="0" applyNumberFormat="0" applyFill="0" applyBorder="0" applyAlignment="0" applyProtection="0"/>
    <xf numFmtId="189" fontId="235" fillId="0" borderId="0" applyNumberFormat="0" applyFill="0" applyBorder="0" applyAlignment="0" applyProtection="0"/>
    <xf numFmtId="0" fontId="235" fillId="0" borderId="0" applyNumberFormat="0" applyFill="0" applyBorder="0" applyAlignment="0" applyProtection="0"/>
    <xf numFmtId="193" fontId="235" fillId="0" borderId="0" applyNumberFormat="0" applyFill="0" applyBorder="0" applyAlignment="0" applyProtection="0"/>
    <xf numFmtId="190" fontId="235" fillId="0" borderId="0" applyNumberFormat="0" applyFill="0" applyBorder="0" applyAlignment="0" applyProtection="0"/>
    <xf numFmtId="0" fontId="235" fillId="0" borderId="0" applyNumberFormat="0" applyFill="0" applyBorder="0" applyAlignment="0" applyProtection="0"/>
    <xf numFmtId="191" fontId="237" fillId="0" borderId="0" applyNumberFormat="0" applyFill="0" applyBorder="0" applyAlignment="0" applyProtection="0"/>
    <xf numFmtId="190" fontId="235" fillId="0" borderId="0" applyNumberFormat="0" applyFill="0" applyBorder="0" applyAlignment="0" applyProtection="0"/>
    <xf numFmtId="0" fontId="235" fillId="0" borderId="0" applyNumberFormat="0" applyFill="0" applyBorder="0" applyAlignment="0" applyProtection="0"/>
    <xf numFmtId="189" fontId="235" fillId="0" borderId="0" applyNumberFormat="0" applyFill="0" applyBorder="0" applyAlignment="0" applyProtection="0"/>
    <xf numFmtId="193" fontId="235" fillId="0" borderId="0" applyNumberFormat="0" applyFill="0" applyBorder="0" applyAlignment="0" applyProtection="0"/>
    <xf numFmtId="190" fontId="237" fillId="0" borderId="0" applyNumberFormat="0" applyFill="0" applyBorder="0" applyAlignment="0" applyProtection="0"/>
    <xf numFmtId="190" fontId="237" fillId="0" borderId="0" applyNumberFormat="0" applyFill="0" applyBorder="0" applyAlignment="0" applyProtection="0"/>
    <xf numFmtId="0" fontId="89" fillId="0" borderId="0" applyNumberFormat="0" applyFill="0" applyBorder="0" applyAlignment="0" applyProtection="0"/>
    <xf numFmtId="0" fontId="235" fillId="0" borderId="0" applyNumberFormat="0" applyFill="0" applyBorder="0" applyAlignment="0" applyProtection="0"/>
    <xf numFmtId="191" fontId="237" fillId="0" borderId="0" applyNumberFormat="0" applyFill="0" applyBorder="0" applyAlignment="0" applyProtection="0"/>
    <xf numFmtId="0" fontId="237" fillId="0" borderId="0" applyNumberFormat="0" applyFill="0" applyBorder="0" applyAlignment="0" applyProtection="0"/>
    <xf numFmtId="192" fontId="235" fillId="0" borderId="0" applyNumberFormat="0" applyFill="0" applyBorder="0" applyAlignment="0" applyProtection="0"/>
    <xf numFmtId="191" fontId="235" fillId="0" borderId="0" applyNumberFormat="0" applyFill="0" applyBorder="0" applyAlignment="0" applyProtection="0"/>
    <xf numFmtId="192" fontId="237" fillId="0" borderId="0" applyNumberFormat="0" applyFill="0" applyBorder="0" applyAlignment="0" applyProtection="0"/>
    <xf numFmtId="191" fontId="237" fillId="0" borderId="0" applyNumberFormat="0" applyFill="0" applyBorder="0" applyAlignment="0" applyProtection="0"/>
    <xf numFmtId="192" fontId="89" fillId="0" borderId="0" applyNumberFormat="0" applyFill="0" applyBorder="0" applyAlignment="0" applyProtection="0"/>
    <xf numFmtId="191" fontId="235" fillId="0" borderId="0" applyNumberFormat="0" applyFill="0" applyBorder="0" applyAlignment="0" applyProtection="0"/>
    <xf numFmtId="192" fontId="235" fillId="0" borderId="0" applyNumberFormat="0" applyFill="0" applyBorder="0" applyAlignment="0" applyProtection="0"/>
    <xf numFmtId="192"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191" fontId="237" fillId="0" borderId="0" applyNumberFormat="0" applyFill="0" applyBorder="0" applyAlignment="0" applyProtection="0"/>
    <xf numFmtId="190" fontId="235" fillId="0" borderId="0" applyNumberFormat="0" applyFill="0" applyBorder="0" applyAlignment="0" applyProtection="0"/>
    <xf numFmtId="0" fontId="235" fillId="0" borderId="0" applyNumberFormat="0" applyFill="0" applyBorder="0" applyAlignment="0" applyProtection="0"/>
    <xf numFmtId="190" fontId="235" fillId="0" borderId="0" applyNumberFormat="0" applyFill="0" applyBorder="0" applyAlignment="0" applyProtection="0"/>
    <xf numFmtId="0" fontId="237" fillId="0" borderId="0" applyNumberFormat="0" applyFill="0" applyBorder="0" applyAlignment="0" applyProtection="0"/>
    <xf numFmtId="191" fontId="235" fillId="0" borderId="0" applyNumberFormat="0" applyFill="0" applyBorder="0" applyAlignment="0" applyProtection="0"/>
    <xf numFmtId="192" fontId="235" fillId="0" borderId="0" applyNumberFormat="0" applyFill="0" applyBorder="0" applyAlignment="0" applyProtection="0"/>
    <xf numFmtId="191" fontId="237"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90" fontId="235" fillId="0" borderId="0" applyNumberFormat="0" applyFill="0" applyBorder="0" applyAlignment="0" applyProtection="0"/>
    <xf numFmtId="190" fontId="235" fillId="0" borderId="0" applyNumberFormat="0" applyFill="0" applyBorder="0" applyAlignment="0" applyProtection="0"/>
    <xf numFmtId="0" fontId="89" fillId="0" borderId="0" applyNumberFormat="0" applyFill="0" applyBorder="0" applyAlignment="0" applyProtection="0"/>
    <xf numFmtId="189" fontId="235" fillId="0" borderId="0" applyNumberFormat="0" applyFill="0" applyBorder="0" applyAlignment="0" applyProtection="0"/>
    <xf numFmtId="0" fontId="235" fillId="0" borderId="0" applyNumberFormat="0" applyFill="0" applyBorder="0" applyAlignment="0" applyProtection="0"/>
    <xf numFmtId="190" fontId="235" fillId="0" borderId="0" applyNumberFormat="0" applyFill="0" applyBorder="0" applyAlignment="0" applyProtection="0"/>
    <xf numFmtId="0" fontId="13" fillId="0" borderId="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3" fillId="0" borderId="0"/>
    <xf numFmtId="0" fontId="13" fillId="0" borderId="0"/>
    <xf numFmtId="0" fontId="235" fillId="0" borderId="0" applyNumberFormat="0" applyFill="0" applyBorder="0" applyAlignment="0" applyProtection="0"/>
    <xf numFmtId="0" fontId="23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89" fillId="0" borderId="0" applyNumberFormat="0" applyFill="0" applyBorder="0" applyAlignment="0" applyProtection="0"/>
    <xf numFmtId="0" fontId="13" fillId="0" borderId="0"/>
    <xf numFmtId="0" fontId="13" fillId="0" borderId="90" applyNumberFormat="0" applyAlignment="0"/>
    <xf numFmtId="0" fontId="13" fillId="0" borderId="104" applyNumberFormat="0" applyAlignment="0">
      <alignment horizontal="center"/>
    </xf>
    <xf numFmtId="0" fontId="13" fillId="0" borderId="104"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1" fontId="13" fillId="0" borderId="0" applyFont="0" applyFill="0" applyBorder="0">
      <alignment horizontal="center"/>
    </xf>
    <xf numFmtId="1" fontId="13" fillId="0" borderId="0" applyFont="0" applyFill="0" applyBorder="0">
      <alignment horizontal="center"/>
    </xf>
    <xf numFmtId="0" fontId="13" fillId="0" borderId="0"/>
    <xf numFmtId="0" fontId="13" fillId="0" borderId="0"/>
    <xf numFmtId="0" fontId="68" fillId="0" borderId="0" applyFill="0" applyBorder="0" applyAlignment="0" applyProtection="0"/>
    <xf numFmtId="0" fontId="68" fillId="0" borderId="0" applyFill="0" applyBorder="0" applyAlignment="0" applyProtection="0"/>
    <xf numFmtId="0" fontId="13" fillId="0" borderId="0"/>
    <xf numFmtId="0" fontId="13" fillId="0" borderId="0"/>
    <xf numFmtId="0" fontId="238" fillId="0" borderId="0"/>
    <xf numFmtId="193" fontId="238" fillId="0" borderId="0"/>
    <xf numFmtId="193" fontId="238" fillId="0" borderId="0"/>
    <xf numFmtId="190" fontId="238" fillId="0" borderId="0"/>
    <xf numFmtId="0" fontId="238" fillId="0" borderId="0"/>
    <xf numFmtId="193" fontId="238" fillId="0" borderId="0"/>
    <xf numFmtId="192" fontId="238" fillId="0" borderId="0"/>
    <xf numFmtId="189" fontId="238" fillId="0" borderId="0"/>
    <xf numFmtId="44" fontId="240" fillId="0" borderId="0" applyFont="0" applyFill="0" applyBorder="0" applyAlignment="0" applyProtection="0"/>
    <xf numFmtId="0" fontId="6" fillId="0" borderId="0"/>
    <xf numFmtId="0" fontId="13" fillId="0" borderId="0"/>
    <xf numFmtId="0" fontId="6" fillId="0" borderId="0"/>
    <xf numFmtId="0" fontId="65" fillId="0" borderId="0"/>
    <xf numFmtId="0" fontId="257" fillId="29" borderId="0" applyNumberFormat="0" applyBorder="0" applyAlignment="0" applyProtection="0"/>
    <xf numFmtId="43" fontId="65" fillId="0" borderId="0" applyFont="0" applyFill="0" applyBorder="0" applyAlignment="0" applyProtection="0"/>
    <xf numFmtId="44" fontId="65" fillId="0" borderId="0" applyFont="0" applyFill="0" applyBorder="0" applyAlignment="0" applyProtection="0"/>
    <xf numFmtId="43" fontId="5"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0" fontId="5" fillId="0" borderId="0"/>
    <xf numFmtId="0" fontId="262" fillId="31" borderId="0" applyNumberFormat="0" applyBorder="0" applyAlignment="0" applyProtection="0"/>
    <xf numFmtId="0" fontId="161" fillId="0" borderId="0" applyNumberFormat="0" applyFill="0" applyBorder="0" applyAlignment="0" applyProtection="0"/>
    <xf numFmtId="0" fontId="4"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cellStyleXfs>
  <cellXfs count="451">
    <xf numFmtId="0" fontId="0" fillId="0" borderId="0" xfId="0"/>
    <xf numFmtId="0" fontId="47" fillId="0" borderId="0" xfId="58" applyFont="1"/>
    <xf numFmtId="181" fontId="48" fillId="0" borderId="13" xfId="12" applyNumberFormat="1" applyFont="1" applyBorder="1"/>
    <xf numFmtId="0" fontId="50" fillId="0" borderId="11" xfId="0" applyFont="1" applyBorder="1" applyAlignment="1">
      <alignment horizontal="right"/>
    </xf>
    <xf numFmtId="181" fontId="50" fillId="0" borderId="0" xfId="12" applyNumberFormat="1" applyFont="1"/>
    <xf numFmtId="0" fontId="48" fillId="0" borderId="14" xfId="58" applyFont="1" applyBorder="1"/>
    <xf numFmtId="0" fontId="47" fillId="0" borderId="15" xfId="58" applyFont="1" applyBorder="1"/>
    <xf numFmtId="0" fontId="49" fillId="0" borderId="18" xfId="0" applyFont="1" applyBorder="1" applyAlignment="1">
      <alignment horizontal="center" wrapText="1"/>
    </xf>
    <xf numFmtId="0" fontId="50" fillId="0" borderId="16" xfId="0" applyFont="1" applyBorder="1" applyAlignment="1">
      <alignment horizontal="right"/>
    </xf>
    <xf numFmtId="0" fontId="53" fillId="0" borderId="16" xfId="0" applyFont="1" applyBorder="1"/>
    <xf numFmtId="0" fontId="49" fillId="0" borderId="17" xfId="0" applyFont="1" applyBorder="1"/>
    <xf numFmtId="0" fontId="48" fillId="8" borderId="16" xfId="58" applyFont="1" applyFill="1" applyBorder="1" applyAlignment="1">
      <alignment horizontal="center"/>
    </xf>
    <xf numFmtId="0" fontId="48" fillId="8" borderId="0" xfId="58" applyFont="1" applyFill="1" applyAlignment="1">
      <alignment horizontal="center"/>
    </xf>
    <xf numFmtId="0" fontId="48" fillId="0" borderId="0" xfId="58" applyFont="1" applyAlignment="1">
      <alignment horizontal="center"/>
    </xf>
    <xf numFmtId="181" fontId="53" fillId="0" borderId="0" xfId="0" applyNumberFormat="1" applyFont="1"/>
    <xf numFmtId="43" fontId="50" fillId="0" borderId="0" xfId="12" applyNumberFormat="1" applyFont="1"/>
    <xf numFmtId="165" fontId="50" fillId="0" borderId="0" xfId="12" applyNumberFormat="1" applyFont="1"/>
    <xf numFmtId="164" fontId="53" fillId="0" borderId="0" xfId="0" applyNumberFormat="1" applyFont="1"/>
    <xf numFmtId="0" fontId="55" fillId="0" borderId="0" xfId="58" applyFont="1"/>
    <xf numFmtId="185" fontId="48" fillId="8" borderId="0" xfId="58" applyNumberFormat="1" applyFont="1" applyFill="1" applyAlignment="1">
      <alignment horizontal="center"/>
    </xf>
    <xf numFmtId="185" fontId="55" fillId="0" borderId="0" xfId="58" applyNumberFormat="1" applyFont="1"/>
    <xf numFmtId="0" fontId="56" fillId="0" borderId="0" xfId="58" applyFont="1"/>
    <xf numFmtId="185" fontId="56" fillId="0" borderId="0" xfId="58" applyNumberFormat="1" applyFont="1"/>
    <xf numFmtId="0" fontId="58" fillId="0" borderId="11" xfId="0" applyFont="1" applyBorder="1"/>
    <xf numFmtId="0" fontId="58" fillId="0" borderId="12" xfId="0" applyFont="1" applyBorder="1"/>
    <xf numFmtId="0" fontId="48" fillId="0" borderId="0" xfId="58" applyFont="1"/>
    <xf numFmtId="43" fontId="47" fillId="0" borderId="0" xfId="58" applyNumberFormat="1" applyFont="1"/>
    <xf numFmtId="0" fontId="47" fillId="0" borderId="12" xfId="58" applyFont="1" applyBorder="1"/>
    <xf numFmtId="0" fontId="54" fillId="0" borderId="22" xfId="58" applyFont="1" applyBorder="1" applyAlignment="1">
      <alignment horizontal="left" wrapText="1"/>
    </xf>
    <xf numFmtId="0" fontId="47" fillId="0" borderId="23" xfId="58" applyFont="1" applyBorder="1"/>
    <xf numFmtId="165" fontId="47" fillId="0" borderId="6" xfId="397" applyNumberFormat="1" applyFont="1" applyBorder="1"/>
    <xf numFmtId="165" fontId="47" fillId="0" borderId="24" xfId="397" applyNumberFormat="1" applyFont="1" applyBorder="1"/>
    <xf numFmtId="0" fontId="48" fillId="0" borderId="19" xfId="58" applyFont="1" applyBorder="1" applyAlignment="1">
      <alignment horizontal="left" wrapText="1"/>
    </xf>
    <xf numFmtId="0" fontId="26" fillId="0" borderId="0" xfId="114" applyFont="1"/>
    <xf numFmtId="0" fontId="69" fillId="0" borderId="0" xfId="388" applyFont="1"/>
    <xf numFmtId="0" fontId="70" fillId="0" borderId="0" xfId="388" applyFont="1" applyAlignment="1">
      <alignment horizontal="left" vertical="center" indent="1"/>
    </xf>
    <xf numFmtId="0" fontId="72" fillId="0" borderId="11" xfId="388" applyFont="1" applyBorder="1" applyAlignment="1">
      <alignment vertical="center" wrapText="1"/>
    </xf>
    <xf numFmtId="0" fontId="75" fillId="0" borderId="0" xfId="388" applyFont="1" applyAlignment="1">
      <alignment horizontal="center" vertical="center" wrapText="1"/>
    </xf>
    <xf numFmtId="0" fontId="76" fillId="0" borderId="0" xfId="388" applyFont="1"/>
    <xf numFmtId="0" fontId="72" fillId="0" borderId="0" xfId="388" applyFont="1" applyAlignment="1">
      <alignment horizontal="center" vertical="center" wrapText="1"/>
    </xf>
    <xf numFmtId="0" fontId="48" fillId="8" borderId="21" xfId="58" applyFont="1" applyFill="1" applyBorder="1" applyAlignment="1">
      <alignment horizontal="center"/>
    </xf>
    <xf numFmtId="0" fontId="47" fillId="0" borderId="27" xfId="58" applyFont="1" applyBorder="1"/>
    <xf numFmtId="0" fontId="47" fillId="0" borderId="21" xfId="58" applyFont="1" applyBorder="1"/>
    <xf numFmtId="9" fontId="50" fillId="0" borderId="21" xfId="64" applyFont="1" applyBorder="1"/>
    <xf numFmtId="9" fontId="49" fillId="0" borderId="28" xfId="64" applyFont="1" applyBorder="1"/>
    <xf numFmtId="9" fontId="53" fillId="0" borderId="21" xfId="64" applyFont="1" applyBorder="1"/>
    <xf numFmtId="9" fontId="51" fillId="0" borderId="28" xfId="64" applyFont="1" applyBorder="1"/>
    <xf numFmtId="0" fontId="45" fillId="0" borderId="0" xfId="0" applyFont="1"/>
    <xf numFmtId="185" fontId="58" fillId="0" borderId="6" xfId="0" applyNumberFormat="1" applyFont="1" applyBorder="1"/>
    <xf numFmtId="0" fontId="59" fillId="0" borderId="6" xfId="0" applyFont="1" applyBorder="1"/>
    <xf numFmtId="181" fontId="47" fillId="0" borderId="0" xfId="401" applyNumberFormat="1" applyFont="1"/>
    <xf numFmtId="181" fontId="95" fillId="0" borderId="0" xfId="401" applyNumberFormat="1" applyFont="1"/>
    <xf numFmtId="0" fontId="95" fillId="0" borderId="0" xfId="58" applyFont="1"/>
    <xf numFmtId="0" fontId="97" fillId="26" borderId="6" xfId="403" applyFont="1" applyFill="1" applyBorder="1" applyAlignment="1">
      <alignment horizontal="center" vertical="center" wrapText="1"/>
    </xf>
    <xf numFmtId="0" fontId="97" fillId="28" borderId="6" xfId="403" applyFont="1" applyFill="1" applyBorder="1" applyAlignment="1">
      <alignment horizontal="center" vertical="center" wrapText="1"/>
    </xf>
    <xf numFmtId="0" fontId="97" fillId="65" borderId="6" xfId="403" applyFont="1" applyFill="1" applyBorder="1" applyAlignment="1">
      <alignment horizontal="center" vertical="center" wrapText="1"/>
    </xf>
    <xf numFmtId="49" fontId="47" fillId="0" borderId="6" xfId="401" applyNumberFormat="1" applyFont="1" applyBorder="1"/>
    <xf numFmtId="165" fontId="47" fillId="0" borderId="6" xfId="401" applyNumberFormat="1" applyFont="1" applyBorder="1"/>
    <xf numFmtId="165" fontId="47" fillId="67" borderId="6" xfId="401" applyNumberFormat="1" applyFont="1" applyFill="1" applyBorder="1"/>
    <xf numFmtId="49" fontId="93" fillId="0" borderId="39" xfId="401" applyNumberFormat="1" applyFont="1" applyBorder="1"/>
    <xf numFmtId="49" fontId="47" fillId="67" borderId="39" xfId="401" applyNumberFormat="1" applyFont="1" applyFill="1" applyBorder="1"/>
    <xf numFmtId="165" fontId="47" fillId="67" borderId="39" xfId="401" applyNumberFormat="1" applyFont="1" applyFill="1" applyBorder="1"/>
    <xf numFmtId="165" fontId="47" fillId="0" borderId="39" xfId="401" applyNumberFormat="1" applyFont="1" applyBorder="1"/>
    <xf numFmtId="49" fontId="93" fillId="62" borderId="6" xfId="401" applyNumberFormat="1" applyFont="1" applyFill="1" applyBorder="1"/>
    <xf numFmtId="49" fontId="48" fillId="0" borderId="40" xfId="401" applyNumberFormat="1" applyFont="1" applyBorder="1"/>
    <xf numFmtId="49" fontId="98" fillId="0" borderId="40" xfId="401" applyNumberFormat="1" applyFont="1" applyBorder="1" applyAlignment="1">
      <alignment horizontal="right"/>
    </xf>
    <xf numFmtId="165" fontId="48" fillId="0" borderId="40" xfId="401" applyNumberFormat="1" applyFont="1" applyBorder="1"/>
    <xf numFmtId="49" fontId="47" fillId="68" borderId="6" xfId="401" applyNumberFormat="1" applyFont="1" applyFill="1" applyBorder="1"/>
    <xf numFmtId="49" fontId="93" fillId="68" borderId="6" xfId="401" applyNumberFormat="1" applyFont="1" applyFill="1" applyBorder="1"/>
    <xf numFmtId="165" fontId="47" fillId="68" borderId="6" xfId="401" applyNumberFormat="1" applyFont="1" applyFill="1" applyBorder="1"/>
    <xf numFmtId="0" fontId="7" fillId="0" borderId="0" xfId="400"/>
    <xf numFmtId="165" fontId="47" fillId="0" borderId="0" xfId="401" applyNumberFormat="1" applyFont="1"/>
    <xf numFmtId="0" fontId="7" fillId="0" borderId="0" xfId="400" applyAlignment="1">
      <alignment vertical="center"/>
    </xf>
    <xf numFmtId="0" fontId="100" fillId="62" borderId="41" xfId="400" applyFont="1" applyFill="1" applyBorder="1" applyAlignment="1">
      <alignment vertical="center"/>
    </xf>
    <xf numFmtId="0" fontId="100" fillId="62" borderId="42" xfId="400" applyFont="1" applyFill="1" applyBorder="1" applyAlignment="1">
      <alignment vertical="center"/>
    </xf>
    <xf numFmtId="0" fontId="100" fillId="62" borderId="43" xfId="400" applyFont="1" applyFill="1" applyBorder="1" applyAlignment="1">
      <alignment vertical="center"/>
    </xf>
    <xf numFmtId="0" fontId="100" fillId="0" borderId="7" xfId="400" applyFont="1" applyBorder="1" applyAlignment="1">
      <alignment vertical="center"/>
    </xf>
    <xf numFmtId="0" fontId="101" fillId="0" borderId="0" xfId="400" applyFont="1"/>
    <xf numFmtId="0" fontId="102" fillId="0" borderId="0" xfId="400" applyFont="1" applyAlignment="1">
      <alignment horizontal="center" vertical="center"/>
    </xf>
    <xf numFmtId="0" fontId="13" fillId="0" borderId="0" xfId="403" applyAlignment="1">
      <alignment vertical="center"/>
    </xf>
    <xf numFmtId="0" fontId="13" fillId="0" borderId="0" xfId="403"/>
    <xf numFmtId="0" fontId="97" fillId="63" borderId="6" xfId="403" applyFont="1" applyFill="1" applyBorder="1" applyAlignment="1">
      <alignment horizontal="center" vertical="center" wrapText="1"/>
    </xf>
    <xf numFmtId="49" fontId="93" fillId="0" borderId="6" xfId="401" applyNumberFormat="1" applyFont="1" applyBorder="1"/>
    <xf numFmtId="49" fontId="47" fillId="68" borderId="9" xfId="401" applyNumberFormat="1" applyFont="1" applyFill="1" applyBorder="1"/>
    <xf numFmtId="165" fontId="47" fillId="68" borderId="9" xfId="401" applyNumberFormat="1" applyFont="1" applyFill="1" applyBorder="1"/>
    <xf numFmtId="49" fontId="47" fillId="0" borderId="105" xfId="401" applyNumberFormat="1" applyFont="1" applyBorder="1"/>
    <xf numFmtId="49" fontId="47" fillId="67" borderId="106" xfId="401" applyNumberFormat="1" applyFont="1" applyFill="1" applyBorder="1"/>
    <xf numFmtId="49" fontId="47" fillId="0" borderId="25" xfId="401" applyNumberFormat="1" applyFont="1" applyBorder="1"/>
    <xf numFmtId="187" fontId="76" fillId="0" borderId="105" xfId="388" applyNumberFormat="1" applyFont="1" applyBorder="1" applyAlignment="1">
      <alignment horizontal="center" vertical="center" wrapText="1"/>
    </xf>
    <xf numFmtId="2" fontId="76" fillId="0" borderId="108" xfId="388" applyNumberFormat="1" applyFont="1" applyBorder="1" applyAlignment="1">
      <alignment horizontal="center" vertical="center" wrapText="1"/>
    </xf>
    <xf numFmtId="0" fontId="75" fillId="0" borderId="6" xfId="388" applyFont="1" applyBorder="1" applyAlignment="1">
      <alignment horizontal="center" vertical="center" wrapText="1"/>
    </xf>
    <xf numFmtId="186" fontId="76" fillId="25" borderId="6" xfId="388" applyNumberFormat="1" applyFont="1" applyFill="1" applyBorder="1" applyAlignment="1">
      <alignment horizontal="center" vertical="center" wrapText="1"/>
    </xf>
    <xf numFmtId="187" fontId="76" fillId="25" borderId="6" xfId="388" applyNumberFormat="1" applyFont="1" applyFill="1" applyBorder="1" applyAlignment="1">
      <alignment horizontal="center" vertical="center" wrapText="1"/>
    </xf>
    <xf numFmtId="2" fontId="76" fillId="25" borderId="6" xfId="388" applyNumberFormat="1" applyFont="1" applyFill="1" applyBorder="1" applyAlignment="1">
      <alignment horizontal="center" vertical="center" wrapText="1"/>
    </xf>
    <xf numFmtId="186" fontId="76" fillId="0" borderId="105" xfId="388" applyNumberFormat="1" applyFont="1" applyBorder="1" applyAlignment="1">
      <alignment horizontal="center" vertical="center" wrapText="1"/>
    </xf>
    <xf numFmtId="44" fontId="47" fillId="0" borderId="0" xfId="61183" applyFont="1"/>
    <xf numFmtId="0" fontId="56" fillId="0" borderId="0" xfId="114" applyFont="1"/>
    <xf numFmtId="0" fontId="35" fillId="0" borderId="105" xfId="114" applyFont="1" applyBorder="1"/>
    <xf numFmtId="0" fontId="67" fillId="0" borderId="105" xfId="114" applyFont="1" applyBorder="1" applyAlignment="1">
      <alignment horizontal="center"/>
    </xf>
    <xf numFmtId="0" fontId="66" fillId="0" borderId="105" xfId="114" applyFont="1" applyBorder="1" applyAlignment="1">
      <alignment horizontal="center"/>
    </xf>
    <xf numFmtId="0" fontId="45" fillId="0" borderId="105" xfId="114" applyFont="1" applyBorder="1" applyAlignment="1">
      <alignment horizontal="center"/>
    </xf>
    <xf numFmtId="0" fontId="53" fillId="0" borderId="110" xfId="0" applyFont="1" applyBorder="1"/>
    <xf numFmtId="181" fontId="53" fillId="0" borderId="111" xfId="0" applyNumberFormat="1" applyFont="1" applyBorder="1"/>
    <xf numFmtId="0" fontId="71" fillId="0" borderId="0" xfId="388" applyFont="1" applyFill="1" applyBorder="1" applyAlignment="1">
      <alignment horizontal="left" vertical="center" indent="1"/>
    </xf>
    <xf numFmtId="0" fontId="72" fillId="0" borderId="23" xfId="388" applyFont="1" applyFill="1" applyBorder="1" applyAlignment="1">
      <alignment vertical="center" wrapText="1"/>
    </xf>
    <xf numFmtId="0" fontId="73" fillId="0" borderId="23" xfId="388" applyFont="1" applyFill="1" applyBorder="1" applyAlignment="1">
      <alignment vertical="center" wrapText="1"/>
    </xf>
    <xf numFmtId="0" fontId="72" fillId="0" borderId="23" xfId="388" applyFont="1" applyFill="1" applyBorder="1" applyAlignment="1">
      <alignment horizontal="center" vertical="center" wrapText="1"/>
    </xf>
    <xf numFmtId="0" fontId="75" fillId="0" borderId="6" xfId="388" applyFont="1" applyFill="1" applyBorder="1" applyAlignment="1">
      <alignment horizontal="center" vertical="center" wrapText="1"/>
    </xf>
    <xf numFmtId="0" fontId="75" fillId="0" borderId="24" xfId="388" applyFont="1" applyFill="1" applyBorder="1" applyAlignment="1">
      <alignment horizontal="center" vertical="center" wrapText="1"/>
    </xf>
    <xf numFmtId="181" fontId="76" fillId="25" borderId="25" xfId="12" applyNumberFormat="1" applyFont="1" applyFill="1" applyBorder="1" applyAlignment="1">
      <alignment horizontal="center" vertical="center" wrapText="1"/>
    </xf>
    <xf numFmtId="206" fontId="76" fillId="25" borderId="25" xfId="12" applyNumberFormat="1" applyFont="1" applyFill="1" applyBorder="1" applyAlignment="1">
      <alignment horizontal="center" vertical="center" wrapText="1"/>
    </xf>
    <xf numFmtId="206" fontId="76" fillId="25" borderId="26" xfId="12" applyNumberFormat="1" applyFont="1" applyFill="1" applyBorder="1" applyAlignment="1">
      <alignment horizontal="center" vertical="center" wrapText="1"/>
    </xf>
    <xf numFmtId="0" fontId="13" fillId="0" borderId="0" xfId="0" applyFont="1"/>
    <xf numFmtId="0" fontId="72" fillId="0" borderId="23" xfId="388" applyFont="1" applyBorder="1" applyAlignment="1">
      <alignment horizontal="center" vertical="center" wrapText="1"/>
    </xf>
    <xf numFmtId="0" fontId="75" fillId="0" borderId="24" xfId="388" applyFont="1" applyBorder="1" applyAlignment="1">
      <alignment horizontal="center" vertical="center" wrapText="1"/>
    </xf>
    <xf numFmtId="2" fontId="76" fillId="25" borderId="24" xfId="388" applyNumberFormat="1" applyFont="1" applyFill="1" applyBorder="1" applyAlignment="1">
      <alignment horizontal="center" vertical="center" wrapText="1"/>
    </xf>
    <xf numFmtId="186" fontId="76" fillId="0" borderId="0" xfId="388" applyNumberFormat="1" applyFont="1" applyBorder="1" applyAlignment="1">
      <alignment horizontal="center" vertical="center" wrapText="1"/>
    </xf>
    <xf numFmtId="0" fontId="73" fillId="0" borderId="23" xfId="388" applyFont="1" applyBorder="1" applyAlignment="1">
      <alignment vertical="center" wrapText="1"/>
    </xf>
    <xf numFmtId="0" fontId="72" fillId="0" borderId="23" xfId="388" applyFont="1" applyBorder="1" applyAlignment="1">
      <alignment vertical="center" wrapText="1"/>
    </xf>
    <xf numFmtId="0" fontId="72" fillId="0" borderId="116" xfId="388" applyFont="1" applyBorder="1" applyAlignment="1">
      <alignment vertical="center" wrapText="1"/>
    </xf>
    <xf numFmtId="0" fontId="0" fillId="0" borderId="23" xfId="0" applyBorder="1"/>
    <xf numFmtId="0" fontId="72" fillId="0" borderId="11" xfId="388" applyFont="1" applyBorder="1" applyAlignment="1">
      <alignment horizontal="center" vertical="center" wrapText="1"/>
    </xf>
    <xf numFmtId="0" fontId="72" fillId="0" borderId="0" xfId="388" applyFont="1" applyBorder="1" applyAlignment="1">
      <alignment horizontal="center" vertical="center" wrapText="1"/>
    </xf>
    <xf numFmtId="0" fontId="69" fillId="0" borderId="0" xfId="388" applyFont="1" applyBorder="1"/>
    <xf numFmtId="0" fontId="69" fillId="0" borderId="12" xfId="388" applyFont="1" applyBorder="1"/>
    <xf numFmtId="0" fontId="72" fillId="0" borderId="19" xfId="388" applyFont="1" applyBorder="1" applyAlignment="1">
      <alignment horizontal="center" vertical="center" wrapText="1"/>
    </xf>
    <xf numFmtId="232" fontId="13" fillId="0" borderId="0" xfId="64" applyNumberFormat="1" applyFont="1"/>
    <xf numFmtId="206" fontId="45" fillId="0" borderId="105" xfId="12" applyNumberFormat="1" applyFont="1" applyBorder="1"/>
    <xf numFmtId="232" fontId="45" fillId="0" borderId="105" xfId="64" applyNumberFormat="1" applyFont="1" applyBorder="1"/>
    <xf numFmtId="0" fontId="45" fillId="0" borderId="105" xfId="0" applyFont="1" applyBorder="1"/>
    <xf numFmtId="0" fontId="237" fillId="0" borderId="0" xfId="0" applyFont="1"/>
    <xf numFmtId="185" fontId="57" fillId="0" borderId="109" xfId="0" applyNumberFormat="1" applyFont="1" applyBorder="1" applyAlignment="1">
      <alignment horizontal="center" wrapText="1"/>
    </xf>
    <xf numFmtId="0" fontId="57" fillId="0" borderId="109" xfId="0" applyFont="1" applyBorder="1" applyAlignment="1">
      <alignment wrapText="1"/>
    </xf>
    <xf numFmtId="0" fontId="57" fillId="0" borderId="112" xfId="0" applyFont="1" applyBorder="1" applyAlignment="1">
      <alignment wrapText="1"/>
    </xf>
    <xf numFmtId="185" fontId="58" fillId="0" borderId="0" xfId="0" applyNumberFormat="1" applyFont="1" applyBorder="1"/>
    <xf numFmtId="0" fontId="58" fillId="0" borderId="0" xfId="0" applyFont="1" applyBorder="1"/>
    <xf numFmtId="0" fontId="58" fillId="0" borderId="23" xfId="0" applyFont="1" applyBorder="1"/>
    <xf numFmtId="0" fontId="59" fillId="0" borderId="24" xfId="0" applyFont="1" applyBorder="1"/>
    <xf numFmtId="0" fontId="60" fillId="0" borderId="19" xfId="0" applyFont="1" applyBorder="1"/>
    <xf numFmtId="185" fontId="60" fillId="0" borderId="25" xfId="0" applyNumberFormat="1" applyFont="1" applyBorder="1"/>
    <xf numFmtId="184" fontId="48" fillId="0" borderId="109" xfId="396" applyNumberFormat="1" applyFont="1" applyFill="1" applyBorder="1"/>
    <xf numFmtId="164" fontId="48" fillId="0" borderId="109" xfId="12" applyFont="1" applyFill="1" applyBorder="1"/>
    <xf numFmtId="164" fontId="48" fillId="0" borderId="112" xfId="12" applyFont="1" applyFill="1" applyBorder="1"/>
    <xf numFmtId="181" fontId="50" fillId="0" borderId="0" xfId="0" applyNumberFormat="1" applyFont="1" applyBorder="1" applyAlignment="1">
      <alignment wrapText="1"/>
    </xf>
    <xf numFmtId="181" fontId="50" fillId="0" borderId="0" xfId="12" applyNumberFormat="1" applyFont="1" applyFill="1" applyBorder="1" applyAlignment="1"/>
    <xf numFmtId="181" fontId="50" fillId="0" borderId="0" xfId="12" applyNumberFormat="1" applyFont="1" applyBorder="1"/>
    <xf numFmtId="164" fontId="54" fillId="0" borderId="0" xfId="12" applyNumberFormat="1" applyFont="1" applyBorder="1"/>
    <xf numFmtId="206" fontId="50" fillId="0" borderId="0" xfId="12" applyNumberFormat="1" applyFont="1" applyBorder="1"/>
    <xf numFmtId="206" fontId="50" fillId="0" borderId="0" xfId="12" applyNumberFormat="1" applyFont="1" applyFill="1" applyBorder="1" applyAlignment="1"/>
    <xf numFmtId="165" fontId="48" fillId="0" borderId="25" xfId="397" applyNumberFormat="1" applyFont="1" applyFill="1" applyBorder="1"/>
    <xf numFmtId="165" fontId="48" fillId="0" borderId="26" xfId="397" applyNumberFormat="1" applyFont="1" applyFill="1" applyBorder="1"/>
    <xf numFmtId="206" fontId="75" fillId="0" borderId="6" xfId="12" applyNumberFormat="1" applyFont="1" applyBorder="1" applyAlignment="1">
      <alignment horizontal="center" vertical="center" wrapText="1"/>
    </xf>
    <xf numFmtId="206" fontId="75" fillId="0" borderId="24" xfId="12" applyNumberFormat="1" applyFont="1" applyBorder="1" applyAlignment="1">
      <alignment horizontal="center" vertical="center" wrapText="1"/>
    </xf>
    <xf numFmtId="0" fontId="48" fillId="0" borderId="117" xfId="58" applyFont="1" applyBorder="1"/>
    <xf numFmtId="0" fontId="13" fillId="0" borderId="0" xfId="58" applyFont="1"/>
    <xf numFmtId="166" fontId="60" fillId="0" borderId="25" xfId="0" applyNumberFormat="1" applyFont="1" applyBorder="1"/>
    <xf numFmtId="166" fontId="60" fillId="0" borderId="26" xfId="0" applyNumberFormat="1" applyFont="1" applyBorder="1"/>
    <xf numFmtId="164" fontId="13" fillId="0" borderId="0" xfId="12" applyFont="1" applyFill="1" applyBorder="1" applyAlignment="1">
      <alignment horizontal="center"/>
    </xf>
    <xf numFmtId="9" fontId="13" fillId="0" borderId="0" xfId="64" applyFont="1"/>
    <xf numFmtId="164" fontId="45" fillId="0" borderId="105" xfId="12" applyFont="1" applyBorder="1"/>
    <xf numFmtId="0" fontId="93" fillId="0" borderId="0" xfId="394" applyFont="1"/>
    <xf numFmtId="0" fontId="244" fillId="0" borderId="0" xfId="394" applyFont="1"/>
    <xf numFmtId="0" fontId="56" fillId="0" borderId="11" xfId="398" applyFont="1" applyBorder="1"/>
    <xf numFmtId="0" fontId="13" fillId="0" borderId="0" xfId="394" applyFont="1"/>
    <xf numFmtId="193" fontId="13" fillId="0" borderId="0" xfId="48285" applyFont="1" applyFill="1" applyBorder="1" applyAlignment="1"/>
    <xf numFmtId="0" fontId="243" fillId="0" borderId="0" xfId="395" applyFont="1"/>
    <xf numFmtId="44" fontId="13" fillId="0" borderId="0" xfId="61183" applyFont="1"/>
    <xf numFmtId="44" fontId="244" fillId="0" borderId="0" xfId="61183" applyFont="1"/>
    <xf numFmtId="0" fontId="13" fillId="0" borderId="0" xfId="114" applyFont="1"/>
    <xf numFmtId="0" fontId="242" fillId="0" borderId="0" xfId="388" applyFont="1"/>
    <xf numFmtId="0" fontId="247" fillId="0" borderId="0" xfId="388" applyFont="1"/>
    <xf numFmtId="164" fontId="13" fillId="0" borderId="0" xfId="12" applyFont="1"/>
    <xf numFmtId="9" fontId="52" fillId="0" borderId="118" xfId="64" applyFont="1" applyBorder="1"/>
    <xf numFmtId="181" fontId="53" fillId="0" borderId="119" xfId="0" applyNumberFormat="1" applyFont="1" applyBorder="1"/>
    <xf numFmtId="181" fontId="54" fillId="0" borderId="119" xfId="58" applyNumberFormat="1" applyFont="1" applyBorder="1"/>
    <xf numFmtId="9" fontId="53" fillId="0" borderId="120" xfId="64" applyFont="1" applyBorder="1"/>
    <xf numFmtId="0" fontId="248" fillId="0" borderId="16" xfId="0" applyFont="1" applyBorder="1"/>
    <xf numFmtId="0" fontId="49" fillId="0" borderId="109" xfId="0" applyFont="1" applyBorder="1" applyAlignment="1">
      <alignment horizontal="center" wrapText="1"/>
    </xf>
    <xf numFmtId="181" fontId="249" fillId="0" borderId="0" xfId="0" applyNumberFormat="1" applyFont="1" applyAlignment="1">
      <alignment wrapText="1"/>
    </xf>
    <xf numFmtId="181" fontId="250" fillId="0" borderId="13" xfId="58" applyNumberFormat="1" applyFont="1" applyBorder="1"/>
    <xf numFmtId="181" fontId="251" fillId="0" borderId="0" xfId="58" applyNumberFormat="1" applyFont="1"/>
    <xf numFmtId="181" fontId="249" fillId="0" borderId="0" xfId="12" applyNumberFormat="1" applyFont="1"/>
    <xf numFmtId="181" fontId="252" fillId="0" borderId="13" xfId="12" applyNumberFormat="1" applyFont="1" applyBorder="1"/>
    <xf numFmtId="164" fontId="50" fillId="0" borderId="0" xfId="12" applyFont="1"/>
    <xf numFmtId="181" fontId="251" fillId="0" borderId="111" xfId="58" applyNumberFormat="1" applyFont="1" applyBorder="1"/>
    <xf numFmtId="9" fontId="53" fillId="0" borderId="121" xfId="64" applyFont="1" applyBorder="1"/>
    <xf numFmtId="0" fontId="53" fillId="0" borderId="122" xfId="0" applyFont="1" applyBorder="1"/>
    <xf numFmtId="181" fontId="47" fillId="0" borderId="0" xfId="58" applyNumberFormat="1" applyFont="1"/>
    <xf numFmtId="0" fontId="6" fillId="62" borderId="0" xfId="61184" applyFill="1"/>
    <xf numFmtId="0" fontId="6" fillId="0" borderId="0" xfId="61184" applyFont="1"/>
    <xf numFmtId="0" fontId="6" fillId="0" borderId="0" xfId="61184"/>
    <xf numFmtId="0" fontId="47" fillId="0" borderId="0" xfId="58" applyFont="1" applyFill="1"/>
    <xf numFmtId="165" fontId="47" fillId="0" borderId="0" xfId="401" applyNumberFormat="1" applyFont="1" applyFill="1"/>
    <xf numFmtId="0" fontId="253" fillId="0" borderId="0" xfId="58" applyFont="1" applyFill="1" applyAlignment="1"/>
    <xf numFmtId="0" fontId="13" fillId="0" borderId="0" xfId="61185" applyFont="1" applyFill="1" applyBorder="1" applyAlignment="1">
      <alignment horizontal="left" wrapText="1" indent="1"/>
    </xf>
    <xf numFmtId="165" fontId="47" fillId="0" borderId="0" xfId="117" applyNumberFormat="1" applyFont="1" applyFill="1" applyBorder="1"/>
    <xf numFmtId="165" fontId="47" fillId="0" borderId="0" xfId="117" applyNumberFormat="1" applyFont="1" applyFill="1"/>
    <xf numFmtId="0" fontId="254" fillId="0" borderId="0" xfId="61186" applyFont="1" applyFill="1"/>
    <xf numFmtId="165" fontId="47" fillId="0" borderId="0" xfId="401" applyNumberFormat="1" applyFont="1" applyFill="1" applyAlignment="1">
      <alignment horizontal="center"/>
    </xf>
    <xf numFmtId="0" fontId="253" fillId="0" borderId="0" xfId="58" applyFont="1" applyFill="1"/>
    <xf numFmtId="165" fontId="48" fillId="0" borderId="0" xfId="401" applyNumberFormat="1" applyFont="1" applyFill="1" applyAlignment="1">
      <alignment horizontal="center"/>
    </xf>
    <xf numFmtId="164" fontId="47" fillId="0" borderId="0" xfId="12" applyFont="1" applyFill="1"/>
    <xf numFmtId="165" fontId="47" fillId="0" borderId="0" xfId="401" applyNumberFormat="1" applyFont="1" applyFill="1" applyAlignment="1">
      <alignment horizontal="right"/>
    </xf>
    <xf numFmtId="165" fontId="47" fillId="67" borderId="106" xfId="401" applyNumberFormat="1" applyFont="1" applyFill="1" applyBorder="1"/>
    <xf numFmtId="49" fontId="93" fillId="62" borderId="106" xfId="401" applyNumberFormat="1" applyFont="1" applyFill="1" applyBorder="1"/>
    <xf numFmtId="165" fontId="48" fillId="67" borderId="107" xfId="401" applyNumberFormat="1" applyFont="1" applyFill="1" applyBorder="1"/>
    <xf numFmtId="165" fontId="48" fillId="0" borderId="123" xfId="401" applyNumberFormat="1" applyFont="1" applyBorder="1"/>
    <xf numFmtId="181" fontId="48" fillId="0" borderId="123" xfId="12" applyNumberFormat="1" applyFont="1" applyBorder="1"/>
    <xf numFmtId="49" fontId="48" fillId="0" borderId="124" xfId="401" applyNumberFormat="1" applyFont="1" applyBorder="1"/>
    <xf numFmtId="49" fontId="98" fillId="0" borderId="124" xfId="401" applyNumberFormat="1" applyFont="1" applyBorder="1" applyAlignment="1">
      <alignment horizontal="right"/>
    </xf>
    <xf numFmtId="49" fontId="48" fillId="0" borderId="107" xfId="401" applyNumberFormat="1" applyFont="1" applyBorder="1"/>
    <xf numFmtId="165" fontId="47" fillId="67" borderId="107" xfId="401" applyNumberFormat="1" applyFont="1" applyFill="1" applyBorder="1"/>
    <xf numFmtId="165" fontId="47" fillId="0" borderId="107" xfId="401" applyNumberFormat="1" applyFont="1" applyBorder="1"/>
    <xf numFmtId="49" fontId="47" fillId="0" borderId="107" xfId="401" applyNumberFormat="1" applyFont="1" applyBorder="1"/>
    <xf numFmtId="49" fontId="93" fillId="0" borderId="107" xfId="401" applyNumberFormat="1" applyFont="1" applyBorder="1"/>
    <xf numFmtId="165" fontId="47" fillId="0" borderId="6" xfId="401" applyNumberFormat="1" applyFont="1" applyFill="1" applyBorder="1"/>
    <xf numFmtId="49" fontId="98" fillId="0" borderId="6" xfId="401" applyNumberFormat="1" applyFont="1" applyBorder="1"/>
    <xf numFmtId="49" fontId="47" fillId="0" borderId="6" xfId="401" applyNumberFormat="1" applyFont="1" applyFill="1" applyBorder="1"/>
    <xf numFmtId="0" fontId="92" fillId="0" borderId="105" xfId="61184" applyFont="1" applyBorder="1" applyAlignment="1">
      <alignment horizontal="left" vertical="center" wrapText="1"/>
    </xf>
    <xf numFmtId="0" fontId="47" fillId="0" borderId="0" xfId="58" applyFont="1" applyAlignment="1"/>
    <xf numFmtId="181" fontId="47" fillId="0" borderId="0" xfId="401" applyNumberFormat="1" applyFont="1" applyFill="1" applyAlignment="1"/>
    <xf numFmtId="0" fontId="93" fillId="0" borderId="105" xfId="58" applyFont="1" applyFill="1" applyBorder="1" applyAlignment="1">
      <alignment horizontal="center" wrapText="1"/>
    </xf>
    <xf numFmtId="0" fontId="92" fillId="0" borderId="0" xfId="61184" applyFont="1" applyFill="1" applyAlignment="1">
      <alignment horizontal="center" wrapText="1"/>
    </xf>
    <xf numFmtId="0" fontId="239" fillId="0" borderId="0" xfId="61184" applyFont="1" applyAlignment="1">
      <alignment horizontal="center"/>
    </xf>
    <xf numFmtId="0" fontId="255" fillId="0" borderId="0" xfId="61184" applyFont="1" applyFill="1" applyAlignment="1">
      <alignment horizontal="right" wrapText="1"/>
    </xf>
    <xf numFmtId="0" fontId="239" fillId="0" borderId="0" xfId="61184" applyFont="1" applyAlignment="1"/>
    <xf numFmtId="0" fontId="239" fillId="0" borderId="0" xfId="61184" applyFont="1" applyAlignment="1">
      <alignment wrapText="1"/>
    </xf>
    <xf numFmtId="49" fontId="93" fillId="0" borderId="6" xfId="401" applyNumberFormat="1" applyFont="1" applyFill="1" applyBorder="1"/>
    <xf numFmtId="0" fontId="49" fillId="0" borderId="127" xfId="0" applyFont="1" applyBorder="1" applyAlignment="1">
      <alignment horizontal="center" wrapText="1"/>
    </xf>
    <xf numFmtId="0" fontId="52" fillId="0" borderId="128" xfId="0" applyFont="1" applyBorder="1"/>
    <xf numFmtId="181" fontId="52" fillId="0" borderId="114" xfId="12" applyNumberFormat="1" applyFont="1" applyBorder="1"/>
    <xf numFmtId="0" fontId="48" fillId="0" borderId="113" xfId="58" applyFont="1" applyBorder="1"/>
    <xf numFmtId="0" fontId="47" fillId="0" borderId="114" xfId="58" applyFont="1" applyBorder="1"/>
    <xf numFmtId="0" fontId="47" fillId="0" borderId="115" xfId="58" applyFont="1" applyBorder="1"/>
    <xf numFmtId="0" fontId="48" fillId="0" borderId="129" xfId="58" applyFont="1" applyBorder="1" applyAlignment="1">
      <alignment wrapText="1"/>
    </xf>
    <xf numFmtId="0" fontId="48" fillId="0" borderId="130" xfId="58" applyFont="1" applyBorder="1" applyAlignment="1">
      <alignment wrapText="1"/>
    </xf>
    <xf numFmtId="49" fontId="47" fillId="0" borderId="134" xfId="401" applyNumberFormat="1" applyFont="1" applyBorder="1"/>
    <xf numFmtId="49" fontId="47" fillId="0" borderId="135" xfId="401" applyNumberFormat="1" applyFont="1" applyBorder="1"/>
    <xf numFmtId="49" fontId="47" fillId="68" borderId="129" xfId="401" applyNumberFormat="1" applyFont="1" applyFill="1" applyBorder="1"/>
    <xf numFmtId="49" fontId="93" fillId="68" borderId="129" xfId="401" applyNumberFormat="1" applyFont="1" applyFill="1" applyBorder="1"/>
    <xf numFmtId="165" fontId="47" fillId="68" borderId="129" xfId="401" applyNumberFormat="1" applyFont="1" applyFill="1" applyBorder="1"/>
    <xf numFmtId="0" fontId="48" fillId="0" borderId="136" xfId="58" applyFont="1" applyBorder="1" applyAlignment="1">
      <alignment horizontal="center" wrapText="1"/>
    </xf>
    <xf numFmtId="44" fontId="48" fillId="0" borderId="129" xfId="14990" applyFont="1" applyBorder="1" applyAlignment="1">
      <alignment horizontal="center" wrapText="1"/>
    </xf>
    <xf numFmtId="0" fontId="48" fillId="0" borderId="129" xfId="58" applyFont="1" applyBorder="1" applyAlignment="1">
      <alignment horizontal="center" wrapText="1"/>
    </xf>
    <xf numFmtId="0" fontId="48" fillId="0" borderId="130" xfId="58" applyFont="1" applyBorder="1" applyAlignment="1">
      <alignment horizontal="center" wrapText="1"/>
    </xf>
    <xf numFmtId="0" fontId="57" fillId="0" borderId="117" xfId="0" applyFont="1" applyBorder="1" applyAlignment="1">
      <alignment horizontal="center" wrapText="1"/>
    </xf>
    <xf numFmtId="183" fontId="58" fillId="0" borderId="129" xfId="0" applyNumberFormat="1" applyFont="1" applyFill="1" applyBorder="1"/>
    <xf numFmtId="183" fontId="58" fillId="0" borderId="130" xfId="0" applyNumberFormat="1" applyFont="1" applyFill="1" applyBorder="1"/>
    <xf numFmtId="0" fontId="244" fillId="62" borderId="6" xfId="61187" applyFont="1" applyFill="1" applyBorder="1" applyAlignment="1">
      <alignment vertical="center"/>
    </xf>
    <xf numFmtId="0" fontId="259" fillId="62" borderId="6" xfId="61187" applyFont="1" applyFill="1" applyBorder="1" applyAlignment="1">
      <alignment vertical="center" wrapText="1"/>
    </xf>
    <xf numFmtId="0" fontId="94" fillId="0" borderId="6" xfId="61187" applyFont="1" applyBorder="1" applyAlignment="1">
      <alignment horizontal="center" vertical="center"/>
    </xf>
    <xf numFmtId="0" fontId="94" fillId="0" borderId="6" xfId="61187" applyFont="1" applyBorder="1" applyAlignment="1">
      <alignment horizontal="center" vertical="center" wrapText="1"/>
    </xf>
    <xf numFmtId="0" fontId="97" fillId="0" borderId="6" xfId="61187" applyFont="1" applyBorder="1" applyAlignment="1">
      <alignment vertical="center" wrapText="1"/>
    </xf>
    <xf numFmtId="0" fontId="94" fillId="0" borderId="6" xfId="61187" applyFont="1" applyBorder="1" applyAlignment="1">
      <alignment vertical="center" wrapText="1"/>
    </xf>
    <xf numFmtId="165" fontId="94" fillId="0" borderId="6" xfId="61189" applyNumberFormat="1" applyFont="1" applyBorder="1" applyAlignment="1">
      <alignment horizontal="center" vertical="center"/>
    </xf>
    <xf numFmtId="0" fontId="256" fillId="0" borderId="6" xfId="61187" applyFont="1" applyBorder="1" applyAlignment="1">
      <alignment vertical="center" wrapText="1"/>
    </xf>
    <xf numFmtId="0" fontId="94" fillId="0" borderId="6" xfId="61187" applyFont="1" applyBorder="1" applyAlignment="1">
      <alignment vertical="center"/>
    </xf>
    <xf numFmtId="0" fontId="94" fillId="0" borderId="6" xfId="61188" applyFont="1" applyFill="1" applyBorder="1" applyAlignment="1">
      <alignment horizontal="center" vertical="center"/>
    </xf>
    <xf numFmtId="44" fontId="94" fillId="0" borderId="6" xfId="61190" applyFont="1" applyBorder="1" applyAlignment="1">
      <alignment horizontal="center" vertical="center"/>
    </xf>
    <xf numFmtId="184" fontId="94" fillId="0" borderId="6" xfId="61190" applyNumberFormat="1" applyFont="1" applyBorder="1" applyAlignment="1">
      <alignment horizontal="center" vertical="center"/>
    </xf>
    <xf numFmtId="233" fontId="94" fillId="0" borderId="6" xfId="61190" applyNumberFormat="1" applyFont="1" applyBorder="1" applyAlignment="1">
      <alignment horizontal="center" vertical="center"/>
    </xf>
    <xf numFmtId="43" fontId="94" fillId="0" borderId="6" xfId="61189" applyFont="1" applyBorder="1" applyAlignment="1">
      <alignment horizontal="center" vertical="center"/>
    </xf>
    <xf numFmtId="1" fontId="94" fillId="0" borderId="6" xfId="61188" applyNumberFormat="1" applyFont="1" applyFill="1" applyBorder="1" applyAlignment="1">
      <alignment horizontal="center" vertical="center"/>
    </xf>
    <xf numFmtId="2" fontId="94" fillId="0" borderId="6" xfId="61188" applyNumberFormat="1" applyFont="1" applyFill="1" applyBorder="1" applyAlignment="1">
      <alignment horizontal="right" vertical="center"/>
    </xf>
    <xf numFmtId="2" fontId="94" fillId="0" borderId="6" xfId="61188" applyNumberFormat="1" applyFont="1" applyFill="1" applyBorder="1" applyAlignment="1">
      <alignment horizontal="center" vertical="center"/>
    </xf>
    <xf numFmtId="234" fontId="94" fillId="0" borderId="6" xfId="61188" applyNumberFormat="1" applyFont="1" applyFill="1" applyBorder="1" applyAlignment="1">
      <alignment horizontal="center" vertical="center"/>
    </xf>
    <xf numFmtId="187" fontId="94" fillId="0" borderId="6" xfId="61188" applyNumberFormat="1" applyFont="1" applyFill="1" applyBorder="1" applyAlignment="1">
      <alignment horizontal="center" vertical="center"/>
    </xf>
    <xf numFmtId="232" fontId="94" fillId="0" borderId="6" xfId="61192" applyNumberFormat="1" applyFont="1" applyBorder="1" applyAlignment="1">
      <alignment horizontal="center" vertical="center"/>
    </xf>
    <xf numFmtId="10" fontId="94" fillId="0" borderId="6" xfId="61192" applyNumberFormat="1" applyFont="1" applyBorder="1" applyAlignment="1">
      <alignment horizontal="center" vertical="center"/>
    </xf>
    <xf numFmtId="44" fontId="94" fillId="0" borderId="6" xfId="61188" applyNumberFormat="1" applyFont="1" applyFill="1" applyBorder="1" applyAlignment="1">
      <alignment horizontal="center" vertical="center"/>
    </xf>
    <xf numFmtId="0" fontId="260" fillId="0" borderId="6" xfId="61187" applyFont="1" applyBorder="1" applyAlignment="1">
      <alignment vertical="center" wrapText="1"/>
    </xf>
    <xf numFmtId="165" fontId="94" fillId="0" borderId="6" xfId="61188" applyNumberFormat="1" applyFont="1" applyFill="1" applyBorder="1" applyAlignment="1">
      <alignment horizontal="center" vertical="center"/>
    </xf>
    <xf numFmtId="235" fontId="94" fillId="0" borderId="6" xfId="61189" applyNumberFormat="1" applyFont="1" applyBorder="1" applyAlignment="1">
      <alignment horizontal="center" vertical="center"/>
    </xf>
    <xf numFmtId="236" fontId="94" fillId="0" borderId="6" xfId="61188" applyNumberFormat="1" applyFont="1" applyFill="1" applyBorder="1" applyAlignment="1">
      <alignment horizontal="center" vertical="center"/>
    </xf>
    <xf numFmtId="237" fontId="94" fillId="0" borderId="6" xfId="61189" applyNumberFormat="1" applyFont="1" applyBorder="1" applyAlignment="1">
      <alignment horizontal="center" vertical="center"/>
    </xf>
    <xf numFmtId="0" fontId="97" fillId="0" borderId="6" xfId="61187" applyFont="1" applyBorder="1" applyAlignment="1">
      <alignment vertical="center"/>
    </xf>
    <xf numFmtId="0" fontId="256" fillId="0" borderId="6" xfId="61187" applyFont="1" applyBorder="1" applyAlignment="1">
      <alignment vertical="top" wrapText="1"/>
    </xf>
    <xf numFmtId="9" fontId="94" fillId="0" borderId="6" xfId="61192" applyFont="1" applyBorder="1" applyAlignment="1">
      <alignment horizontal="center" vertical="center"/>
    </xf>
    <xf numFmtId="10" fontId="94" fillId="0" borderId="6" xfId="61188" applyNumberFormat="1" applyFont="1" applyFill="1" applyBorder="1" applyAlignment="1">
      <alignment horizontal="center" vertical="center"/>
    </xf>
    <xf numFmtId="43" fontId="94" fillId="0" borderId="6" xfId="61188" applyNumberFormat="1" applyFont="1" applyFill="1" applyBorder="1" applyAlignment="1">
      <alignment horizontal="center" vertical="center"/>
    </xf>
    <xf numFmtId="233" fontId="94" fillId="0" borderId="6" xfId="61188" applyNumberFormat="1" applyFont="1" applyFill="1" applyBorder="1" applyAlignment="1">
      <alignment horizontal="center" vertical="center"/>
    </xf>
    <xf numFmtId="44" fontId="94" fillId="0" borderId="6" xfId="61188" applyNumberFormat="1" applyFont="1" applyFill="1" applyBorder="1" applyAlignment="1">
      <alignment vertical="center"/>
    </xf>
    <xf numFmtId="233" fontId="94" fillId="0" borderId="6" xfId="61188" applyNumberFormat="1" applyFont="1" applyFill="1" applyBorder="1" applyAlignment="1">
      <alignment vertical="center"/>
    </xf>
    <xf numFmtId="0" fontId="97" fillId="0" borderId="6" xfId="61187" applyFont="1" applyBorder="1" applyAlignment="1">
      <alignment horizontal="left" vertical="center" wrapText="1"/>
    </xf>
    <xf numFmtId="9" fontId="94" fillId="0" borderId="6" xfId="61188" applyNumberFormat="1" applyFont="1" applyFill="1" applyBorder="1" applyAlignment="1">
      <alignment horizontal="center" vertical="center"/>
    </xf>
    <xf numFmtId="0" fontId="97" fillId="0" borderId="6" xfId="61195" applyFont="1" applyFill="1" applyBorder="1" applyAlignment="1">
      <alignment horizontal="left" vertical="center" wrapText="1"/>
    </xf>
    <xf numFmtId="0" fontId="13" fillId="0" borderId="6" xfId="61187" applyFont="1" applyBorder="1" applyAlignment="1">
      <alignment horizontal="center" vertical="center" wrapText="1"/>
    </xf>
    <xf numFmtId="0" fontId="94" fillId="0" borderId="6" xfId="61188" applyFont="1" applyFill="1" applyBorder="1" applyAlignment="1">
      <alignment horizontal="left" vertical="center" wrapText="1"/>
    </xf>
    <xf numFmtId="0" fontId="94" fillId="0" borderId="6" xfId="61188" applyFont="1" applyFill="1" applyBorder="1" applyAlignment="1">
      <alignment horizontal="center" vertical="center" wrapText="1"/>
    </xf>
    <xf numFmtId="10" fontId="94" fillId="0" borderId="6" xfId="61188" applyNumberFormat="1" applyFont="1" applyFill="1" applyBorder="1" applyAlignment="1">
      <alignment horizontal="center" vertical="center" wrapText="1"/>
    </xf>
    <xf numFmtId="0" fontId="26" fillId="0" borderId="6" xfId="61187" applyFont="1" applyBorder="1" applyAlignment="1">
      <alignment horizontal="left" vertical="center" wrapText="1"/>
    </xf>
    <xf numFmtId="9" fontId="94" fillId="0" borderId="6" xfId="61188" applyNumberFormat="1" applyFont="1" applyFill="1" applyBorder="1" applyAlignment="1">
      <alignment horizontal="center" vertical="center" wrapText="1"/>
    </xf>
    <xf numFmtId="0" fontId="244" fillId="62" borderId="6" xfId="61187" applyFont="1" applyFill="1" applyBorder="1" applyAlignment="1">
      <alignment horizontal="center" vertical="center"/>
    </xf>
    <xf numFmtId="0" fontId="244" fillId="62" borderId="6" xfId="61187" applyFont="1" applyFill="1" applyBorder="1" applyAlignment="1">
      <alignment horizontal="center" vertical="center" wrapText="1"/>
    </xf>
    <xf numFmtId="0" fontId="244" fillId="62" borderId="6" xfId="61187" applyFont="1" applyFill="1" applyBorder="1" applyAlignment="1">
      <alignment vertical="center" wrapText="1"/>
    </xf>
    <xf numFmtId="0" fontId="244" fillId="62" borderId="6" xfId="61188" applyFont="1" applyFill="1" applyBorder="1" applyAlignment="1">
      <alignment vertical="center"/>
    </xf>
    <xf numFmtId="0" fontId="244" fillId="0" borderId="6" xfId="61188" applyFont="1" applyFill="1" applyBorder="1" applyAlignment="1">
      <alignment vertical="center"/>
    </xf>
    <xf numFmtId="0" fontId="244" fillId="62" borderId="6" xfId="61188" applyFont="1" applyFill="1" applyBorder="1" applyAlignment="1">
      <alignment horizontal="center" vertical="center"/>
    </xf>
    <xf numFmtId="0" fontId="128" fillId="0" borderId="0" xfId="394" applyFont="1"/>
    <xf numFmtId="0" fontId="266" fillId="0" borderId="0" xfId="0" applyFont="1" applyAlignment="1">
      <alignment horizontal="left" vertical="center"/>
    </xf>
    <xf numFmtId="0" fontId="128" fillId="0" borderId="0" xfId="0" applyFont="1" applyAlignment="1">
      <alignment horizontal="left" vertical="center"/>
    </xf>
    <xf numFmtId="0" fontId="45" fillId="0" borderId="0" xfId="0" applyFont="1" applyAlignment="1">
      <alignment vertical="center"/>
    </xf>
    <xf numFmtId="0" fontId="13" fillId="0" borderId="0" xfId="0" applyFont="1" applyAlignment="1">
      <alignment vertical="center"/>
    </xf>
    <xf numFmtId="0" fontId="13" fillId="0" borderId="6" xfId="0" applyFont="1" applyBorder="1" applyAlignment="1">
      <alignment horizontal="center" vertical="top" wrapText="1"/>
    </xf>
    <xf numFmtId="0" fontId="13" fillId="0" borderId="6" xfId="0" applyFont="1" applyBorder="1" applyAlignment="1">
      <alignment vertical="top" wrapText="1"/>
    </xf>
    <xf numFmtId="0" fontId="13" fillId="0" borderId="0" xfId="0" applyFont="1" applyAlignment="1">
      <alignment horizontal="left" vertical="center"/>
    </xf>
    <xf numFmtId="0" fontId="45" fillId="0" borderId="6" xfId="0" applyFont="1" applyBorder="1" applyAlignment="1">
      <alignment vertical="center" wrapText="1"/>
    </xf>
    <xf numFmtId="0" fontId="13" fillId="0" borderId="6" xfId="0" applyFont="1" applyBorder="1" applyAlignment="1">
      <alignment vertical="center" wrapText="1"/>
    </xf>
    <xf numFmtId="3" fontId="13" fillId="0" borderId="6" xfId="0" applyNumberFormat="1" applyFont="1" applyBorder="1" applyAlignment="1">
      <alignment horizontal="center" vertical="center" wrapText="1"/>
    </xf>
    <xf numFmtId="0" fontId="13" fillId="0" borderId="6" xfId="0" applyFont="1" applyBorder="1" applyAlignment="1">
      <alignment horizontal="center" vertical="center" wrapText="1"/>
    </xf>
    <xf numFmtId="20" fontId="13" fillId="0" borderId="6" xfId="0" applyNumberFormat="1" applyFont="1" applyBorder="1" applyAlignment="1">
      <alignment horizontal="center" vertical="center" wrapText="1"/>
    </xf>
    <xf numFmtId="0" fontId="13" fillId="0" borderId="0" xfId="0" applyFont="1" applyAlignment="1">
      <alignment vertical="center" wrapText="1"/>
    </xf>
    <xf numFmtId="3" fontId="13" fillId="0" borderId="0" xfId="0" applyNumberFormat="1" applyFont="1" applyAlignment="1">
      <alignment horizontal="center" vertical="center" wrapText="1"/>
    </xf>
    <xf numFmtId="0" fontId="13" fillId="0" borderId="6" xfId="0" applyFont="1" applyBorder="1" applyAlignment="1">
      <alignment vertical="center"/>
    </xf>
    <xf numFmtId="0" fontId="13" fillId="0" borderId="6" xfId="0" applyFont="1" applyBorder="1"/>
    <xf numFmtId="0" fontId="161" fillId="0" borderId="0" xfId="61196" applyAlignment="1">
      <alignment vertical="center"/>
    </xf>
    <xf numFmtId="0" fontId="48" fillId="0" borderId="104" xfId="58" applyFont="1" applyBorder="1" applyAlignment="1">
      <alignment horizontal="center" wrapText="1"/>
    </xf>
    <xf numFmtId="49" fontId="47" fillId="0" borderId="104" xfId="401" applyNumberFormat="1" applyFont="1" applyBorder="1"/>
    <xf numFmtId="49" fontId="47" fillId="67" borderId="104" xfId="401" applyNumberFormat="1" applyFont="1" applyFill="1" applyBorder="1"/>
    <xf numFmtId="165" fontId="47" fillId="67" borderId="104" xfId="401" applyNumberFormat="1" applyFont="1" applyFill="1" applyBorder="1"/>
    <xf numFmtId="165" fontId="47" fillId="0" borderId="104" xfId="401" applyNumberFormat="1" applyFont="1" applyFill="1" applyBorder="1"/>
    <xf numFmtId="184" fontId="47" fillId="0" borderId="104" xfId="14990" applyNumberFormat="1" applyFont="1" applyFill="1" applyBorder="1" applyAlignment="1">
      <alignment horizontal="center" wrapText="1"/>
    </xf>
    <xf numFmtId="43" fontId="47" fillId="0" borderId="104" xfId="397" applyFont="1" applyFill="1" applyBorder="1" applyAlignment="1">
      <alignment horizontal="center" wrapText="1"/>
    </xf>
    <xf numFmtId="184" fontId="47" fillId="0" borderId="104" xfId="396" applyNumberFormat="1" applyFont="1" applyFill="1" applyBorder="1" applyAlignment="1">
      <alignment horizontal="center" wrapText="1"/>
    </xf>
    <xf numFmtId="164" fontId="47" fillId="0" borderId="104" xfId="12" applyFont="1" applyFill="1" applyBorder="1" applyAlignment="1">
      <alignment horizontal="center" wrapText="1"/>
    </xf>
    <xf numFmtId="0" fontId="48" fillId="0" borderId="137" xfId="58" applyFont="1" applyBorder="1" applyAlignment="1">
      <alignment horizontal="center" wrapText="1"/>
    </xf>
    <xf numFmtId="43" fontId="47" fillId="0" borderId="138" xfId="397" applyNumberFormat="1" applyFont="1" applyFill="1" applyBorder="1" applyAlignment="1">
      <alignment horizontal="center" wrapText="1"/>
    </xf>
    <xf numFmtId="0" fontId="48" fillId="0" borderId="138" xfId="58" applyFont="1" applyBorder="1" applyAlignment="1">
      <alignment horizontal="center" wrapText="1"/>
    </xf>
    <xf numFmtId="43" fontId="94" fillId="0" borderId="6" xfId="61201" applyFont="1" applyBorder="1" applyAlignment="1">
      <alignment horizontal="center" vertical="center"/>
    </xf>
    <xf numFmtId="165" fontId="94" fillId="0" borderId="6" xfId="61201" applyNumberFormat="1" applyFont="1" applyBorder="1" applyAlignment="1">
      <alignment horizontal="center" vertical="center"/>
    </xf>
    <xf numFmtId="10" fontId="94" fillId="0" borderId="6" xfId="61202" applyNumberFormat="1" applyFont="1" applyBorder="1" applyAlignment="1">
      <alignment horizontal="center" vertical="center"/>
    </xf>
    <xf numFmtId="165" fontId="94" fillId="0" borderId="30" xfId="61201" applyNumberFormat="1" applyFont="1" applyBorder="1" applyAlignment="1">
      <alignment horizontal="center" vertical="center"/>
    </xf>
    <xf numFmtId="0" fontId="261" fillId="0" borderId="30" xfId="61203" applyFont="1" applyBorder="1" applyAlignment="1">
      <alignment vertical="center" wrapText="1"/>
    </xf>
    <xf numFmtId="0" fontId="261" fillId="0" borderId="9" xfId="61203" applyFont="1" applyBorder="1" applyAlignment="1">
      <alignment vertical="center" wrapText="1"/>
    </xf>
    <xf numFmtId="0" fontId="261" fillId="0" borderId="6" xfId="61203" applyFont="1" applyBorder="1" applyAlignment="1">
      <alignment vertical="center" wrapText="1"/>
    </xf>
    <xf numFmtId="0" fontId="263" fillId="0" borderId="6" xfId="61203" applyFont="1" applyBorder="1" applyAlignment="1">
      <alignment vertical="center" wrapText="1"/>
    </xf>
    <xf numFmtId="10" fontId="94" fillId="0" borderId="6" xfId="61202" applyNumberFormat="1" applyFont="1" applyBorder="1" applyAlignment="1">
      <alignment horizontal="center" vertical="center" wrapText="1"/>
    </xf>
    <xf numFmtId="1" fontId="94" fillId="0" borderId="140" xfId="61188" applyNumberFormat="1" applyFont="1" applyFill="1" applyBorder="1" applyAlignment="1">
      <alignment horizontal="right" vertical="center"/>
    </xf>
    <xf numFmtId="0" fontId="261" fillId="0" borderId="140" xfId="61203" applyFont="1" applyBorder="1" applyAlignment="1">
      <alignment vertical="center" wrapText="1"/>
    </xf>
    <xf numFmtId="1" fontId="94" fillId="0" borderId="140" xfId="61188" applyNumberFormat="1" applyFont="1" applyFill="1" applyBorder="1" applyAlignment="1">
      <alignment horizontal="center" vertical="center"/>
    </xf>
    <xf numFmtId="9" fontId="94" fillId="0" borderId="140" xfId="61188" applyNumberFormat="1" applyFont="1" applyFill="1" applyBorder="1" applyAlignment="1">
      <alignment horizontal="center" vertical="center"/>
    </xf>
    <xf numFmtId="165" fontId="94" fillId="0" borderId="140" xfId="61201" applyNumberFormat="1" applyFont="1" applyBorder="1" applyAlignment="1">
      <alignment horizontal="center" vertical="center"/>
    </xf>
    <xf numFmtId="0" fontId="94" fillId="0" borderId="140" xfId="61188" applyFont="1" applyFill="1" applyBorder="1" applyAlignment="1">
      <alignment horizontal="center" vertical="center"/>
    </xf>
    <xf numFmtId="0" fontId="263" fillId="0" borderId="140" xfId="61203" applyFont="1" applyBorder="1" applyAlignment="1">
      <alignment vertical="center" wrapText="1"/>
    </xf>
    <xf numFmtId="0" fontId="1" fillId="0" borderId="0" xfId="61204"/>
    <xf numFmtId="181" fontId="1" fillId="0" borderId="0" xfId="12" applyNumberFormat="1" applyFont="1"/>
    <xf numFmtId="0" fontId="268" fillId="0" borderId="0" xfId="61204" quotePrefix="1" applyFont="1" applyAlignment="1">
      <alignment horizontal="right" vertical="top"/>
    </xf>
    <xf numFmtId="0" fontId="268" fillId="0" borderId="0" xfId="61204" applyFont="1" applyAlignment="1">
      <alignment horizontal="right" vertical="top"/>
    </xf>
    <xf numFmtId="6" fontId="1" fillId="0" borderId="0" xfId="61204" applyNumberFormat="1"/>
    <xf numFmtId="6" fontId="1" fillId="0" borderId="0" xfId="61204" applyNumberFormat="1" applyAlignment="1">
      <alignment horizontal="center"/>
    </xf>
    <xf numFmtId="0" fontId="1" fillId="0" borderId="0" xfId="61204" applyAlignment="1">
      <alignment horizontal="center"/>
    </xf>
    <xf numFmtId="0" fontId="62" fillId="0" borderId="0" xfId="61204" applyFont="1" applyAlignment="1">
      <alignment vertical="center"/>
    </xf>
    <xf numFmtId="0" fontId="61" fillId="0" borderId="0" xfId="61204" applyFont="1" applyAlignment="1">
      <alignment horizontal="center" vertical="center"/>
    </xf>
    <xf numFmtId="0" fontId="253" fillId="0" borderId="0" xfId="58" applyFont="1" applyFill="1" applyAlignment="1">
      <alignment wrapText="1"/>
    </xf>
    <xf numFmtId="0" fontId="72" fillId="0" borderId="6" xfId="388" applyFont="1" applyBorder="1" applyAlignment="1">
      <alignment horizontal="center" vertical="center" wrapText="1"/>
    </xf>
    <xf numFmtId="0" fontId="72" fillId="0" borderId="6" xfId="388" applyFont="1" applyFill="1" applyBorder="1" applyAlignment="1">
      <alignment horizontal="center" vertical="center" wrapText="1"/>
    </xf>
    <xf numFmtId="0" fontId="99" fillId="62" borderId="6" xfId="61188" applyFont="1" applyFill="1" applyBorder="1" applyAlignment="1">
      <alignment horizontal="center" vertical="center" wrapText="1"/>
    </xf>
    <xf numFmtId="0" fontId="13" fillId="0" borderId="0" xfId="0" applyFont="1" applyAlignment="1">
      <alignment horizontal="center" vertical="center" wrapText="1"/>
    </xf>
    <xf numFmtId="0" fontId="45" fillId="0" borderId="6" xfId="0" applyFont="1" applyBorder="1" applyAlignment="1">
      <alignment horizontal="center" vertical="center" wrapText="1"/>
    </xf>
    <xf numFmtId="0" fontId="45" fillId="0" borderId="6" xfId="0" applyFont="1" applyBorder="1" applyAlignment="1">
      <alignment horizontal="center" vertical="top" wrapText="1"/>
    </xf>
    <xf numFmtId="0" fontId="253" fillId="0" borderId="0" xfId="58" applyFont="1" applyFill="1" applyAlignment="1">
      <alignment wrapText="1"/>
    </xf>
    <xf numFmtId="0" fontId="95" fillId="65" borderId="96" xfId="58" applyFont="1" applyFill="1" applyBorder="1" applyAlignment="1">
      <alignment horizontal="center" vertical="center" wrapText="1"/>
    </xf>
    <xf numFmtId="0" fontId="95" fillId="65" borderId="21" xfId="58" applyFont="1" applyFill="1" applyBorder="1" applyAlignment="1">
      <alignment horizontal="center" vertical="center" wrapText="1"/>
    </xf>
    <xf numFmtId="0" fontId="95" fillId="65" borderId="29" xfId="58" applyFont="1" applyFill="1" applyBorder="1" applyAlignment="1">
      <alignment horizontal="center" vertical="center" wrapText="1"/>
    </xf>
    <xf numFmtId="0" fontId="95" fillId="65" borderId="30" xfId="58" applyFont="1" applyFill="1" applyBorder="1" applyAlignment="1">
      <alignment horizontal="center" vertical="center" wrapText="1"/>
    </xf>
    <xf numFmtId="0" fontId="95" fillId="66" borderId="133" xfId="58" applyFont="1" applyFill="1" applyBorder="1" applyAlignment="1">
      <alignment horizontal="center" vertical="center" wrapText="1"/>
    </xf>
    <xf numFmtId="0" fontId="95" fillId="66" borderId="126" xfId="58" applyFont="1" applyFill="1" applyBorder="1" applyAlignment="1">
      <alignment horizontal="center" vertical="center" wrapText="1"/>
    </xf>
    <xf numFmtId="0" fontId="95" fillId="66" borderId="38" xfId="58" applyFont="1" applyFill="1" applyBorder="1" applyAlignment="1">
      <alignment horizontal="center" vertical="center" wrapText="1"/>
    </xf>
    <xf numFmtId="0" fontId="93" fillId="26" borderId="6" xfId="403" applyFont="1" applyFill="1" applyBorder="1" applyAlignment="1">
      <alignment horizontal="center" vertical="center" wrapText="1"/>
    </xf>
    <xf numFmtId="0" fontId="95" fillId="63" borderId="29" xfId="403" applyFont="1" applyFill="1" applyBorder="1" applyAlignment="1">
      <alignment horizontal="center" vertical="center" wrapText="1"/>
    </xf>
    <xf numFmtId="0" fontId="95" fillId="63" borderId="30" xfId="403" applyFont="1" applyFill="1" applyBorder="1" applyAlignment="1">
      <alignment horizontal="center" vertical="center" wrapText="1"/>
    </xf>
    <xf numFmtId="0" fontId="244" fillId="27" borderId="96" xfId="58" applyFont="1" applyFill="1" applyBorder="1" applyAlignment="1">
      <alignment horizontal="center" vertical="center" wrapText="1"/>
    </xf>
    <xf numFmtId="0" fontId="244" fillId="27" borderId="29" xfId="58" applyFont="1" applyFill="1" applyBorder="1" applyAlignment="1">
      <alignment horizontal="center" vertical="center" wrapText="1"/>
    </xf>
    <xf numFmtId="0" fontId="95" fillId="26" borderId="29" xfId="403" applyFont="1" applyFill="1" applyBorder="1" applyAlignment="1">
      <alignment horizontal="center" vertical="center" wrapText="1"/>
    </xf>
    <xf numFmtId="0" fontId="95" fillId="26" borderId="7" xfId="403" applyFont="1" applyFill="1" applyBorder="1" applyAlignment="1">
      <alignment horizontal="center" vertical="center" wrapText="1"/>
    </xf>
    <xf numFmtId="0" fontId="95" fillId="26" borderId="30" xfId="403" applyFont="1" applyFill="1" applyBorder="1" applyAlignment="1">
      <alignment horizontal="center" vertical="center" wrapText="1"/>
    </xf>
    <xf numFmtId="0" fontId="95" fillId="64" borderId="106" xfId="58" applyFont="1" applyFill="1" applyBorder="1" applyAlignment="1">
      <alignment horizontal="center" vertical="center" wrapText="1"/>
    </xf>
    <xf numFmtId="0" fontId="95" fillId="64" borderId="9" xfId="58" applyFont="1" applyFill="1" applyBorder="1" applyAlignment="1">
      <alignment horizontal="center" vertical="center" wrapText="1"/>
    </xf>
    <xf numFmtId="0" fontId="239" fillId="0" borderId="105" xfId="61184" applyFont="1" applyBorder="1" applyAlignment="1">
      <alignment vertical="center" wrapText="1"/>
    </xf>
    <xf numFmtId="0" fontId="239" fillId="0" borderId="105" xfId="61184" applyFont="1" applyBorder="1" applyAlignment="1">
      <alignment vertical="center"/>
    </xf>
    <xf numFmtId="0" fontId="93" fillId="61" borderId="117" xfId="61184" applyFont="1" applyFill="1" applyBorder="1" applyAlignment="1">
      <alignment horizontal="center" vertical="center" wrapText="1"/>
    </xf>
    <xf numFmtId="0" fontId="92" fillId="61" borderId="112" xfId="61184" applyFont="1" applyFill="1" applyBorder="1" applyAlignment="1">
      <alignment horizontal="center" vertical="center" wrapText="1"/>
    </xf>
    <xf numFmtId="0" fontId="93" fillId="60" borderId="117" xfId="58" applyFont="1" applyFill="1" applyBorder="1" applyAlignment="1">
      <alignment horizontal="center" vertical="center"/>
    </xf>
    <xf numFmtId="0" fontId="93" fillId="60" borderId="109" xfId="58" applyFont="1" applyFill="1" applyBorder="1" applyAlignment="1">
      <alignment horizontal="center" vertical="center"/>
    </xf>
    <xf numFmtId="0" fontId="93" fillId="60" borderId="112" xfId="58" applyFont="1" applyFill="1" applyBorder="1" applyAlignment="1">
      <alignment horizontal="center" vertical="center"/>
    </xf>
    <xf numFmtId="184" fontId="95" fillId="62" borderId="131" xfId="402" applyNumberFormat="1" applyFont="1" applyFill="1" applyBorder="1" applyAlignment="1" applyProtection="1">
      <alignment horizontal="center" vertical="center" wrapText="1"/>
      <protection locked="0"/>
    </xf>
    <xf numFmtId="184" fontId="95" fillId="62" borderId="37" xfId="402" applyNumberFormat="1" applyFont="1" applyFill="1" applyBorder="1" applyAlignment="1" applyProtection="1">
      <alignment horizontal="center" vertical="center" wrapText="1"/>
      <protection locked="0"/>
    </xf>
    <xf numFmtId="184" fontId="95" fillId="62" borderId="125" xfId="402" applyNumberFormat="1" applyFont="1" applyFill="1" applyBorder="1" applyAlignment="1" applyProtection="1">
      <alignment horizontal="center" vertical="center" wrapText="1"/>
      <protection locked="0"/>
    </xf>
    <xf numFmtId="184" fontId="95" fillId="62" borderId="132" xfId="402" applyNumberFormat="1" applyFont="1" applyFill="1" applyBorder="1" applyAlignment="1" applyProtection="1">
      <alignment horizontal="center" vertical="center" wrapText="1"/>
      <protection locked="0"/>
    </xf>
    <xf numFmtId="184" fontId="95" fillId="62" borderId="106" xfId="402" applyNumberFormat="1" applyFont="1" applyFill="1" applyBorder="1" applyAlignment="1" applyProtection="1">
      <alignment horizontal="center" vertical="center" wrapText="1"/>
      <protection locked="0"/>
    </xf>
    <xf numFmtId="184" fontId="95" fillId="62" borderId="107" xfId="402" applyNumberFormat="1" applyFont="1" applyFill="1" applyBorder="1" applyAlignment="1" applyProtection="1">
      <alignment horizontal="center" vertical="center" wrapText="1"/>
      <protection locked="0"/>
    </xf>
    <xf numFmtId="0" fontId="93" fillId="62" borderId="132" xfId="402" applyNumberFormat="1" applyFont="1" applyFill="1" applyBorder="1" applyAlignment="1" applyProtection="1">
      <alignment horizontal="center" vertical="center" wrapText="1"/>
      <protection locked="0"/>
    </xf>
    <xf numFmtId="0" fontId="93" fillId="62" borderId="106" xfId="402" applyNumberFormat="1" applyFont="1" applyFill="1" applyBorder="1" applyAlignment="1" applyProtection="1">
      <alignment horizontal="center" vertical="center" wrapText="1"/>
      <protection locked="0"/>
    </xf>
    <xf numFmtId="0" fontId="93" fillId="62" borderId="107" xfId="402" applyNumberFormat="1" applyFont="1" applyFill="1" applyBorder="1" applyAlignment="1" applyProtection="1">
      <alignment horizontal="center" vertical="center" wrapText="1"/>
      <protection locked="0"/>
    </xf>
    <xf numFmtId="0" fontId="95" fillId="63" borderId="7" xfId="403" applyFont="1" applyFill="1" applyBorder="1" applyAlignment="1">
      <alignment horizontal="center" vertical="center" wrapText="1"/>
    </xf>
    <xf numFmtId="0" fontId="95" fillId="28" borderId="96" xfId="58" applyFont="1" applyFill="1" applyBorder="1" applyAlignment="1">
      <alignment horizontal="center" vertical="center" wrapText="1"/>
    </xf>
    <xf numFmtId="0" fontId="95" fillId="28" borderId="21" xfId="58" applyFont="1" applyFill="1" applyBorder="1" applyAlignment="1">
      <alignment horizontal="center" vertical="center" wrapText="1"/>
    </xf>
    <xf numFmtId="0" fontId="95" fillId="28" borderId="29" xfId="58" applyFont="1" applyFill="1" applyBorder="1" applyAlignment="1">
      <alignment horizontal="center" vertical="center" wrapText="1"/>
    </xf>
    <xf numFmtId="0" fontId="95" fillId="28" borderId="30" xfId="58" applyFont="1" applyFill="1" applyBorder="1" applyAlignment="1">
      <alignment horizontal="center" vertical="center" wrapText="1"/>
    </xf>
    <xf numFmtId="0" fontId="72" fillId="0" borderId="113" xfId="388" applyFont="1" applyBorder="1" applyAlignment="1">
      <alignment horizontal="left" vertical="center" wrapText="1"/>
    </xf>
    <xf numFmtId="0" fontId="72" fillId="0" borderId="114" xfId="388" applyFont="1" applyBorder="1" applyAlignment="1">
      <alignment horizontal="left" vertical="center" wrapText="1"/>
    </xf>
    <xf numFmtId="0" fontId="72" fillId="0" borderId="115" xfId="388" applyFont="1" applyBorder="1" applyAlignment="1">
      <alignment horizontal="left" vertical="center" wrapText="1"/>
    </xf>
    <xf numFmtId="0" fontId="72" fillId="0" borderId="6" xfId="388" applyFont="1" applyBorder="1" applyAlignment="1">
      <alignment horizontal="center" vertical="center" wrapText="1"/>
    </xf>
    <xf numFmtId="0" fontId="72" fillId="0" borderId="24" xfId="388" applyFont="1" applyBorder="1" applyAlignment="1">
      <alignment horizontal="center" vertical="center" wrapText="1"/>
    </xf>
    <xf numFmtId="0" fontId="72" fillId="0" borderId="116" xfId="388" applyFont="1" applyBorder="1" applyAlignment="1">
      <alignment horizontal="left" vertical="center" wrapText="1"/>
    </xf>
    <xf numFmtId="0" fontId="72" fillId="0" borderId="105" xfId="388" applyFont="1" applyBorder="1" applyAlignment="1">
      <alignment horizontal="left" vertical="center" wrapText="1"/>
    </xf>
    <xf numFmtId="0" fontId="72" fillId="0" borderId="108" xfId="388" applyFont="1" applyBorder="1" applyAlignment="1">
      <alignment horizontal="left" vertical="center" wrapText="1"/>
    </xf>
    <xf numFmtId="0" fontId="72" fillId="0" borderId="6" xfId="388" applyFont="1" applyFill="1" applyBorder="1" applyAlignment="1">
      <alignment horizontal="center" vertical="center" wrapText="1"/>
    </xf>
    <xf numFmtId="0" fontId="72" fillId="0" borderId="24" xfId="388" applyFont="1" applyFill="1" applyBorder="1" applyAlignment="1">
      <alignment horizontal="center" vertical="center" wrapText="1"/>
    </xf>
    <xf numFmtId="0" fontId="1" fillId="0" borderId="141" xfId="61204" quotePrefix="1" applyBorder="1" applyAlignment="1">
      <alignment horizontal="left" vertical="top" wrapText="1"/>
    </xf>
    <xf numFmtId="0" fontId="1" fillId="0" borderId="141" xfId="61204" applyBorder="1" applyAlignment="1">
      <alignment horizontal="left" vertical="top" wrapText="1"/>
    </xf>
    <xf numFmtId="0" fontId="99" fillId="62" borderId="6" xfId="61187" applyFont="1" applyFill="1" applyBorder="1" applyAlignment="1">
      <alignment horizontal="center" vertical="center" wrapText="1"/>
    </xf>
    <xf numFmtId="0" fontId="99" fillId="175" borderId="104" xfId="61188" applyFont="1" applyFill="1" applyBorder="1" applyAlignment="1">
      <alignment horizontal="center" vertical="center" wrapText="1"/>
    </xf>
    <xf numFmtId="0" fontId="99" fillId="175" borderId="9" xfId="61188" applyFont="1" applyFill="1" applyBorder="1" applyAlignment="1">
      <alignment horizontal="center" vertical="center" wrapText="1"/>
    </xf>
    <xf numFmtId="0" fontId="99" fillId="26" borderId="104" xfId="61188" applyFont="1" applyFill="1" applyBorder="1" applyAlignment="1">
      <alignment horizontal="center" vertical="center" wrapText="1"/>
    </xf>
    <xf numFmtId="0" fontId="99" fillId="26" borderId="9" xfId="61188" applyFont="1" applyFill="1" applyBorder="1" applyAlignment="1">
      <alignment horizontal="center" vertical="center" wrapText="1"/>
    </xf>
    <xf numFmtId="0" fontId="99" fillId="62" borderId="6" xfId="61188" applyFont="1" applyFill="1" applyBorder="1" applyAlignment="1">
      <alignment horizontal="center" vertical="center" wrapText="1"/>
    </xf>
    <xf numFmtId="0" fontId="258" fillId="176" borderId="104" xfId="61188" applyFont="1" applyFill="1" applyBorder="1" applyAlignment="1">
      <alignment horizontal="center" vertical="center" wrapText="1"/>
    </xf>
    <xf numFmtId="0" fontId="258" fillId="176" borderId="9" xfId="61188" applyFont="1" applyFill="1" applyBorder="1" applyAlignment="1">
      <alignment horizontal="center" vertical="center" wrapText="1"/>
    </xf>
    <xf numFmtId="0" fontId="244" fillId="62" borderId="139" xfId="61187" applyFont="1" applyFill="1" applyBorder="1" applyAlignment="1">
      <alignment horizontal="left" vertical="center"/>
    </xf>
    <xf numFmtId="0" fontId="244" fillId="62" borderId="140" xfId="61187" applyFont="1" applyFill="1" applyBorder="1" applyAlignment="1">
      <alignment horizontal="left" vertical="center"/>
    </xf>
    <xf numFmtId="0" fontId="256" fillId="62" borderId="139" xfId="61187" applyFont="1" applyFill="1" applyBorder="1" applyAlignment="1">
      <alignment horizontal="left" vertical="center" wrapText="1"/>
    </xf>
    <xf numFmtId="0" fontId="256" fillId="62" borderId="140" xfId="61187" applyFont="1" applyFill="1" applyBorder="1" applyAlignment="1">
      <alignment horizontal="left" vertical="center"/>
    </xf>
    <xf numFmtId="0" fontId="99" fillId="62" borderId="104" xfId="61187" applyFont="1" applyFill="1" applyBorder="1" applyAlignment="1">
      <alignment horizontal="center" vertical="center" wrapText="1"/>
    </xf>
    <xf numFmtId="0" fontId="99" fillId="62" borderId="9" xfId="61187" applyFont="1" applyFill="1" applyBorder="1" applyAlignment="1">
      <alignment horizontal="center" vertical="center" wrapText="1"/>
    </xf>
    <xf numFmtId="0" fontId="99" fillId="175" borderId="6" xfId="61188" applyFont="1" applyFill="1" applyBorder="1" applyAlignment="1">
      <alignment horizontal="center" vertical="center" wrapText="1"/>
    </xf>
    <xf numFmtId="0" fontId="13" fillId="0" borderId="0" xfId="0" applyFont="1" applyAlignment="1">
      <alignment horizontal="center"/>
    </xf>
    <xf numFmtId="0" fontId="45" fillId="0" borderId="6" xfId="0" applyFont="1" applyBorder="1" applyAlignment="1">
      <alignment horizontal="center" vertical="center" wrapText="1"/>
    </xf>
    <xf numFmtId="0" fontId="13" fillId="0" borderId="95" xfId="0" applyFont="1" applyBorder="1" applyAlignment="1">
      <alignment horizontal="center"/>
    </xf>
    <xf numFmtId="0" fontId="45" fillId="0" borderId="6" xfId="0" applyFont="1" applyBorder="1" applyAlignment="1">
      <alignment horizontal="center" vertical="center"/>
    </xf>
    <xf numFmtId="0" fontId="45" fillId="0" borderId="104" xfId="0" applyFont="1" applyBorder="1" applyAlignment="1">
      <alignment horizontal="center" vertical="center" wrapText="1"/>
    </xf>
    <xf numFmtId="0" fontId="45" fillId="0" borderId="106" xfId="0" applyFont="1" applyBorder="1" applyAlignment="1">
      <alignment horizontal="center" vertical="center" wrapText="1"/>
    </xf>
    <xf numFmtId="0" fontId="45" fillId="0" borderId="9" xfId="0" applyFont="1" applyBorder="1" applyAlignment="1">
      <alignment horizontal="center" vertical="center" wrapText="1"/>
    </xf>
    <xf numFmtId="0" fontId="13" fillId="0" borderId="95" xfId="0" applyFont="1" applyBorder="1" applyAlignment="1">
      <alignment horizontal="left" vertical="center" wrapText="1"/>
    </xf>
    <xf numFmtId="0" fontId="13" fillId="0" borderId="0" xfId="0" applyFont="1" applyAlignment="1">
      <alignment horizontal="left" vertical="center" wrapText="1"/>
    </xf>
    <xf numFmtId="0" fontId="237" fillId="0" borderId="7" xfId="0" applyFont="1" applyBorder="1" applyAlignment="1">
      <alignment horizontal="center" vertical="center"/>
    </xf>
    <xf numFmtId="0" fontId="267" fillId="0" borderId="7" xfId="0" applyFont="1" applyBorder="1" applyAlignment="1">
      <alignment horizontal="center" vertical="center"/>
    </xf>
    <xf numFmtId="0" fontId="13" fillId="0" borderId="0" xfId="0" applyFont="1" applyAlignment="1">
      <alignment horizontal="center" vertical="center" wrapText="1"/>
    </xf>
    <xf numFmtId="0" fontId="45" fillId="0" borderId="7" xfId="0" applyFont="1" applyBorder="1" applyAlignment="1">
      <alignment horizontal="center" vertical="center"/>
    </xf>
    <xf numFmtId="0" fontId="13" fillId="0" borderId="7" xfId="0" applyFont="1" applyBorder="1" applyAlignment="1">
      <alignment horizontal="center"/>
    </xf>
    <xf numFmtId="0" fontId="13" fillId="0" borderId="6" xfId="0" applyFont="1" applyBorder="1" applyAlignment="1">
      <alignment horizontal="left" vertical="top" wrapText="1"/>
    </xf>
    <xf numFmtId="0" fontId="13" fillId="0" borderId="95" xfId="0" applyFont="1" applyBorder="1" applyAlignment="1">
      <alignment horizontal="left" wrapText="1"/>
    </xf>
    <xf numFmtId="0" fontId="13" fillId="0" borderId="0" xfId="0" applyFont="1" applyAlignment="1">
      <alignment horizontal="left" vertical="center"/>
    </xf>
    <xf numFmtId="0" fontId="128" fillId="0" borderId="0" xfId="0" applyFont="1" applyAlignment="1">
      <alignment horizontal="center" vertical="center"/>
    </xf>
    <xf numFmtId="0" fontId="45" fillId="0" borderId="6" xfId="0" applyFont="1" applyBorder="1" applyAlignment="1">
      <alignment horizontal="center" vertical="top" wrapText="1"/>
    </xf>
    <xf numFmtId="0" fontId="244" fillId="62" borderId="49" xfId="61187" applyFont="1" applyFill="1" applyBorder="1" applyAlignment="1">
      <alignment horizontal="left" vertical="center"/>
    </xf>
    <xf numFmtId="0" fontId="256" fillId="60" borderId="49" xfId="61187" applyFont="1" applyFill="1" applyBorder="1" applyAlignment="1">
      <alignment horizontal="left" vertical="center"/>
    </xf>
    <xf numFmtId="0" fontId="1" fillId="177" borderId="0" xfId="61204" applyFill="1" applyAlignment="1">
      <alignment horizontal="center"/>
    </xf>
    <xf numFmtId="0" fontId="1" fillId="0" borderId="0" xfId="61184" applyFont="1"/>
    <xf numFmtId="0" fontId="256" fillId="62" borderId="49" xfId="61187" applyFont="1" applyFill="1" applyBorder="1" applyAlignment="1">
      <alignment horizontal="left" vertical="center"/>
    </xf>
    <xf numFmtId="0" fontId="1" fillId="0" borderId="0" xfId="400" applyFont="1"/>
  </cellXfs>
  <cellStyles count="61205">
    <cellStyle name="%" xfId="404" xr:uid="{00000000-0005-0000-0000-000000000000}"/>
    <cellStyle name="*MB Hardwired" xfId="1" xr:uid="{00000000-0005-0000-0000-000001000000}"/>
    <cellStyle name="*MB Input Table Calc" xfId="2" xr:uid="{00000000-0005-0000-0000-000002000000}"/>
    <cellStyle name="*MB Normal" xfId="3" xr:uid="{00000000-0005-0000-0000-000003000000}"/>
    <cellStyle name="*MB Normal 2" xfId="118" xr:uid="{00000000-0005-0000-0000-000004000000}"/>
    <cellStyle name="*MB Placeholder" xfId="4" xr:uid="{00000000-0005-0000-0000-000005000000}"/>
    <cellStyle name="_x0013_,î3_x0001_N@4" xfId="405" xr:uid="{00000000-0005-0000-0000-000006000000}"/>
    <cellStyle name=":¨áy¡’?(" xfId="406" xr:uid="{00000000-0005-0000-0000-000007000000}"/>
    <cellStyle name="?? [0]_??" xfId="407" xr:uid="{00000000-0005-0000-0000-000008000000}"/>
    <cellStyle name="?????_VERA" xfId="5" xr:uid="{00000000-0005-0000-0000-000009000000}"/>
    <cellStyle name="??_?.????" xfId="408" xr:uid="{00000000-0005-0000-0000-00000A000000}"/>
    <cellStyle name="_2530023 2Q05 Analysis" xfId="409" xr:uid="{00000000-0005-0000-0000-00000B000000}"/>
    <cellStyle name="_August Expense Reports" xfId="410" xr:uid="{00000000-0005-0000-0000-00000C000000}"/>
    <cellStyle name="_August Expense Reports_PwrGen" xfId="411" xr:uid="{00000000-0005-0000-0000-00000D000000}"/>
    <cellStyle name="_IDSM Contracts- 10 15 10 tlc" xfId="412" xr:uid="{00000000-0005-0000-0000-00000E000000}"/>
    <cellStyle name="_July YTD Staff Aug_all IDSM Manipulated" xfId="413" xr:uid="{00000000-0005-0000-0000-00000F000000}"/>
    <cellStyle name="_July YTD Staff Aug_Teri" xfId="414" xr:uid="{00000000-0005-0000-0000-000010000000}"/>
    <cellStyle name="_Labor and OH from Pavel" xfId="415" xr:uid="{00000000-0005-0000-0000-000011000000}"/>
    <cellStyle name="_L-Other Non Current Liab" xfId="416" xr:uid="{00000000-0005-0000-0000-000012000000}"/>
    <cellStyle name="_Pavel_Staff Aug PCC charged 8.30" xfId="417" xr:uid="{00000000-0005-0000-0000-000013000000}"/>
    <cellStyle name="_Transfers - Adjustments" xfId="418" xr:uid="{00000000-0005-0000-0000-000014000000}"/>
    <cellStyle name="_Transfers - Adjustments_PwrGen" xfId="419" xr:uid="{00000000-0005-0000-0000-000015000000}"/>
    <cellStyle name="_x0010_“+ˆÉ•?pý¤" xfId="6" xr:uid="{00000000-0005-0000-0000-000016000000}"/>
    <cellStyle name="_x0010_“+ˆÉ•?pý¤ 2" xfId="119" xr:uid="{00000000-0005-0000-0000-000017000000}"/>
    <cellStyle name="10 in (Normal)" xfId="420" xr:uid="{00000000-0005-0000-0000-000018000000}"/>
    <cellStyle name="20% - Accent1 10" xfId="421" xr:uid="{00000000-0005-0000-0000-000019000000}"/>
    <cellStyle name="20% - Accent1 10 2" xfId="422" xr:uid="{00000000-0005-0000-0000-00001A000000}"/>
    <cellStyle name="20% - Accent1 10 2 2" xfId="423" xr:uid="{00000000-0005-0000-0000-00001B000000}"/>
    <cellStyle name="20% - Accent1 10 2 3" xfId="424" xr:uid="{00000000-0005-0000-0000-00001C000000}"/>
    <cellStyle name="20% - Accent1 10 3" xfId="425" xr:uid="{00000000-0005-0000-0000-00001D000000}"/>
    <cellStyle name="20% - Accent1 10 4" xfId="426" xr:uid="{00000000-0005-0000-0000-00001E000000}"/>
    <cellStyle name="20% - Accent1 10 4 2" xfId="427" xr:uid="{00000000-0005-0000-0000-00001F000000}"/>
    <cellStyle name="20% - Accent1 10 5" xfId="428" xr:uid="{00000000-0005-0000-0000-000020000000}"/>
    <cellStyle name="20% - Accent1 11" xfId="429" xr:uid="{00000000-0005-0000-0000-000021000000}"/>
    <cellStyle name="20% - Accent1 11 2" xfId="430" xr:uid="{00000000-0005-0000-0000-000022000000}"/>
    <cellStyle name="20% - Accent1 11 3" xfId="431" xr:uid="{00000000-0005-0000-0000-000023000000}"/>
    <cellStyle name="20% - Accent1 11 3 2" xfId="432" xr:uid="{00000000-0005-0000-0000-000024000000}"/>
    <cellStyle name="20% - Accent1 12" xfId="433" xr:uid="{00000000-0005-0000-0000-000025000000}"/>
    <cellStyle name="20% - Accent1 12 2" xfId="434" xr:uid="{00000000-0005-0000-0000-000026000000}"/>
    <cellStyle name="20% - Accent1 12 3" xfId="435" xr:uid="{00000000-0005-0000-0000-000027000000}"/>
    <cellStyle name="20% - Accent1 13" xfId="436" xr:uid="{00000000-0005-0000-0000-000028000000}"/>
    <cellStyle name="20% - Accent1 13 2" xfId="437" xr:uid="{00000000-0005-0000-0000-000029000000}"/>
    <cellStyle name="20% - Accent1 13 3" xfId="438" xr:uid="{00000000-0005-0000-0000-00002A000000}"/>
    <cellStyle name="20% - Accent1 14" xfId="439" xr:uid="{00000000-0005-0000-0000-00002B000000}"/>
    <cellStyle name="20% - Accent1 14 2" xfId="440" xr:uid="{00000000-0005-0000-0000-00002C000000}"/>
    <cellStyle name="20% - Accent1 14 3" xfId="441" xr:uid="{00000000-0005-0000-0000-00002D000000}"/>
    <cellStyle name="20% - Accent1 15" xfId="442" xr:uid="{00000000-0005-0000-0000-00002E000000}"/>
    <cellStyle name="20% - Accent1 15 2" xfId="443" xr:uid="{00000000-0005-0000-0000-00002F000000}"/>
    <cellStyle name="20% - Accent1 15 3" xfId="444" xr:uid="{00000000-0005-0000-0000-000030000000}"/>
    <cellStyle name="20% - Accent1 16" xfId="445" xr:uid="{00000000-0005-0000-0000-000031000000}"/>
    <cellStyle name="20% - Accent1 16 2" xfId="446" xr:uid="{00000000-0005-0000-0000-000032000000}"/>
    <cellStyle name="20% - Accent1 16 3" xfId="447" xr:uid="{00000000-0005-0000-0000-000033000000}"/>
    <cellStyle name="20% - Accent1 17" xfId="448" xr:uid="{00000000-0005-0000-0000-000034000000}"/>
    <cellStyle name="20% - Accent1 17 2" xfId="449" xr:uid="{00000000-0005-0000-0000-000035000000}"/>
    <cellStyle name="20% - Accent1 17 3" xfId="450" xr:uid="{00000000-0005-0000-0000-000036000000}"/>
    <cellStyle name="20% - Accent1 18" xfId="451" xr:uid="{00000000-0005-0000-0000-000037000000}"/>
    <cellStyle name="20% - Accent1 18 2" xfId="452" xr:uid="{00000000-0005-0000-0000-000038000000}"/>
    <cellStyle name="20% - Accent1 18 3" xfId="453" xr:uid="{00000000-0005-0000-0000-000039000000}"/>
    <cellStyle name="20% - Accent1 19" xfId="454" xr:uid="{00000000-0005-0000-0000-00003A000000}"/>
    <cellStyle name="20% - Accent1 19 2" xfId="455" xr:uid="{00000000-0005-0000-0000-00003B000000}"/>
    <cellStyle name="20% - Accent1 19 3" xfId="456" xr:uid="{00000000-0005-0000-0000-00003C000000}"/>
    <cellStyle name="20% - Accent1 2" xfId="457" xr:uid="{00000000-0005-0000-0000-00003D000000}"/>
    <cellStyle name="20% - Accent1 2 10" xfId="458" xr:uid="{00000000-0005-0000-0000-00003E000000}"/>
    <cellStyle name="20% - Accent1 2 10 2" xfId="459" xr:uid="{00000000-0005-0000-0000-00003F000000}"/>
    <cellStyle name="20% - Accent1 2 10 3" xfId="460" xr:uid="{00000000-0005-0000-0000-000040000000}"/>
    <cellStyle name="20% - Accent1 2 11" xfId="461" xr:uid="{00000000-0005-0000-0000-000041000000}"/>
    <cellStyle name="20% - Accent1 2 11 2" xfId="462" xr:uid="{00000000-0005-0000-0000-000042000000}"/>
    <cellStyle name="20% - Accent1 2 11 3" xfId="463" xr:uid="{00000000-0005-0000-0000-000043000000}"/>
    <cellStyle name="20% - Accent1 2 12" xfId="464" xr:uid="{00000000-0005-0000-0000-000044000000}"/>
    <cellStyle name="20% - Accent1 2 12 2" xfId="465" xr:uid="{00000000-0005-0000-0000-000045000000}"/>
    <cellStyle name="20% - Accent1 2 12 3" xfId="466" xr:uid="{00000000-0005-0000-0000-000046000000}"/>
    <cellStyle name="20% - Accent1 2 13" xfId="467" xr:uid="{00000000-0005-0000-0000-000047000000}"/>
    <cellStyle name="20% - Accent1 2 14" xfId="468" xr:uid="{00000000-0005-0000-0000-000048000000}"/>
    <cellStyle name="20% - Accent1 2 2" xfId="469" xr:uid="{00000000-0005-0000-0000-000049000000}"/>
    <cellStyle name="20% - Accent1 2 2 2" xfId="470" xr:uid="{00000000-0005-0000-0000-00004A000000}"/>
    <cellStyle name="20% - Accent1 2 2 2 2" xfId="471" xr:uid="{00000000-0005-0000-0000-00004B000000}"/>
    <cellStyle name="20% - Accent1 2 2 2 3" xfId="472" xr:uid="{00000000-0005-0000-0000-00004C000000}"/>
    <cellStyle name="20% - Accent1 2 2 2 4" xfId="473" xr:uid="{00000000-0005-0000-0000-00004D000000}"/>
    <cellStyle name="20% - Accent1 2 2 3" xfId="474" xr:uid="{00000000-0005-0000-0000-00004E000000}"/>
    <cellStyle name="20% - Accent1 2 2 3 2" xfId="475" xr:uid="{00000000-0005-0000-0000-00004F000000}"/>
    <cellStyle name="20% - Accent1 2 2 3 3" xfId="476" xr:uid="{00000000-0005-0000-0000-000050000000}"/>
    <cellStyle name="20% - Accent1 2 2 4" xfId="477" xr:uid="{00000000-0005-0000-0000-000051000000}"/>
    <cellStyle name="20% - Accent1 2 2 4 2" xfId="478" xr:uid="{00000000-0005-0000-0000-000052000000}"/>
    <cellStyle name="20% - Accent1 2 2 4 3" xfId="479" xr:uid="{00000000-0005-0000-0000-000053000000}"/>
    <cellStyle name="20% - Accent1 2 2 5" xfId="480" xr:uid="{00000000-0005-0000-0000-000054000000}"/>
    <cellStyle name="20% - Accent1 2 2 6" xfId="481" xr:uid="{00000000-0005-0000-0000-000055000000}"/>
    <cellStyle name="20% - Accent1 2 2 7" xfId="482" xr:uid="{00000000-0005-0000-0000-000056000000}"/>
    <cellStyle name="20% - Accent1 2 2 8" xfId="483" xr:uid="{00000000-0005-0000-0000-000057000000}"/>
    <cellStyle name="20% - Accent1 2 2_Dec monthly report" xfId="484" xr:uid="{00000000-0005-0000-0000-000058000000}"/>
    <cellStyle name="20% - Accent1 2 3" xfId="485" xr:uid="{00000000-0005-0000-0000-000059000000}"/>
    <cellStyle name="20% - Accent1 2 3 10" xfId="486" xr:uid="{00000000-0005-0000-0000-00005A000000}"/>
    <cellStyle name="20% - Accent1 2 3 11" xfId="487" xr:uid="{00000000-0005-0000-0000-00005B000000}"/>
    <cellStyle name="20% - Accent1 2 3 2" xfId="488" xr:uid="{00000000-0005-0000-0000-00005C000000}"/>
    <cellStyle name="20% - Accent1 2 3 2 10" xfId="489" xr:uid="{00000000-0005-0000-0000-00005D000000}"/>
    <cellStyle name="20% - Accent1 2 3 2 2" xfId="490" xr:uid="{00000000-0005-0000-0000-00005E000000}"/>
    <cellStyle name="20% - Accent1 2 3 2 2 2" xfId="491" xr:uid="{00000000-0005-0000-0000-00005F000000}"/>
    <cellStyle name="20% - Accent1 2 3 2 2 2 2" xfId="492" xr:uid="{00000000-0005-0000-0000-000060000000}"/>
    <cellStyle name="20% - Accent1 2 3 2 2 2 3" xfId="493" xr:uid="{00000000-0005-0000-0000-000061000000}"/>
    <cellStyle name="20% - Accent1 2 3 2 2 3" xfId="494" xr:uid="{00000000-0005-0000-0000-000062000000}"/>
    <cellStyle name="20% - Accent1 2 3 2 2 3 2" xfId="495" xr:uid="{00000000-0005-0000-0000-000063000000}"/>
    <cellStyle name="20% - Accent1 2 3 2 2 3 3" xfId="496" xr:uid="{00000000-0005-0000-0000-000064000000}"/>
    <cellStyle name="20% - Accent1 2 3 2 2 4" xfId="497" xr:uid="{00000000-0005-0000-0000-000065000000}"/>
    <cellStyle name="20% - Accent1 2 3 2 2 5" xfId="498" xr:uid="{00000000-0005-0000-0000-000066000000}"/>
    <cellStyle name="20% - Accent1 2 3 2 2 6" xfId="499" xr:uid="{00000000-0005-0000-0000-000067000000}"/>
    <cellStyle name="20% - Accent1 2 3 2 2 7" xfId="500" xr:uid="{00000000-0005-0000-0000-000068000000}"/>
    <cellStyle name="20% - Accent1 2 3 2 2 8" xfId="501" xr:uid="{00000000-0005-0000-0000-000069000000}"/>
    <cellStyle name="20% - Accent1 2 3 2 3" xfId="502" xr:uid="{00000000-0005-0000-0000-00006A000000}"/>
    <cellStyle name="20% - Accent1 2 3 2 3 2" xfId="503" xr:uid="{00000000-0005-0000-0000-00006B000000}"/>
    <cellStyle name="20% - Accent1 2 3 2 3 2 2" xfId="504" xr:uid="{00000000-0005-0000-0000-00006C000000}"/>
    <cellStyle name="20% - Accent1 2 3 2 3 2 3" xfId="505" xr:uid="{00000000-0005-0000-0000-00006D000000}"/>
    <cellStyle name="20% - Accent1 2 3 2 3 3" xfId="506" xr:uid="{00000000-0005-0000-0000-00006E000000}"/>
    <cellStyle name="20% - Accent1 2 3 2 3 3 2" xfId="507" xr:uid="{00000000-0005-0000-0000-00006F000000}"/>
    <cellStyle name="20% - Accent1 2 3 2 3 4" xfId="508" xr:uid="{00000000-0005-0000-0000-000070000000}"/>
    <cellStyle name="20% - Accent1 2 3 2 4" xfId="509" xr:uid="{00000000-0005-0000-0000-000071000000}"/>
    <cellStyle name="20% - Accent1 2 3 2 4 2" xfId="510" xr:uid="{00000000-0005-0000-0000-000072000000}"/>
    <cellStyle name="20% - Accent1 2 3 2 4 3" xfId="511" xr:uid="{00000000-0005-0000-0000-000073000000}"/>
    <cellStyle name="20% - Accent1 2 3 2 5" xfId="512" xr:uid="{00000000-0005-0000-0000-000074000000}"/>
    <cellStyle name="20% - Accent1 2 3 2 5 2" xfId="513" xr:uid="{00000000-0005-0000-0000-000075000000}"/>
    <cellStyle name="20% - Accent1 2 3 2 5 3" xfId="514" xr:uid="{00000000-0005-0000-0000-000076000000}"/>
    <cellStyle name="20% - Accent1 2 3 2 6" xfId="515" xr:uid="{00000000-0005-0000-0000-000077000000}"/>
    <cellStyle name="20% - Accent1 2 3 2 6 2" xfId="516" xr:uid="{00000000-0005-0000-0000-000078000000}"/>
    <cellStyle name="20% - Accent1 2 3 2 7" xfId="517" xr:uid="{00000000-0005-0000-0000-000079000000}"/>
    <cellStyle name="20% - Accent1 2 3 2 8" xfId="518" xr:uid="{00000000-0005-0000-0000-00007A000000}"/>
    <cellStyle name="20% - Accent1 2 3 2 9" xfId="519" xr:uid="{00000000-0005-0000-0000-00007B000000}"/>
    <cellStyle name="20% - Accent1 2 3 3" xfId="520" xr:uid="{00000000-0005-0000-0000-00007C000000}"/>
    <cellStyle name="20% - Accent1 2 3 3 2" xfId="521" xr:uid="{00000000-0005-0000-0000-00007D000000}"/>
    <cellStyle name="20% - Accent1 2 3 3 2 2" xfId="522" xr:uid="{00000000-0005-0000-0000-00007E000000}"/>
    <cellStyle name="20% - Accent1 2 3 3 2 3" xfId="523" xr:uid="{00000000-0005-0000-0000-00007F000000}"/>
    <cellStyle name="20% - Accent1 2 3 3 3" xfId="524" xr:uid="{00000000-0005-0000-0000-000080000000}"/>
    <cellStyle name="20% - Accent1 2 3 3 3 2" xfId="525" xr:uid="{00000000-0005-0000-0000-000081000000}"/>
    <cellStyle name="20% - Accent1 2 3 3 3 3" xfId="526" xr:uid="{00000000-0005-0000-0000-000082000000}"/>
    <cellStyle name="20% - Accent1 2 3 3 4" xfId="527" xr:uid="{00000000-0005-0000-0000-000083000000}"/>
    <cellStyle name="20% - Accent1 2 3 3 5" xfId="528" xr:uid="{00000000-0005-0000-0000-000084000000}"/>
    <cellStyle name="20% - Accent1 2 3 3 6" xfId="529" xr:uid="{00000000-0005-0000-0000-000085000000}"/>
    <cellStyle name="20% - Accent1 2 3 3 7" xfId="530" xr:uid="{00000000-0005-0000-0000-000086000000}"/>
    <cellStyle name="20% - Accent1 2 3 3 8" xfId="531" xr:uid="{00000000-0005-0000-0000-000087000000}"/>
    <cellStyle name="20% - Accent1 2 3 4" xfId="532" xr:uid="{00000000-0005-0000-0000-000088000000}"/>
    <cellStyle name="20% - Accent1 2 3 4 2" xfId="533" xr:uid="{00000000-0005-0000-0000-000089000000}"/>
    <cellStyle name="20% - Accent1 2 3 4 2 2" xfId="534" xr:uid="{00000000-0005-0000-0000-00008A000000}"/>
    <cellStyle name="20% - Accent1 2 3 4 2 3" xfId="535" xr:uid="{00000000-0005-0000-0000-00008B000000}"/>
    <cellStyle name="20% - Accent1 2 3 4 3" xfId="536" xr:uid="{00000000-0005-0000-0000-00008C000000}"/>
    <cellStyle name="20% - Accent1 2 3 4 3 2" xfId="537" xr:uid="{00000000-0005-0000-0000-00008D000000}"/>
    <cellStyle name="20% - Accent1 2 3 4 4" xfId="538" xr:uid="{00000000-0005-0000-0000-00008E000000}"/>
    <cellStyle name="20% - Accent1 2 3 5" xfId="539" xr:uid="{00000000-0005-0000-0000-00008F000000}"/>
    <cellStyle name="20% - Accent1 2 3 5 2" xfId="540" xr:uid="{00000000-0005-0000-0000-000090000000}"/>
    <cellStyle name="20% - Accent1 2 3 5 3" xfId="541" xr:uid="{00000000-0005-0000-0000-000091000000}"/>
    <cellStyle name="20% - Accent1 2 3 6" xfId="542" xr:uid="{00000000-0005-0000-0000-000092000000}"/>
    <cellStyle name="20% - Accent1 2 3 6 2" xfId="543" xr:uid="{00000000-0005-0000-0000-000093000000}"/>
    <cellStyle name="20% - Accent1 2 3 6 3" xfId="544" xr:uid="{00000000-0005-0000-0000-000094000000}"/>
    <cellStyle name="20% - Accent1 2 3 7" xfId="545" xr:uid="{00000000-0005-0000-0000-000095000000}"/>
    <cellStyle name="20% - Accent1 2 3 7 2" xfId="546" xr:uid="{00000000-0005-0000-0000-000096000000}"/>
    <cellStyle name="20% - Accent1 2 3 8" xfId="547" xr:uid="{00000000-0005-0000-0000-000097000000}"/>
    <cellStyle name="20% - Accent1 2 3 9" xfId="548" xr:uid="{00000000-0005-0000-0000-000098000000}"/>
    <cellStyle name="20% - Accent1 2 4" xfId="549" xr:uid="{00000000-0005-0000-0000-000099000000}"/>
    <cellStyle name="20% - Accent1 2 4 10" xfId="550" xr:uid="{00000000-0005-0000-0000-00009A000000}"/>
    <cellStyle name="20% - Accent1 2 4 11" xfId="551" xr:uid="{00000000-0005-0000-0000-00009B000000}"/>
    <cellStyle name="20% - Accent1 2 4 2" xfId="552" xr:uid="{00000000-0005-0000-0000-00009C000000}"/>
    <cellStyle name="20% - Accent1 2 4 2 10" xfId="553" xr:uid="{00000000-0005-0000-0000-00009D000000}"/>
    <cellStyle name="20% - Accent1 2 4 2 2" xfId="554" xr:uid="{00000000-0005-0000-0000-00009E000000}"/>
    <cellStyle name="20% - Accent1 2 4 2 2 2" xfId="555" xr:uid="{00000000-0005-0000-0000-00009F000000}"/>
    <cellStyle name="20% - Accent1 2 4 2 2 2 2" xfId="556" xr:uid="{00000000-0005-0000-0000-0000A0000000}"/>
    <cellStyle name="20% - Accent1 2 4 2 2 2 3" xfId="557" xr:uid="{00000000-0005-0000-0000-0000A1000000}"/>
    <cellStyle name="20% - Accent1 2 4 2 2 3" xfId="558" xr:uid="{00000000-0005-0000-0000-0000A2000000}"/>
    <cellStyle name="20% - Accent1 2 4 2 2 3 2" xfId="559" xr:uid="{00000000-0005-0000-0000-0000A3000000}"/>
    <cellStyle name="20% - Accent1 2 4 2 2 3 3" xfId="560" xr:uid="{00000000-0005-0000-0000-0000A4000000}"/>
    <cellStyle name="20% - Accent1 2 4 2 2 4" xfId="561" xr:uid="{00000000-0005-0000-0000-0000A5000000}"/>
    <cellStyle name="20% - Accent1 2 4 2 2 5" xfId="562" xr:uid="{00000000-0005-0000-0000-0000A6000000}"/>
    <cellStyle name="20% - Accent1 2 4 2 2 6" xfId="563" xr:uid="{00000000-0005-0000-0000-0000A7000000}"/>
    <cellStyle name="20% - Accent1 2 4 2 2 7" xfId="564" xr:uid="{00000000-0005-0000-0000-0000A8000000}"/>
    <cellStyle name="20% - Accent1 2 4 2 2 8" xfId="565" xr:uid="{00000000-0005-0000-0000-0000A9000000}"/>
    <cellStyle name="20% - Accent1 2 4 2 3" xfId="566" xr:uid="{00000000-0005-0000-0000-0000AA000000}"/>
    <cellStyle name="20% - Accent1 2 4 2 3 2" xfId="567" xr:uid="{00000000-0005-0000-0000-0000AB000000}"/>
    <cellStyle name="20% - Accent1 2 4 2 3 2 2" xfId="568" xr:uid="{00000000-0005-0000-0000-0000AC000000}"/>
    <cellStyle name="20% - Accent1 2 4 2 3 2 3" xfId="569" xr:uid="{00000000-0005-0000-0000-0000AD000000}"/>
    <cellStyle name="20% - Accent1 2 4 2 3 3" xfId="570" xr:uid="{00000000-0005-0000-0000-0000AE000000}"/>
    <cellStyle name="20% - Accent1 2 4 2 3 3 2" xfId="571" xr:uid="{00000000-0005-0000-0000-0000AF000000}"/>
    <cellStyle name="20% - Accent1 2 4 2 3 4" xfId="572" xr:uid="{00000000-0005-0000-0000-0000B0000000}"/>
    <cellStyle name="20% - Accent1 2 4 2 4" xfId="573" xr:uid="{00000000-0005-0000-0000-0000B1000000}"/>
    <cellStyle name="20% - Accent1 2 4 2 4 2" xfId="574" xr:uid="{00000000-0005-0000-0000-0000B2000000}"/>
    <cellStyle name="20% - Accent1 2 4 2 4 3" xfId="575" xr:uid="{00000000-0005-0000-0000-0000B3000000}"/>
    <cellStyle name="20% - Accent1 2 4 2 5" xfId="576" xr:uid="{00000000-0005-0000-0000-0000B4000000}"/>
    <cellStyle name="20% - Accent1 2 4 2 5 2" xfId="577" xr:uid="{00000000-0005-0000-0000-0000B5000000}"/>
    <cellStyle name="20% - Accent1 2 4 2 5 3" xfId="578" xr:uid="{00000000-0005-0000-0000-0000B6000000}"/>
    <cellStyle name="20% - Accent1 2 4 2 6" xfId="579" xr:uid="{00000000-0005-0000-0000-0000B7000000}"/>
    <cellStyle name="20% - Accent1 2 4 2 6 2" xfId="580" xr:uid="{00000000-0005-0000-0000-0000B8000000}"/>
    <cellStyle name="20% - Accent1 2 4 2 7" xfId="581" xr:uid="{00000000-0005-0000-0000-0000B9000000}"/>
    <cellStyle name="20% - Accent1 2 4 2 8" xfId="582" xr:uid="{00000000-0005-0000-0000-0000BA000000}"/>
    <cellStyle name="20% - Accent1 2 4 2 9" xfId="583" xr:uid="{00000000-0005-0000-0000-0000BB000000}"/>
    <cellStyle name="20% - Accent1 2 4 3" xfId="584" xr:uid="{00000000-0005-0000-0000-0000BC000000}"/>
    <cellStyle name="20% - Accent1 2 4 3 2" xfId="585" xr:uid="{00000000-0005-0000-0000-0000BD000000}"/>
    <cellStyle name="20% - Accent1 2 4 3 2 2" xfId="586" xr:uid="{00000000-0005-0000-0000-0000BE000000}"/>
    <cellStyle name="20% - Accent1 2 4 3 2 3" xfId="587" xr:uid="{00000000-0005-0000-0000-0000BF000000}"/>
    <cellStyle name="20% - Accent1 2 4 3 3" xfId="588" xr:uid="{00000000-0005-0000-0000-0000C0000000}"/>
    <cellStyle name="20% - Accent1 2 4 3 3 2" xfId="589" xr:uid="{00000000-0005-0000-0000-0000C1000000}"/>
    <cellStyle name="20% - Accent1 2 4 3 3 3" xfId="590" xr:uid="{00000000-0005-0000-0000-0000C2000000}"/>
    <cellStyle name="20% - Accent1 2 4 3 4" xfId="591" xr:uid="{00000000-0005-0000-0000-0000C3000000}"/>
    <cellStyle name="20% - Accent1 2 4 3 5" xfId="592" xr:uid="{00000000-0005-0000-0000-0000C4000000}"/>
    <cellStyle name="20% - Accent1 2 4 3 6" xfId="593" xr:uid="{00000000-0005-0000-0000-0000C5000000}"/>
    <cellStyle name="20% - Accent1 2 4 3 7" xfId="594" xr:uid="{00000000-0005-0000-0000-0000C6000000}"/>
    <cellStyle name="20% - Accent1 2 4 3 8" xfId="595" xr:uid="{00000000-0005-0000-0000-0000C7000000}"/>
    <cellStyle name="20% - Accent1 2 4 4" xfId="596" xr:uid="{00000000-0005-0000-0000-0000C8000000}"/>
    <cellStyle name="20% - Accent1 2 4 4 2" xfId="597" xr:uid="{00000000-0005-0000-0000-0000C9000000}"/>
    <cellStyle name="20% - Accent1 2 4 4 2 2" xfId="598" xr:uid="{00000000-0005-0000-0000-0000CA000000}"/>
    <cellStyle name="20% - Accent1 2 4 4 2 3" xfId="599" xr:uid="{00000000-0005-0000-0000-0000CB000000}"/>
    <cellStyle name="20% - Accent1 2 4 4 3" xfId="600" xr:uid="{00000000-0005-0000-0000-0000CC000000}"/>
    <cellStyle name="20% - Accent1 2 4 4 3 2" xfId="601" xr:uid="{00000000-0005-0000-0000-0000CD000000}"/>
    <cellStyle name="20% - Accent1 2 4 4 4" xfId="602" xr:uid="{00000000-0005-0000-0000-0000CE000000}"/>
    <cellStyle name="20% - Accent1 2 4 5" xfId="603" xr:uid="{00000000-0005-0000-0000-0000CF000000}"/>
    <cellStyle name="20% - Accent1 2 4 5 2" xfId="604" xr:uid="{00000000-0005-0000-0000-0000D0000000}"/>
    <cellStyle name="20% - Accent1 2 4 5 3" xfId="605" xr:uid="{00000000-0005-0000-0000-0000D1000000}"/>
    <cellStyle name="20% - Accent1 2 4 6" xfId="606" xr:uid="{00000000-0005-0000-0000-0000D2000000}"/>
    <cellStyle name="20% - Accent1 2 4 6 2" xfId="607" xr:uid="{00000000-0005-0000-0000-0000D3000000}"/>
    <cellStyle name="20% - Accent1 2 4 6 3" xfId="608" xr:uid="{00000000-0005-0000-0000-0000D4000000}"/>
    <cellStyle name="20% - Accent1 2 4 7" xfId="609" xr:uid="{00000000-0005-0000-0000-0000D5000000}"/>
    <cellStyle name="20% - Accent1 2 4 7 2" xfId="610" xr:uid="{00000000-0005-0000-0000-0000D6000000}"/>
    <cellStyle name="20% - Accent1 2 4 8" xfId="611" xr:uid="{00000000-0005-0000-0000-0000D7000000}"/>
    <cellStyle name="20% - Accent1 2 4 9" xfId="612" xr:uid="{00000000-0005-0000-0000-0000D8000000}"/>
    <cellStyle name="20% - Accent1 2 5" xfId="613" xr:uid="{00000000-0005-0000-0000-0000D9000000}"/>
    <cellStyle name="20% - Accent1 2 5 10" xfId="614" xr:uid="{00000000-0005-0000-0000-0000DA000000}"/>
    <cellStyle name="20% - Accent1 2 5 11" xfId="615" xr:uid="{00000000-0005-0000-0000-0000DB000000}"/>
    <cellStyle name="20% - Accent1 2 5 2" xfId="616" xr:uid="{00000000-0005-0000-0000-0000DC000000}"/>
    <cellStyle name="20% - Accent1 2 5 2 2" xfId="617" xr:uid="{00000000-0005-0000-0000-0000DD000000}"/>
    <cellStyle name="20% - Accent1 2 5 2 2 2" xfId="618" xr:uid="{00000000-0005-0000-0000-0000DE000000}"/>
    <cellStyle name="20% - Accent1 2 5 2 2 2 2" xfId="619" xr:uid="{00000000-0005-0000-0000-0000DF000000}"/>
    <cellStyle name="20% - Accent1 2 5 2 2 2 3" xfId="620" xr:uid="{00000000-0005-0000-0000-0000E0000000}"/>
    <cellStyle name="20% - Accent1 2 5 2 2 3" xfId="621" xr:uid="{00000000-0005-0000-0000-0000E1000000}"/>
    <cellStyle name="20% - Accent1 2 5 2 2 3 2" xfId="622" xr:uid="{00000000-0005-0000-0000-0000E2000000}"/>
    <cellStyle name="20% - Accent1 2 5 2 2 3 3" xfId="623" xr:uid="{00000000-0005-0000-0000-0000E3000000}"/>
    <cellStyle name="20% - Accent1 2 5 2 2 4" xfId="624" xr:uid="{00000000-0005-0000-0000-0000E4000000}"/>
    <cellStyle name="20% - Accent1 2 5 2 2 5" xfId="625" xr:uid="{00000000-0005-0000-0000-0000E5000000}"/>
    <cellStyle name="20% - Accent1 2 5 2 2 6" xfId="626" xr:uid="{00000000-0005-0000-0000-0000E6000000}"/>
    <cellStyle name="20% - Accent1 2 5 2 2 7" xfId="627" xr:uid="{00000000-0005-0000-0000-0000E7000000}"/>
    <cellStyle name="20% - Accent1 2 5 2 2 8" xfId="628" xr:uid="{00000000-0005-0000-0000-0000E8000000}"/>
    <cellStyle name="20% - Accent1 2 5 2 3" xfId="629" xr:uid="{00000000-0005-0000-0000-0000E9000000}"/>
    <cellStyle name="20% - Accent1 2 5 2 3 2" xfId="630" xr:uid="{00000000-0005-0000-0000-0000EA000000}"/>
    <cellStyle name="20% - Accent1 2 5 2 3 2 2" xfId="631" xr:uid="{00000000-0005-0000-0000-0000EB000000}"/>
    <cellStyle name="20% - Accent1 2 5 2 3 2 3" xfId="632" xr:uid="{00000000-0005-0000-0000-0000EC000000}"/>
    <cellStyle name="20% - Accent1 2 5 2 3 3" xfId="633" xr:uid="{00000000-0005-0000-0000-0000ED000000}"/>
    <cellStyle name="20% - Accent1 2 5 2 3 3 2" xfId="634" xr:uid="{00000000-0005-0000-0000-0000EE000000}"/>
    <cellStyle name="20% - Accent1 2 5 2 3 4" xfId="635" xr:uid="{00000000-0005-0000-0000-0000EF000000}"/>
    <cellStyle name="20% - Accent1 2 5 2 4" xfId="636" xr:uid="{00000000-0005-0000-0000-0000F0000000}"/>
    <cellStyle name="20% - Accent1 2 5 2 4 2" xfId="637" xr:uid="{00000000-0005-0000-0000-0000F1000000}"/>
    <cellStyle name="20% - Accent1 2 5 2 4 3" xfId="638" xr:uid="{00000000-0005-0000-0000-0000F2000000}"/>
    <cellStyle name="20% - Accent1 2 5 2 5" xfId="639" xr:uid="{00000000-0005-0000-0000-0000F3000000}"/>
    <cellStyle name="20% - Accent1 2 5 2 6" xfId="640" xr:uid="{00000000-0005-0000-0000-0000F4000000}"/>
    <cellStyle name="20% - Accent1 2 5 2 6 2" xfId="641" xr:uid="{00000000-0005-0000-0000-0000F5000000}"/>
    <cellStyle name="20% - Accent1 2 5 2 7" xfId="642" xr:uid="{00000000-0005-0000-0000-0000F6000000}"/>
    <cellStyle name="20% - Accent1 2 5 2 8" xfId="643" xr:uid="{00000000-0005-0000-0000-0000F7000000}"/>
    <cellStyle name="20% - Accent1 2 5 2 9" xfId="644" xr:uid="{00000000-0005-0000-0000-0000F8000000}"/>
    <cellStyle name="20% - Accent1 2 5 3" xfId="645" xr:uid="{00000000-0005-0000-0000-0000F9000000}"/>
    <cellStyle name="20% - Accent1 2 5 3 2" xfId="646" xr:uid="{00000000-0005-0000-0000-0000FA000000}"/>
    <cellStyle name="20% - Accent1 2 5 3 2 2" xfId="647" xr:uid="{00000000-0005-0000-0000-0000FB000000}"/>
    <cellStyle name="20% - Accent1 2 5 3 2 3" xfId="648" xr:uid="{00000000-0005-0000-0000-0000FC000000}"/>
    <cellStyle name="20% - Accent1 2 5 3 3" xfId="649" xr:uid="{00000000-0005-0000-0000-0000FD000000}"/>
    <cellStyle name="20% - Accent1 2 5 3 3 2" xfId="650" xr:uid="{00000000-0005-0000-0000-0000FE000000}"/>
    <cellStyle name="20% - Accent1 2 5 3 3 3" xfId="651" xr:uid="{00000000-0005-0000-0000-0000FF000000}"/>
    <cellStyle name="20% - Accent1 2 5 3 4" xfId="652" xr:uid="{00000000-0005-0000-0000-000000010000}"/>
    <cellStyle name="20% - Accent1 2 5 3 5" xfId="653" xr:uid="{00000000-0005-0000-0000-000001010000}"/>
    <cellStyle name="20% - Accent1 2 5 3 6" xfId="654" xr:uid="{00000000-0005-0000-0000-000002010000}"/>
    <cellStyle name="20% - Accent1 2 5 3 7" xfId="655" xr:uid="{00000000-0005-0000-0000-000003010000}"/>
    <cellStyle name="20% - Accent1 2 5 3 8" xfId="656" xr:uid="{00000000-0005-0000-0000-000004010000}"/>
    <cellStyle name="20% - Accent1 2 5 4" xfId="657" xr:uid="{00000000-0005-0000-0000-000005010000}"/>
    <cellStyle name="20% - Accent1 2 5 4 2" xfId="658" xr:uid="{00000000-0005-0000-0000-000006010000}"/>
    <cellStyle name="20% - Accent1 2 5 4 2 2" xfId="659" xr:uid="{00000000-0005-0000-0000-000007010000}"/>
    <cellStyle name="20% - Accent1 2 5 4 2 3" xfId="660" xr:uid="{00000000-0005-0000-0000-000008010000}"/>
    <cellStyle name="20% - Accent1 2 5 4 3" xfId="661" xr:uid="{00000000-0005-0000-0000-000009010000}"/>
    <cellStyle name="20% - Accent1 2 5 4 3 2" xfId="662" xr:uid="{00000000-0005-0000-0000-00000A010000}"/>
    <cellStyle name="20% - Accent1 2 5 4 4" xfId="663" xr:uid="{00000000-0005-0000-0000-00000B010000}"/>
    <cellStyle name="20% - Accent1 2 5 5" xfId="664" xr:uid="{00000000-0005-0000-0000-00000C010000}"/>
    <cellStyle name="20% - Accent1 2 5 5 2" xfId="665" xr:uid="{00000000-0005-0000-0000-00000D010000}"/>
    <cellStyle name="20% - Accent1 2 5 5 3" xfId="666" xr:uid="{00000000-0005-0000-0000-00000E010000}"/>
    <cellStyle name="20% - Accent1 2 5 6" xfId="667" xr:uid="{00000000-0005-0000-0000-00000F010000}"/>
    <cellStyle name="20% - Accent1 2 5 6 2" xfId="668" xr:uid="{00000000-0005-0000-0000-000010010000}"/>
    <cellStyle name="20% - Accent1 2 5 6 3" xfId="669" xr:uid="{00000000-0005-0000-0000-000011010000}"/>
    <cellStyle name="20% - Accent1 2 5 7" xfId="670" xr:uid="{00000000-0005-0000-0000-000012010000}"/>
    <cellStyle name="20% - Accent1 2 5 7 2" xfId="671" xr:uid="{00000000-0005-0000-0000-000013010000}"/>
    <cellStyle name="20% - Accent1 2 5 8" xfId="672" xr:uid="{00000000-0005-0000-0000-000014010000}"/>
    <cellStyle name="20% - Accent1 2 5 9" xfId="673" xr:uid="{00000000-0005-0000-0000-000015010000}"/>
    <cellStyle name="20% - Accent1 2 6" xfId="674" xr:uid="{00000000-0005-0000-0000-000016010000}"/>
    <cellStyle name="20% - Accent1 2 6 10" xfId="675" xr:uid="{00000000-0005-0000-0000-000017010000}"/>
    <cellStyle name="20% - Accent1 2 6 11" xfId="676" xr:uid="{00000000-0005-0000-0000-000018010000}"/>
    <cellStyle name="20% - Accent1 2 6 2" xfId="677" xr:uid="{00000000-0005-0000-0000-000019010000}"/>
    <cellStyle name="20% - Accent1 2 6 2 2" xfId="678" xr:uid="{00000000-0005-0000-0000-00001A010000}"/>
    <cellStyle name="20% - Accent1 2 6 2 2 2" xfId="679" xr:uid="{00000000-0005-0000-0000-00001B010000}"/>
    <cellStyle name="20% - Accent1 2 6 2 2 2 2" xfId="680" xr:uid="{00000000-0005-0000-0000-00001C010000}"/>
    <cellStyle name="20% - Accent1 2 6 2 2 2 3" xfId="681" xr:uid="{00000000-0005-0000-0000-00001D010000}"/>
    <cellStyle name="20% - Accent1 2 6 2 2 3" xfId="682" xr:uid="{00000000-0005-0000-0000-00001E010000}"/>
    <cellStyle name="20% - Accent1 2 6 2 2 3 2" xfId="683" xr:uid="{00000000-0005-0000-0000-00001F010000}"/>
    <cellStyle name="20% - Accent1 2 6 2 2 3 3" xfId="684" xr:uid="{00000000-0005-0000-0000-000020010000}"/>
    <cellStyle name="20% - Accent1 2 6 2 2 4" xfId="685" xr:uid="{00000000-0005-0000-0000-000021010000}"/>
    <cellStyle name="20% - Accent1 2 6 2 2 5" xfId="686" xr:uid="{00000000-0005-0000-0000-000022010000}"/>
    <cellStyle name="20% - Accent1 2 6 2 2 6" xfId="687" xr:uid="{00000000-0005-0000-0000-000023010000}"/>
    <cellStyle name="20% - Accent1 2 6 2 2 7" xfId="688" xr:uid="{00000000-0005-0000-0000-000024010000}"/>
    <cellStyle name="20% - Accent1 2 6 2 2 8" xfId="689" xr:uid="{00000000-0005-0000-0000-000025010000}"/>
    <cellStyle name="20% - Accent1 2 6 2 3" xfId="690" xr:uid="{00000000-0005-0000-0000-000026010000}"/>
    <cellStyle name="20% - Accent1 2 6 2 3 2" xfId="691" xr:uid="{00000000-0005-0000-0000-000027010000}"/>
    <cellStyle name="20% - Accent1 2 6 2 3 2 2" xfId="692" xr:uid="{00000000-0005-0000-0000-000028010000}"/>
    <cellStyle name="20% - Accent1 2 6 2 3 2 3" xfId="693" xr:uid="{00000000-0005-0000-0000-000029010000}"/>
    <cellStyle name="20% - Accent1 2 6 2 3 3" xfId="694" xr:uid="{00000000-0005-0000-0000-00002A010000}"/>
    <cellStyle name="20% - Accent1 2 6 2 3 3 2" xfId="695" xr:uid="{00000000-0005-0000-0000-00002B010000}"/>
    <cellStyle name="20% - Accent1 2 6 2 3 4" xfId="696" xr:uid="{00000000-0005-0000-0000-00002C010000}"/>
    <cellStyle name="20% - Accent1 2 6 2 4" xfId="697" xr:uid="{00000000-0005-0000-0000-00002D010000}"/>
    <cellStyle name="20% - Accent1 2 6 2 4 2" xfId="698" xr:uid="{00000000-0005-0000-0000-00002E010000}"/>
    <cellStyle name="20% - Accent1 2 6 2 4 3" xfId="699" xr:uid="{00000000-0005-0000-0000-00002F010000}"/>
    <cellStyle name="20% - Accent1 2 6 2 5" xfId="700" xr:uid="{00000000-0005-0000-0000-000030010000}"/>
    <cellStyle name="20% - Accent1 2 6 2 6" xfId="701" xr:uid="{00000000-0005-0000-0000-000031010000}"/>
    <cellStyle name="20% - Accent1 2 6 2 6 2" xfId="702" xr:uid="{00000000-0005-0000-0000-000032010000}"/>
    <cellStyle name="20% - Accent1 2 6 2 7" xfId="703" xr:uid="{00000000-0005-0000-0000-000033010000}"/>
    <cellStyle name="20% - Accent1 2 6 2 8" xfId="704" xr:uid="{00000000-0005-0000-0000-000034010000}"/>
    <cellStyle name="20% - Accent1 2 6 2 9" xfId="705" xr:uid="{00000000-0005-0000-0000-000035010000}"/>
    <cellStyle name="20% - Accent1 2 6 3" xfId="706" xr:uid="{00000000-0005-0000-0000-000036010000}"/>
    <cellStyle name="20% - Accent1 2 6 3 2" xfId="707" xr:uid="{00000000-0005-0000-0000-000037010000}"/>
    <cellStyle name="20% - Accent1 2 6 3 2 2" xfId="708" xr:uid="{00000000-0005-0000-0000-000038010000}"/>
    <cellStyle name="20% - Accent1 2 6 3 2 3" xfId="709" xr:uid="{00000000-0005-0000-0000-000039010000}"/>
    <cellStyle name="20% - Accent1 2 6 3 3" xfId="710" xr:uid="{00000000-0005-0000-0000-00003A010000}"/>
    <cellStyle name="20% - Accent1 2 6 3 3 2" xfId="711" xr:uid="{00000000-0005-0000-0000-00003B010000}"/>
    <cellStyle name="20% - Accent1 2 6 3 3 3" xfId="712" xr:uid="{00000000-0005-0000-0000-00003C010000}"/>
    <cellStyle name="20% - Accent1 2 6 3 4" xfId="713" xr:uid="{00000000-0005-0000-0000-00003D010000}"/>
    <cellStyle name="20% - Accent1 2 6 3 5" xfId="714" xr:uid="{00000000-0005-0000-0000-00003E010000}"/>
    <cellStyle name="20% - Accent1 2 6 3 6" xfId="715" xr:uid="{00000000-0005-0000-0000-00003F010000}"/>
    <cellStyle name="20% - Accent1 2 6 3 7" xfId="716" xr:uid="{00000000-0005-0000-0000-000040010000}"/>
    <cellStyle name="20% - Accent1 2 6 3 8" xfId="717" xr:uid="{00000000-0005-0000-0000-000041010000}"/>
    <cellStyle name="20% - Accent1 2 6 4" xfId="718" xr:uid="{00000000-0005-0000-0000-000042010000}"/>
    <cellStyle name="20% - Accent1 2 6 4 2" xfId="719" xr:uid="{00000000-0005-0000-0000-000043010000}"/>
    <cellStyle name="20% - Accent1 2 6 4 2 2" xfId="720" xr:uid="{00000000-0005-0000-0000-000044010000}"/>
    <cellStyle name="20% - Accent1 2 6 4 2 3" xfId="721" xr:uid="{00000000-0005-0000-0000-000045010000}"/>
    <cellStyle name="20% - Accent1 2 6 4 3" xfId="722" xr:uid="{00000000-0005-0000-0000-000046010000}"/>
    <cellStyle name="20% - Accent1 2 6 4 3 2" xfId="723" xr:uid="{00000000-0005-0000-0000-000047010000}"/>
    <cellStyle name="20% - Accent1 2 6 4 4" xfId="724" xr:uid="{00000000-0005-0000-0000-000048010000}"/>
    <cellStyle name="20% - Accent1 2 6 5" xfId="725" xr:uid="{00000000-0005-0000-0000-000049010000}"/>
    <cellStyle name="20% - Accent1 2 6 5 2" xfId="726" xr:uid="{00000000-0005-0000-0000-00004A010000}"/>
    <cellStyle name="20% - Accent1 2 6 5 3" xfId="727" xr:uid="{00000000-0005-0000-0000-00004B010000}"/>
    <cellStyle name="20% - Accent1 2 6 6" xfId="728" xr:uid="{00000000-0005-0000-0000-00004C010000}"/>
    <cellStyle name="20% - Accent1 2 6 6 2" xfId="729" xr:uid="{00000000-0005-0000-0000-00004D010000}"/>
    <cellStyle name="20% - Accent1 2 6 6 3" xfId="730" xr:uid="{00000000-0005-0000-0000-00004E010000}"/>
    <cellStyle name="20% - Accent1 2 6 7" xfId="731" xr:uid="{00000000-0005-0000-0000-00004F010000}"/>
    <cellStyle name="20% - Accent1 2 6 7 2" xfId="732" xr:uid="{00000000-0005-0000-0000-000050010000}"/>
    <cellStyle name="20% - Accent1 2 6 8" xfId="733" xr:uid="{00000000-0005-0000-0000-000051010000}"/>
    <cellStyle name="20% - Accent1 2 6 9" xfId="734" xr:uid="{00000000-0005-0000-0000-000052010000}"/>
    <cellStyle name="20% - Accent1 2 7" xfId="735" xr:uid="{00000000-0005-0000-0000-000053010000}"/>
    <cellStyle name="20% - Accent1 2 7 2" xfId="736" xr:uid="{00000000-0005-0000-0000-000054010000}"/>
    <cellStyle name="20% - Accent1 2 7 2 2" xfId="737" xr:uid="{00000000-0005-0000-0000-000055010000}"/>
    <cellStyle name="20% - Accent1 2 7 2 3" xfId="738" xr:uid="{00000000-0005-0000-0000-000056010000}"/>
    <cellStyle name="20% - Accent1 2 7 3" xfId="739" xr:uid="{00000000-0005-0000-0000-000057010000}"/>
    <cellStyle name="20% - Accent1 2 7 3 2" xfId="740" xr:uid="{00000000-0005-0000-0000-000058010000}"/>
    <cellStyle name="20% - Accent1 2 7 4" xfId="741" xr:uid="{00000000-0005-0000-0000-000059010000}"/>
    <cellStyle name="20% - Accent1 2 8" xfId="742" xr:uid="{00000000-0005-0000-0000-00005A010000}"/>
    <cellStyle name="20% - Accent1 2 8 2" xfId="743" xr:uid="{00000000-0005-0000-0000-00005B010000}"/>
    <cellStyle name="20% - Accent1 2 8 3" xfId="744" xr:uid="{00000000-0005-0000-0000-00005C010000}"/>
    <cellStyle name="20% - Accent1 2 9" xfId="745" xr:uid="{00000000-0005-0000-0000-00005D010000}"/>
    <cellStyle name="20% - Accent1 2 9 2" xfId="746" xr:uid="{00000000-0005-0000-0000-00005E010000}"/>
    <cellStyle name="20% - Accent1 2 9 3" xfId="747" xr:uid="{00000000-0005-0000-0000-00005F010000}"/>
    <cellStyle name="20% - Accent1 2_Dec monthly report" xfId="748" xr:uid="{00000000-0005-0000-0000-000060010000}"/>
    <cellStyle name="20% - Accent1 20" xfId="749" xr:uid="{00000000-0005-0000-0000-000061010000}"/>
    <cellStyle name="20% - Accent1 20 2" xfId="750" xr:uid="{00000000-0005-0000-0000-000062010000}"/>
    <cellStyle name="20% - Accent1 20 3" xfId="751" xr:uid="{00000000-0005-0000-0000-000063010000}"/>
    <cellStyle name="20% - Accent1 21" xfId="752" xr:uid="{00000000-0005-0000-0000-000064010000}"/>
    <cellStyle name="20% - Accent1 21 2" xfId="753" xr:uid="{00000000-0005-0000-0000-000065010000}"/>
    <cellStyle name="20% - Accent1 21 3" xfId="754" xr:uid="{00000000-0005-0000-0000-000066010000}"/>
    <cellStyle name="20% - Accent1 22" xfId="755" xr:uid="{00000000-0005-0000-0000-000067010000}"/>
    <cellStyle name="20% - Accent1 23" xfId="756" xr:uid="{00000000-0005-0000-0000-000068010000}"/>
    <cellStyle name="20% - Accent1 24" xfId="757" xr:uid="{00000000-0005-0000-0000-000069010000}"/>
    <cellStyle name="20% - Accent1 3" xfId="758" xr:uid="{00000000-0005-0000-0000-00006A010000}"/>
    <cellStyle name="20% - Accent1 3 10" xfId="759" xr:uid="{00000000-0005-0000-0000-00006B010000}"/>
    <cellStyle name="20% - Accent1 3 11" xfId="760" xr:uid="{00000000-0005-0000-0000-00006C010000}"/>
    <cellStyle name="20% - Accent1 3 12" xfId="761" xr:uid="{00000000-0005-0000-0000-00006D010000}"/>
    <cellStyle name="20% - Accent1 3 13" xfId="762" xr:uid="{00000000-0005-0000-0000-00006E010000}"/>
    <cellStyle name="20% - Accent1 3 14" xfId="763" xr:uid="{00000000-0005-0000-0000-00006F010000}"/>
    <cellStyle name="20% - Accent1 3 2" xfId="764" xr:uid="{00000000-0005-0000-0000-000070010000}"/>
    <cellStyle name="20% - Accent1 3 2 2" xfId="765" xr:uid="{00000000-0005-0000-0000-000071010000}"/>
    <cellStyle name="20% - Accent1 3 2 2 10" xfId="766" xr:uid="{00000000-0005-0000-0000-000072010000}"/>
    <cellStyle name="20% - Accent1 3 2 2 2" xfId="767" xr:uid="{00000000-0005-0000-0000-000073010000}"/>
    <cellStyle name="20% - Accent1 3 2 2 2 2" xfId="768" xr:uid="{00000000-0005-0000-0000-000074010000}"/>
    <cellStyle name="20% - Accent1 3 2 2 2 2 2" xfId="769" xr:uid="{00000000-0005-0000-0000-000075010000}"/>
    <cellStyle name="20% - Accent1 3 2 2 2 2 3" xfId="770" xr:uid="{00000000-0005-0000-0000-000076010000}"/>
    <cellStyle name="20% - Accent1 3 2 2 2 3" xfId="771" xr:uid="{00000000-0005-0000-0000-000077010000}"/>
    <cellStyle name="20% - Accent1 3 2 2 2 3 2" xfId="772" xr:uid="{00000000-0005-0000-0000-000078010000}"/>
    <cellStyle name="20% - Accent1 3 2 2 2 3 3" xfId="773" xr:uid="{00000000-0005-0000-0000-000079010000}"/>
    <cellStyle name="20% - Accent1 3 2 2 2 4" xfId="774" xr:uid="{00000000-0005-0000-0000-00007A010000}"/>
    <cellStyle name="20% - Accent1 3 2 2 2 5" xfId="775" xr:uid="{00000000-0005-0000-0000-00007B010000}"/>
    <cellStyle name="20% - Accent1 3 2 2 2 6" xfId="776" xr:uid="{00000000-0005-0000-0000-00007C010000}"/>
    <cellStyle name="20% - Accent1 3 2 2 2 7" xfId="777" xr:uid="{00000000-0005-0000-0000-00007D010000}"/>
    <cellStyle name="20% - Accent1 3 2 2 2 8" xfId="778" xr:uid="{00000000-0005-0000-0000-00007E010000}"/>
    <cellStyle name="20% - Accent1 3 2 2 3" xfId="779" xr:uid="{00000000-0005-0000-0000-00007F010000}"/>
    <cellStyle name="20% - Accent1 3 2 2 3 2" xfId="780" xr:uid="{00000000-0005-0000-0000-000080010000}"/>
    <cellStyle name="20% - Accent1 3 2 2 3 3" xfId="781" xr:uid="{00000000-0005-0000-0000-000081010000}"/>
    <cellStyle name="20% - Accent1 3 2 2 4" xfId="782" xr:uid="{00000000-0005-0000-0000-000082010000}"/>
    <cellStyle name="20% - Accent1 3 2 2 4 2" xfId="783" xr:uid="{00000000-0005-0000-0000-000083010000}"/>
    <cellStyle name="20% - Accent1 3 2 2 4 3" xfId="784" xr:uid="{00000000-0005-0000-0000-000084010000}"/>
    <cellStyle name="20% - Accent1 3 2 2 5" xfId="785" xr:uid="{00000000-0005-0000-0000-000085010000}"/>
    <cellStyle name="20% - Accent1 3 2 2 5 2" xfId="786" xr:uid="{00000000-0005-0000-0000-000086010000}"/>
    <cellStyle name="20% - Accent1 3 2 2 5 3" xfId="787" xr:uid="{00000000-0005-0000-0000-000087010000}"/>
    <cellStyle name="20% - Accent1 3 2 2 6" xfId="788" xr:uid="{00000000-0005-0000-0000-000088010000}"/>
    <cellStyle name="20% - Accent1 3 2 2 7" xfId="789" xr:uid="{00000000-0005-0000-0000-000089010000}"/>
    <cellStyle name="20% - Accent1 3 2 2 8" xfId="790" xr:uid="{00000000-0005-0000-0000-00008A010000}"/>
    <cellStyle name="20% - Accent1 3 2 2 9" xfId="791" xr:uid="{00000000-0005-0000-0000-00008B010000}"/>
    <cellStyle name="20% - Accent1 3 2 3" xfId="792" xr:uid="{00000000-0005-0000-0000-00008C010000}"/>
    <cellStyle name="20% - Accent1 3 2 3 2" xfId="793" xr:uid="{00000000-0005-0000-0000-00008D010000}"/>
    <cellStyle name="20% - Accent1 3 2 3 2 2" xfId="794" xr:uid="{00000000-0005-0000-0000-00008E010000}"/>
    <cellStyle name="20% - Accent1 3 2 3 2 3" xfId="795" xr:uid="{00000000-0005-0000-0000-00008F010000}"/>
    <cellStyle name="20% - Accent1 3 2 3 3" xfId="796" xr:uid="{00000000-0005-0000-0000-000090010000}"/>
    <cellStyle name="20% - Accent1 3 2 3 3 2" xfId="797" xr:uid="{00000000-0005-0000-0000-000091010000}"/>
    <cellStyle name="20% - Accent1 3 2 3 4" xfId="798" xr:uid="{00000000-0005-0000-0000-000092010000}"/>
    <cellStyle name="20% - Accent1 3 2 4" xfId="799" xr:uid="{00000000-0005-0000-0000-000093010000}"/>
    <cellStyle name="20% - Accent1 3 2 4 2" xfId="800" xr:uid="{00000000-0005-0000-0000-000094010000}"/>
    <cellStyle name="20% - Accent1 3 2 4 3" xfId="801" xr:uid="{00000000-0005-0000-0000-000095010000}"/>
    <cellStyle name="20% - Accent1 3 2 5" xfId="802" xr:uid="{00000000-0005-0000-0000-000096010000}"/>
    <cellStyle name="20% - Accent1 3 2 5 2" xfId="803" xr:uid="{00000000-0005-0000-0000-000097010000}"/>
    <cellStyle name="20% - Accent1 3 2 5 3" xfId="804" xr:uid="{00000000-0005-0000-0000-000098010000}"/>
    <cellStyle name="20% - Accent1 3 2 6" xfId="805" xr:uid="{00000000-0005-0000-0000-000099010000}"/>
    <cellStyle name="20% - Accent1 3 2 7" xfId="806" xr:uid="{00000000-0005-0000-0000-00009A010000}"/>
    <cellStyle name="20% - Accent1 3 2 8" xfId="807" xr:uid="{00000000-0005-0000-0000-00009B010000}"/>
    <cellStyle name="20% - Accent1 3 2 9" xfId="808" xr:uid="{00000000-0005-0000-0000-00009C010000}"/>
    <cellStyle name="20% - Accent1 3 3" xfId="809" xr:uid="{00000000-0005-0000-0000-00009D010000}"/>
    <cellStyle name="20% - Accent1 3 3 2" xfId="810" xr:uid="{00000000-0005-0000-0000-00009E010000}"/>
    <cellStyle name="20% - Accent1 3 3 2 2" xfId="811" xr:uid="{00000000-0005-0000-0000-00009F010000}"/>
    <cellStyle name="20% - Accent1 3 3 2 3" xfId="812" xr:uid="{00000000-0005-0000-0000-0000A0010000}"/>
    <cellStyle name="20% - Accent1 3 3 2 3 2" xfId="813" xr:uid="{00000000-0005-0000-0000-0000A1010000}"/>
    <cellStyle name="20% - Accent1 3 3 3" xfId="814" xr:uid="{00000000-0005-0000-0000-0000A2010000}"/>
    <cellStyle name="20% - Accent1 3 3 3 2" xfId="815" xr:uid="{00000000-0005-0000-0000-0000A3010000}"/>
    <cellStyle name="20% - Accent1 3 3 3 3" xfId="816" xr:uid="{00000000-0005-0000-0000-0000A4010000}"/>
    <cellStyle name="20% - Accent1 3 3 4" xfId="817" xr:uid="{00000000-0005-0000-0000-0000A5010000}"/>
    <cellStyle name="20% - Accent1 3 3 4 2" xfId="818" xr:uid="{00000000-0005-0000-0000-0000A6010000}"/>
    <cellStyle name="20% - Accent1 3 3 5" xfId="819" xr:uid="{00000000-0005-0000-0000-0000A7010000}"/>
    <cellStyle name="20% - Accent1 3 3 6" xfId="820" xr:uid="{00000000-0005-0000-0000-0000A8010000}"/>
    <cellStyle name="20% - Accent1 3 3 7" xfId="821" xr:uid="{00000000-0005-0000-0000-0000A9010000}"/>
    <cellStyle name="20% - Accent1 3 3 8" xfId="822" xr:uid="{00000000-0005-0000-0000-0000AA010000}"/>
    <cellStyle name="20% - Accent1 3 4" xfId="823" xr:uid="{00000000-0005-0000-0000-0000AB010000}"/>
    <cellStyle name="20% - Accent1 3 4 2" xfId="824" xr:uid="{00000000-0005-0000-0000-0000AC010000}"/>
    <cellStyle name="20% - Accent1 3 4 2 2" xfId="825" xr:uid="{00000000-0005-0000-0000-0000AD010000}"/>
    <cellStyle name="20% - Accent1 3 4 2 3" xfId="826" xr:uid="{00000000-0005-0000-0000-0000AE010000}"/>
    <cellStyle name="20% - Accent1 3 4 3" xfId="827" xr:uid="{00000000-0005-0000-0000-0000AF010000}"/>
    <cellStyle name="20% - Accent1 3 4 3 2" xfId="828" xr:uid="{00000000-0005-0000-0000-0000B0010000}"/>
    <cellStyle name="20% - Accent1 3 4 3 3" xfId="829" xr:uid="{00000000-0005-0000-0000-0000B1010000}"/>
    <cellStyle name="20% - Accent1 3 4 4" xfId="830" xr:uid="{00000000-0005-0000-0000-0000B2010000}"/>
    <cellStyle name="20% - Accent1 3 4 4 2" xfId="831" xr:uid="{00000000-0005-0000-0000-0000B3010000}"/>
    <cellStyle name="20% - Accent1 3 4 5" xfId="832" xr:uid="{00000000-0005-0000-0000-0000B4010000}"/>
    <cellStyle name="20% - Accent1 3 4 6" xfId="833" xr:uid="{00000000-0005-0000-0000-0000B5010000}"/>
    <cellStyle name="20% - Accent1 3 4 7" xfId="834" xr:uid="{00000000-0005-0000-0000-0000B6010000}"/>
    <cellStyle name="20% - Accent1 3 4 8" xfId="835" xr:uid="{00000000-0005-0000-0000-0000B7010000}"/>
    <cellStyle name="20% - Accent1 3 5" xfId="836" xr:uid="{00000000-0005-0000-0000-0000B8010000}"/>
    <cellStyle name="20% - Accent1 3 5 2" xfId="837" xr:uid="{00000000-0005-0000-0000-0000B9010000}"/>
    <cellStyle name="20% - Accent1 3 5 2 2" xfId="838" xr:uid="{00000000-0005-0000-0000-0000BA010000}"/>
    <cellStyle name="20% - Accent1 3 5 2 3" xfId="839" xr:uid="{00000000-0005-0000-0000-0000BB010000}"/>
    <cellStyle name="20% - Accent1 3 5 3" xfId="840" xr:uid="{00000000-0005-0000-0000-0000BC010000}"/>
    <cellStyle name="20% - Accent1 3 5 3 2" xfId="841" xr:uid="{00000000-0005-0000-0000-0000BD010000}"/>
    <cellStyle name="20% - Accent1 3 5 4" xfId="842" xr:uid="{00000000-0005-0000-0000-0000BE010000}"/>
    <cellStyle name="20% - Accent1 3 5 5" xfId="843" xr:uid="{00000000-0005-0000-0000-0000BF010000}"/>
    <cellStyle name="20% - Accent1 3 5 6" xfId="844" xr:uid="{00000000-0005-0000-0000-0000C0010000}"/>
    <cellStyle name="20% - Accent1 3 5 7" xfId="845" xr:uid="{00000000-0005-0000-0000-0000C1010000}"/>
    <cellStyle name="20% - Accent1 3 5 8" xfId="846" xr:uid="{00000000-0005-0000-0000-0000C2010000}"/>
    <cellStyle name="20% - Accent1 3 6" xfId="847" xr:uid="{00000000-0005-0000-0000-0000C3010000}"/>
    <cellStyle name="20% - Accent1 3 6 2" xfId="848" xr:uid="{00000000-0005-0000-0000-0000C4010000}"/>
    <cellStyle name="20% - Accent1 3 6 3" xfId="849" xr:uid="{00000000-0005-0000-0000-0000C5010000}"/>
    <cellStyle name="20% - Accent1 3 7" xfId="850" xr:uid="{00000000-0005-0000-0000-0000C6010000}"/>
    <cellStyle name="20% - Accent1 3 7 2" xfId="851" xr:uid="{00000000-0005-0000-0000-0000C7010000}"/>
    <cellStyle name="20% - Accent1 3 7 3" xfId="852" xr:uid="{00000000-0005-0000-0000-0000C8010000}"/>
    <cellStyle name="20% - Accent1 3 8" xfId="853" xr:uid="{00000000-0005-0000-0000-0000C9010000}"/>
    <cellStyle name="20% - Accent1 3 8 2" xfId="854" xr:uid="{00000000-0005-0000-0000-0000CA010000}"/>
    <cellStyle name="20% - Accent1 3 8 3" xfId="855" xr:uid="{00000000-0005-0000-0000-0000CB010000}"/>
    <cellStyle name="20% - Accent1 3 9" xfId="856" xr:uid="{00000000-0005-0000-0000-0000CC010000}"/>
    <cellStyle name="20% - Accent1 3 9 2" xfId="857" xr:uid="{00000000-0005-0000-0000-0000CD010000}"/>
    <cellStyle name="20% - Accent1 3 9 3" xfId="858" xr:uid="{00000000-0005-0000-0000-0000CE010000}"/>
    <cellStyle name="20% - Accent1 4" xfId="859" xr:uid="{00000000-0005-0000-0000-0000CF010000}"/>
    <cellStyle name="20% - Accent1 4 10" xfId="860" xr:uid="{00000000-0005-0000-0000-0000D0010000}"/>
    <cellStyle name="20% - Accent1 4 11" xfId="861" xr:uid="{00000000-0005-0000-0000-0000D1010000}"/>
    <cellStyle name="20% - Accent1 4 12" xfId="862" xr:uid="{00000000-0005-0000-0000-0000D2010000}"/>
    <cellStyle name="20% - Accent1 4 13" xfId="863" xr:uid="{00000000-0005-0000-0000-0000D3010000}"/>
    <cellStyle name="20% - Accent1 4 2" xfId="864" xr:uid="{00000000-0005-0000-0000-0000D4010000}"/>
    <cellStyle name="20% - Accent1 4 2 2" xfId="865" xr:uid="{00000000-0005-0000-0000-0000D5010000}"/>
    <cellStyle name="20% - Accent1 4 2 2 2" xfId="866" xr:uid="{00000000-0005-0000-0000-0000D6010000}"/>
    <cellStyle name="20% - Accent1 4 2 2 2 2" xfId="867" xr:uid="{00000000-0005-0000-0000-0000D7010000}"/>
    <cellStyle name="20% - Accent1 4 2 2 2 2 2" xfId="868" xr:uid="{00000000-0005-0000-0000-0000D8010000}"/>
    <cellStyle name="20% - Accent1 4 2 2 2 2 3" xfId="869" xr:uid="{00000000-0005-0000-0000-0000D9010000}"/>
    <cellStyle name="20% - Accent1 4 2 2 2 3" xfId="870" xr:uid="{00000000-0005-0000-0000-0000DA010000}"/>
    <cellStyle name="20% - Accent1 4 2 2 2 3 2" xfId="871" xr:uid="{00000000-0005-0000-0000-0000DB010000}"/>
    <cellStyle name="20% - Accent1 4 2 2 2 3 3" xfId="872" xr:uid="{00000000-0005-0000-0000-0000DC010000}"/>
    <cellStyle name="20% - Accent1 4 2 2 2 4" xfId="873" xr:uid="{00000000-0005-0000-0000-0000DD010000}"/>
    <cellStyle name="20% - Accent1 4 2 2 2 5" xfId="874" xr:uid="{00000000-0005-0000-0000-0000DE010000}"/>
    <cellStyle name="20% - Accent1 4 2 2 2 6" xfId="875" xr:uid="{00000000-0005-0000-0000-0000DF010000}"/>
    <cellStyle name="20% - Accent1 4 2 2 2 7" xfId="876" xr:uid="{00000000-0005-0000-0000-0000E0010000}"/>
    <cellStyle name="20% - Accent1 4 2 2 2 8" xfId="877" xr:uid="{00000000-0005-0000-0000-0000E1010000}"/>
    <cellStyle name="20% - Accent1 4 2 2 3" xfId="878" xr:uid="{00000000-0005-0000-0000-0000E2010000}"/>
    <cellStyle name="20% - Accent1 4 2 2 3 2" xfId="879" xr:uid="{00000000-0005-0000-0000-0000E3010000}"/>
    <cellStyle name="20% - Accent1 4 2 2 3 3" xfId="880" xr:uid="{00000000-0005-0000-0000-0000E4010000}"/>
    <cellStyle name="20% - Accent1 4 2 2 4" xfId="881" xr:uid="{00000000-0005-0000-0000-0000E5010000}"/>
    <cellStyle name="20% - Accent1 4 2 2 4 2" xfId="882" xr:uid="{00000000-0005-0000-0000-0000E6010000}"/>
    <cellStyle name="20% - Accent1 4 2 2 4 3" xfId="883" xr:uid="{00000000-0005-0000-0000-0000E7010000}"/>
    <cellStyle name="20% - Accent1 4 2 2 5" xfId="884" xr:uid="{00000000-0005-0000-0000-0000E8010000}"/>
    <cellStyle name="20% - Accent1 4 2 2 5 2" xfId="885" xr:uid="{00000000-0005-0000-0000-0000E9010000}"/>
    <cellStyle name="20% - Accent1 4 2 2 6" xfId="886" xr:uid="{00000000-0005-0000-0000-0000EA010000}"/>
    <cellStyle name="20% - Accent1 4 2 2 7" xfId="887" xr:uid="{00000000-0005-0000-0000-0000EB010000}"/>
    <cellStyle name="20% - Accent1 4 2 2 8" xfId="888" xr:uid="{00000000-0005-0000-0000-0000EC010000}"/>
    <cellStyle name="20% - Accent1 4 2 2 9" xfId="889" xr:uid="{00000000-0005-0000-0000-0000ED010000}"/>
    <cellStyle name="20% - Accent1 4 2 3" xfId="890" xr:uid="{00000000-0005-0000-0000-0000EE010000}"/>
    <cellStyle name="20% - Accent1 4 2 3 2" xfId="891" xr:uid="{00000000-0005-0000-0000-0000EF010000}"/>
    <cellStyle name="20% - Accent1 4 2 3 2 2" xfId="892" xr:uid="{00000000-0005-0000-0000-0000F0010000}"/>
    <cellStyle name="20% - Accent1 4 2 3 2 3" xfId="893" xr:uid="{00000000-0005-0000-0000-0000F1010000}"/>
    <cellStyle name="20% - Accent1 4 2 3 3" xfId="894" xr:uid="{00000000-0005-0000-0000-0000F2010000}"/>
    <cellStyle name="20% - Accent1 4 2 3 3 2" xfId="895" xr:uid="{00000000-0005-0000-0000-0000F3010000}"/>
    <cellStyle name="20% - Accent1 4 2 3 4" xfId="896" xr:uid="{00000000-0005-0000-0000-0000F4010000}"/>
    <cellStyle name="20% - Accent1 4 2 4" xfId="897" xr:uid="{00000000-0005-0000-0000-0000F5010000}"/>
    <cellStyle name="20% - Accent1 4 2 4 2" xfId="898" xr:uid="{00000000-0005-0000-0000-0000F6010000}"/>
    <cellStyle name="20% - Accent1 4 2 4 3" xfId="899" xr:uid="{00000000-0005-0000-0000-0000F7010000}"/>
    <cellStyle name="20% - Accent1 4 2 5" xfId="900" xr:uid="{00000000-0005-0000-0000-0000F8010000}"/>
    <cellStyle name="20% - Accent1 4 2 5 2" xfId="901" xr:uid="{00000000-0005-0000-0000-0000F9010000}"/>
    <cellStyle name="20% - Accent1 4 2 5 3" xfId="902" xr:uid="{00000000-0005-0000-0000-0000FA010000}"/>
    <cellStyle name="20% - Accent1 4 2 6" xfId="903" xr:uid="{00000000-0005-0000-0000-0000FB010000}"/>
    <cellStyle name="20% - Accent1 4 2 7" xfId="904" xr:uid="{00000000-0005-0000-0000-0000FC010000}"/>
    <cellStyle name="20% - Accent1 4 2 8" xfId="905" xr:uid="{00000000-0005-0000-0000-0000FD010000}"/>
    <cellStyle name="20% - Accent1 4 2 9" xfId="906" xr:uid="{00000000-0005-0000-0000-0000FE010000}"/>
    <cellStyle name="20% - Accent1 4 3" xfId="907" xr:uid="{00000000-0005-0000-0000-0000FF010000}"/>
    <cellStyle name="20% - Accent1 4 3 2" xfId="908" xr:uid="{00000000-0005-0000-0000-000000020000}"/>
    <cellStyle name="20% - Accent1 4 3 2 2" xfId="909" xr:uid="{00000000-0005-0000-0000-000001020000}"/>
    <cellStyle name="20% - Accent1 4 3 2 3" xfId="910" xr:uid="{00000000-0005-0000-0000-000002020000}"/>
    <cellStyle name="20% - Accent1 4 3 3" xfId="911" xr:uid="{00000000-0005-0000-0000-000003020000}"/>
    <cellStyle name="20% - Accent1 4 3 3 2" xfId="912" xr:uid="{00000000-0005-0000-0000-000004020000}"/>
    <cellStyle name="20% - Accent1 4 3 3 3" xfId="913" xr:uid="{00000000-0005-0000-0000-000005020000}"/>
    <cellStyle name="20% - Accent1 4 3 4" xfId="914" xr:uid="{00000000-0005-0000-0000-000006020000}"/>
    <cellStyle name="20% - Accent1 4 3 4 2" xfId="915" xr:uid="{00000000-0005-0000-0000-000007020000}"/>
    <cellStyle name="20% - Accent1 4 3 5" xfId="916" xr:uid="{00000000-0005-0000-0000-000008020000}"/>
    <cellStyle name="20% - Accent1 4 3 6" xfId="917" xr:uid="{00000000-0005-0000-0000-000009020000}"/>
    <cellStyle name="20% - Accent1 4 3 7" xfId="918" xr:uid="{00000000-0005-0000-0000-00000A020000}"/>
    <cellStyle name="20% - Accent1 4 3 8" xfId="919" xr:uid="{00000000-0005-0000-0000-00000B020000}"/>
    <cellStyle name="20% - Accent1 4 4" xfId="920" xr:uid="{00000000-0005-0000-0000-00000C020000}"/>
    <cellStyle name="20% - Accent1 4 4 2" xfId="921" xr:uid="{00000000-0005-0000-0000-00000D020000}"/>
    <cellStyle name="20% - Accent1 4 4 2 2" xfId="922" xr:uid="{00000000-0005-0000-0000-00000E020000}"/>
    <cellStyle name="20% - Accent1 4 4 2 3" xfId="923" xr:uid="{00000000-0005-0000-0000-00000F020000}"/>
    <cellStyle name="20% - Accent1 4 4 3" xfId="924" xr:uid="{00000000-0005-0000-0000-000010020000}"/>
    <cellStyle name="20% - Accent1 4 4 3 2" xfId="925" xr:uid="{00000000-0005-0000-0000-000011020000}"/>
    <cellStyle name="20% - Accent1 4 4 3 3" xfId="926" xr:uid="{00000000-0005-0000-0000-000012020000}"/>
    <cellStyle name="20% - Accent1 4 4 4" xfId="927" xr:uid="{00000000-0005-0000-0000-000013020000}"/>
    <cellStyle name="20% - Accent1 4 4 5" xfId="928" xr:uid="{00000000-0005-0000-0000-000014020000}"/>
    <cellStyle name="20% - Accent1 4 4 6" xfId="929" xr:uid="{00000000-0005-0000-0000-000015020000}"/>
    <cellStyle name="20% - Accent1 4 4 7" xfId="930" xr:uid="{00000000-0005-0000-0000-000016020000}"/>
    <cellStyle name="20% - Accent1 4 4 8" xfId="931" xr:uid="{00000000-0005-0000-0000-000017020000}"/>
    <cellStyle name="20% - Accent1 4 5" xfId="932" xr:uid="{00000000-0005-0000-0000-000018020000}"/>
    <cellStyle name="20% - Accent1 4 5 2" xfId="933" xr:uid="{00000000-0005-0000-0000-000019020000}"/>
    <cellStyle name="20% - Accent1 4 5 2 2" xfId="934" xr:uid="{00000000-0005-0000-0000-00001A020000}"/>
    <cellStyle name="20% - Accent1 4 5 2 3" xfId="935" xr:uid="{00000000-0005-0000-0000-00001B020000}"/>
    <cellStyle name="20% - Accent1 4 5 3" xfId="936" xr:uid="{00000000-0005-0000-0000-00001C020000}"/>
    <cellStyle name="20% - Accent1 4 5 3 2" xfId="937" xr:uid="{00000000-0005-0000-0000-00001D020000}"/>
    <cellStyle name="20% - Accent1 4 5 4" xfId="938" xr:uid="{00000000-0005-0000-0000-00001E020000}"/>
    <cellStyle name="20% - Accent1 4 6" xfId="939" xr:uid="{00000000-0005-0000-0000-00001F020000}"/>
    <cellStyle name="20% - Accent1 4 6 2" xfId="940" xr:uid="{00000000-0005-0000-0000-000020020000}"/>
    <cellStyle name="20% - Accent1 4 6 3" xfId="941" xr:uid="{00000000-0005-0000-0000-000021020000}"/>
    <cellStyle name="20% - Accent1 4 7" xfId="942" xr:uid="{00000000-0005-0000-0000-000022020000}"/>
    <cellStyle name="20% - Accent1 4 7 2" xfId="943" xr:uid="{00000000-0005-0000-0000-000023020000}"/>
    <cellStyle name="20% - Accent1 4 7 3" xfId="944" xr:uid="{00000000-0005-0000-0000-000024020000}"/>
    <cellStyle name="20% - Accent1 4 8" xfId="945" xr:uid="{00000000-0005-0000-0000-000025020000}"/>
    <cellStyle name="20% - Accent1 4 8 2" xfId="946" xr:uid="{00000000-0005-0000-0000-000026020000}"/>
    <cellStyle name="20% - Accent1 4 8 3" xfId="947" xr:uid="{00000000-0005-0000-0000-000027020000}"/>
    <cellStyle name="20% - Accent1 4 9" xfId="948" xr:uid="{00000000-0005-0000-0000-000028020000}"/>
    <cellStyle name="20% - Accent1 5" xfId="949" xr:uid="{00000000-0005-0000-0000-000029020000}"/>
    <cellStyle name="20% - Accent1 5 10" xfId="950" xr:uid="{00000000-0005-0000-0000-00002A020000}"/>
    <cellStyle name="20% - Accent1 5 11" xfId="951" xr:uid="{00000000-0005-0000-0000-00002B020000}"/>
    <cellStyle name="20% - Accent1 5 12" xfId="952" xr:uid="{00000000-0005-0000-0000-00002C020000}"/>
    <cellStyle name="20% - Accent1 5 2" xfId="953" xr:uid="{00000000-0005-0000-0000-00002D020000}"/>
    <cellStyle name="20% - Accent1 5 2 2" xfId="954" xr:uid="{00000000-0005-0000-0000-00002E020000}"/>
    <cellStyle name="20% - Accent1 5 2 2 2" xfId="955" xr:uid="{00000000-0005-0000-0000-00002F020000}"/>
    <cellStyle name="20% - Accent1 5 2 2 2 2" xfId="956" xr:uid="{00000000-0005-0000-0000-000030020000}"/>
    <cellStyle name="20% - Accent1 5 2 2 2 2 2" xfId="957" xr:uid="{00000000-0005-0000-0000-000031020000}"/>
    <cellStyle name="20% - Accent1 5 2 2 2 2 3" xfId="958" xr:uid="{00000000-0005-0000-0000-000032020000}"/>
    <cellStyle name="20% - Accent1 5 2 2 2 3" xfId="959" xr:uid="{00000000-0005-0000-0000-000033020000}"/>
    <cellStyle name="20% - Accent1 5 2 2 2 3 2" xfId="960" xr:uid="{00000000-0005-0000-0000-000034020000}"/>
    <cellStyle name="20% - Accent1 5 2 2 2 3 3" xfId="961" xr:uid="{00000000-0005-0000-0000-000035020000}"/>
    <cellStyle name="20% - Accent1 5 2 2 2 4" xfId="962" xr:uid="{00000000-0005-0000-0000-000036020000}"/>
    <cellStyle name="20% - Accent1 5 2 2 2 5" xfId="963" xr:uid="{00000000-0005-0000-0000-000037020000}"/>
    <cellStyle name="20% - Accent1 5 2 2 2 6" xfId="964" xr:uid="{00000000-0005-0000-0000-000038020000}"/>
    <cellStyle name="20% - Accent1 5 2 2 2 7" xfId="965" xr:uid="{00000000-0005-0000-0000-000039020000}"/>
    <cellStyle name="20% - Accent1 5 2 2 2 8" xfId="966" xr:uid="{00000000-0005-0000-0000-00003A020000}"/>
    <cellStyle name="20% - Accent1 5 2 2 3" xfId="967" xr:uid="{00000000-0005-0000-0000-00003B020000}"/>
    <cellStyle name="20% - Accent1 5 2 2 3 2" xfId="968" xr:uid="{00000000-0005-0000-0000-00003C020000}"/>
    <cellStyle name="20% - Accent1 5 2 2 3 3" xfId="969" xr:uid="{00000000-0005-0000-0000-00003D020000}"/>
    <cellStyle name="20% - Accent1 5 2 2 4" xfId="970" xr:uid="{00000000-0005-0000-0000-00003E020000}"/>
    <cellStyle name="20% - Accent1 5 2 2 4 2" xfId="971" xr:uid="{00000000-0005-0000-0000-00003F020000}"/>
    <cellStyle name="20% - Accent1 5 2 2 4 3" xfId="972" xr:uid="{00000000-0005-0000-0000-000040020000}"/>
    <cellStyle name="20% - Accent1 5 2 2 5" xfId="973" xr:uid="{00000000-0005-0000-0000-000041020000}"/>
    <cellStyle name="20% - Accent1 5 2 2 5 2" xfId="974" xr:uid="{00000000-0005-0000-0000-000042020000}"/>
    <cellStyle name="20% - Accent1 5 2 2 6" xfId="975" xr:uid="{00000000-0005-0000-0000-000043020000}"/>
    <cellStyle name="20% - Accent1 5 2 2 7" xfId="976" xr:uid="{00000000-0005-0000-0000-000044020000}"/>
    <cellStyle name="20% - Accent1 5 2 2 8" xfId="977" xr:uid="{00000000-0005-0000-0000-000045020000}"/>
    <cellStyle name="20% - Accent1 5 2 2 9" xfId="978" xr:uid="{00000000-0005-0000-0000-000046020000}"/>
    <cellStyle name="20% - Accent1 5 2 3" xfId="979" xr:uid="{00000000-0005-0000-0000-000047020000}"/>
    <cellStyle name="20% - Accent1 5 2 3 2" xfId="980" xr:uid="{00000000-0005-0000-0000-000048020000}"/>
    <cellStyle name="20% - Accent1 5 2 3 2 2" xfId="981" xr:uid="{00000000-0005-0000-0000-000049020000}"/>
    <cellStyle name="20% - Accent1 5 2 3 2 3" xfId="982" xr:uid="{00000000-0005-0000-0000-00004A020000}"/>
    <cellStyle name="20% - Accent1 5 2 3 3" xfId="983" xr:uid="{00000000-0005-0000-0000-00004B020000}"/>
    <cellStyle name="20% - Accent1 5 2 3 3 2" xfId="984" xr:uid="{00000000-0005-0000-0000-00004C020000}"/>
    <cellStyle name="20% - Accent1 5 2 3 4" xfId="985" xr:uid="{00000000-0005-0000-0000-00004D020000}"/>
    <cellStyle name="20% - Accent1 5 2 4" xfId="986" xr:uid="{00000000-0005-0000-0000-00004E020000}"/>
    <cellStyle name="20% - Accent1 5 2 5" xfId="987" xr:uid="{00000000-0005-0000-0000-00004F020000}"/>
    <cellStyle name="20% - Accent1 5 2_Dec monthly report" xfId="988" xr:uid="{00000000-0005-0000-0000-000050020000}"/>
    <cellStyle name="20% - Accent1 5 3" xfId="989" xr:uid="{00000000-0005-0000-0000-000051020000}"/>
    <cellStyle name="20% - Accent1 5 3 2" xfId="990" xr:uid="{00000000-0005-0000-0000-000052020000}"/>
    <cellStyle name="20% - Accent1 5 3 2 2" xfId="991" xr:uid="{00000000-0005-0000-0000-000053020000}"/>
    <cellStyle name="20% - Accent1 5 3 2 3" xfId="992" xr:uid="{00000000-0005-0000-0000-000054020000}"/>
    <cellStyle name="20% - Accent1 5 3 3" xfId="993" xr:uid="{00000000-0005-0000-0000-000055020000}"/>
    <cellStyle name="20% - Accent1 5 3 3 2" xfId="994" xr:uid="{00000000-0005-0000-0000-000056020000}"/>
    <cellStyle name="20% - Accent1 5 3 3 3" xfId="995" xr:uid="{00000000-0005-0000-0000-000057020000}"/>
    <cellStyle name="20% - Accent1 5 3 4" xfId="996" xr:uid="{00000000-0005-0000-0000-000058020000}"/>
    <cellStyle name="20% - Accent1 5 3 4 2" xfId="997" xr:uid="{00000000-0005-0000-0000-000059020000}"/>
    <cellStyle name="20% - Accent1 5 3 5" xfId="998" xr:uid="{00000000-0005-0000-0000-00005A020000}"/>
    <cellStyle name="20% - Accent1 5 3 6" xfId="999" xr:uid="{00000000-0005-0000-0000-00005B020000}"/>
    <cellStyle name="20% - Accent1 5 3 7" xfId="1000" xr:uid="{00000000-0005-0000-0000-00005C020000}"/>
    <cellStyle name="20% - Accent1 5 3 8" xfId="1001" xr:uid="{00000000-0005-0000-0000-00005D020000}"/>
    <cellStyle name="20% - Accent1 5 4" xfId="1002" xr:uid="{00000000-0005-0000-0000-00005E020000}"/>
    <cellStyle name="20% - Accent1 5 4 2" xfId="1003" xr:uid="{00000000-0005-0000-0000-00005F020000}"/>
    <cellStyle name="20% - Accent1 5 4 2 2" xfId="1004" xr:uid="{00000000-0005-0000-0000-000060020000}"/>
    <cellStyle name="20% - Accent1 5 4 2 3" xfId="1005" xr:uid="{00000000-0005-0000-0000-000061020000}"/>
    <cellStyle name="20% - Accent1 5 4 3" xfId="1006" xr:uid="{00000000-0005-0000-0000-000062020000}"/>
    <cellStyle name="20% - Accent1 5 4 3 2" xfId="1007" xr:uid="{00000000-0005-0000-0000-000063020000}"/>
    <cellStyle name="20% - Accent1 5 4 3 3" xfId="1008" xr:uid="{00000000-0005-0000-0000-000064020000}"/>
    <cellStyle name="20% - Accent1 5 4 4" xfId="1009" xr:uid="{00000000-0005-0000-0000-000065020000}"/>
    <cellStyle name="20% - Accent1 5 4 5" xfId="1010" xr:uid="{00000000-0005-0000-0000-000066020000}"/>
    <cellStyle name="20% - Accent1 5 4 6" xfId="1011" xr:uid="{00000000-0005-0000-0000-000067020000}"/>
    <cellStyle name="20% - Accent1 5 4 7" xfId="1012" xr:uid="{00000000-0005-0000-0000-000068020000}"/>
    <cellStyle name="20% - Accent1 5 4 8" xfId="1013" xr:uid="{00000000-0005-0000-0000-000069020000}"/>
    <cellStyle name="20% - Accent1 5 5" xfId="1014" xr:uid="{00000000-0005-0000-0000-00006A020000}"/>
    <cellStyle name="20% - Accent1 5 5 2" xfId="1015" xr:uid="{00000000-0005-0000-0000-00006B020000}"/>
    <cellStyle name="20% - Accent1 5 5 3" xfId="1016" xr:uid="{00000000-0005-0000-0000-00006C020000}"/>
    <cellStyle name="20% - Accent1 5 6" xfId="1017" xr:uid="{00000000-0005-0000-0000-00006D020000}"/>
    <cellStyle name="20% - Accent1 5 6 2" xfId="1018" xr:uid="{00000000-0005-0000-0000-00006E020000}"/>
    <cellStyle name="20% - Accent1 5 6 3" xfId="1019" xr:uid="{00000000-0005-0000-0000-00006F020000}"/>
    <cellStyle name="20% - Accent1 5 7" xfId="1020" xr:uid="{00000000-0005-0000-0000-000070020000}"/>
    <cellStyle name="20% - Accent1 5 7 2" xfId="1021" xr:uid="{00000000-0005-0000-0000-000071020000}"/>
    <cellStyle name="20% - Accent1 5 7 3" xfId="1022" xr:uid="{00000000-0005-0000-0000-000072020000}"/>
    <cellStyle name="20% - Accent1 5 8" xfId="1023" xr:uid="{00000000-0005-0000-0000-000073020000}"/>
    <cellStyle name="20% - Accent1 5 9" xfId="1024" xr:uid="{00000000-0005-0000-0000-000074020000}"/>
    <cellStyle name="20% - Accent1 6" xfId="1025" xr:uid="{00000000-0005-0000-0000-000075020000}"/>
    <cellStyle name="20% - Accent1 6 2" xfId="1026" xr:uid="{00000000-0005-0000-0000-000076020000}"/>
    <cellStyle name="20% - Accent1 6 2 2" xfId="1027" xr:uid="{00000000-0005-0000-0000-000077020000}"/>
    <cellStyle name="20% - Accent1 6 2 2 2" xfId="1028" xr:uid="{00000000-0005-0000-0000-000078020000}"/>
    <cellStyle name="20% - Accent1 6 2 2 2 2" xfId="1029" xr:uid="{00000000-0005-0000-0000-000079020000}"/>
    <cellStyle name="20% - Accent1 6 2 2 2 3" xfId="1030" xr:uid="{00000000-0005-0000-0000-00007A020000}"/>
    <cellStyle name="20% - Accent1 6 2 2 3" xfId="1031" xr:uid="{00000000-0005-0000-0000-00007B020000}"/>
    <cellStyle name="20% - Accent1 6 2 2 3 2" xfId="1032" xr:uid="{00000000-0005-0000-0000-00007C020000}"/>
    <cellStyle name="20% - Accent1 6 2 2 3 3" xfId="1033" xr:uid="{00000000-0005-0000-0000-00007D020000}"/>
    <cellStyle name="20% - Accent1 6 2 2 4" xfId="1034" xr:uid="{00000000-0005-0000-0000-00007E020000}"/>
    <cellStyle name="20% - Accent1 6 2 2 5" xfId="1035" xr:uid="{00000000-0005-0000-0000-00007F020000}"/>
    <cellStyle name="20% - Accent1 6 2 2 6" xfId="1036" xr:uid="{00000000-0005-0000-0000-000080020000}"/>
    <cellStyle name="20% - Accent1 6 2 2 7" xfId="1037" xr:uid="{00000000-0005-0000-0000-000081020000}"/>
    <cellStyle name="20% - Accent1 6 2 2 8" xfId="1038" xr:uid="{00000000-0005-0000-0000-000082020000}"/>
    <cellStyle name="20% - Accent1 6 2 3" xfId="1039" xr:uid="{00000000-0005-0000-0000-000083020000}"/>
    <cellStyle name="20% - Accent1 6 2 3 2" xfId="1040" xr:uid="{00000000-0005-0000-0000-000084020000}"/>
    <cellStyle name="20% - Accent1 6 2 3 3" xfId="1041" xr:uid="{00000000-0005-0000-0000-000085020000}"/>
    <cellStyle name="20% - Accent1 6 2 4" xfId="1042" xr:uid="{00000000-0005-0000-0000-000086020000}"/>
    <cellStyle name="20% - Accent1 6 2 4 2" xfId="1043" xr:uid="{00000000-0005-0000-0000-000087020000}"/>
    <cellStyle name="20% - Accent1 6 2 4 3" xfId="1044" xr:uid="{00000000-0005-0000-0000-000088020000}"/>
    <cellStyle name="20% - Accent1 6 2 5" xfId="1045" xr:uid="{00000000-0005-0000-0000-000089020000}"/>
    <cellStyle name="20% - Accent1 6 2 5 2" xfId="1046" xr:uid="{00000000-0005-0000-0000-00008A020000}"/>
    <cellStyle name="20% - Accent1 6 2 6" xfId="1047" xr:uid="{00000000-0005-0000-0000-00008B020000}"/>
    <cellStyle name="20% - Accent1 6 2 7" xfId="1048" xr:uid="{00000000-0005-0000-0000-00008C020000}"/>
    <cellStyle name="20% - Accent1 6 2 8" xfId="1049" xr:uid="{00000000-0005-0000-0000-00008D020000}"/>
    <cellStyle name="20% - Accent1 6 2 9" xfId="1050" xr:uid="{00000000-0005-0000-0000-00008E020000}"/>
    <cellStyle name="20% - Accent1 6 3" xfId="1051" xr:uid="{00000000-0005-0000-0000-00008F020000}"/>
    <cellStyle name="20% - Accent1 6 3 2" xfId="1052" xr:uid="{00000000-0005-0000-0000-000090020000}"/>
    <cellStyle name="20% - Accent1 6 3 2 2" xfId="1053" xr:uid="{00000000-0005-0000-0000-000091020000}"/>
    <cellStyle name="20% - Accent1 6 3 2 3" xfId="1054" xr:uid="{00000000-0005-0000-0000-000092020000}"/>
    <cellStyle name="20% - Accent1 6 3 3" xfId="1055" xr:uid="{00000000-0005-0000-0000-000093020000}"/>
    <cellStyle name="20% - Accent1 6 3 3 2" xfId="1056" xr:uid="{00000000-0005-0000-0000-000094020000}"/>
    <cellStyle name="20% - Accent1 6 3 4" xfId="1057" xr:uid="{00000000-0005-0000-0000-000095020000}"/>
    <cellStyle name="20% - Accent1 6 4" xfId="1058" xr:uid="{00000000-0005-0000-0000-000096020000}"/>
    <cellStyle name="20% - Accent1 6 5" xfId="1059" xr:uid="{00000000-0005-0000-0000-000097020000}"/>
    <cellStyle name="20% - Accent1 6_Dec monthly report" xfId="1060" xr:uid="{00000000-0005-0000-0000-000098020000}"/>
    <cellStyle name="20% - Accent1 7" xfId="1061" xr:uid="{00000000-0005-0000-0000-000099020000}"/>
    <cellStyle name="20% - Accent1 7 2" xfId="1062" xr:uid="{00000000-0005-0000-0000-00009A020000}"/>
    <cellStyle name="20% - Accent1 7 3" xfId="1063" xr:uid="{00000000-0005-0000-0000-00009B020000}"/>
    <cellStyle name="20% - Accent1 7 4" xfId="1064" xr:uid="{00000000-0005-0000-0000-00009C020000}"/>
    <cellStyle name="20% - Accent1 8" xfId="1065" xr:uid="{00000000-0005-0000-0000-00009D020000}"/>
    <cellStyle name="20% - Accent1 8 2" xfId="1066" xr:uid="{00000000-0005-0000-0000-00009E020000}"/>
    <cellStyle name="20% - Accent1 8 2 2" xfId="1067" xr:uid="{00000000-0005-0000-0000-00009F020000}"/>
    <cellStyle name="20% - Accent1 8 2 3" xfId="1068" xr:uid="{00000000-0005-0000-0000-0000A0020000}"/>
    <cellStyle name="20% - Accent1 8 2 3 2" xfId="1069" xr:uid="{00000000-0005-0000-0000-0000A1020000}"/>
    <cellStyle name="20% - Accent1 8 3" xfId="1070" xr:uid="{00000000-0005-0000-0000-0000A2020000}"/>
    <cellStyle name="20% - Accent1 8 3 2" xfId="1071" xr:uid="{00000000-0005-0000-0000-0000A3020000}"/>
    <cellStyle name="20% - Accent1 8 3 3" xfId="1072" xr:uid="{00000000-0005-0000-0000-0000A4020000}"/>
    <cellStyle name="20% - Accent1 8 4" xfId="1073" xr:uid="{00000000-0005-0000-0000-0000A5020000}"/>
    <cellStyle name="20% - Accent1 8 4 2" xfId="1074" xr:uid="{00000000-0005-0000-0000-0000A6020000}"/>
    <cellStyle name="20% - Accent1 8 5" xfId="1075" xr:uid="{00000000-0005-0000-0000-0000A7020000}"/>
    <cellStyle name="20% - Accent1 8 6" xfId="1076" xr:uid="{00000000-0005-0000-0000-0000A8020000}"/>
    <cellStyle name="20% - Accent1 8 7" xfId="1077" xr:uid="{00000000-0005-0000-0000-0000A9020000}"/>
    <cellStyle name="20% - Accent1 8 8" xfId="1078" xr:uid="{00000000-0005-0000-0000-0000AA020000}"/>
    <cellStyle name="20% - Accent1 9" xfId="1079" xr:uid="{00000000-0005-0000-0000-0000AB020000}"/>
    <cellStyle name="20% - Accent1 9 2" xfId="1080" xr:uid="{00000000-0005-0000-0000-0000AC020000}"/>
    <cellStyle name="20% - Accent1 9 2 2" xfId="1081" xr:uid="{00000000-0005-0000-0000-0000AD020000}"/>
    <cellStyle name="20% - Accent1 9 2 3" xfId="1082" xr:uid="{00000000-0005-0000-0000-0000AE020000}"/>
    <cellStyle name="20% - Accent1 9 3" xfId="1083" xr:uid="{00000000-0005-0000-0000-0000AF020000}"/>
    <cellStyle name="20% - Accent1 9 3 2" xfId="1084" xr:uid="{00000000-0005-0000-0000-0000B0020000}"/>
    <cellStyle name="20% - Accent1 9 3 3" xfId="1085" xr:uid="{00000000-0005-0000-0000-0000B1020000}"/>
    <cellStyle name="20% - Accent1 9 4" xfId="1086" xr:uid="{00000000-0005-0000-0000-0000B2020000}"/>
    <cellStyle name="20% - Accent1 9 4 2" xfId="1087" xr:uid="{00000000-0005-0000-0000-0000B3020000}"/>
    <cellStyle name="20% - Accent1 9 5" xfId="1088" xr:uid="{00000000-0005-0000-0000-0000B4020000}"/>
    <cellStyle name="20% - Accent1 9 6" xfId="1089" xr:uid="{00000000-0005-0000-0000-0000B5020000}"/>
    <cellStyle name="20% - Accent1 9 7" xfId="1090" xr:uid="{00000000-0005-0000-0000-0000B6020000}"/>
    <cellStyle name="20% - Accent1 9 8" xfId="1091" xr:uid="{00000000-0005-0000-0000-0000B7020000}"/>
    <cellStyle name="20% - Accent2 10" xfId="1092" xr:uid="{00000000-0005-0000-0000-0000B8020000}"/>
    <cellStyle name="20% - Accent2 10 2" xfId="1093" xr:uid="{00000000-0005-0000-0000-0000B9020000}"/>
    <cellStyle name="20% - Accent2 10 2 2" xfId="1094" xr:uid="{00000000-0005-0000-0000-0000BA020000}"/>
    <cellStyle name="20% - Accent2 10 2 3" xfId="1095" xr:uid="{00000000-0005-0000-0000-0000BB020000}"/>
    <cellStyle name="20% - Accent2 10 3" xfId="1096" xr:uid="{00000000-0005-0000-0000-0000BC020000}"/>
    <cellStyle name="20% - Accent2 10 4" xfId="1097" xr:uid="{00000000-0005-0000-0000-0000BD020000}"/>
    <cellStyle name="20% - Accent2 10 4 2" xfId="1098" xr:uid="{00000000-0005-0000-0000-0000BE020000}"/>
    <cellStyle name="20% - Accent2 10 5" xfId="1099" xr:uid="{00000000-0005-0000-0000-0000BF020000}"/>
    <cellStyle name="20% - Accent2 11" xfId="1100" xr:uid="{00000000-0005-0000-0000-0000C0020000}"/>
    <cellStyle name="20% - Accent2 11 2" xfId="1101" xr:uid="{00000000-0005-0000-0000-0000C1020000}"/>
    <cellStyle name="20% - Accent2 11 3" xfId="1102" xr:uid="{00000000-0005-0000-0000-0000C2020000}"/>
    <cellStyle name="20% - Accent2 11 3 2" xfId="1103" xr:uid="{00000000-0005-0000-0000-0000C3020000}"/>
    <cellStyle name="20% - Accent2 12" xfId="1104" xr:uid="{00000000-0005-0000-0000-0000C4020000}"/>
    <cellStyle name="20% - Accent2 12 2" xfId="1105" xr:uid="{00000000-0005-0000-0000-0000C5020000}"/>
    <cellStyle name="20% - Accent2 12 3" xfId="1106" xr:uid="{00000000-0005-0000-0000-0000C6020000}"/>
    <cellStyle name="20% - Accent2 13" xfId="1107" xr:uid="{00000000-0005-0000-0000-0000C7020000}"/>
    <cellStyle name="20% - Accent2 13 2" xfId="1108" xr:uid="{00000000-0005-0000-0000-0000C8020000}"/>
    <cellStyle name="20% - Accent2 13 3" xfId="1109" xr:uid="{00000000-0005-0000-0000-0000C9020000}"/>
    <cellStyle name="20% - Accent2 14" xfId="1110" xr:uid="{00000000-0005-0000-0000-0000CA020000}"/>
    <cellStyle name="20% - Accent2 14 2" xfId="1111" xr:uid="{00000000-0005-0000-0000-0000CB020000}"/>
    <cellStyle name="20% - Accent2 14 3" xfId="1112" xr:uid="{00000000-0005-0000-0000-0000CC020000}"/>
    <cellStyle name="20% - Accent2 15" xfId="1113" xr:uid="{00000000-0005-0000-0000-0000CD020000}"/>
    <cellStyle name="20% - Accent2 15 2" xfId="1114" xr:uid="{00000000-0005-0000-0000-0000CE020000}"/>
    <cellStyle name="20% - Accent2 15 3" xfId="1115" xr:uid="{00000000-0005-0000-0000-0000CF020000}"/>
    <cellStyle name="20% - Accent2 16" xfId="1116" xr:uid="{00000000-0005-0000-0000-0000D0020000}"/>
    <cellStyle name="20% - Accent2 16 2" xfId="1117" xr:uid="{00000000-0005-0000-0000-0000D1020000}"/>
    <cellStyle name="20% - Accent2 16 3" xfId="1118" xr:uid="{00000000-0005-0000-0000-0000D2020000}"/>
    <cellStyle name="20% - Accent2 17" xfId="1119" xr:uid="{00000000-0005-0000-0000-0000D3020000}"/>
    <cellStyle name="20% - Accent2 17 2" xfId="1120" xr:uid="{00000000-0005-0000-0000-0000D4020000}"/>
    <cellStyle name="20% - Accent2 17 3" xfId="1121" xr:uid="{00000000-0005-0000-0000-0000D5020000}"/>
    <cellStyle name="20% - Accent2 18" xfId="1122" xr:uid="{00000000-0005-0000-0000-0000D6020000}"/>
    <cellStyle name="20% - Accent2 18 2" xfId="1123" xr:uid="{00000000-0005-0000-0000-0000D7020000}"/>
    <cellStyle name="20% - Accent2 18 3" xfId="1124" xr:uid="{00000000-0005-0000-0000-0000D8020000}"/>
    <cellStyle name="20% - Accent2 19" xfId="1125" xr:uid="{00000000-0005-0000-0000-0000D9020000}"/>
    <cellStyle name="20% - Accent2 19 2" xfId="1126" xr:uid="{00000000-0005-0000-0000-0000DA020000}"/>
    <cellStyle name="20% - Accent2 19 3" xfId="1127" xr:uid="{00000000-0005-0000-0000-0000DB020000}"/>
    <cellStyle name="20% - Accent2 2" xfId="1128" xr:uid="{00000000-0005-0000-0000-0000DC020000}"/>
    <cellStyle name="20% - Accent2 2 10" xfId="1129" xr:uid="{00000000-0005-0000-0000-0000DD020000}"/>
    <cellStyle name="20% - Accent2 2 10 2" xfId="1130" xr:uid="{00000000-0005-0000-0000-0000DE020000}"/>
    <cellStyle name="20% - Accent2 2 10 3" xfId="1131" xr:uid="{00000000-0005-0000-0000-0000DF020000}"/>
    <cellStyle name="20% - Accent2 2 11" xfId="1132" xr:uid="{00000000-0005-0000-0000-0000E0020000}"/>
    <cellStyle name="20% - Accent2 2 11 2" xfId="1133" xr:uid="{00000000-0005-0000-0000-0000E1020000}"/>
    <cellStyle name="20% - Accent2 2 11 3" xfId="1134" xr:uid="{00000000-0005-0000-0000-0000E2020000}"/>
    <cellStyle name="20% - Accent2 2 12" xfId="1135" xr:uid="{00000000-0005-0000-0000-0000E3020000}"/>
    <cellStyle name="20% - Accent2 2 12 2" xfId="1136" xr:uid="{00000000-0005-0000-0000-0000E4020000}"/>
    <cellStyle name="20% - Accent2 2 12 3" xfId="1137" xr:uid="{00000000-0005-0000-0000-0000E5020000}"/>
    <cellStyle name="20% - Accent2 2 13" xfId="1138" xr:uid="{00000000-0005-0000-0000-0000E6020000}"/>
    <cellStyle name="20% - Accent2 2 14" xfId="1139" xr:uid="{00000000-0005-0000-0000-0000E7020000}"/>
    <cellStyle name="20% - Accent2 2 2" xfId="1140" xr:uid="{00000000-0005-0000-0000-0000E8020000}"/>
    <cellStyle name="20% - Accent2 2 2 2" xfId="1141" xr:uid="{00000000-0005-0000-0000-0000E9020000}"/>
    <cellStyle name="20% - Accent2 2 2 2 2" xfId="1142" xr:uid="{00000000-0005-0000-0000-0000EA020000}"/>
    <cellStyle name="20% - Accent2 2 2 2 3" xfId="1143" xr:uid="{00000000-0005-0000-0000-0000EB020000}"/>
    <cellStyle name="20% - Accent2 2 2 2 4" xfId="1144" xr:uid="{00000000-0005-0000-0000-0000EC020000}"/>
    <cellStyle name="20% - Accent2 2 2 3" xfId="1145" xr:uid="{00000000-0005-0000-0000-0000ED020000}"/>
    <cellStyle name="20% - Accent2 2 2 3 2" xfId="1146" xr:uid="{00000000-0005-0000-0000-0000EE020000}"/>
    <cellStyle name="20% - Accent2 2 2 3 3" xfId="1147" xr:uid="{00000000-0005-0000-0000-0000EF020000}"/>
    <cellStyle name="20% - Accent2 2 2 4" xfId="1148" xr:uid="{00000000-0005-0000-0000-0000F0020000}"/>
    <cellStyle name="20% - Accent2 2 2 4 2" xfId="1149" xr:uid="{00000000-0005-0000-0000-0000F1020000}"/>
    <cellStyle name="20% - Accent2 2 2 4 3" xfId="1150" xr:uid="{00000000-0005-0000-0000-0000F2020000}"/>
    <cellStyle name="20% - Accent2 2 2 5" xfId="1151" xr:uid="{00000000-0005-0000-0000-0000F3020000}"/>
    <cellStyle name="20% - Accent2 2 2 6" xfId="1152" xr:uid="{00000000-0005-0000-0000-0000F4020000}"/>
    <cellStyle name="20% - Accent2 2 2 7" xfId="1153" xr:uid="{00000000-0005-0000-0000-0000F5020000}"/>
    <cellStyle name="20% - Accent2 2 2 8" xfId="1154" xr:uid="{00000000-0005-0000-0000-0000F6020000}"/>
    <cellStyle name="20% - Accent2 2 2_Dec monthly report" xfId="1155" xr:uid="{00000000-0005-0000-0000-0000F7020000}"/>
    <cellStyle name="20% - Accent2 2 3" xfId="1156" xr:uid="{00000000-0005-0000-0000-0000F8020000}"/>
    <cellStyle name="20% - Accent2 2 3 10" xfId="1157" xr:uid="{00000000-0005-0000-0000-0000F9020000}"/>
    <cellStyle name="20% - Accent2 2 3 11" xfId="1158" xr:uid="{00000000-0005-0000-0000-0000FA020000}"/>
    <cellStyle name="20% - Accent2 2 3 2" xfId="1159" xr:uid="{00000000-0005-0000-0000-0000FB020000}"/>
    <cellStyle name="20% - Accent2 2 3 2 10" xfId="1160" xr:uid="{00000000-0005-0000-0000-0000FC020000}"/>
    <cellStyle name="20% - Accent2 2 3 2 2" xfId="1161" xr:uid="{00000000-0005-0000-0000-0000FD020000}"/>
    <cellStyle name="20% - Accent2 2 3 2 2 2" xfId="1162" xr:uid="{00000000-0005-0000-0000-0000FE020000}"/>
    <cellStyle name="20% - Accent2 2 3 2 2 2 2" xfId="1163" xr:uid="{00000000-0005-0000-0000-0000FF020000}"/>
    <cellStyle name="20% - Accent2 2 3 2 2 2 3" xfId="1164" xr:uid="{00000000-0005-0000-0000-000000030000}"/>
    <cellStyle name="20% - Accent2 2 3 2 2 3" xfId="1165" xr:uid="{00000000-0005-0000-0000-000001030000}"/>
    <cellStyle name="20% - Accent2 2 3 2 2 3 2" xfId="1166" xr:uid="{00000000-0005-0000-0000-000002030000}"/>
    <cellStyle name="20% - Accent2 2 3 2 2 3 3" xfId="1167" xr:uid="{00000000-0005-0000-0000-000003030000}"/>
    <cellStyle name="20% - Accent2 2 3 2 2 4" xfId="1168" xr:uid="{00000000-0005-0000-0000-000004030000}"/>
    <cellStyle name="20% - Accent2 2 3 2 2 5" xfId="1169" xr:uid="{00000000-0005-0000-0000-000005030000}"/>
    <cellStyle name="20% - Accent2 2 3 2 2 6" xfId="1170" xr:uid="{00000000-0005-0000-0000-000006030000}"/>
    <cellStyle name="20% - Accent2 2 3 2 2 7" xfId="1171" xr:uid="{00000000-0005-0000-0000-000007030000}"/>
    <cellStyle name="20% - Accent2 2 3 2 2 8" xfId="1172" xr:uid="{00000000-0005-0000-0000-000008030000}"/>
    <cellStyle name="20% - Accent2 2 3 2 3" xfId="1173" xr:uid="{00000000-0005-0000-0000-000009030000}"/>
    <cellStyle name="20% - Accent2 2 3 2 3 2" xfId="1174" xr:uid="{00000000-0005-0000-0000-00000A030000}"/>
    <cellStyle name="20% - Accent2 2 3 2 3 2 2" xfId="1175" xr:uid="{00000000-0005-0000-0000-00000B030000}"/>
    <cellStyle name="20% - Accent2 2 3 2 3 2 3" xfId="1176" xr:uid="{00000000-0005-0000-0000-00000C030000}"/>
    <cellStyle name="20% - Accent2 2 3 2 3 3" xfId="1177" xr:uid="{00000000-0005-0000-0000-00000D030000}"/>
    <cellStyle name="20% - Accent2 2 3 2 3 3 2" xfId="1178" xr:uid="{00000000-0005-0000-0000-00000E030000}"/>
    <cellStyle name="20% - Accent2 2 3 2 3 4" xfId="1179" xr:uid="{00000000-0005-0000-0000-00000F030000}"/>
    <cellStyle name="20% - Accent2 2 3 2 4" xfId="1180" xr:uid="{00000000-0005-0000-0000-000010030000}"/>
    <cellStyle name="20% - Accent2 2 3 2 4 2" xfId="1181" xr:uid="{00000000-0005-0000-0000-000011030000}"/>
    <cellStyle name="20% - Accent2 2 3 2 4 3" xfId="1182" xr:uid="{00000000-0005-0000-0000-000012030000}"/>
    <cellStyle name="20% - Accent2 2 3 2 5" xfId="1183" xr:uid="{00000000-0005-0000-0000-000013030000}"/>
    <cellStyle name="20% - Accent2 2 3 2 5 2" xfId="1184" xr:uid="{00000000-0005-0000-0000-000014030000}"/>
    <cellStyle name="20% - Accent2 2 3 2 5 3" xfId="1185" xr:uid="{00000000-0005-0000-0000-000015030000}"/>
    <cellStyle name="20% - Accent2 2 3 2 6" xfId="1186" xr:uid="{00000000-0005-0000-0000-000016030000}"/>
    <cellStyle name="20% - Accent2 2 3 2 6 2" xfId="1187" xr:uid="{00000000-0005-0000-0000-000017030000}"/>
    <cellStyle name="20% - Accent2 2 3 2 7" xfId="1188" xr:uid="{00000000-0005-0000-0000-000018030000}"/>
    <cellStyle name="20% - Accent2 2 3 2 8" xfId="1189" xr:uid="{00000000-0005-0000-0000-000019030000}"/>
    <cellStyle name="20% - Accent2 2 3 2 9" xfId="1190" xr:uid="{00000000-0005-0000-0000-00001A030000}"/>
    <cellStyle name="20% - Accent2 2 3 3" xfId="1191" xr:uid="{00000000-0005-0000-0000-00001B030000}"/>
    <cellStyle name="20% - Accent2 2 3 3 2" xfId="1192" xr:uid="{00000000-0005-0000-0000-00001C030000}"/>
    <cellStyle name="20% - Accent2 2 3 3 2 2" xfId="1193" xr:uid="{00000000-0005-0000-0000-00001D030000}"/>
    <cellStyle name="20% - Accent2 2 3 3 2 3" xfId="1194" xr:uid="{00000000-0005-0000-0000-00001E030000}"/>
    <cellStyle name="20% - Accent2 2 3 3 3" xfId="1195" xr:uid="{00000000-0005-0000-0000-00001F030000}"/>
    <cellStyle name="20% - Accent2 2 3 3 3 2" xfId="1196" xr:uid="{00000000-0005-0000-0000-000020030000}"/>
    <cellStyle name="20% - Accent2 2 3 3 3 3" xfId="1197" xr:uid="{00000000-0005-0000-0000-000021030000}"/>
    <cellStyle name="20% - Accent2 2 3 3 4" xfId="1198" xr:uid="{00000000-0005-0000-0000-000022030000}"/>
    <cellStyle name="20% - Accent2 2 3 3 5" xfId="1199" xr:uid="{00000000-0005-0000-0000-000023030000}"/>
    <cellStyle name="20% - Accent2 2 3 3 6" xfId="1200" xr:uid="{00000000-0005-0000-0000-000024030000}"/>
    <cellStyle name="20% - Accent2 2 3 3 7" xfId="1201" xr:uid="{00000000-0005-0000-0000-000025030000}"/>
    <cellStyle name="20% - Accent2 2 3 3 8" xfId="1202" xr:uid="{00000000-0005-0000-0000-000026030000}"/>
    <cellStyle name="20% - Accent2 2 3 4" xfId="1203" xr:uid="{00000000-0005-0000-0000-000027030000}"/>
    <cellStyle name="20% - Accent2 2 3 4 2" xfId="1204" xr:uid="{00000000-0005-0000-0000-000028030000}"/>
    <cellStyle name="20% - Accent2 2 3 4 2 2" xfId="1205" xr:uid="{00000000-0005-0000-0000-000029030000}"/>
    <cellStyle name="20% - Accent2 2 3 4 2 3" xfId="1206" xr:uid="{00000000-0005-0000-0000-00002A030000}"/>
    <cellStyle name="20% - Accent2 2 3 4 3" xfId="1207" xr:uid="{00000000-0005-0000-0000-00002B030000}"/>
    <cellStyle name="20% - Accent2 2 3 4 3 2" xfId="1208" xr:uid="{00000000-0005-0000-0000-00002C030000}"/>
    <cellStyle name="20% - Accent2 2 3 4 4" xfId="1209" xr:uid="{00000000-0005-0000-0000-00002D030000}"/>
    <cellStyle name="20% - Accent2 2 3 5" xfId="1210" xr:uid="{00000000-0005-0000-0000-00002E030000}"/>
    <cellStyle name="20% - Accent2 2 3 5 2" xfId="1211" xr:uid="{00000000-0005-0000-0000-00002F030000}"/>
    <cellStyle name="20% - Accent2 2 3 5 3" xfId="1212" xr:uid="{00000000-0005-0000-0000-000030030000}"/>
    <cellStyle name="20% - Accent2 2 3 6" xfId="1213" xr:uid="{00000000-0005-0000-0000-000031030000}"/>
    <cellStyle name="20% - Accent2 2 3 6 2" xfId="1214" xr:uid="{00000000-0005-0000-0000-000032030000}"/>
    <cellStyle name="20% - Accent2 2 3 6 3" xfId="1215" xr:uid="{00000000-0005-0000-0000-000033030000}"/>
    <cellStyle name="20% - Accent2 2 3 7" xfId="1216" xr:uid="{00000000-0005-0000-0000-000034030000}"/>
    <cellStyle name="20% - Accent2 2 3 7 2" xfId="1217" xr:uid="{00000000-0005-0000-0000-000035030000}"/>
    <cellStyle name="20% - Accent2 2 3 8" xfId="1218" xr:uid="{00000000-0005-0000-0000-000036030000}"/>
    <cellStyle name="20% - Accent2 2 3 9" xfId="1219" xr:uid="{00000000-0005-0000-0000-000037030000}"/>
    <cellStyle name="20% - Accent2 2 4" xfId="1220" xr:uid="{00000000-0005-0000-0000-000038030000}"/>
    <cellStyle name="20% - Accent2 2 4 10" xfId="1221" xr:uid="{00000000-0005-0000-0000-000039030000}"/>
    <cellStyle name="20% - Accent2 2 4 11" xfId="1222" xr:uid="{00000000-0005-0000-0000-00003A030000}"/>
    <cellStyle name="20% - Accent2 2 4 2" xfId="1223" xr:uid="{00000000-0005-0000-0000-00003B030000}"/>
    <cellStyle name="20% - Accent2 2 4 2 10" xfId="1224" xr:uid="{00000000-0005-0000-0000-00003C030000}"/>
    <cellStyle name="20% - Accent2 2 4 2 2" xfId="1225" xr:uid="{00000000-0005-0000-0000-00003D030000}"/>
    <cellStyle name="20% - Accent2 2 4 2 2 2" xfId="1226" xr:uid="{00000000-0005-0000-0000-00003E030000}"/>
    <cellStyle name="20% - Accent2 2 4 2 2 2 2" xfId="1227" xr:uid="{00000000-0005-0000-0000-00003F030000}"/>
    <cellStyle name="20% - Accent2 2 4 2 2 2 3" xfId="1228" xr:uid="{00000000-0005-0000-0000-000040030000}"/>
    <cellStyle name="20% - Accent2 2 4 2 2 3" xfId="1229" xr:uid="{00000000-0005-0000-0000-000041030000}"/>
    <cellStyle name="20% - Accent2 2 4 2 2 3 2" xfId="1230" xr:uid="{00000000-0005-0000-0000-000042030000}"/>
    <cellStyle name="20% - Accent2 2 4 2 2 3 3" xfId="1231" xr:uid="{00000000-0005-0000-0000-000043030000}"/>
    <cellStyle name="20% - Accent2 2 4 2 2 4" xfId="1232" xr:uid="{00000000-0005-0000-0000-000044030000}"/>
    <cellStyle name="20% - Accent2 2 4 2 2 5" xfId="1233" xr:uid="{00000000-0005-0000-0000-000045030000}"/>
    <cellStyle name="20% - Accent2 2 4 2 2 6" xfId="1234" xr:uid="{00000000-0005-0000-0000-000046030000}"/>
    <cellStyle name="20% - Accent2 2 4 2 2 7" xfId="1235" xr:uid="{00000000-0005-0000-0000-000047030000}"/>
    <cellStyle name="20% - Accent2 2 4 2 2 8" xfId="1236" xr:uid="{00000000-0005-0000-0000-000048030000}"/>
    <cellStyle name="20% - Accent2 2 4 2 3" xfId="1237" xr:uid="{00000000-0005-0000-0000-000049030000}"/>
    <cellStyle name="20% - Accent2 2 4 2 3 2" xfId="1238" xr:uid="{00000000-0005-0000-0000-00004A030000}"/>
    <cellStyle name="20% - Accent2 2 4 2 3 2 2" xfId="1239" xr:uid="{00000000-0005-0000-0000-00004B030000}"/>
    <cellStyle name="20% - Accent2 2 4 2 3 2 3" xfId="1240" xr:uid="{00000000-0005-0000-0000-00004C030000}"/>
    <cellStyle name="20% - Accent2 2 4 2 3 3" xfId="1241" xr:uid="{00000000-0005-0000-0000-00004D030000}"/>
    <cellStyle name="20% - Accent2 2 4 2 3 3 2" xfId="1242" xr:uid="{00000000-0005-0000-0000-00004E030000}"/>
    <cellStyle name="20% - Accent2 2 4 2 3 4" xfId="1243" xr:uid="{00000000-0005-0000-0000-00004F030000}"/>
    <cellStyle name="20% - Accent2 2 4 2 4" xfId="1244" xr:uid="{00000000-0005-0000-0000-000050030000}"/>
    <cellStyle name="20% - Accent2 2 4 2 4 2" xfId="1245" xr:uid="{00000000-0005-0000-0000-000051030000}"/>
    <cellStyle name="20% - Accent2 2 4 2 4 3" xfId="1246" xr:uid="{00000000-0005-0000-0000-000052030000}"/>
    <cellStyle name="20% - Accent2 2 4 2 5" xfId="1247" xr:uid="{00000000-0005-0000-0000-000053030000}"/>
    <cellStyle name="20% - Accent2 2 4 2 5 2" xfId="1248" xr:uid="{00000000-0005-0000-0000-000054030000}"/>
    <cellStyle name="20% - Accent2 2 4 2 5 3" xfId="1249" xr:uid="{00000000-0005-0000-0000-000055030000}"/>
    <cellStyle name="20% - Accent2 2 4 2 6" xfId="1250" xr:uid="{00000000-0005-0000-0000-000056030000}"/>
    <cellStyle name="20% - Accent2 2 4 2 6 2" xfId="1251" xr:uid="{00000000-0005-0000-0000-000057030000}"/>
    <cellStyle name="20% - Accent2 2 4 2 7" xfId="1252" xr:uid="{00000000-0005-0000-0000-000058030000}"/>
    <cellStyle name="20% - Accent2 2 4 2 8" xfId="1253" xr:uid="{00000000-0005-0000-0000-000059030000}"/>
    <cellStyle name="20% - Accent2 2 4 2 9" xfId="1254" xr:uid="{00000000-0005-0000-0000-00005A030000}"/>
    <cellStyle name="20% - Accent2 2 4 3" xfId="1255" xr:uid="{00000000-0005-0000-0000-00005B030000}"/>
    <cellStyle name="20% - Accent2 2 4 3 2" xfId="1256" xr:uid="{00000000-0005-0000-0000-00005C030000}"/>
    <cellStyle name="20% - Accent2 2 4 3 2 2" xfId="1257" xr:uid="{00000000-0005-0000-0000-00005D030000}"/>
    <cellStyle name="20% - Accent2 2 4 3 2 3" xfId="1258" xr:uid="{00000000-0005-0000-0000-00005E030000}"/>
    <cellStyle name="20% - Accent2 2 4 3 3" xfId="1259" xr:uid="{00000000-0005-0000-0000-00005F030000}"/>
    <cellStyle name="20% - Accent2 2 4 3 3 2" xfId="1260" xr:uid="{00000000-0005-0000-0000-000060030000}"/>
    <cellStyle name="20% - Accent2 2 4 3 3 3" xfId="1261" xr:uid="{00000000-0005-0000-0000-000061030000}"/>
    <cellStyle name="20% - Accent2 2 4 3 4" xfId="1262" xr:uid="{00000000-0005-0000-0000-000062030000}"/>
    <cellStyle name="20% - Accent2 2 4 3 5" xfId="1263" xr:uid="{00000000-0005-0000-0000-000063030000}"/>
    <cellStyle name="20% - Accent2 2 4 3 6" xfId="1264" xr:uid="{00000000-0005-0000-0000-000064030000}"/>
    <cellStyle name="20% - Accent2 2 4 3 7" xfId="1265" xr:uid="{00000000-0005-0000-0000-000065030000}"/>
    <cellStyle name="20% - Accent2 2 4 3 8" xfId="1266" xr:uid="{00000000-0005-0000-0000-000066030000}"/>
    <cellStyle name="20% - Accent2 2 4 4" xfId="1267" xr:uid="{00000000-0005-0000-0000-000067030000}"/>
    <cellStyle name="20% - Accent2 2 4 4 2" xfId="1268" xr:uid="{00000000-0005-0000-0000-000068030000}"/>
    <cellStyle name="20% - Accent2 2 4 4 2 2" xfId="1269" xr:uid="{00000000-0005-0000-0000-000069030000}"/>
    <cellStyle name="20% - Accent2 2 4 4 2 3" xfId="1270" xr:uid="{00000000-0005-0000-0000-00006A030000}"/>
    <cellStyle name="20% - Accent2 2 4 4 3" xfId="1271" xr:uid="{00000000-0005-0000-0000-00006B030000}"/>
    <cellStyle name="20% - Accent2 2 4 4 3 2" xfId="1272" xr:uid="{00000000-0005-0000-0000-00006C030000}"/>
    <cellStyle name="20% - Accent2 2 4 4 4" xfId="1273" xr:uid="{00000000-0005-0000-0000-00006D030000}"/>
    <cellStyle name="20% - Accent2 2 4 5" xfId="1274" xr:uid="{00000000-0005-0000-0000-00006E030000}"/>
    <cellStyle name="20% - Accent2 2 4 5 2" xfId="1275" xr:uid="{00000000-0005-0000-0000-00006F030000}"/>
    <cellStyle name="20% - Accent2 2 4 5 3" xfId="1276" xr:uid="{00000000-0005-0000-0000-000070030000}"/>
    <cellStyle name="20% - Accent2 2 4 6" xfId="1277" xr:uid="{00000000-0005-0000-0000-000071030000}"/>
    <cellStyle name="20% - Accent2 2 4 6 2" xfId="1278" xr:uid="{00000000-0005-0000-0000-000072030000}"/>
    <cellStyle name="20% - Accent2 2 4 6 3" xfId="1279" xr:uid="{00000000-0005-0000-0000-000073030000}"/>
    <cellStyle name="20% - Accent2 2 4 7" xfId="1280" xr:uid="{00000000-0005-0000-0000-000074030000}"/>
    <cellStyle name="20% - Accent2 2 4 7 2" xfId="1281" xr:uid="{00000000-0005-0000-0000-000075030000}"/>
    <cellStyle name="20% - Accent2 2 4 8" xfId="1282" xr:uid="{00000000-0005-0000-0000-000076030000}"/>
    <cellStyle name="20% - Accent2 2 4 9" xfId="1283" xr:uid="{00000000-0005-0000-0000-000077030000}"/>
    <cellStyle name="20% - Accent2 2 5" xfId="1284" xr:uid="{00000000-0005-0000-0000-000078030000}"/>
    <cellStyle name="20% - Accent2 2 5 10" xfId="1285" xr:uid="{00000000-0005-0000-0000-000079030000}"/>
    <cellStyle name="20% - Accent2 2 5 11" xfId="1286" xr:uid="{00000000-0005-0000-0000-00007A030000}"/>
    <cellStyle name="20% - Accent2 2 5 2" xfId="1287" xr:uid="{00000000-0005-0000-0000-00007B030000}"/>
    <cellStyle name="20% - Accent2 2 5 2 2" xfId="1288" xr:uid="{00000000-0005-0000-0000-00007C030000}"/>
    <cellStyle name="20% - Accent2 2 5 2 2 2" xfId="1289" xr:uid="{00000000-0005-0000-0000-00007D030000}"/>
    <cellStyle name="20% - Accent2 2 5 2 2 2 2" xfId="1290" xr:uid="{00000000-0005-0000-0000-00007E030000}"/>
    <cellStyle name="20% - Accent2 2 5 2 2 2 3" xfId="1291" xr:uid="{00000000-0005-0000-0000-00007F030000}"/>
    <cellStyle name="20% - Accent2 2 5 2 2 3" xfId="1292" xr:uid="{00000000-0005-0000-0000-000080030000}"/>
    <cellStyle name="20% - Accent2 2 5 2 2 3 2" xfId="1293" xr:uid="{00000000-0005-0000-0000-000081030000}"/>
    <cellStyle name="20% - Accent2 2 5 2 2 3 3" xfId="1294" xr:uid="{00000000-0005-0000-0000-000082030000}"/>
    <cellStyle name="20% - Accent2 2 5 2 2 4" xfId="1295" xr:uid="{00000000-0005-0000-0000-000083030000}"/>
    <cellStyle name="20% - Accent2 2 5 2 2 5" xfId="1296" xr:uid="{00000000-0005-0000-0000-000084030000}"/>
    <cellStyle name="20% - Accent2 2 5 2 2 6" xfId="1297" xr:uid="{00000000-0005-0000-0000-000085030000}"/>
    <cellStyle name="20% - Accent2 2 5 2 2 7" xfId="1298" xr:uid="{00000000-0005-0000-0000-000086030000}"/>
    <cellStyle name="20% - Accent2 2 5 2 2 8" xfId="1299" xr:uid="{00000000-0005-0000-0000-000087030000}"/>
    <cellStyle name="20% - Accent2 2 5 2 3" xfId="1300" xr:uid="{00000000-0005-0000-0000-000088030000}"/>
    <cellStyle name="20% - Accent2 2 5 2 3 2" xfId="1301" xr:uid="{00000000-0005-0000-0000-000089030000}"/>
    <cellStyle name="20% - Accent2 2 5 2 3 2 2" xfId="1302" xr:uid="{00000000-0005-0000-0000-00008A030000}"/>
    <cellStyle name="20% - Accent2 2 5 2 3 2 3" xfId="1303" xr:uid="{00000000-0005-0000-0000-00008B030000}"/>
    <cellStyle name="20% - Accent2 2 5 2 3 3" xfId="1304" xr:uid="{00000000-0005-0000-0000-00008C030000}"/>
    <cellStyle name="20% - Accent2 2 5 2 3 3 2" xfId="1305" xr:uid="{00000000-0005-0000-0000-00008D030000}"/>
    <cellStyle name="20% - Accent2 2 5 2 3 4" xfId="1306" xr:uid="{00000000-0005-0000-0000-00008E030000}"/>
    <cellStyle name="20% - Accent2 2 5 2 4" xfId="1307" xr:uid="{00000000-0005-0000-0000-00008F030000}"/>
    <cellStyle name="20% - Accent2 2 5 2 4 2" xfId="1308" xr:uid="{00000000-0005-0000-0000-000090030000}"/>
    <cellStyle name="20% - Accent2 2 5 2 4 3" xfId="1309" xr:uid="{00000000-0005-0000-0000-000091030000}"/>
    <cellStyle name="20% - Accent2 2 5 2 5" xfId="1310" xr:uid="{00000000-0005-0000-0000-000092030000}"/>
    <cellStyle name="20% - Accent2 2 5 2 6" xfId="1311" xr:uid="{00000000-0005-0000-0000-000093030000}"/>
    <cellStyle name="20% - Accent2 2 5 2 6 2" xfId="1312" xr:uid="{00000000-0005-0000-0000-000094030000}"/>
    <cellStyle name="20% - Accent2 2 5 2 7" xfId="1313" xr:uid="{00000000-0005-0000-0000-000095030000}"/>
    <cellStyle name="20% - Accent2 2 5 2 8" xfId="1314" xr:uid="{00000000-0005-0000-0000-000096030000}"/>
    <cellStyle name="20% - Accent2 2 5 2 9" xfId="1315" xr:uid="{00000000-0005-0000-0000-000097030000}"/>
    <cellStyle name="20% - Accent2 2 5 3" xfId="1316" xr:uid="{00000000-0005-0000-0000-000098030000}"/>
    <cellStyle name="20% - Accent2 2 5 3 2" xfId="1317" xr:uid="{00000000-0005-0000-0000-000099030000}"/>
    <cellStyle name="20% - Accent2 2 5 3 2 2" xfId="1318" xr:uid="{00000000-0005-0000-0000-00009A030000}"/>
    <cellStyle name="20% - Accent2 2 5 3 2 3" xfId="1319" xr:uid="{00000000-0005-0000-0000-00009B030000}"/>
    <cellStyle name="20% - Accent2 2 5 3 3" xfId="1320" xr:uid="{00000000-0005-0000-0000-00009C030000}"/>
    <cellStyle name="20% - Accent2 2 5 3 3 2" xfId="1321" xr:uid="{00000000-0005-0000-0000-00009D030000}"/>
    <cellStyle name="20% - Accent2 2 5 3 3 3" xfId="1322" xr:uid="{00000000-0005-0000-0000-00009E030000}"/>
    <cellStyle name="20% - Accent2 2 5 3 4" xfId="1323" xr:uid="{00000000-0005-0000-0000-00009F030000}"/>
    <cellStyle name="20% - Accent2 2 5 3 5" xfId="1324" xr:uid="{00000000-0005-0000-0000-0000A0030000}"/>
    <cellStyle name="20% - Accent2 2 5 3 6" xfId="1325" xr:uid="{00000000-0005-0000-0000-0000A1030000}"/>
    <cellStyle name="20% - Accent2 2 5 3 7" xfId="1326" xr:uid="{00000000-0005-0000-0000-0000A2030000}"/>
    <cellStyle name="20% - Accent2 2 5 3 8" xfId="1327" xr:uid="{00000000-0005-0000-0000-0000A3030000}"/>
    <cellStyle name="20% - Accent2 2 5 4" xfId="1328" xr:uid="{00000000-0005-0000-0000-0000A4030000}"/>
    <cellStyle name="20% - Accent2 2 5 4 2" xfId="1329" xr:uid="{00000000-0005-0000-0000-0000A5030000}"/>
    <cellStyle name="20% - Accent2 2 5 4 2 2" xfId="1330" xr:uid="{00000000-0005-0000-0000-0000A6030000}"/>
    <cellStyle name="20% - Accent2 2 5 4 2 3" xfId="1331" xr:uid="{00000000-0005-0000-0000-0000A7030000}"/>
    <cellStyle name="20% - Accent2 2 5 4 3" xfId="1332" xr:uid="{00000000-0005-0000-0000-0000A8030000}"/>
    <cellStyle name="20% - Accent2 2 5 4 3 2" xfId="1333" xr:uid="{00000000-0005-0000-0000-0000A9030000}"/>
    <cellStyle name="20% - Accent2 2 5 4 4" xfId="1334" xr:uid="{00000000-0005-0000-0000-0000AA030000}"/>
    <cellStyle name="20% - Accent2 2 5 5" xfId="1335" xr:uid="{00000000-0005-0000-0000-0000AB030000}"/>
    <cellStyle name="20% - Accent2 2 5 5 2" xfId="1336" xr:uid="{00000000-0005-0000-0000-0000AC030000}"/>
    <cellStyle name="20% - Accent2 2 5 5 3" xfId="1337" xr:uid="{00000000-0005-0000-0000-0000AD030000}"/>
    <cellStyle name="20% - Accent2 2 5 6" xfId="1338" xr:uid="{00000000-0005-0000-0000-0000AE030000}"/>
    <cellStyle name="20% - Accent2 2 5 6 2" xfId="1339" xr:uid="{00000000-0005-0000-0000-0000AF030000}"/>
    <cellStyle name="20% - Accent2 2 5 6 3" xfId="1340" xr:uid="{00000000-0005-0000-0000-0000B0030000}"/>
    <cellStyle name="20% - Accent2 2 5 7" xfId="1341" xr:uid="{00000000-0005-0000-0000-0000B1030000}"/>
    <cellStyle name="20% - Accent2 2 5 7 2" xfId="1342" xr:uid="{00000000-0005-0000-0000-0000B2030000}"/>
    <cellStyle name="20% - Accent2 2 5 8" xfId="1343" xr:uid="{00000000-0005-0000-0000-0000B3030000}"/>
    <cellStyle name="20% - Accent2 2 5 9" xfId="1344" xr:uid="{00000000-0005-0000-0000-0000B4030000}"/>
    <cellStyle name="20% - Accent2 2 6" xfId="1345" xr:uid="{00000000-0005-0000-0000-0000B5030000}"/>
    <cellStyle name="20% - Accent2 2 6 10" xfId="1346" xr:uid="{00000000-0005-0000-0000-0000B6030000}"/>
    <cellStyle name="20% - Accent2 2 6 11" xfId="1347" xr:uid="{00000000-0005-0000-0000-0000B7030000}"/>
    <cellStyle name="20% - Accent2 2 6 2" xfId="1348" xr:uid="{00000000-0005-0000-0000-0000B8030000}"/>
    <cellStyle name="20% - Accent2 2 6 2 2" xfId="1349" xr:uid="{00000000-0005-0000-0000-0000B9030000}"/>
    <cellStyle name="20% - Accent2 2 6 2 2 2" xfId="1350" xr:uid="{00000000-0005-0000-0000-0000BA030000}"/>
    <cellStyle name="20% - Accent2 2 6 2 2 2 2" xfId="1351" xr:uid="{00000000-0005-0000-0000-0000BB030000}"/>
    <cellStyle name="20% - Accent2 2 6 2 2 2 3" xfId="1352" xr:uid="{00000000-0005-0000-0000-0000BC030000}"/>
    <cellStyle name="20% - Accent2 2 6 2 2 3" xfId="1353" xr:uid="{00000000-0005-0000-0000-0000BD030000}"/>
    <cellStyle name="20% - Accent2 2 6 2 2 3 2" xfId="1354" xr:uid="{00000000-0005-0000-0000-0000BE030000}"/>
    <cellStyle name="20% - Accent2 2 6 2 2 3 3" xfId="1355" xr:uid="{00000000-0005-0000-0000-0000BF030000}"/>
    <cellStyle name="20% - Accent2 2 6 2 2 4" xfId="1356" xr:uid="{00000000-0005-0000-0000-0000C0030000}"/>
    <cellStyle name="20% - Accent2 2 6 2 2 5" xfId="1357" xr:uid="{00000000-0005-0000-0000-0000C1030000}"/>
    <cellStyle name="20% - Accent2 2 6 2 2 6" xfId="1358" xr:uid="{00000000-0005-0000-0000-0000C2030000}"/>
    <cellStyle name="20% - Accent2 2 6 2 2 7" xfId="1359" xr:uid="{00000000-0005-0000-0000-0000C3030000}"/>
    <cellStyle name="20% - Accent2 2 6 2 2 8" xfId="1360" xr:uid="{00000000-0005-0000-0000-0000C4030000}"/>
    <cellStyle name="20% - Accent2 2 6 2 3" xfId="1361" xr:uid="{00000000-0005-0000-0000-0000C5030000}"/>
    <cellStyle name="20% - Accent2 2 6 2 3 2" xfId="1362" xr:uid="{00000000-0005-0000-0000-0000C6030000}"/>
    <cellStyle name="20% - Accent2 2 6 2 3 2 2" xfId="1363" xr:uid="{00000000-0005-0000-0000-0000C7030000}"/>
    <cellStyle name="20% - Accent2 2 6 2 3 2 3" xfId="1364" xr:uid="{00000000-0005-0000-0000-0000C8030000}"/>
    <cellStyle name="20% - Accent2 2 6 2 3 3" xfId="1365" xr:uid="{00000000-0005-0000-0000-0000C9030000}"/>
    <cellStyle name="20% - Accent2 2 6 2 3 3 2" xfId="1366" xr:uid="{00000000-0005-0000-0000-0000CA030000}"/>
    <cellStyle name="20% - Accent2 2 6 2 3 4" xfId="1367" xr:uid="{00000000-0005-0000-0000-0000CB030000}"/>
    <cellStyle name="20% - Accent2 2 6 2 4" xfId="1368" xr:uid="{00000000-0005-0000-0000-0000CC030000}"/>
    <cellStyle name="20% - Accent2 2 6 2 4 2" xfId="1369" xr:uid="{00000000-0005-0000-0000-0000CD030000}"/>
    <cellStyle name="20% - Accent2 2 6 2 4 3" xfId="1370" xr:uid="{00000000-0005-0000-0000-0000CE030000}"/>
    <cellStyle name="20% - Accent2 2 6 2 5" xfId="1371" xr:uid="{00000000-0005-0000-0000-0000CF030000}"/>
    <cellStyle name="20% - Accent2 2 6 2 6" xfId="1372" xr:uid="{00000000-0005-0000-0000-0000D0030000}"/>
    <cellStyle name="20% - Accent2 2 6 2 6 2" xfId="1373" xr:uid="{00000000-0005-0000-0000-0000D1030000}"/>
    <cellStyle name="20% - Accent2 2 6 2 7" xfId="1374" xr:uid="{00000000-0005-0000-0000-0000D2030000}"/>
    <cellStyle name="20% - Accent2 2 6 2 8" xfId="1375" xr:uid="{00000000-0005-0000-0000-0000D3030000}"/>
    <cellStyle name="20% - Accent2 2 6 2 9" xfId="1376" xr:uid="{00000000-0005-0000-0000-0000D4030000}"/>
    <cellStyle name="20% - Accent2 2 6 3" xfId="1377" xr:uid="{00000000-0005-0000-0000-0000D5030000}"/>
    <cellStyle name="20% - Accent2 2 6 3 2" xfId="1378" xr:uid="{00000000-0005-0000-0000-0000D6030000}"/>
    <cellStyle name="20% - Accent2 2 6 3 2 2" xfId="1379" xr:uid="{00000000-0005-0000-0000-0000D7030000}"/>
    <cellStyle name="20% - Accent2 2 6 3 2 3" xfId="1380" xr:uid="{00000000-0005-0000-0000-0000D8030000}"/>
    <cellStyle name="20% - Accent2 2 6 3 3" xfId="1381" xr:uid="{00000000-0005-0000-0000-0000D9030000}"/>
    <cellStyle name="20% - Accent2 2 6 3 3 2" xfId="1382" xr:uid="{00000000-0005-0000-0000-0000DA030000}"/>
    <cellStyle name="20% - Accent2 2 6 3 3 3" xfId="1383" xr:uid="{00000000-0005-0000-0000-0000DB030000}"/>
    <cellStyle name="20% - Accent2 2 6 3 4" xfId="1384" xr:uid="{00000000-0005-0000-0000-0000DC030000}"/>
    <cellStyle name="20% - Accent2 2 6 3 5" xfId="1385" xr:uid="{00000000-0005-0000-0000-0000DD030000}"/>
    <cellStyle name="20% - Accent2 2 6 3 6" xfId="1386" xr:uid="{00000000-0005-0000-0000-0000DE030000}"/>
    <cellStyle name="20% - Accent2 2 6 3 7" xfId="1387" xr:uid="{00000000-0005-0000-0000-0000DF030000}"/>
    <cellStyle name="20% - Accent2 2 6 3 8" xfId="1388" xr:uid="{00000000-0005-0000-0000-0000E0030000}"/>
    <cellStyle name="20% - Accent2 2 6 4" xfId="1389" xr:uid="{00000000-0005-0000-0000-0000E1030000}"/>
    <cellStyle name="20% - Accent2 2 6 4 2" xfId="1390" xr:uid="{00000000-0005-0000-0000-0000E2030000}"/>
    <cellStyle name="20% - Accent2 2 6 4 2 2" xfId="1391" xr:uid="{00000000-0005-0000-0000-0000E3030000}"/>
    <cellStyle name="20% - Accent2 2 6 4 2 3" xfId="1392" xr:uid="{00000000-0005-0000-0000-0000E4030000}"/>
    <cellStyle name="20% - Accent2 2 6 4 3" xfId="1393" xr:uid="{00000000-0005-0000-0000-0000E5030000}"/>
    <cellStyle name="20% - Accent2 2 6 4 3 2" xfId="1394" xr:uid="{00000000-0005-0000-0000-0000E6030000}"/>
    <cellStyle name="20% - Accent2 2 6 4 4" xfId="1395" xr:uid="{00000000-0005-0000-0000-0000E7030000}"/>
    <cellStyle name="20% - Accent2 2 6 5" xfId="1396" xr:uid="{00000000-0005-0000-0000-0000E8030000}"/>
    <cellStyle name="20% - Accent2 2 6 5 2" xfId="1397" xr:uid="{00000000-0005-0000-0000-0000E9030000}"/>
    <cellStyle name="20% - Accent2 2 6 5 3" xfId="1398" xr:uid="{00000000-0005-0000-0000-0000EA030000}"/>
    <cellStyle name="20% - Accent2 2 6 6" xfId="1399" xr:uid="{00000000-0005-0000-0000-0000EB030000}"/>
    <cellStyle name="20% - Accent2 2 6 6 2" xfId="1400" xr:uid="{00000000-0005-0000-0000-0000EC030000}"/>
    <cellStyle name="20% - Accent2 2 6 6 3" xfId="1401" xr:uid="{00000000-0005-0000-0000-0000ED030000}"/>
    <cellStyle name="20% - Accent2 2 6 7" xfId="1402" xr:uid="{00000000-0005-0000-0000-0000EE030000}"/>
    <cellStyle name="20% - Accent2 2 6 7 2" xfId="1403" xr:uid="{00000000-0005-0000-0000-0000EF030000}"/>
    <cellStyle name="20% - Accent2 2 6 8" xfId="1404" xr:uid="{00000000-0005-0000-0000-0000F0030000}"/>
    <cellStyle name="20% - Accent2 2 6 9" xfId="1405" xr:uid="{00000000-0005-0000-0000-0000F1030000}"/>
    <cellStyle name="20% - Accent2 2 7" xfId="1406" xr:uid="{00000000-0005-0000-0000-0000F2030000}"/>
    <cellStyle name="20% - Accent2 2 7 2" xfId="1407" xr:uid="{00000000-0005-0000-0000-0000F3030000}"/>
    <cellStyle name="20% - Accent2 2 7 2 2" xfId="1408" xr:uid="{00000000-0005-0000-0000-0000F4030000}"/>
    <cellStyle name="20% - Accent2 2 7 2 3" xfId="1409" xr:uid="{00000000-0005-0000-0000-0000F5030000}"/>
    <cellStyle name="20% - Accent2 2 7 3" xfId="1410" xr:uid="{00000000-0005-0000-0000-0000F6030000}"/>
    <cellStyle name="20% - Accent2 2 7 3 2" xfId="1411" xr:uid="{00000000-0005-0000-0000-0000F7030000}"/>
    <cellStyle name="20% - Accent2 2 7 4" xfId="1412" xr:uid="{00000000-0005-0000-0000-0000F8030000}"/>
    <cellStyle name="20% - Accent2 2 8" xfId="1413" xr:uid="{00000000-0005-0000-0000-0000F9030000}"/>
    <cellStyle name="20% - Accent2 2 8 2" xfId="1414" xr:uid="{00000000-0005-0000-0000-0000FA030000}"/>
    <cellStyle name="20% - Accent2 2 8 3" xfId="1415" xr:uid="{00000000-0005-0000-0000-0000FB030000}"/>
    <cellStyle name="20% - Accent2 2 9" xfId="1416" xr:uid="{00000000-0005-0000-0000-0000FC030000}"/>
    <cellStyle name="20% - Accent2 2 9 2" xfId="1417" xr:uid="{00000000-0005-0000-0000-0000FD030000}"/>
    <cellStyle name="20% - Accent2 2 9 3" xfId="1418" xr:uid="{00000000-0005-0000-0000-0000FE030000}"/>
    <cellStyle name="20% - Accent2 2_Dec monthly report" xfId="1419" xr:uid="{00000000-0005-0000-0000-0000FF030000}"/>
    <cellStyle name="20% - Accent2 20" xfId="1420" xr:uid="{00000000-0005-0000-0000-000000040000}"/>
    <cellStyle name="20% - Accent2 20 2" xfId="1421" xr:uid="{00000000-0005-0000-0000-000001040000}"/>
    <cellStyle name="20% - Accent2 20 3" xfId="1422" xr:uid="{00000000-0005-0000-0000-000002040000}"/>
    <cellStyle name="20% - Accent2 21" xfId="1423" xr:uid="{00000000-0005-0000-0000-000003040000}"/>
    <cellStyle name="20% - Accent2 21 2" xfId="1424" xr:uid="{00000000-0005-0000-0000-000004040000}"/>
    <cellStyle name="20% - Accent2 21 3" xfId="1425" xr:uid="{00000000-0005-0000-0000-000005040000}"/>
    <cellStyle name="20% - Accent2 22" xfId="1426" xr:uid="{00000000-0005-0000-0000-000006040000}"/>
    <cellStyle name="20% - Accent2 23" xfId="1427" xr:uid="{00000000-0005-0000-0000-000007040000}"/>
    <cellStyle name="20% - Accent2 24" xfId="1428" xr:uid="{00000000-0005-0000-0000-000008040000}"/>
    <cellStyle name="20% - Accent2 3" xfId="1429" xr:uid="{00000000-0005-0000-0000-000009040000}"/>
    <cellStyle name="20% - Accent2 3 10" xfId="1430" xr:uid="{00000000-0005-0000-0000-00000A040000}"/>
    <cellStyle name="20% - Accent2 3 11" xfId="1431" xr:uid="{00000000-0005-0000-0000-00000B040000}"/>
    <cellStyle name="20% - Accent2 3 12" xfId="1432" xr:uid="{00000000-0005-0000-0000-00000C040000}"/>
    <cellStyle name="20% - Accent2 3 13" xfId="1433" xr:uid="{00000000-0005-0000-0000-00000D040000}"/>
    <cellStyle name="20% - Accent2 3 14" xfId="1434" xr:uid="{00000000-0005-0000-0000-00000E040000}"/>
    <cellStyle name="20% - Accent2 3 2" xfId="1435" xr:uid="{00000000-0005-0000-0000-00000F040000}"/>
    <cellStyle name="20% - Accent2 3 2 2" xfId="1436" xr:uid="{00000000-0005-0000-0000-000010040000}"/>
    <cellStyle name="20% - Accent2 3 2 2 10" xfId="1437" xr:uid="{00000000-0005-0000-0000-000011040000}"/>
    <cellStyle name="20% - Accent2 3 2 2 2" xfId="1438" xr:uid="{00000000-0005-0000-0000-000012040000}"/>
    <cellStyle name="20% - Accent2 3 2 2 2 2" xfId="1439" xr:uid="{00000000-0005-0000-0000-000013040000}"/>
    <cellStyle name="20% - Accent2 3 2 2 2 2 2" xfId="1440" xr:uid="{00000000-0005-0000-0000-000014040000}"/>
    <cellStyle name="20% - Accent2 3 2 2 2 2 3" xfId="1441" xr:uid="{00000000-0005-0000-0000-000015040000}"/>
    <cellStyle name="20% - Accent2 3 2 2 2 3" xfId="1442" xr:uid="{00000000-0005-0000-0000-000016040000}"/>
    <cellStyle name="20% - Accent2 3 2 2 2 3 2" xfId="1443" xr:uid="{00000000-0005-0000-0000-000017040000}"/>
    <cellStyle name="20% - Accent2 3 2 2 2 3 3" xfId="1444" xr:uid="{00000000-0005-0000-0000-000018040000}"/>
    <cellStyle name="20% - Accent2 3 2 2 2 4" xfId="1445" xr:uid="{00000000-0005-0000-0000-000019040000}"/>
    <cellStyle name="20% - Accent2 3 2 2 2 5" xfId="1446" xr:uid="{00000000-0005-0000-0000-00001A040000}"/>
    <cellStyle name="20% - Accent2 3 2 2 2 6" xfId="1447" xr:uid="{00000000-0005-0000-0000-00001B040000}"/>
    <cellStyle name="20% - Accent2 3 2 2 2 7" xfId="1448" xr:uid="{00000000-0005-0000-0000-00001C040000}"/>
    <cellStyle name="20% - Accent2 3 2 2 2 8" xfId="1449" xr:uid="{00000000-0005-0000-0000-00001D040000}"/>
    <cellStyle name="20% - Accent2 3 2 2 3" xfId="1450" xr:uid="{00000000-0005-0000-0000-00001E040000}"/>
    <cellStyle name="20% - Accent2 3 2 2 3 2" xfId="1451" xr:uid="{00000000-0005-0000-0000-00001F040000}"/>
    <cellStyle name="20% - Accent2 3 2 2 3 3" xfId="1452" xr:uid="{00000000-0005-0000-0000-000020040000}"/>
    <cellStyle name="20% - Accent2 3 2 2 4" xfId="1453" xr:uid="{00000000-0005-0000-0000-000021040000}"/>
    <cellStyle name="20% - Accent2 3 2 2 4 2" xfId="1454" xr:uid="{00000000-0005-0000-0000-000022040000}"/>
    <cellStyle name="20% - Accent2 3 2 2 4 3" xfId="1455" xr:uid="{00000000-0005-0000-0000-000023040000}"/>
    <cellStyle name="20% - Accent2 3 2 2 5" xfId="1456" xr:uid="{00000000-0005-0000-0000-000024040000}"/>
    <cellStyle name="20% - Accent2 3 2 2 5 2" xfId="1457" xr:uid="{00000000-0005-0000-0000-000025040000}"/>
    <cellStyle name="20% - Accent2 3 2 2 5 3" xfId="1458" xr:uid="{00000000-0005-0000-0000-000026040000}"/>
    <cellStyle name="20% - Accent2 3 2 2 6" xfId="1459" xr:uid="{00000000-0005-0000-0000-000027040000}"/>
    <cellStyle name="20% - Accent2 3 2 2 7" xfId="1460" xr:uid="{00000000-0005-0000-0000-000028040000}"/>
    <cellStyle name="20% - Accent2 3 2 2 8" xfId="1461" xr:uid="{00000000-0005-0000-0000-000029040000}"/>
    <cellStyle name="20% - Accent2 3 2 2 9" xfId="1462" xr:uid="{00000000-0005-0000-0000-00002A040000}"/>
    <cellStyle name="20% - Accent2 3 2 3" xfId="1463" xr:uid="{00000000-0005-0000-0000-00002B040000}"/>
    <cellStyle name="20% - Accent2 3 2 3 2" xfId="1464" xr:uid="{00000000-0005-0000-0000-00002C040000}"/>
    <cellStyle name="20% - Accent2 3 2 3 2 2" xfId="1465" xr:uid="{00000000-0005-0000-0000-00002D040000}"/>
    <cellStyle name="20% - Accent2 3 2 3 2 3" xfId="1466" xr:uid="{00000000-0005-0000-0000-00002E040000}"/>
    <cellStyle name="20% - Accent2 3 2 3 3" xfId="1467" xr:uid="{00000000-0005-0000-0000-00002F040000}"/>
    <cellStyle name="20% - Accent2 3 2 3 3 2" xfId="1468" xr:uid="{00000000-0005-0000-0000-000030040000}"/>
    <cellStyle name="20% - Accent2 3 2 3 4" xfId="1469" xr:uid="{00000000-0005-0000-0000-000031040000}"/>
    <cellStyle name="20% - Accent2 3 2 4" xfId="1470" xr:uid="{00000000-0005-0000-0000-000032040000}"/>
    <cellStyle name="20% - Accent2 3 2 4 2" xfId="1471" xr:uid="{00000000-0005-0000-0000-000033040000}"/>
    <cellStyle name="20% - Accent2 3 2 4 3" xfId="1472" xr:uid="{00000000-0005-0000-0000-000034040000}"/>
    <cellStyle name="20% - Accent2 3 2 5" xfId="1473" xr:uid="{00000000-0005-0000-0000-000035040000}"/>
    <cellStyle name="20% - Accent2 3 2 5 2" xfId="1474" xr:uid="{00000000-0005-0000-0000-000036040000}"/>
    <cellStyle name="20% - Accent2 3 2 5 3" xfId="1475" xr:uid="{00000000-0005-0000-0000-000037040000}"/>
    <cellStyle name="20% - Accent2 3 2 6" xfId="1476" xr:uid="{00000000-0005-0000-0000-000038040000}"/>
    <cellStyle name="20% - Accent2 3 2 7" xfId="1477" xr:uid="{00000000-0005-0000-0000-000039040000}"/>
    <cellStyle name="20% - Accent2 3 2 8" xfId="1478" xr:uid="{00000000-0005-0000-0000-00003A040000}"/>
    <cellStyle name="20% - Accent2 3 2 9" xfId="1479" xr:uid="{00000000-0005-0000-0000-00003B040000}"/>
    <cellStyle name="20% - Accent2 3 3" xfId="1480" xr:uid="{00000000-0005-0000-0000-00003C040000}"/>
    <cellStyle name="20% - Accent2 3 3 2" xfId="1481" xr:uid="{00000000-0005-0000-0000-00003D040000}"/>
    <cellStyle name="20% - Accent2 3 3 2 2" xfId="1482" xr:uid="{00000000-0005-0000-0000-00003E040000}"/>
    <cellStyle name="20% - Accent2 3 3 2 3" xfId="1483" xr:uid="{00000000-0005-0000-0000-00003F040000}"/>
    <cellStyle name="20% - Accent2 3 3 2 3 2" xfId="1484" xr:uid="{00000000-0005-0000-0000-000040040000}"/>
    <cellStyle name="20% - Accent2 3 3 3" xfId="1485" xr:uid="{00000000-0005-0000-0000-000041040000}"/>
    <cellStyle name="20% - Accent2 3 3 3 2" xfId="1486" xr:uid="{00000000-0005-0000-0000-000042040000}"/>
    <cellStyle name="20% - Accent2 3 3 3 3" xfId="1487" xr:uid="{00000000-0005-0000-0000-000043040000}"/>
    <cellStyle name="20% - Accent2 3 3 4" xfId="1488" xr:uid="{00000000-0005-0000-0000-000044040000}"/>
    <cellStyle name="20% - Accent2 3 3 4 2" xfId="1489" xr:uid="{00000000-0005-0000-0000-000045040000}"/>
    <cellStyle name="20% - Accent2 3 3 5" xfId="1490" xr:uid="{00000000-0005-0000-0000-000046040000}"/>
    <cellStyle name="20% - Accent2 3 3 6" xfId="1491" xr:uid="{00000000-0005-0000-0000-000047040000}"/>
    <cellStyle name="20% - Accent2 3 3 7" xfId="1492" xr:uid="{00000000-0005-0000-0000-000048040000}"/>
    <cellStyle name="20% - Accent2 3 3 8" xfId="1493" xr:uid="{00000000-0005-0000-0000-000049040000}"/>
    <cellStyle name="20% - Accent2 3 4" xfId="1494" xr:uid="{00000000-0005-0000-0000-00004A040000}"/>
    <cellStyle name="20% - Accent2 3 4 2" xfId="1495" xr:uid="{00000000-0005-0000-0000-00004B040000}"/>
    <cellStyle name="20% - Accent2 3 4 2 2" xfId="1496" xr:uid="{00000000-0005-0000-0000-00004C040000}"/>
    <cellStyle name="20% - Accent2 3 4 2 3" xfId="1497" xr:uid="{00000000-0005-0000-0000-00004D040000}"/>
    <cellStyle name="20% - Accent2 3 4 3" xfId="1498" xr:uid="{00000000-0005-0000-0000-00004E040000}"/>
    <cellStyle name="20% - Accent2 3 4 3 2" xfId="1499" xr:uid="{00000000-0005-0000-0000-00004F040000}"/>
    <cellStyle name="20% - Accent2 3 4 3 3" xfId="1500" xr:uid="{00000000-0005-0000-0000-000050040000}"/>
    <cellStyle name="20% - Accent2 3 4 4" xfId="1501" xr:uid="{00000000-0005-0000-0000-000051040000}"/>
    <cellStyle name="20% - Accent2 3 4 4 2" xfId="1502" xr:uid="{00000000-0005-0000-0000-000052040000}"/>
    <cellStyle name="20% - Accent2 3 4 5" xfId="1503" xr:uid="{00000000-0005-0000-0000-000053040000}"/>
    <cellStyle name="20% - Accent2 3 4 6" xfId="1504" xr:uid="{00000000-0005-0000-0000-000054040000}"/>
    <cellStyle name="20% - Accent2 3 4 7" xfId="1505" xr:uid="{00000000-0005-0000-0000-000055040000}"/>
    <cellStyle name="20% - Accent2 3 4 8" xfId="1506" xr:uid="{00000000-0005-0000-0000-000056040000}"/>
    <cellStyle name="20% - Accent2 3 5" xfId="1507" xr:uid="{00000000-0005-0000-0000-000057040000}"/>
    <cellStyle name="20% - Accent2 3 5 2" xfId="1508" xr:uid="{00000000-0005-0000-0000-000058040000}"/>
    <cellStyle name="20% - Accent2 3 5 2 2" xfId="1509" xr:uid="{00000000-0005-0000-0000-000059040000}"/>
    <cellStyle name="20% - Accent2 3 5 2 3" xfId="1510" xr:uid="{00000000-0005-0000-0000-00005A040000}"/>
    <cellStyle name="20% - Accent2 3 5 3" xfId="1511" xr:uid="{00000000-0005-0000-0000-00005B040000}"/>
    <cellStyle name="20% - Accent2 3 5 3 2" xfId="1512" xr:uid="{00000000-0005-0000-0000-00005C040000}"/>
    <cellStyle name="20% - Accent2 3 5 4" xfId="1513" xr:uid="{00000000-0005-0000-0000-00005D040000}"/>
    <cellStyle name="20% - Accent2 3 5 5" xfId="1514" xr:uid="{00000000-0005-0000-0000-00005E040000}"/>
    <cellStyle name="20% - Accent2 3 5 6" xfId="1515" xr:uid="{00000000-0005-0000-0000-00005F040000}"/>
    <cellStyle name="20% - Accent2 3 5 7" xfId="1516" xr:uid="{00000000-0005-0000-0000-000060040000}"/>
    <cellStyle name="20% - Accent2 3 5 8" xfId="1517" xr:uid="{00000000-0005-0000-0000-000061040000}"/>
    <cellStyle name="20% - Accent2 3 6" xfId="1518" xr:uid="{00000000-0005-0000-0000-000062040000}"/>
    <cellStyle name="20% - Accent2 3 6 2" xfId="1519" xr:uid="{00000000-0005-0000-0000-000063040000}"/>
    <cellStyle name="20% - Accent2 3 6 3" xfId="1520" xr:uid="{00000000-0005-0000-0000-000064040000}"/>
    <cellStyle name="20% - Accent2 3 7" xfId="1521" xr:uid="{00000000-0005-0000-0000-000065040000}"/>
    <cellStyle name="20% - Accent2 3 7 2" xfId="1522" xr:uid="{00000000-0005-0000-0000-000066040000}"/>
    <cellStyle name="20% - Accent2 3 7 3" xfId="1523" xr:uid="{00000000-0005-0000-0000-000067040000}"/>
    <cellStyle name="20% - Accent2 3 8" xfId="1524" xr:uid="{00000000-0005-0000-0000-000068040000}"/>
    <cellStyle name="20% - Accent2 3 8 2" xfId="1525" xr:uid="{00000000-0005-0000-0000-000069040000}"/>
    <cellStyle name="20% - Accent2 3 8 3" xfId="1526" xr:uid="{00000000-0005-0000-0000-00006A040000}"/>
    <cellStyle name="20% - Accent2 3 9" xfId="1527" xr:uid="{00000000-0005-0000-0000-00006B040000}"/>
    <cellStyle name="20% - Accent2 3 9 2" xfId="1528" xr:uid="{00000000-0005-0000-0000-00006C040000}"/>
    <cellStyle name="20% - Accent2 3 9 3" xfId="1529" xr:uid="{00000000-0005-0000-0000-00006D040000}"/>
    <cellStyle name="20% - Accent2 4" xfId="1530" xr:uid="{00000000-0005-0000-0000-00006E040000}"/>
    <cellStyle name="20% - Accent2 4 10" xfId="1531" xr:uid="{00000000-0005-0000-0000-00006F040000}"/>
    <cellStyle name="20% - Accent2 4 11" xfId="1532" xr:uid="{00000000-0005-0000-0000-000070040000}"/>
    <cellStyle name="20% - Accent2 4 12" xfId="1533" xr:uid="{00000000-0005-0000-0000-000071040000}"/>
    <cellStyle name="20% - Accent2 4 13" xfId="1534" xr:uid="{00000000-0005-0000-0000-000072040000}"/>
    <cellStyle name="20% - Accent2 4 2" xfId="1535" xr:uid="{00000000-0005-0000-0000-000073040000}"/>
    <cellStyle name="20% - Accent2 4 2 2" xfId="1536" xr:uid="{00000000-0005-0000-0000-000074040000}"/>
    <cellStyle name="20% - Accent2 4 2 2 2" xfId="1537" xr:uid="{00000000-0005-0000-0000-000075040000}"/>
    <cellStyle name="20% - Accent2 4 2 2 2 2" xfId="1538" xr:uid="{00000000-0005-0000-0000-000076040000}"/>
    <cellStyle name="20% - Accent2 4 2 2 2 2 2" xfId="1539" xr:uid="{00000000-0005-0000-0000-000077040000}"/>
    <cellStyle name="20% - Accent2 4 2 2 2 2 3" xfId="1540" xr:uid="{00000000-0005-0000-0000-000078040000}"/>
    <cellStyle name="20% - Accent2 4 2 2 2 3" xfId="1541" xr:uid="{00000000-0005-0000-0000-000079040000}"/>
    <cellStyle name="20% - Accent2 4 2 2 2 3 2" xfId="1542" xr:uid="{00000000-0005-0000-0000-00007A040000}"/>
    <cellStyle name="20% - Accent2 4 2 2 2 3 3" xfId="1543" xr:uid="{00000000-0005-0000-0000-00007B040000}"/>
    <cellStyle name="20% - Accent2 4 2 2 2 4" xfId="1544" xr:uid="{00000000-0005-0000-0000-00007C040000}"/>
    <cellStyle name="20% - Accent2 4 2 2 2 5" xfId="1545" xr:uid="{00000000-0005-0000-0000-00007D040000}"/>
    <cellStyle name="20% - Accent2 4 2 2 2 6" xfId="1546" xr:uid="{00000000-0005-0000-0000-00007E040000}"/>
    <cellStyle name="20% - Accent2 4 2 2 2 7" xfId="1547" xr:uid="{00000000-0005-0000-0000-00007F040000}"/>
    <cellStyle name="20% - Accent2 4 2 2 2 8" xfId="1548" xr:uid="{00000000-0005-0000-0000-000080040000}"/>
    <cellStyle name="20% - Accent2 4 2 2 3" xfId="1549" xr:uid="{00000000-0005-0000-0000-000081040000}"/>
    <cellStyle name="20% - Accent2 4 2 2 3 2" xfId="1550" xr:uid="{00000000-0005-0000-0000-000082040000}"/>
    <cellStyle name="20% - Accent2 4 2 2 3 3" xfId="1551" xr:uid="{00000000-0005-0000-0000-000083040000}"/>
    <cellStyle name="20% - Accent2 4 2 2 4" xfId="1552" xr:uid="{00000000-0005-0000-0000-000084040000}"/>
    <cellStyle name="20% - Accent2 4 2 2 4 2" xfId="1553" xr:uid="{00000000-0005-0000-0000-000085040000}"/>
    <cellStyle name="20% - Accent2 4 2 2 4 3" xfId="1554" xr:uid="{00000000-0005-0000-0000-000086040000}"/>
    <cellStyle name="20% - Accent2 4 2 2 5" xfId="1555" xr:uid="{00000000-0005-0000-0000-000087040000}"/>
    <cellStyle name="20% - Accent2 4 2 2 5 2" xfId="1556" xr:uid="{00000000-0005-0000-0000-000088040000}"/>
    <cellStyle name="20% - Accent2 4 2 2 6" xfId="1557" xr:uid="{00000000-0005-0000-0000-000089040000}"/>
    <cellStyle name="20% - Accent2 4 2 2 7" xfId="1558" xr:uid="{00000000-0005-0000-0000-00008A040000}"/>
    <cellStyle name="20% - Accent2 4 2 2 8" xfId="1559" xr:uid="{00000000-0005-0000-0000-00008B040000}"/>
    <cellStyle name="20% - Accent2 4 2 2 9" xfId="1560" xr:uid="{00000000-0005-0000-0000-00008C040000}"/>
    <cellStyle name="20% - Accent2 4 2 3" xfId="1561" xr:uid="{00000000-0005-0000-0000-00008D040000}"/>
    <cellStyle name="20% - Accent2 4 2 3 2" xfId="1562" xr:uid="{00000000-0005-0000-0000-00008E040000}"/>
    <cellStyle name="20% - Accent2 4 2 3 2 2" xfId="1563" xr:uid="{00000000-0005-0000-0000-00008F040000}"/>
    <cellStyle name="20% - Accent2 4 2 3 2 3" xfId="1564" xr:uid="{00000000-0005-0000-0000-000090040000}"/>
    <cellStyle name="20% - Accent2 4 2 3 3" xfId="1565" xr:uid="{00000000-0005-0000-0000-000091040000}"/>
    <cellStyle name="20% - Accent2 4 2 3 3 2" xfId="1566" xr:uid="{00000000-0005-0000-0000-000092040000}"/>
    <cellStyle name="20% - Accent2 4 2 3 4" xfId="1567" xr:uid="{00000000-0005-0000-0000-000093040000}"/>
    <cellStyle name="20% - Accent2 4 2 4" xfId="1568" xr:uid="{00000000-0005-0000-0000-000094040000}"/>
    <cellStyle name="20% - Accent2 4 2 4 2" xfId="1569" xr:uid="{00000000-0005-0000-0000-000095040000}"/>
    <cellStyle name="20% - Accent2 4 2 4 3" xfId="1570" xr:uid="{00000000-0005-0000-0000-000096040000}"/>
    <cellStyle name="20% - Accent2 4 2 5" xfId="1571" xr:uid="{00000000-0005-0000-0000-000097040000}"/>
    <cellStyle name="20% - Accent2 4 2 5 2" xfId="1572" xr:uid="{00000000-0005-0000-0000-000098040000}"/>
    <cellStyle name="20% - Accent2 4 2 5 3" xfId="1573" xr:uid="{00000000-0005-0000-0000-000099040000}"/>
    <cellStyle name="20% - Accent2 4 2 6" xfId="1574" xr:uid="{00000000-0005-0000-0000-00009A040000}"/>
    <cellStyle name="20% - Accent2 4 2 7" xfId="1575" xr:uid="{00000000-0005-0000-0000-00009B040000}"/>
    <cellStyle name="20% - Accent2 4 2 8" xfId="1576" xr:uid="{00000000-0005-0000-0000-00009C040000}"/>
    <cellStyle name="20% - Accent2 4 2 9" xfId="1577" xr:uid="{00000000-0005-0000-0000-00009D040000}"/>
    <cellStyle name="20% - Accent2 4 3" xfId="1578" xr:uid="{00000000-0005-0000-0000-00009E040000}"/>
    <cellStyle name="20% - Accent2 4 3 2" xfId="1579" xr:uid="{00000000-0005-0000-0000-00009F040000}"/>
    <cellStyle name="20% - Accent2 4 3 2 2" xfId="1580" xr:uid="{00000000-0005-0000-0000-0000A0040000}"/>
    <cellStyle name="20% - Accent2 4 3 2 3" xfId="1581" xr:uid="{00000000-0005-0000-0000-0000A1040000}"/>
    <cellStyle name="20% - Accent2 4 3 3" xfId="1582" xr:uid="{00000000-0005-0000-0000-0000A2040000}"/>
    <cellStyle name="20% - Accent2 4 3 3 2" xfId="1583" xr:uid="{00000000-0005-0000-0000-0000A3040000}"/>
    <cellStyle name="20% - Accent2 4 3 3 3" xfId="1584" xr:uid="{00000000-0005-0000-0000-0000A4040000}"/>
    <cellStyle name="20% - Accent2 4 3 4" xfId="1585" xr:uid="{00000000-0005-0000-0000-0000A5040000}"/>
    <cellStyle name="20% - Accent2 4 3 4 2" xfId="1586" xr:uid="{00000000-0005-0000-0000-0000A6040000}"/>
    <cellStyle name="20% - Accent2 4 3 5" xfId="1587" xr:uid="{00000000-0005-0000-0000-0000A7040000}"/>
    <cellStyle name="20% - Accent2 4 3 6" xfId="1588" xr:uid="{00000000-0005-0000-0000-0000A8040000}"/>
    <cellStyle name="20% - Accent2 4 3 7" xfId="1589" xr:uid="{00000000-0005-0000-0000-0000A9040000}"/>
    <cellStyle name="20% - Accent2 4 3 8" xfId="1590" xr:uid="{00000000-0005-0000-0000-0000AA040000}"/>
    <cellStyle name="20% - Accent2 4 4" xfId="1591" xr:uid="{00000000-0005-0000-0000-0000AB040000}"/>
    <cellStyle name="20% - Accent2 4 4 2" xfId="1592" xr:uid="{00000000-0005-0000-0000-0000AC040000}"/>
    <cellStyle name="20% - Accent2 4 4 2 2" xfId="1593" xr:uid="{00000000-0005-0000-0000-0000AD040000}"/>
    <cellStyle name="20% - Accent2 4 4 2 3" xfId="1594" xr:uid="{00000000-0005-0000-0000-0000AE040000}"/>
    <cellStyle name="20% - Accent2 4 4 3" xfId="1595" xr:uid="{00000000-0005-0000-0000-0000AF040000}"/>
    <cellStyle name="20% - Accent2 4 4 3 2" xfId="1596" xr:uid="{00000000-0005-0000-0000-0000B0040000}"/>
    <cellStyle name="20% - Accent2 4 4 3 3" xfId="1597" xr:uid="{00000000-0005-0000-0000-0000B1040000}"/>
    <cellStyle name="20% - Accent2 4 4 4" xfId="1598" xr:uid="{00000000-0005-0000-0000-0000B2040000}"/>
    <cellStyle name="20% - Accent2 4 4 5" xfId="1599" xr:uid="{00000000-0005-0000-0000-0000B3040000}"/>
    <cellStyle name="20% - Accent2 4 4 6" xfId="1600" xr:uid="{00000000-0005-0000-0000-0000B4040000}"/>
    <cellStyle name="20% - Accent2 4 4 7" xfId="1601" xr:uid="{00000000-0005-0000-0000-0000B5040000}"/>
    <cellStyle name="20% - Accent2 4 4 8" xfId="1602" xr:uid="{00000000-0005-0000-0000-0000B6040000}"/>
    <cellStyle name="20% - Accent2 4 5" xfId="1603" xr:uid="{00000000-0005-0000-0000-0000B7040000}"/>
    <cellStyle name="20% - Accent2 4 5 2" xfId="1604" xr:uid="{00000000-0005-0000-0000-0000B8040000}"/>
    <cellStyle name="20% - Accent2 4 5 2 2" xfId="1605" xr:uid="{00000000-0005-0000-0000-0000B9040000}"/>
    <cellStyle name="20% - Accent2 4 5 2 3" xfId="1606" xr:uid="{00000000-0005-0000-0000-0000BA040000}"/>
    <cellStyle name="20% - Accent2 4 5 3" xfId="1607" xr:uid="{00000000-0005-0000-0000-0000BB040000}"/>
    <cellStyle name="20% - Accent2 4 5 3 2" xfId="1608" xr:uid="{00000000-0005-0000-0000-0000BC040000}"/>
    <cellStyle name="20% - Accent2 4 5 4" xfId="1609" xr:uid="{00000000-0005-0000-0000-0000BD040000}"/>
    <cellStyle name="20% - Accent2 4 6" xfId="1610" xr:uid="{00000000-0005-0000-0000-0000BE040000}"/>
    <cellStyle name="20% - Accent2 4 6 2" xfId="1611" xr:uid="{00000000-0005-0000-0000-0000BF040000}"/>
    <cellStyle name="20% - Accent2 4 6 3" xfId="1612" xr:uid="{00000000-0005-0000-0000-0000C0040000}"/>
    <cellStyle name="20% - Accent2 4 7" xfId="1613" xr:uid="{00000000-0005-0000-0000-0000C1040000}"/>
    <cellStyle name="20% - Accent2 4 7 2" xfId="1614" xr:uid="{00000000-0005-0000-0000-0000C2040000}"/>
    <cellStyle name="20% - Accent2 4 7 3" xfId="1615" xr:uid="{00000000-0005-0000-0000-0000C3040000}"/>
    <cellStyle name="20% - Accent2 4 8" xfId="1616" xr:uid="{00000000-0005-0000-0000-0000C4040000}"/>
    <cellStyle name="20% - Accent2 4 8 2" xfId="1617" xr:uid="{00000000-0005-0000-0000-0000C5040000}"/>
    <cellStyle name="20% - Accent2 4 8 3" xfId="1618" xr:uid="{00000000-0005-0000-0000-0000C6040000}"/>
    <cellStyle name="20% - Accent2 4 9" xfId="1619" xr:uid="{00000000-0005-0000-0000-0000C7040000}"/>
    <cellStyle name="20% - Accent2 5" xfId="1620" xr:uid="{00000000-0005-0000-0000-0000C8040000}"/>
    <cellStyle name="20% - Accent2 5 10" xfId="1621" xr:uid="{00000000-0005-0000-0000-0000C9040000}"/>
    <cellStyle name="20% - Accent2 5 11" xfId="1622" xr:uid="{00000000-0005-0000-0000-0000CA040000}"/>
    <cellStyle name="20% - Accent2 5 12" xfId="1623" xr:uid="{00000000-0005-0000-0000-0000CB040000}"/>
    <cellStyle name="20% - Accent2 5 2" xfId="1624" xr:uid="{00000000-0005-0000-0000-0000CC040000}"/>
    <cellStyle name="20% - Accent2 5 2 2" xfId="1625" xr:uid="{00000000-0005-0000-0000-0000CD040000}"/>
    <cellStyle name="20% - Accent2 5 2 2 2" xfId="1626" xr:uid="{00000000-0005-0000-0000-0000CE040000}"/>
    <cellStyle name="20% - Accent2 5 2 2 2 2" xfId="1627" xr:uid="{00000000-0005-0000-0000-0000CF040000}"/>
    <cellStyle name="20% - Accent2 5 2 2 2 2 2" xfId="1628" xr:uid="{00000000-0005-0000-0000-0000D0040000}"/>
    <cellStyle name="20% - Accent2 5 2 2 2 2 3" xfId="1629" xr:uid="{00000000-0005-0000-0000-0000D1040000}"/>
    <cellStyle name="20% - Accent2 5 2 2 2 3" xfId="1630" xr:uid="{00000000-0005-0000-0000-0000D2040000}"/>
    <cellStyle name="20% - Accent2 5 2 2 2 3 2" xfId="1631" xr:uid="{00000000-0005-0000-0000-0000D3040000}"/>
    <cellStyle name="20% - Accent2 5 2 2 2 3 3" xfId="1632" xr:uid="{00000000-0005-0000-0000-0000D4040000}"/>
    <cellStyle name="20% - Accent2 5 2 2 2 4" xfId="1633" xr:uid="{00000000-0005-0000-0000-0000D5040000}"/>
    <cellStyle name="20% - Accent2 5 2 2 2 5" xfId="1634" xr:uid="{00000000-0005-0000-0000-0000D6040000}"/>
    <cellStyle name="20% - Accent2 5 2 2 2 6" xfId="1635" xr:uid="{00000000-0005-0000-0000-0000D7040000}"/>
    <cellStyle name="20% - Accent2 5 2 2 2 7" xfId="1636" xr:uid="{00000000-0005-0000-0000-0000D8040000}"/>
    <cellStyle name="20% - Accent2 5 2 2 2 8" xfId="1637" xr:uid="{00000000-0005-0000-0000-0000D9040000}"/>
    <cellStyle name="20% - Accent2 5 2 2 3" xfId="1638" xr:uid="{00000000-0005-0000-0000-0000DA040000}"/>
    <cellStyle name="20% - Accent2 5 2 2 3 2" xfId="1639" xr:uid="{00000000-0005-0000-0000-0000DB040000}"/>
    <cellStyle name="20% - Accent2 5 2 2 3 3" xfId="1640" xr:uid="{00000000-0005-0000-0000-0000DC040000}"/>
    <cellStyle name="20% - Accent2 5 2 2 4" xfId="1641" xr:uid="{00000000-0005-0000-0000-0000DD040000}"/>
    <cellStyle name="20% - Accent2 5 2 2 4 2" xfId="1642" xr:uid="{00000000-0005-0000-0000-0000DE040000}"/>
    <cellStyle name="20% - Accent2 5 2 2 4 3" xfId="1643" xr:uid="{00000000-0005-0000-0000-0000DF040000}"/>
    <cellStyle name="20% - Accent2 5 2 2 5" xfId="1644" xr:uid="{00000000-0005-0000-0000-0000E0040000}"/>
    <cellStyle name="20% - Accent2 5 2 2 5 2" xfId="1645" xr:uid="{00000000-0005-0000-0000-0000E1040000}"/>
    <cellStyle name="20% - Accent2 5 2 2 6" xfId="1646" xr:uid="{00000000-0005-0000-0000-0000E2040000}"/>
    <cellStyle name="20% - Accent2 5 2 2 7" xfId="1647" xr:uid="{00000000-0005-0000-0000-0000E3040000}"/>
    <cellStyle name="20% - Accent2 5 2 2 8" xfId="1648" xr:uid="{00000000-0005-0000-0000-0000E4040000}"/>
    <cellStyle name="20% - Accent2 5 2 2 9" xfId="1649" xr:uid="{00000000-0005-0000-0000-0000E5040000}"/>
    <cellStyle name="20% - Accent2 5 2 3" xfId="1650" xr:uid="{00000000-0005-0000-0000-0000E6040000}"/>
    <cellStyle name="20% - Accent2 5 2 3 2" xfId="1651" xr:uid="{00000000-0005-0000-0000-0000E7040000}"/>
    <cellStyle name="20% - Accent2 5 2 3 2 2" xfId="1652" xr:uid="{00000000-0005-0000-0000-0000E8040000}"/>
    <cellStyle name="20% - Accent2 5 2 3 2 3" xfId="1653" xr:uid="{00000000-0005-0000-0000-0000E9040000}"/>
    <cellStyle name="20% - Accent2 5 2 3 3" xfId="1654" xr:uid="{00000000-0005-0000-0000-0000EA040000}"/>
    <cellStyle name="20% - Accent2 5 2 3 3 2" xfId="1655" xr:uid="{00000000-0005-0000-0000-0000EB040000}"/>
    <cellStyle name="20% - Accent2 5 2 3 4" xfId="1656" xr:uid="{00000000-0005-0000-0000-0000EC040000}"/>
    <cellStyle name="20% - Accent2 5 2 4" xfId="1657" xr:uid="{00000000-0005-0000-0000-0000ED040000}"/>
    <cellStyle name="20% - Accent2 5 2 5" xfId="1658" xr:uid="{00000000-0005-0000-0000-0000EE040000}"/>
    <cellStyle name="20% - Accent2 5 2_Dec monthly report" xfId="1659" xr:uid="{00000000-0005-0000-0000-0000EF040000}"/>
    <cellStyle name="20% - Accent2 5 3" xfId="1660" xr:uid="{00000000-0005-0000-0000-0000F0040000}"/>
    <cellStyle name="20% - Accent2 5 3 2" xfId="1661" xr:uid="{00000000-0005-0000-0000-0000F1040000}"/>
    <cellStyle name="20% - Accent2 5 3 2 2" xfId="1662" xr:uid="{00000000-0005-0000-0000-0000F2040000}"/>
    <cellStyle name="20% - Accent2 5 3 2 3" xfId="1663" xr:uid="{00000000-0005-0000-0000-0000F3040000}"/>
    <cellStyle name="20% - Accent2 5 3 3" xfId="1664" xr:uid="{00000000-0005-0000-0000-0000F4040000}"/>
    <cellStyle name="20% - Accent2 5 3 3 2" xfId="1665" xr:uid="{00000000-0005-0000-0000-0000F5040000}"/>
    <cellStyle name="20% - Accent2 5 3 3 3" xfId="1666" xr:uid="{00000000-0005-0000-0000-0000F6040000}"/>
    <cellStyle name="20% - Accent2 5 3 4" xfId="1667" xr:uid="{00000000-0005-0000-0000-0000F7040000}"/>
    <cellStyle name="20% - Accent2 5 3 4 2" xfId="1668" xr:uid="{00000000-0005-0000-0000-0000F8040000}"/>
    <cellStyle name="20% - Accent2 5 3 5" xfId="1669" xr:uid="{00000000-0005-0000-0000-0000F9040000}"/>
    <cellStyle name="20% - Accent2 5 3 6" xfId="1670" xr:uid="{00000000-0005-0000-0000-0000FA040000}"/>
    <cellStyle name="20% - Accent2 5 3 7" xfId="1671" xr:uid="{00000000-0005-0000-0000-0000FB040000}"/>
    <cellStyle name="20% - Accent2 5 3 8" xfId="1672" xr:uid="{00000000-0005-0000-0000-0000FC040000}"/>
    <cellStyle name="20% - Accent2 5 4" xfId="1673" xr:uid="{00000000-0005-0000-0000-0000FD040000}"/>
    <cellStyle name="20% - Accent2 5 4 2" xfId="1674" xr:uid="{00000000-0005-0000-0000-0000FE040000}"/>
    <cellStyle name="20% - Accent2 5 4 2 2" xfId="1675" xr:uid="{00000000-0005-0000-0000-0000FF040000}"/>
    <cellStyle name="20% - Accent2 5 4 2 3" xfId="1676" xr:uid="{00000000-0005-0000-0000-000000050000}"/>
    <cellStyle name="20% - Accent2 5 4 3" xfId="1677" xr:uid="{00000000-0005-0000-0000-000001050000}"/>
    <cellStyle name="20% - Accent2 5 4 3 2" xfId="1678" xr:uid="{00000000-0005-0000-0000-000002050000}"/>
    <cellStyle name="20% - Accent2 5 4 3 3" xfId="1679" xr:uid="{00000000-0005-0000-0000-000003050000}"/>
    <cellStyle name="20% - Accent2 5 4 4" xfId="1680" xr:uid="{00000000-0005-0000-0000-000004050000}"/>
    <cellStyle name="20% - Accent2 5 4 5" xfId="1681" xr:uid="{00000000-0005-0000-0000-000005050000}"/>
    <cellStyle name="20% - Accent2 5 4 6" xfId="1682" xr:uid="{00000000-0005-0000-0000-000006050000}"/>
    <cellStyle name="20% - Accent2 5 4 7" xfId="1683" xr:uid="{00000000-0005-0000-0000-000007050000}"/>
    <cellStyle name="20% - Accent2 5 4 8" xfId="1684" xr:uid="{00000000-0005-0000-0000-000008050000}"/>
    <cellStyle name="20% - Accent2 5 5" xfId="1685" xr:uid="{00000000-0005-0000-0000-000009050000}"/>
    <cellStyle name="20% - Accent2 5 5 2" xfId="1686" xr:uid="{00000000-0005-0000-0000-00000A050000}"/>
    <cellStyle name="20% - Accent2 5 5 3" xfId="1687" xr:uid="{00000000-0005-0000-0000-00000B050000}"/>
    <cellStyle name="20% - Accent2 5 6" xfId="1688" xr:uid="{00000000-0005-0000-0000-00000C050000}"/>
    <cellStyle name="20% - Accent2 5 6 2" xfId="1689" xr:uid="{00000000-0005-0000-0000-00000D050000}"/>
    <cellStyle name="20% - Accent2 5 6 3" xfId="1690" xr:uid="{00000000-0005-0000-0000-00000E050000}"/>
    <cellStyle name="20% - Accent2 5 7" xfId="1691" xr:uid="{00000000-0005-0000-0000-00000F050000}"/>
    <cellStyle name="20% - Accent2 5 7 2" xfId="1692" xr:uid="{00000000-0005-0000-0000-000010050000}"/>
    <cellStyle name="20% - Accent2 5 7 3" xfId="1693" xr:uid="{00000000-0005-0000-0000-000011050000}"/>
    <cellStyle name="20% - Accent2 5 8" xfId="1694" xr:uid="{00000000-0005-0000-0000-000012050000}"/>
    <cellStyle name="20% - Accent2 5 9" xfId="1695" xr:uid="{00000000-0005-0000-0000-000013050000}"/>
    <cellStyle name="20% - Accent2 6" xfId="1696" xr:uid="{00000000-0005-0000-0000-000014050000}"/>
    <cellStyle name="20% - Accent2 6 2" xfId="1697" xr:uid="{00000000-0005-0000-0000-000015050000}"/>
    <cellStyle name="20% - Accent2 6 2 2" xfId="1698" xr:uid="{00000000-0005-0000-0000-000016050000}"/>
    <cellStyle name="20% - Accent2 6 2 2 2" xfId="1699" xr:uid="{00000000-0005-0000-0000-000017050000}"/>
    <cellStyle name="20% - Accent2 6 2 2 2 2" xfId="1700" xr:uid="{00000000-0005-0000-0000-000018050000}"/>
    <cellStyle name="20% - Accent2 6 2 2 2 3" xfId="1701" xr:uid="{00000000-0005-0000-0000-000019050000}"/>
    <cellStyle name="20% - Accent2 6 2 2 3" xfId="1702" xr:uid="{00000000-0005-0000-0000-00001A050000}"/>
    <cellStyle name="20% - Accent2 6 2 2 3 2" xfId="1703" xr:uid="{00000000-0005-0000-0000-00001B050000}"/>
    <cellStyle name="20% - Accent2 6 2 2 3 3" xfId="1704" xr:uid="{00000000-0005-0000-0000-00001C050000}"/>
    <cellStyle name="20% - Accent2 6 2 2 4" xfId="1705" xr:uid="{00000000-0005-0000-0000-00001D050000}"/>
    <cellStyle name="20% - Accent2 6 2 2 5" xfId="1706" xr:uid="{00000000-0005-0000-0000-00001E050000}"/>
    <cellStyle name="20% - Accent2 6 2 2 6" xfId="1707" xr:uid="{00000000-0005-0000-0000-00001F050000}"/>
    <cellStyle name="20% - Accent2 6 2 2 7" xfId="1708" xr:uid="{00000000-0005-0000-0000-000020050000}"/>
    <cellStyle name="20% - Accent2 6 2 2 8" xfId="1709" xr:uid="{00000000-0005-0000-0000-000021050000}"/>
    <cellStyle name="20% - Accent2 6 2 3" xfId="1710" xr:uid="{00000000-0005-0000-0000-000022050000}"/>
    <cellStyle name="20% - Accent2 6 2 3 2" xfId="1711" xr:uid="{00000000-0005-0000-0000-000023050000}"/>
    <cellStyle name="20% - Accent2 6 2 3 3" xfId="1712" xr:uid="{00000000-0005-0000-0000-000024050000}"/>
    <cellStyle name="20% - Accent2 6 2 4" xfId="1713" xr:uid="{00000000-0005-0000-0000-000025050000}"/>
    <cellStyle name="20% - Accent2 6 2 4 2" xfId="1714" xr:uid="{00000000-0005-0000-0000-000026050000}"/>
    <cellStyle name="20% - Accent2 6 2 4 3" xfId="1715" xr:uid="{00000000-0005-0000-0000-000027050000}"/>
    <cellStyle name="20% - Accent2 6 2 5" xfId="1716" xr:uid="{00000000-0005-0000-0000-000028050000}"/>
    <cellStyle name="20% - Accent2 6 2 5 2" xfId="1717" xr:uid="{00000000-0005-0000-0000-000029050000}"/>
    <cellStyle name="20% - Accent2 6 2 6" xfId="1718" xr:uid="{00000000-0005-0000-0000-00002A050000}"/>
    <cellStyle name="20% - Accent2 6 2 7" xfId="1719" xr:uid="{00000000-0005-0000-0000-00002B050000}"/>
    <cellStyle name="20% - Accent2 6 2 8" xfId="1720" xr:uid="{00000000-0005-0000-0000-00002C050000}"/>
    <cellStyle name="20% - Accent2 6 2 9" xfId="1721" xr:uid="{00000000-0005-0000-0000-00002D050000}"/>
    <cellStyle name="20% - Accent2 6 3" xfId="1722" xr:uid="{00000000-0005-0000-0000-00002E050000}"/>
    <cellStyle name="20% - Accent2 6 3 2" xfId="1723" xr:uid="{00000000-0005-0000-0000-00002F050000}"/>
    <cellStyle name="20% - Accent2 6 3 2 2" xfId="1724" xr:uid="{00000000-0005-0000-0000-000030050000}"/>
    <cellStyle name="20% - Accent2 6 3 2 3" xfId="1725" xr:uid="{00000000-0005-0000-0000-000031050000}"/>
    <cellStyle name="20% - Accent2 6 3 3" xfId="1726" xr:uid="{00000000-0005-0000-0000-000032050000}"/>
    <cellStyle name="20% - Accent2 6 3 3 2" xfId="1727" xr:uid="{00000000-0005-0000-0000-000033050000}"/>
    <cellStyle name="20% - Accent2 6 3 4" xfId="1728" xr:uid="{00000000-0005-0000-0000-000034050000}"/>
    <cellStyle name="20% - Accent2 6 4" xfId="1729" xr:uid="{00000000-0005-0000-0000-000035050000}"/>
    <cellStyle name="20% - Accent2 6 5" xfId="1730" xr:uid="{00000000-0005-0000-0000-000036050000}"/>
    <cellStyle name="20% - Accent2 6_Dec monthly report" xfId="1731" xr:uid="{00000000-0005-0000-0000-000037050000}"/>
    <cellStyle name="20% - Accent2 7" xfId="1732" xr:uid="{00000000-0005-0000-0000-000038050000}"/>
    <cellStyle name="20% - Accent2 7 2" xfId="1733" xr:uid="{00000000-0005-0000-0000-000039050000}"/>
    <cellStyle name="20% - Accent2 7 3" xfId="1734" xr:uid="{00000000-0005-0000-0000-00003A050000}"/>
    <cellStyle name="20% - Accent2 7 4" xfId="1735" xr:uid="{00000000-0005-0000-0000-00003B050000}"/>
    <cellStyle name="20% - Accent2 8" xfId="1736" xr:uid="{00000000-0005-0000-0000-00003C050000}"/>
    <cellStyle name="20% - Accent2 8 2" xfId="1737" xr:uid="{00000000-0005-0000-0000-00003D050000}"/>
    <cellStyle name="20% - Accent2 8 2 2" xfId="1738" xr:uid="{00000000-0005-0000-0000-00003E050000}"/>
    <cellStyle name="20% - Accent2 8 2 3" xfId="1739" xr:uid="{00000000-0005-0000-0000-00003F050000}"/>
    <cellStyle name="20% - Accent2 8 2 3 2" xfId="1740" xr:uid="{00000000-0005-0000-0000-000040050000}"/>
    <cellStyle name="20% - Accent2 8 3" xfId="1741" xr:uid="{00000000-0005-0000-0000-000041050000}"/>
    <cellStyle name="20% - Accent2 8 3 2" xfId="1742" xr:uid="{00000000-0005-0000-0000-000042050000}"/>
    <cellStyle name="20% - Accent2 8 3 3" xfId="1743" xr:uid="{00000000-0005-0000-0000-000043050000}"/>
    <cellStyle name="20% - Accent2 8 4" xfId="1744" xr:uid="{00000000-0005-0000-0000-000044050000}"/>
    <cellStyle name="20% - Accent2 8 4 2" xfId="1745" xr:uid="{00000000-0005-0000-0000-000045050000}"/>
    <cellStyle name="20% - Accent2 8 5" xfId="1746" xr:uid="{00000000-0005-0000-0000-000046050000}"/>
    <cellStyle name="20% - Accent2 8 6" xfId="1747" xr:uid="{00000000-0005-0000-0000-000047050000}"/>
    <cellStyle name="20% - Accent2 8 7" xfId="1748" xr:uid="{00000000-0005-0000-0000-000048050000}"/>
    <cellStyle name="20% - Accent2 8 8" xfId="1749" xr:uid="{00000000-0005-0000-0000-000049050000}"/>
    <cellStyle name="20% - Accent2 9" xfId="1750" xr:uid="{00000000-0005-0000-0000-00004A050000}"/>
    <cellStyle name="20% - Accent2 9 2" xfId="1751" xr:uid="{00000000-0005-0000-0000-00004B050000}"/>
    <cellStyle name="20% - Accent2 9 2 2" xfId="1752" xr:uid="{00000000-0005-0000-0000-00004C050000}"/>
    <cellStyle name="20% - Accent2 9 2 3" xfId="1753" xr:uid="{00000000-0005-0000-0000-00004D050000}"/>
    <cellStyle name="20% - Accent2 9 3" xfId="1754" xr:uid="{00000000-0005-0000-0000-00004E050000}"/>
    <cellStyle name="20% - Accent2 9 3 2" xfId="1755" xr:uid="{00000000-0005-0000-0000-00004F050000}"/>
    <cellStyle name="20% - Accent2 9 3 3" xfId="1756" xr:uid="{00000000-0005-0000-0000-000050050000}"/>
    <cellStyle name="20% - Accent2 9 4" xfId="1757" xr:uid="{00000000-0005-0000-0000-000051050000}"/>
    <cellStyle name="20% - Accent2 9 4 2" xfId="1758" xr:uid="{00000000-0005-0000-0000-000052050000}"/>
    <cellStyle name="20% - Accent2 9 5" xfId="1759" xr:uid="{00000000-0005-0000-0000-000053050000}"/>
    <cellStyle name="20% - Accent2 9 6" xfId="1760" xr:uid="{00000000-0005-0000-0000-000054050000}"/>
    <cellStyle name="20% - Accent2 9 7" xfId="1761" xr:uid="{00000000-0005-0000-0000-000055050000}"/>
    <cellStyle name="20% - Accent2 9 8" xfId="1762" xr:uid="{00000000-0005-0000-0000-000056050000}"/>
    <cellStyle name="20% - Accent3 10" xfId="1763" xr:uid="{00000000-0005-0000-0000-000057050000}"/>
    <cellStyle name="20% - Accent3 10 2" xfId="1764" xr:uid="{00000000-0005-0000-0000-000058050000}"/>
    <cellStyle name="20% - Accent3 10 2 2" xfId="1765" xr:uid="{00000000-0005-0000-0000-000059050000}"/>
    <cellStyle name="20% - Accent3 10 2 3" xfId="1766" xr:uid="{00000000-0005-0000-0000-00005A050000}"/>
    <cellStyle name="20% - Accent3 10 3" xfId="1767" xr:uid="{00000000-0005-0000-0000-00005B050000}"/>
    <cellStyle name="20% - Accent3 10 4" xfId="1768" xr:uid="{00000000-0005-0000-0000-00005C050000}"/>
    <cellStyle name="20% - Accent3 10 4 2" xfId="1769" xr:uid="{00000000-0005-0000-0000-00005D050000}"/>
    <cellStyle name="20% - Accent3 10 5" xfId="1770" xr:uid="{00000000-0005-0000-0000-00005E050000}"/>
    <cellStyle name="20% - Accent3 11" xfId="1771" xr:uid="{00000000-0005-0000-0000-00005F050000}"/>
    <cellStyle name="20% - Accent3 11 2" xfId="1772" xr:uid="{00000000-0005-0000-0000-000060050000}"/>
    <cellStyle name="20% - Accent3 11 3" xfId="1773" xr:uid="{00000000-0005-0000-0000-000061050000}"/>
    <cellStyle name="20% - Accent3 11 3 2" xfId="1774" xr:uid="{00000000-0005-0000-0000-000062050000}"/>
    <cellStyle name="20% - Accent3 12" xfId="1775" xr:uid="{00000000-0005-0000-0000-000063050000}"/>
    <cellStyle name="20% - Accent3 12 2" xfId="1776" xr:uid="{00000000-0005-0000-0000-000064050000}"/>
    <cellStyle name="20% - Accent3 12 3" xfId="1777" xr:uid="{00000000-0005-0000-0000-000065050000}"/>
    <cellStyle name="20% - Accent3 13" xfId="1778" xr:uid="{00000000-0005-0000-0000-000066050000}"/>
    <cellStyle name="20% - Accent3 13 2" xfId="1779" xr:uid="{00000000-0005-0000-0000-000067050000}"/>
    <cellStyle name="20% - Accent3 13 3" xfId="1780" xr:uid="{00000000-0005-0000-0000-000068050000}"/>
    <cellStyle name="20% - Accent3 14" xfId="1781" xr:uid="{00000000-0005-0000-0000-000069050000}"/>
    <cellStyle name="20% - Accent3 14 2" xfId="1782" xr:uid="{00000000-0005-0000-0000-00006A050000}"/>
    <cellStyle name="20% - Accent3 14 3" xfId="1783" xr:uid="{00000000-0005-0000-0000-00006B050000}"/>
    <cellStyle name="20% - Accent3 15" xfId="1784" xr:uid="{00000000-0005-0000-0000-00006C050000}"/>
    <cellStyle name="20% - Accent3 15 2" xfId="1785" xr:uid="{00000000-0005-0000-0000-00006D050000}"/>
    <cellStyle name="20% - Accent3 15 3" xfId="1786" xr:uid="{00000000-0005-0000-0000-00006E050000}"/>
    <cellStyle name="20% - Accent3 16" xfId="1787" xr:uid="{00000000-0005-0000-0000-00006F050000}"/>
    <cellStyle name="20% - Accent3 16 2" xfId="1788" xr:uid="{00000000-0005-0000-0000-000070050000}"/>
    <cellStyle name="20% - Accent3 16 3" xfId="1789" xr:uid="{00000000-0005-0000-0000-000071050000}"/>
    <cellStyle name="20% - Accent3 17" xfId="1790" xr:uid="{00000000-0005-0000-0000-000072050000}"/>
    <cellStyle name="20% - Accent3 17 2" xfId="1791" xr:uid="{00000000-0005-0000-0000-000073050000}"/>
    <cellStyle name="20% - Accent3 17 3" xfId="1792" xr:uid="{00000000-0005-0000-0000-000074050000}"/>
    <cellStyle name="20% - Accent3 18" xfId="1793" xr:uid="{00000000-0005-0000-0000-000075050000}"/>
    <cellStyle name="20% - Accent3 18 2" xfId="1794" xr:uid="{00000000-0005-0000-0000-000076050000}"/>
    <cellStyle name="20% - Accent3 18 3" xfId="1795" xr:uid="{00000000-0005-0000-0000-000077050000}"/>
    <cellStyle name="20% - Accent3 19" xfId="1796" xr:uid="{00000000-0005-0000-0000-000078050000}"/>
    <cellStyle name="20% - Accent3 19 2" xfId="1797" xr:uid="{00000000-0005-0000-0000-000079050000}"/>
    <cellStyle name="20% - Accent3 19 3" xfId="1798" xr:uid="{00000000-0005-0000-0000-00007A050000}"/>
    <cellStyle name="20% - Accent3 2" xfId="1799" xr:uid="{00000000-0005-0000-0000-00007B050000}"/>
    <cellStyle name="20% - Accent3 2 10" xfId="1800" xr:uid="{00000000-0005-0000-0000-00007C050000}"/>
    <cellStyle name="20% - Accent3 2 10 2" xfId="1801" xr:uid="{00000000-0005-0000-0000-00007D050000}"/>
    <cellStyle name="20% - Accent3 2 10 3" xfId="1802" xr:uid="{00000000-0005-0000-0000-00007E050000}"/>
    <cellStyle name="20% - Accent3 2 11" xfId="1803" xr:uid="{00000000-0005-0000-0000-00007F050000}"/>
    <cellStyle name="20% - Accent3 2 11 2" xfId="1804" xr:uid="{00000000-0005-0000-0000-000080050000}"/>
    <cellStyle name="20% - Accent3 2 11 3" xfId="1805" xr:uid="{00000000-0005-0000-0000-000081050000}"/>
    <cellStyle name="20% - Accent3 2 12" xfId="1806" xr:uid="{00000000-0005-0000-0000-000082050000}"/>
    <cellStyle name="20% - Accent3 2 12 2" xfId="1807" xr:uid="{00000000-0005-0000-0000-000083050000}"/>
    <cellStyle name="20% - Accent3 2 12 3" xfId="1808" xr:uid="{00000000-0005-0000-0000-000084050000}"/>
    <cellStyle name="20% - Accent3 2 13" xfId="1809" xr:uid="{00000000-0005-0000-0000-000085050000}"/>
    <cellStyle name="20% - Accent3 2 14" xfId="1810" xr:uid="{00000000-0005-0000-0000-000086050000}"/>
    <cellStyle name="20% - Accent3 2 2" xfId="1811" xr:uid="{00000000-0005-0000-0000-000087050000}"/>
    <cellStyle name="20% - Accent3 2 2 2" xfId="1812" xr:uid="{00000000-0005-0000-0000-000088050000}"/>
    <cellStyle name="20% - Accent3 2 2 2 2" xfId="1813" xr:uid="{00000000-0005-0000-0000-000089050000}"/>
    <cellStyle name="20% - Accent3 2 2 2 3" xfId="1814" xr:uid="{00000000-0005-0000-0000-00008A050000}"/>
    <cellStyle name="20% - Accent3 2 2 2 4" xfId="1815" xr:uid="{00000000-0005-0000-0000-00008B050000}"/>
    <cellStyle name="20% - Accent3 2 2 3" xfId="1816" xr:uid="{00000000-0005-0000-0000-00008C050000}"/>
    <cellStyle name="20% - Accent3 2 2 3 2" xfId="1817" xr:uid="{00000000-0005-0000-0000-00008D050000}"/>
    <cellStyle name="20% - Accent3 2 2 3 3" xfId="1818" xr:uid="{00000000-0005-0000-0000-00008E050000}"/>
    <cellStyle name="20% - Accent3 2 2 4" xfId="1819" xr:uid="{00000000-0005-0000-0000-00008F050000}"/>
    <cellStyle name="20% - Accent3 2 2 4 2" xfId="1820" xr:uid="{00000000-0005-0000-0000-000090050000}"/>
    <cellStyle name="20% - Accent3 2 2 4 3" xfId="1821" xr:uid="{00000000-0005-0000-0000-000091050000}"/>
    <cellStyle name="20% - Accent3 2 2 5" xfId="1822" xr:uid="{00000000-0005-0000-0000-000092050000}"/>
    <cellStyle name="20% - Accent3 2 2 6" xfId="1823" xr:uid="{00000000-0005-0000-0000-000093050000}"/>
    <cellStyle name="20% - Accent3 2 2 7" xfId="1824" xr:uid="{00000000-0005-0000-0000-000094050000}"/>
    <cellStyle name="20% - Accent3 2 2 8" xfId="1825" xr:uid="{00000000-0005-0000-0000-000095050000}"/>
    <cellStyle name="20% - Accent3 2 2_Dec monthly report" xfId="1826" xr:uid="{00000000-0005-0000-0000-000096050000}"/>
    <cellStyle name="20% - Accent3 2 3" xfId="1827" xr:uid="{00000000-0005-0000-0000-000097050000}"/>
    <cellStyle name="20% - Accent3 2 3 10" xfId="1828" xr:uid="{00000000-0005-0000-0000-000098050000}"/>
    <cellStyle name="20% - Accent3 2 3 11" xfId="1829" xr:uid="{00000000-0005-0000-0000-000099050000}"/>
    <cellStyle name="20% - Accent3 2 3 2" xfId="1830" xr:uid="{00000000-0005-0000-0000-00009A050000}"/>
    <cellStyle name="20% - Accent3 2 3 2 10" xfId="1831" xr:uid="{00000000-0005-0000-0000-00009B050000}"/>
    <cellStyle name="20% - Accent3 2 3 2 2" xfId="1832" xr:uid="{00000000-0005-0000-0000-00009C050000}"/>
    <cellStyle name="20% - Accent3 2 3 2 2 2" xfId="1833" xr:uid="{00000000-0005-0000-0000-00009D050000}"/>
    <cellStyle name="20% - Accent3 2 3 2 2 2 2" xfId="1834" xr:uid="{00000000-0005-0000-0000-00009E050000}"/>
    <cellStyle name="20% - Accent3 2 3 2 2 2 3" xfId="1835" xr:uid="{00000000-0005-0000-0000-00009F050000}"/>
    <cellStyle name="20% - Accent3 2 3 2 2 3" xfId="1836" xr:uid="{00000000-0005-0000-0000-0000A0050000}"/>
    <cellStyle name="20% - Accent3 2 3 2 2 3 2" xfId="1837" xr:uid="{00000000-0005-0000-0000-0000A1050000}"/>
    <cellStyle name="20% - Accent3 2 3 2 2 3 3" xfId="1838" xr:uid="{00000000-0005-0000-0000-0000A2050000}"/>
    <cellStyle name="20% - Accent3 2 3 2 2 4" xfId="1839" xr:uid="{00000000-0005-0000-0000-0000A3050000}"/>
    <cellStyle name="20% - Accent3 2 3 2 2 5" xfId="1840" xr:uid="{00000000-0005-0000-0000-0000A4050000}"/>
    <cellStyle name="20% - Accent3 2 3 2 2 6" xfId="1841" xr:uid="{00000000-0005-0000-0000-0000A5050000}"/>
    <cellStyle name="20% - Accent3 2 3 2 2 7" xfId="1842" xr:uid="{00000000-0005-0000-0000-0000A6050000}"/>
    <cellStyle name="20% - Accent3 2 3 2 2 8" xfId="1843" xr:uid="{00000000-0005-0000-0000-0000A7050000}"/>
    <cellStyle name="20% - Accent3 2 3 2 3" xfId="1844" xr:uid="{00000000-0005-0000-0000-0000A8050000}"/>
    <cellStyle name="20% - Accent3 2 3 2 3 2" xfId="1845" xr:uid="{00000000-0005-0000-0000-0000A9050000}"/>
    <cellStyle name="20% - Accent3 2 3 2 3 2 2" xfId="1846" xr:uid="{00000000-0005-0000-0000-0000AA050000}"/>
    <cellStyle name="20% - Accent3 2 3 2 3 2 3" xfId="1847" xr:uid="{00000000-0005-0000-0000-0000AB050000}"/>
    <cellStyle name="20% - Accent3 2 3 2 3 3" xfId="1848" xr:uid="{00000000-0005-0000-0000-0000AC050000}"/>
    <cellStyle name="20% - Accent3 2 3 2 3 3 2" xfId="1849" xr:uid="{00000000-0005-0000-0000-0000AD050000}"/>
    <cellStyle name="20% - Accent3 2 3 2 3 4" xfId="1850" xr:uid="{00000000-0005-0000-0000-0000AE050000}"/>
    <cellStyle name="20% - Accent3 2 3 2 4" xfId="1851" xr:uid="{00000000-0005-0000-0000-0000AF050000}"/>
    <cellStyle name="20% - Accent3 2 3 2 4 2" xfId="1852" xr:uid="{00000000-0005-0000-0000-0000B0050000}"/>
    <cellStyle name="20% - Accent3 2 3 2 4 3" xfId="1853" xr:uid="{00000000-0005-0000-0000-0000B1050000}"/>
    <cellStyle name="20% - Accent3 2 3 2 5" xfId="1854" xr:uid="{00000000-0005-0000-0000-0000B2050000}"/>
    <cellStyle name="20% - Accent3 2 3 2 5 2" xfId="1855" xr:uid="{00000000-0005-0000-0000-0000B3050000}"/>
    <cellStyle name="20% - Accent3 2 3 2 5 3" xfId="1856" xr:uid="{00000000-0005-0000-0000-0000B4050000}"/>
    <cellStyle name="20% - Accent3 2 3 2 6" xfId="1857" xr:uid="{00000000-0005-0000-0000-0000B5050000}"/>
    <cellStyle name="20% - Accent3 2 3 2 6 2" xfId="1858" xr:uid="{00000000-0005-0000-0000-0000B6050000}"/>
    <cellStyle name="20% - Accent3 2 3 2 7" xfId="1859" xr:uid="{00000000-0005-0000-0000-0000B7050000}"/>
    <cellStyle name="20% - Accent3 2 3 2 8" xfId="1860" xr:uid="{00000000-0005-0000-0000-0000B8050000}"/>
    <cellStyle name="20% - Accent3 2 3 2 9" xfId="1861" xr:uid="{00000000-0005-0000-0000-0000B9050000}"/>
    <cellStyle name="20% - Accent3 2 3 3" xfId="1862" xr:uid="{00000000-0005-0000-0000-0000BA050000}"/>
    <cellStyle name="20% - Accent3 2 3 3 2" xfId="1863" xr:uid="{00000000-0005-0000-0000-0000BB050000}"/>
    <cellStyle name="20% - Accent3 2 3 3 2 2" xfId="1864" xr:uid="{00000000-0005-0000-0000-0000BC050000}"/>
    <cellStyle name="20% - Accent3 2 3 3 2 3" xfId="1865" xr:uid="{00000000-0005-0000-0000-0000BD050000}"/>
    <cellStyle name="20% - Accent3 2 3 3 3" xfId="1866" xr:uid="{00000000-0005-0000-0000-0000BE050000}"/>
    <cellStyle name="20% - Accent3 2 3 3 3 2" xfId="1867" xr:uid="{00000000-0005-0000-0000-0000BF050000}"/>
    <cellStyle name="20% - Accent3 2 3 3 3 3" xfId="1868" xr:uid="{00000000-0005-0000-0000-0000C0050000}"/>
    <cellStyle name="20% - Accent3 2 3 3 4" xfId="1869" xr:uid="{00000000-0005-0000-0000-0000C1050000}"/>
    <cellStyle name="20% - Accent3 2 3 3 5" xfId="1870" xr:uid="{00000000-0005-0000-0000-0000C2050000}"/>
    <cellStyle name="20% - Accent3 2 3 3 6" xfId="1871" xr:uid="{00000000-0005-0000-0000-0000C3050000}"/>
    <cellStyle name="20% - Accent3 2 3 3 7" xfId="1872" xr:uid="{00000000-0005-0000-0000-0000C4050000}"/>
    <cellStyle name="20% - Accent3 2 3 3 8" xfId="1873" xr:uid="{00000000-0005-0000-0000-0000C5050000}"/>
    <cellStyle name="20% - Accent3 2 3 4" xfId="1874" xr:uid="{00000000-0005-0000-0000-0000C6050000}"/>
    <cellStyle name="20% - Accent3 2 3 4 2" xfId="1875" xr:uid="{00000000-0005-0000-0000-0000C7050000}"/>
    <cellStyle name="20% - Accent3 2 3 4 2 2" xfId="1876" xr:uid="{00000000-0005-0000-0000-0000C8050000}"/>
    <cellStyle name="20% - Accent3 2 3 4 2 3" xfId="1877" xr:uid="{00000000-0005-0000-0000-0000C9050000}"/>
    <cellStyle name="20% - Accent3 2 3 4 3" xfId="1878" xr:uid="{00000000-0005-0000-0000-0000CA050000}"/>
    <cellStyle name="20% - Accent3 2 3 4 3 2" xfId="1879" xr:uid="{00000000-0005-0000-0000-0000CB050000}"/>
    <cellStyle name="20% - Accent3 2 3 4 4" xfId="1880" xr:uid="{00000000-0005-0000-0000-0000CC050000}"/>
    <cellStyle name="20% - Accent3 2 3 5" xfId="1881" xr:uid="{00000000-0005-0000-0000-0000CD050000}"/>
    <cellStyle name="20% - Accent3 2 3 5 2" xfId="1882" xr:uid="{00000000-0005-0000-0000-0000CE050000}"/>
    <cellStyle name="20% - Accent3 2 3 5 3" xfId="1883" xr:uid="{00000000-0005-0000-0000-0000CF050000}"/>
    <cellStyle name="20% - Accent3 2 3 6" xfId="1884" xr:uid="{00000000-0005-0000-0000-0000D0050000}"/>
    <cellStyle name="20% - Accent3 2 3 6 2" xfId="1885" xr:uid="{00000000-0005-0000-0000-0000D1050000}"/>
    <cellStyle name="20% - Accent3 2 3 6 3" xfId="1886" xr:uid="{00000000-0005-0000-0000-0000D2050000}"/>
    <cellStyle name="20% - Accent3 2 3 7" xfId="1887" xr:uid="{00000000-0005-0000-0000-0000D3050000}"/>
    <cellStyle name="20% - Accent3 2 3 7 2" xfId="1888" xr:uid="{00000000-0005-0000-0000-0000D4050000}"/>
    <cellStyle name="20% - Accent3 2 3 8" xfId="1889" xr:uid="{00000000-0005-0000-0000-0000D5050000}"/>
    <cellStyle name="20% - Accent3 2 3 9" xfId="1890" xr:uid="{00000000-0005-0000-0000-0000D6050000}"/>
    <cellStyle name="20% - Accent3 2 4" xfId="1891" xr:uid="{00000000-0005-0000-0000-0000D7050000}"/>
    <cellStyle name="20% - Accent3 2 4 10" xfId="1892" xr:uid="{00000000-0005-0000-0000-0000D8050000}"/>
    <cellStyle name="20% - Accent3 2 4 11" xfId="1893" xr:uid="{00000000-0005-0000-0000-0000D9050000}"/>
    <cellStyle name="20% - Accent3 2 4 2" xfId="1894" xr:uid="{00000000-0005-0000-0000-0000DA050000}"/>
    <cellStyle name="20% - Accent3 2 4 2 10" xfId="1895" xr:uid="{00000000-0005-0000-0000-0000DB050000}"/>
    <cellStyle name="20% - Accent3 2 4 2 2" xfId="1896" xr:uid="{00000000-0005-0000-0000-0000DC050000}"/>
    <cellStyle name="20% - Accent3 2 4 2 2 2" xfId="1897" xr:uid="{00000000-0005-0000-0000-0000DD050000}"/>
    <cellStyle name="20% - Accent3 2 4 2 2 2 2" xfId="1898" xr:uid="{00000000-0005-0000-0000-0000DE050000}"/>
    <cellStyle name="20% - Accent3 2 4 2 2 2 3" xfId="1899" xr:uid="{00000000-0005-0000-0000-0000DF050000}"/>
    <cellStyle name="20% - Accent3 2 4 2 2 3" xfId="1900" xr:uid="{00000000-0005-0000-0000-0000E0050000}"/>
    <cellStyle name="20% - Accent3 2 4 2 2 3 2" xfId="1901" xr:uid="{00000000-0005-0000-0000-0000E1050000}"/>
    <cellStyle name="20% - Accent3 2 4 2 2 3 3" xfId="1902" xr:uid="{00000000-0005-0000-0000-0000E2050000}"/>
    <cellStyle name="20% - Accent3 2 4 2 2 4" xfId="1903" xr:uid="{00000000-0005-0000-0000-0000E3050000}"/>
    <cellStyle name="20% - Accent3 2 4 2 2 5" xfId="1904" xr:uid="{00000000-0005-0000-0000-0000E4050000}"/>
    <cellStyle name="20% - Accent3 2 4 2 2 6" xfId="1905" xr:uid="{00000000-0005-0000-0000-0000E5050000}"/>
    <cellStyle name="20% - Accent3 2 4 2 2 7" xfId="1906" xr:uid="{00000000-0005-0000-0000-0000E6050000}"/>
    <cellStyle name="20% - Accent3 2 4 2 2 8" xfId="1907" xr:uid="{00000000-0005-0000-0000-0000E7050000}"/>
    <cellStyle name="20% - Accent3 2 4 2 3" xfId="1908" xr:uid="{00000000-0005-0000-0000-0000E8050000}"/>
    <cellStyle name="20% - Accent3 2 4 2 3 2" xfId="1909" xr:uid="{00000000-0005-0000-0000-0000E9050000}"/>
    <cellStyle name="20% - Accent3 2 4 2 3 2 2" xfId="1910" xr:uid="{00000000-0005-0000-0000-0000EA050000}"/>
    <cellStyle name="20% - Accent3 2 4 2 3 2 3" xfId="1911" xr:uid="{00000000-0005-0000-0000-0000EB050000}"/>
    <cellStyle name="20% - Accent3 2 4 2 3 3" xfId="1912" xr:uid="{00000000-0005-0000-0000-0000EC050000}"/>
    <cellStyle name="20% - Accent3 2 4 2 3 3 2" xfId="1913" xr:uid="{00000000-0005-0000-0000-0000ED050000}"/>
    <cellStyle name="20% - Accent3 2 4 2 3 4" xfId="1914" xr:uid="{00000000-0005-0000-0000-0000EE050000}"/>
    <cellStyle name="20% - Accent3 2 4 2 4" xfId="1915" xr:uid="{00000000-0005-0000-0000-0000EF050000}"/>
    <cellStyle name="20% - Accent3 2 4 2 4 2" xfId="1916" xr:uid="{00000000-0005-0000-0000-0000F0050000}"/>
    <cellStyle name="20% - Accent3 2 4 2 4 3" xfId="1917" xr:uid="{00000000-0005-0000-0000-0000F1050000}"/>
    <cellStyle name="20% - Accent3 2 4 2 5" xfId="1918" xr:uid="{00000000-0005-0000-0000-0000F2050000}"/>
    <cellStyle name="20% - Accent3 2 4 2 5 2" xfId="1919" xr:uid="{00000000-0005-0000-0000-0000F3050000}"/>
    <cellStyle name="20% - Accent3 2 4 2 5 3" xfId="1920" xr:uid="{00000000-0005-0000-0000-0000F4050000}"/>
    <cellStyle name="20% - Accent3 2 4 2 6" xfId="1921" xr:uid="{00000000-0005-0000-0000-0000F5050000}"/>
    <cellStyle name="20% - Accent3 2 4 2 6 2" xfId="1922" xr:uid="{00000000-0005-0000-0000-0000F6050000}"/>
    <cellStyle name="20% - Accent3 2 4 2 7" xfId="1923" xr:uid="{00000000-0005-0000-0000-0000F7050000}"/>
    <cellStyle name="20% - Accent3 2 4 2 8" xfId="1924" xr:uid="{00000000-0005-0000-0000-0000F8050000}"/>
    <cellStyle name="20% - Accent3 2 4 2 9" xfId="1925" xr:uid="{00000000-0005-0000-0000-0000F9050000}"/>
    <cellStyle name="20% - Accent3 2 4 3" xfId="1926" xr:uid="{00000000-0005-0000-0000-0000FA050000}"/>
    <cellStyle name="20% - Accent3 2 4 3 2" xfId="1927" xr:uid="{00000000-0005-0000-0000-0000FB050000}"/>
    <cellStyle name="20% - Accent3 2 4 3 2 2" xfId="1928" xr:uid="{00000000-0005-0000-0000-0000FC050000}"/>
    <cellStyle name="20% - Accent3 2 4 3 2 3" xfId="1929" xr:uid="{00000000-0005-0000-0000-0000FD050000}"/>
    <cellStyle name="20% - Accent3 2 4 3 3" xfId="1930" xr:uid="{00000000-0005-0000-0000-0000FE050000}"/>
    <cellStyle name="20% - Accent3 2 4 3 3 2" xfId="1931" xr:uid="{00000000-0005-0000-0000-0000FF050000}"/>
    <cellStyle name="20% - Accent3 2 4 3 3 3" xfId="1932" xr:uid="{00000000-0005-0000-0000-000000060000}"/>
    <cellStyle name="20% - Accent3 2 4 3 4" xfId="1933" xr:uid="{00000000-0005-0000-0000-000001060000}"/>
    <cellStyle name="20% - Accent3 2 4 3 5" xfId="1934" xr:uid="{00000000-0005-0000-0000-000002060000}"/>
    <cellStyle name="20% - Accent3 2 4 3 6" xfId="1935" xr:uid="{00000000-0005-0000-0000-000003060000}"/>
    <cellStyle name="20% - Accent3 2 4 3 7" xfId="1936" xr:uid="{00000000-0005-0000-0000-000004060000}"/>
    <cellStyle name="20% - Accent3 2 4 3 8" xfId="1937" xr:uid="{00000000-0005-0000-0000-000005060000}"/>
    <cellStyle name="20% - Accent3 2 4 4" xfId="1938" xr:uid="{00000000-0005-0000-0000-000006060000}"/>
    <cellStyle name="20% - Accent3 2 4 4 2" xfId="1939" xr:uid="{00000000-0005-0000-0000-000007060000}"/>
    <cellStyle name="20% - Accent3 2 4 4 2 2" xfId="1940" xr:uid="{00000000-0005-0000-0000-000008060000}"/>
    <cellStyle name="20% - Accent3 2 4 4 2 3" xfId="1941" xr:uid="{00000000-0005-0000-0000-000009060000}"/>
    <cellStyle name="20% - Accent3 2 4 4 3" xfId="1942" xr:uid="{00000000-0005-0000-0000-00000A060000}"/>
    <cellStyle name="20% - Accent3 2 4 4 3 2" xfId="1943" xr:uid="{00000000-0005-0000-0000-00000B060000}"/>
    <cellStyle name="20% - Accent3 2 4 4 4" xfId="1944" xr:uid="{00000000-0005-0000-0000-00000C060000}"/>
    <cellStyle name="20% - Accent3 2 4 5" xfId="1945" xr:uid="{00000000-0005-0000-0000-00000D060000}"/>
    <cellStyle name="20% - Accent3 2 4 5 2" xfId="1946" xr:uid="{00000000-0005-0000-0000-00000E060000}"/>
    <cellStyle name="20% - Accent3 2 4 5 3" xfId="1947" xr:uid="{00000000-0005-0000-0000-00000F060000}"/>
    <cellStyle name="20% - Accent3 2 4 6" xfId="1948" xr:uid="{00000000-0005-0000-0000-000010060000}"/>
    <cellStyle name="20% - Accent3 2 4 6 2" xfId="1949" xr:uid="{00000000-0005-0000-0000-000011060000}"/>
    <cellStyle name="20% - Accent3 2 4 6 3" xfId="1950" xr:uid="{00000000-0005-0000-0000-000012060000}"/>
    <cellStyle name="20% - Accent3 2 4 7" xfId="1951" xr:uid="{00000000-0005-0000-0000-000013060000}"/>
    <cellStyle name="20% - Accent3 2 4 7 2" xfId="1952" xr:uid="{00000000-0005-0000-0000-000014060000}"/>
    <cellStyle name="20% - Accent3 2 4 8" xfId="1953" xr:uid="{00000000-0005-0000-0000-000015060000}"/>
    <cellStyle name="20% - Accent3 2 4 9" xfId="1954" xr:uid="{00000000-0005-0000-0000-000016060000}"/>
    <cellStyle name="20% - Accent3 2 5" xfId="1955" xr:uid="{00000000-0005-0000-0000-000017060000}"/>
    <cellStyle name="20% - Accent3 2 5 10" xfId="1956" xr:uid="{00000000-0005-0000-0000-000018060000}"/>
    <cellStyle name="20% - Accent3 2 5 11" xfId="1957" xr:uid="{00000000-0005-0000-0000-000019060000}"/>
    <cellStyle name="20% - Accent3 2 5 2" xfId="1958" xr:uid="{00000000-0005-0000-0000-00001A060000}"/>
    <cellStyle name="20% - Accent3 2 5 2 2" xfId="1959" xr:uid="{00000000-0005-0000-0000-00001B060000}"/>
    <cellStyle name="20% - Accent3 2 5 2 2 2" xfId="1960" xr:uid="{00000000-0005-0000-0000-00001C060000}"/>
    <cellStyle name="20% - Accent3 2 5 2 2 2 2" xfId="1961" xr:uid="{00000000-0005-0000-0000-00001D060000}"/>
    <cellStyle name="20% - Accent3 2 5 2 2 2 3" xfId="1962" xr:uid="{00000000-0005-0000-0000-00001E060000}"/>
    <cellStyle name="20% - Accent3 2 5 2 2 3" xfId="1963" xr:uid="{00000000-0005-0000-0000-00001F060000}"/>
    <cellStyle name="20% - Accent3 2 5 2 2 3 2" xfId="1964" xr:uid="{00000000-0005-0000-0000-000020060000}"/>
    <cellStyle name="20% - Accent3 2 5 2 2 3 3" xfId="1965" xr:uid="{00000000-0005-0000-0000-000021060000}"/>
    <cellStyle name="20% - Accent3 2 5 2 2 4" xfId="1966" xr:uid="{00000000-0005-0000-0000-000022060000}"/>
    <cellStyle name="20% - Accent3 2 5 2 2 5" xfId="1967" xr:uid="{00000000-0005-0000-0000-000023060000}"/>
    <cellStyle name="20% - Accent3 2 5 2 2 6" xfId="1968" xr:uid="{00000000-0005-0000-0000-000024060000}"/>
    <cellStyle name="20% - Accent3 2 5 2 2 7" xfId="1969" xr:uid="{00000000-0005-0000-0000-000025060000}"/>
    <cellStyle name="20% - Accent3 2 5 2 2 8" xfId="1970" xr:uid="{00000000-0005-0000-0000-000026060000}"/>
    <cellStyle name="20% - Accent3 2 5 2 3" xfId="1971" xr:uid="{00000000-0005-0000-0000-000027060000}"/>
    <cellStyle name="20% - Accent3 2 5 2 3 2" xfId="1972" xr:uid="{00000000-0005-0000-0000-000028060000}"/>
    <cellStyle name="20% - Accent3 2 5 2 3 2 2" xfId="1973" xr:uid="{00000000-0005-0000-0000-000029060000}"/>
    <cellStyle name="20% - Accent3 2 5 2 3 2 3" xfId="1974" xr:uid="{00000000-0005-0000-0000-00002A060000}"/>
    <cellStyle name="20% - Accent3 2 5 2 3 3" xfId="1975" xr:uid="{00000000-0005-0000-0000-00002B060000}"/>
    <cellStyle name="20% - Accent3 2 5 2 3 3 2" xfId="1976" xr:uid="{00000000-0005-0000-0000-00002C060000}"/>
    <cellStyle name="20% - Accent3 2 5 2 3 4" xfId="1977" xr:uid="{00000000-0005-0000-0000-00002D060000}"/>
    <cellStyle name="20% - Accent3 2 5 2 4" xfId="1978" xr:uid="{00000000-0005-0000-0000-00002E060000}"/>
    <cellStyle name="20% - Accent3 2 5 2 4 2" xfId="1979" xr:uid="{00000000-0005-0000-0000-00002F060000}"/>
    <cellStyle name="20% - Accent3 2 5 2 4 3" xfId="1980" xr:uid="{00000000-0005-0000-0000-000030060000}"/>
    <cellStyle name="20% - Accent3 2 5 2 5" xfId="1981" xr:uid="{00000000-0005-0000-0000-000031060000}"/>
    <cellStyle name="20% - Accent3 2 5 2 6" xfId="1982" xr:uid="{00000000-0005-0000-0000-000032060000}"/>
    <cellStyle name="20% - Accent3 2 5 2 6 2" xfId="1983" xr:uid="{00000000-0005-0000-0000-000033060000}"/>
    <cellStyle name="20% - Accent3 2 5 2 7" xfId="1984" xr:uid="{00000000-0005-0000-0000-000034060000}"/>
    <cellStyle name="20% - Accent3 2 5 2 8" xfId="1985" xr:uid="{00000000-0005-0000-0000-000035060000}"/>
    <cellStyle name="20% - Accent3 2 5 2 9" xfId="1986" xr:uid="{00000000-0005-0000-0000-000036060000}"/>
    <cellStyle name="20% - Accent3 2 5 3" xfId="1987" xr:uid="{00000000-0005-0000-0000-000037060000}"/>
    <cellStyle name="20% - Accent3 2 5 3 2" xfId="1988" xr:uid="{00000000-0005-0000-0000-000038060000}"/>
    <cellStyle name="20% - Accent3 2 5 3 2 2" xfId="1989" xr:uid="{00000000-0005-0000-0000-000039060000}"/>
    <cellStyle name="20% - Accent3 2 5 3 2 3" xfId="1990" xr:uid="{00000000-0005-0000-0000-00003A060000}"/>
    <cellStyle name="20% - Accent3 2 5 3 3" xfId="1991" xr:uid="{00000000-0005-0000-0000-00003B060000}"/>
    <cellStyle name="20% - Accent3 2 5 3 3 2" xfId="1992" xr:uid="{00000000-0005-0000-0000-00003C060000}"/>
    <cellStyle name="20% - Accent3 2 5 3 3 3" xfId="1993" xr:uid="{00000000-0005-0000-0000-00003D060000}"/>
    <cellStyle name="20% - Accent3 2 5 3 4" xfId="1994" xr:uid="{00000000-0005-0000-0000-00003E060000}"/>
    <cellStyle name="20% - Accent3 2 5 3 5" xfId="1995" xr:uid="{00000000-0005-0000-0000-00003F060000}"/>
    <cellStyle name="20% - Accent3 2 5 3 6" xfId="1996" xr:uid="{00000000-0005-0000-0000-000040060000}"/>
    <cellStyle name="20% - Accent3 2 5 3 7" xfId="1997" xr:uid="{00000000-0005-0000-0000-000041060000}"/>
    <cellStyle name="20% - Accent3 2 5 3 8" xfId="1998" xr:uid="{00000000-0005-0000-0000-000042060000}"/>
    <cellStyle name="20% - Accent3 2 5 4" xfId="1999" xr:uid="{00000000-0005-0000-0000-000043060000}"/>
    <cellStyle name="20% - Accent3 2 5 4 2" xfId="2000" xr:uid="{00000000-0005-0000-0000-000044060000}"/>
    <cellStyle name="20% - Accent3 2 5 4 2 2" xfId="2001" xr:uid="{00000000-0005-0000-0000-000045060000}"/>
    <cellStyle name="20% - Accent3 2 5 4 2 3" xfId="2002" xr:uid="{00000000-0005-0000-0000-000046060000}"/>
    <cellStyle name="20% - Accent3 2 5 4 3" xfId="2003" xr:uid="{00000000-0005-0000-0000-000047060000}"/>
    <cellStyle name="20% - Accent3 2 5 4 3 2" xfId="2004" xr:uid="{00000000-0005-0000-0000-000048060000}"/>
    <cellStyle name="20% - Accent3 2 5 4 4" xfId="2005" xr:uid="{00000000-0005-0000-0000-000049060000}"/>
    <cellStyle name="20% - Accent3 2 5 5" xfId="2006" xr:uid="{00000000-0005-0000-0000-00004A060000}"/>
    <cellStyle name="20% - Accent3 2 5 5 2" xfId="2007" xr:uid="{00000000-0005-0000-0000-00004B060000}"/>
    <cellStyle name="20% - Accent3 2 5 5 3" xfId="2008" xr:uid="{00000000-0005-0000-0000-00004C060000}"/>
    <cellStyle name="20% - Accent3 2 5 6" xfId="2009" xr:uid="{00000000-0005-0000-0000-00004D060000}"/>
    <cellStyle name="20% - Accent3 2 5 6 2" xfId="2010" xr:uid="{00000000-0005-0000-0000-00004E060000}"/>
    <cellStyle name="20% - Accent3 2 5 6 3" xfId="2011" xr:uid="{00000000-0005-0000-0000-00004F060000}"/>
    <cellStyle name="20% - Accent3 2 5 7" xfId="2012" xr:uid="{00000000-0005-0000-0000-000050060000}"/>
    <cellStyle name="20% - Accent3 2 5 7 2" xfId="2013" xr:uid="{00000000-0005-0000-0000-000051060000}"/>
    <cellStyle name="20% - Accent3 2 5 8" xfId="2014" xr:uid="{00000000-0005-0000-0000-000052060000}"/>
    <cellStyle name="20% - Accent3 2 5 9" xfId="2015" xr:uid="{00000000-0005-0000-0000-000053060000}"/>
    <cellStyle name="20% - Accent3 2 6" xfId="2016" xr:uid="{00000000-0005-0000-0000-000054060000}"/>
    <cellStyle name="20% - Accent3 2 6 10" xfId="2017" xr:uid="{00000000-0005-0000-0000-000055060000}"/>
    <cellStyle name="20% - Accent3 2 6 11" xfId="2018" xr:uid="{00000000-0005-0000-0000-000056060000}"/>
    <cellStyle name="20% - Accent3 2 6 2" xfId="2019" xr:uid="{00000000-0005-0000-0000-000057060000}"/>
    <cellStyle name="20% - Accent3 2 6 2 2" xfId="2020" xr:uid="{00000000-0005-0000-0000-000058060000}"/>
    <cellStyle name="20% - Accent3 2 6 2 2 2" xfId="2021" xr:uid="{00000000-0005-0000-0000-000059060000}"/>
    <cellStyle name="20% - Accent3 2 6 2 2 2 2" xfId="2022" xr:uid="{00000000-0005-0000-0000-00005A060000}"/>
    <cellStyle name="20% - Accent3 2 6 2 2 2 3" xfId="2023" xr:uid="{00000000-0005-0000-0000-00005B060000}"/>
    <cellStyle name="20% - Accent3 2 6 2 2 3" xfId="2024" xr:uid="{00000000-0005-0000-0000-00005C060000}"/>
    <cellStyle name="20% - Accent3 2 6 2 2 3 2" xfId="2025" xr:uid="{00000000-0005-0000-0000-00005D060000}"/>
    <cellStyle name="20% - Accent3 2 6 2 2 3 3" xfId="2026" xr:uid="{00000000-0005-0000-0000-00005E060000}"/>
    <cellStyle name="20% - Accent3 2 6 2 2 4" xfId="2027" xr:uid="{00000000-0005-0000-0000-00005F060000}"/>
    <cellStyle name="20% - Accent3 2 6 2 2 5" xfId="2028" xr:uid="{00000000-0005-0000-0000-000060060000}"/>
    <cellStyle name="20% - Accent3 2 6 2 2 6" xfId="2029" xr:uid="{00000000-0005-0000-0000-000061060000}"/>
    <cellStyle name="20% - Accent3 2 6 2 2 7" xfId="2030" xr:uid="{00000000-0005-0000-0000-000062060000}"/>
    <cellStyle name="20% - Accent3 2 6 2 2 8" xfId="2031" xr:uid="{00000000-0005-0000-0000-000063060000}"/>
    <cellStyle name="20% - Accent3 2 6 2 3" xfId="2032" xr:uid="{00000000-0005-0000-0000-000064060000}"/>
    <cellStyle name="20% - Accent3 2 6 2 3 2" xfId="2033" xr:uid="{00000000-0005-0000-0000-000065060000}"/>
    <cellStyle name="20% - Accent3 2 6 2 3 2 2" xfId="2034" xr:uid="{00000000-0005-0000-0000-000066060000}"/>
    <cellStyle name="20% - Accent3 2 6 2 3 2 3" xfId="2035" xr:uid="{00000000-0005-0000-0000-000067060000}"/>
    <cellStyle name="20% - Accent3 2 6 2 3 3" xfId="2036" xr:uid="{00000000-0005-0000-0000-000068060000}"/>
    <cellStyle name="20% - Accent3 2 6 2 3 3 2" xfId="2037" xr:uid="{00000000-0005-0000-0000-000069060000}"/>
    <cellStyle name="20% - Accent3 2 6 2 3 4" xfId="2038" xr:uid="{00000000-0005-0000-0000-00006A060000}"/>
    <cellStyle name="20% - Accent3 2 6 2 4" xfId="2039" xr:uid="{00000000-0005-0000-0000-00006B060000}"/>
    <cellStyle name="20% - Accent3 2 6 2 4 2" xfId="2040" xr:uid="{00000000-0005-0000-0000-00006C060000}"/>
    <cellStyle name="20% - Accent3 2 6 2 4 3" xfId="2041" xr:uid="{00000000-0005-0000-0000-00006D060000}"/>
    <cellStyle name="20% - Accent3 2 6 2 5" xfId="2042" xr:uid="{00000000-0005-0000-0000-00006E060000}"/>
    <cellStyle name="20% - Accent3 2 6 2 6" xfId="2043" xr:uid="{00000000-0005-0000-0000-00006F060000}"/>
    <cellStyle name="20% - Accent3 2 6 2 6 2" xfId="2044" xr:uid="{00000000-0005-0000-0000-000070060000}"/>
    <cellStyle name="20% - Accent3 2 6 2 7" xfId="2045" xr:uid="{00000000-0005-0000-0000-000071060000}"/>
    <cellStyle name="20% - Accent3 2 6 2 8" xfId="2046" xr:uid="{00000000-0005-0000-0000-000072060000}"/>
    <cellStyle name="20% - Accent3 2 6 2 9" xfId="2047" xr:uid="{00000000-0005-0000-0000-000073060000}"/>
    <cellStyle name="20% - Accent3 2 6 3" xfId="2048" xr:uid="{00000000-0005-0000-0000-000074060000}"/>
    <cellStyle name="20% - Accent3 2 6 3 2" xfId="2049" xr:uid="{00000000-0005-0000-0000-000075060000}"/>
    <cellStyle name="20% - Accent3 2 6 3 2 2" xfId="2050" xr:uid="{00000000-0005-0000-0000-000076060000}"/>
    <cellStyle name="20% - Accent3 2 6 3 2 3" xfId="2051" xr:uid="{00000000-0005-0000-0000-000077060000}"/>
    <cellStyle name="20% - Accent3 2 6 3 3" xfId="2052" xr:uid="{00000000-0005-0000-0000-000078060000}"/>
    <cellStyle name="20% - Accent3 2 6 3 3 2" xfId="2053" xr:uid="{00000000-0005-0000-0000-000079060000}"/>
    <cellStyle name="20% - Accent3 2 6 3 3 3" xfId="2054" xr:uid="{00000000-0005-0000-0000-00007A060000}"/>
    <cellStyle name="20% - Accent3 2 6 3 4" xfId="2055" xr:uid="{00000000-0005-0000-0000-00007B060000}"/>
    <cellStyle name="20% - Accent3 2 6 3 5" xfId="2056" xr:uid="{00000000-0005-0000-0000-00007C060000}"/>
    <cellStyle name="20% - Accent3 2 6 3 6" xfId="2057" xr:uid="{00000000-0005-0000-0000-00007D060000}"/>
    <cellStyle name="20% - Accent3 2 6 3 7" xfId="2058" xr:uid="{00000000-0005-0000-0000-00007E060000}"/>
    <cellStyle name="20% - Accent3 2 6 3 8" xfId="2059" xr:uid="{00000000-0005-0000-0000-00007F060000}"/>
    <cellStyle name="20% - Accent3 2 6 4" xfId="2060" xr:uid="{00000000-0005-0000-0000-000080060000}"/>
    <cellStyle name="20% - Accent3 2 6 4 2" xfId="2061" xr:uid="{00000000-0005-0000-0000-000081060000}"/>
    <cellStyle name="20% - Accent3 2 6 4 2 2" xfId="2062" xr:uid="{00000000-0005-0000-0000-000082060000}"/>
    <cellStyle name="20% - Accent3 2 6 4 2 3" xfId="2063" xr:uid="{00000000-0005-0000-0000-000083060000}"/>
    <cellStyle name="20% - Accent3 2 6 4 3" xfId="2064" xr:uid="{00000000-0005-0000-0000-000084060000}"/>
    <cellStyle name="20% - Accent3 2 6 4 3 2" xfId="2065" xr:uid="{00000000-0005-0000-0000-000085060000}"/>
    <cellStyle name="20% - Accent3 2 6 4 4" xfId="2066" xr:uid="{00000000-0005-0000-0000-000086060000}"/>
    <cellStyle name="20% - Accent3 2 6 5" xfId="2067" xr:uid="{00000000-0005-0000-0000-000087060000}"/>
    <cellStyle name="20% - Accent3 2 6 5 2" xfId="2068" xr:uid="{00000000-0005-0000-0000-000088060000}"/>
    <cellStyle name="20% - Accent3 2 6 5 3" xfId="2069" xr:uid="{00000000-0005-0000-0000-000089060000}"/>
    <cellStyle name="20% - Accent3 2 6 6" xfId="2070" xr:uid="{00000000-0005-0000-0000-00008A060000}"/>
    <cellStyle name="20% - Accent3 2 6 6 2" xfId="2071" xr:uid="{00000000-0005-0000-0000-00008B060000}"/>
    <cellStyle name="20% - Accent3 2 6 6 3" xfId="2072" xr:uid="{00000000-0005-0000-0000-00008C060000}"/>
    <cellStyle name="20% - Accent3 2 6 7" xfId="2073" xr:uid="{00000000-0005-0000-0000-00008D060000}"/>
    <cellStyle name="20% - Accent3 2 6 7 2" xfId="2074" xr:uid="{00000000-0005-0000-0000-00008E060000}"/>
    <cellStyle name="20% - Accent3 2 6 8" xfId="2075" xr:uid="{00000000-0005-0000-0000-00008F060000}"/>
    <cellStyle name="20% - Accent3 2 6 9" xfId="2076" xr:uid="{00000000-0005-0000-0000-000090060000}"/>
    <cellStyle name="20% - Accent3 2 7" xfId="2077" xr:uid="{00000000-0005-0000-0000-000091060000}"/>
    <cellStyle name="20% - Accent3 2 7 2" xfId="2078" xr:uid="{00000000-0005-0000-0000-000092060000}"/>
    <cellStyle name="20% - Accent3 2 7 2 2" xfId="2079" xr:uid="{00000000-0005-0000-0000-000093060000}"/>
    <cellStyle name="20% - Accent3 2 7 2 3" xfId="2080" xr:uid="{00000000-0005-0000-0000-000094060000}"/>
    <cellStyle name="20% - Accent3 2 7 3" xfId="2081" xr:uid="{00000000-0005-0000-0000-000095060000}"/>
    <cellStyle name="20% - Accent3 2 7 3 2" xfId="2082" xr:uid="{00000000-0005-0000-0000-000096060000}"/>
    <cellStyle name="20% - Accent3 2 7 4" xfId="2083" xr:uid="{00000000-0005-0000-0000-000097060000}"/>
    <cellStyle name="20% - Accent3 2 8" xfId="2084" xr:uid="{00000000-0005-0000-0000-000098060000}"/>
    <cellStyle name="20% - Accent3 2 8 2" xfId="2085" xr:uid="{00000000-0005-0000-0000-000099060000}"/>
    <cellStyle name="20% - Accent3 2 8 3" xfId="2086" xr:uid="{00000000-0005-0000-0000-00009A060000}"/>
    <cellStyle name="20% - Accent3 2 9" xfId="2087" xr:uid="{00000000-0005-0000-0000-00009B060000}"/>
    <cellStyle name="20% - Accent3 2 9 2" xfId="2088" xr:uid="{00000000-0005-0000-0000-00009C060000}"/>
    <cellStyle name="20% - Accent3 2 9 3" xfId="2089" xr:uid="{00000000-0005-0000-0000-00009D060000}"/>
    <cellStyle name="20% - Accent3 2_Dec monthly report" xfId="2090" xr:uid="{00000000-0005-0000-0000-00009E060000}"/>
    <cellStyle name="20% - Accent3 20" xfId="2091" xr:uid="{00000000-0005-0000-0000-00009F060000}"/>
    <cellStyle name="20% - Accent3 20 2" xfId="2092" xr:uid="{00000000-0005-0000-0000-0000A0060000}"/>
    <cellStyle name="20% - Accent3 20 3" xfId="2093" xr:uid="{00000000-0005-0000-0000-0000A1060000}"/>
    <cellStyle name="20% - Accent3 21" xfId="2094" xr:uid="{00000000-0005-0000-0000-0000A2060000}"/>
    <cellStyle name="20% - Accent3 21 2" xfId="2095" xr:uid="{00000000-0005-0000-0000-0000A3060000}"/>
    <cellStyle name="20% - Accent3 21 3" xfId="2096" xr:uid="{00000000-0005-0000-0000-0000A4060000}"/>
    <cellStyle name="20% - Accent3 22" xfId="2097" xr:uid="{00000000-0005-0000-0000-0000A5060000}"/>
    <cellStyle name="20% - Accent3 23" xfId="2098" xr:uid="{00000000-0005-0000-0000-0000A6060000}"/>
    <cellStyle name="20% - Accent3 24" xfId="2099" xr:uid="{00000000-0005-0000-0000-0000A7060000}"/>
    <cellStyle name="20% - Accent3 3" xfId="2100" xr:uid="{00000000-0005-0000-0000-0000A8060000}"/>
    <cellStyle name="20% - Accent3 3 10" xfId="2101" xr:uid="{00000000-0005-0000-0000-0000A9060000}"/>
    <cellStyle name="20% - Accent3 3 11" xfId="2102" xr:uid="{00000000-0005-0000-0000-0000AA060000}"/>
    <cellStyle name="20% - Accent3 3 12" xfId="2103" xr:uid="{00000000-0005-0000-0000-0000AB060000}"/>
    <cellStyle name="20% - Accent3 3 13" xfId="2104" xr:uid="{00000000-0005-0000-0000-0000AC060000}"/>
    <cellStyle name="20% - Accent3 3 14" xfId="2105" xr:uid="{00000000-0005-0000-0000-0000AD060000}"/>
    <cellStyle name="20% - Accent3 3 2" xfId="2106" xr:uid="{00000000-0005-0000-0000-0000AE060000}"/>
    <cellStyle name="20% - Accent3 3 2 2" xfId="2107" xr:uid="{00000000-0005-0000-0000-0000AF060000}"/>
    <cellStyle name="20% - Accent3 3 2 2 10" xfId="2108" xr:uid="{00000000-0005-0000-0000-0000B0060000}"/>
    <cellStyle name="20% - Accent3 3 2 2 2" xfId="2109" xr:uid="{00000000-0005-0000-0000-0000B1060000}"/>
    <cellStyle name="20% - Accent3 3 2 2 2 2" xfId="2110" xr:uid="{00000000-0005-0000-0000-0000B2060000}"/>
    <cellStyle name="20% - Accent3 3 2 2 2 2 2" xfId="2111" xr:uid="{00000000-0005-0000-0000-0000B3060000}"/>
    <cellStyle name="20% - Accent3 3 2 2 2 2 3" xfId="2112" xr:uid="{00000000-0005-0000-0000-0000B4060000}"/>
    <cellStyle name="20% - Accent3 3 2 2 2 3" xfId="2113" xr:uid="{00000000-0005-0000-0000-0000B5060000}"/>
    <cellStyle name="20% - Accent3 3 2 2 2 3 2" xfId="2114" xr:uid="{00000000-0005-0000-0000-0000B6060000}"/>
    <cellStyle name="20% - Accent3 3 2 2 2 3 3" xfId="2115" xr:uid="{00000000-0005-0000-0000-0000B7060000}"/>
    <cellStyle name="20% - Accent3 3 2 2 2 4" xfId="2116" xr:uid="{00000000-0005-0000-0000-0000B8060000}"/>
    <cellStyle name="20% - Accent3 3 2 2 2 5" xfId="2117" xr:uid="{00000000-0005-0000-0000-0000B9060000}"/>
    <cellStyle name="20% - Accent3 3 2 2 2 6" xfId="2118" xr:uid="{00000000-0005-0000-0000-0000BA060000}"/>
    <cellStyle name="20% - Accent3 3 2 2 2 7" xfId="2119" xr:uid="{00000000-0005-0000-0000-0000BB060000}"/>
    <cellStyle name="20% - Accent3 3 2 2 2 8" xfId="2120" xr:uid="{00000000-0005-0000-0000-0000BC060000}"/>
    <cellStyle name="20% - Accent3 3 2 2 3" xfId="2121" xr:uid="{00000000-0005-0000-0000-0000BD060000}"/>
    <cellStyle name="20% - Accent3 3 2 2 3 2" xfId="2122" xr:uid="{00000000-0005-0000-0000-0000BE060000}"/>
    <cellStyle name="20% - Accent3 3 2 2 3 3" xfId="2123" xr:uid="{00000000-0005-0000-0000-0000BF060000}"/>
    <cellStyle name="20% - Accent3 3 2 2 4" xfId="2124" xr:uid="{00000000-0005-0000-0000-0000C0060000}"/>
    <cellStyle name="20% - Accent3 3 2 2 4 2" xfId="2125" xr:uid="{00000000-0005-0000-0000-0000C1060000}"/>
    <cellStyle name="20% - Accent3 3 2 2 4 3" xfId="2126" xr:uid="{00000000-0005-0000-0000-0000C2060000}"/>
    <cellStyle name="20% - Accent3 3 2 2 5" xfId="2127" xr:uid="{00000000-0005-0000-0000-0000C3060000}"/>
    <cellStyle name="20% - Accent3 3 2 2 5 2" xfId="2128" xr:uid="{00000000-0005-0000-0000-0000C4060000}"/>
    <cellStyle name="20% - Accent3 3 2 2 5 3" xfId="2129" xr:uid="{00000000-0005-0000-0000-0000C5060000}"/>
    <cellStyle name="20% - Accent3 3 2 2 6" xfId="2130" xr:uid="{00000000-0005-0000-0000-0000C6060000}"/>
    <cellStyle name="20% - Accent3 3 2 2 7" xfId="2131" xr:uid="{00000000-0005-0000-0000-0000C7060000}"/>
    <cellStyle name="20% - Accent3 3 2 2 8" xfId="2132" xr:uid="{00000000-0005-0000-0000-0000C8060000}"/>
    <cellStyle name="20% - Accent3 3 2 2 9" xfId="2133" xr:uid="{00000000-0005-0000-0000-0000C9060000}"/>
    <cellStyle name="20% - Accent3 3 2 3" xfId="2134" xr:uid="{00000000-0005-0000-0000-0000CA060000}"/>
    <cellStyle name="20% - Accent3 3 2 3 2" xfId="2135" xr:uid="{00000000-0005-0000-0000-0000CB060000}"/>
    <cellStyle name="20% - Accent3 3 2 3 2 2" xfId="2136" xr:uid="{00000000-0005-0000-0000-0000CC060000}"/>
    <cellStyle name="20% - Accent3 3 2 3 2 3" xfId="2137" xr:uid="{00000000-0005-0000-0000-0000CD060000}"/>
    <cellStyle name="20% - Accent3 3 2 3 3" xfId="2138" xr:uid="{00000000-0005-0000-0000-0000CE060000}"/>
    <cellStyle name="20% - Accent3 3 2 3 3 2" xfId="2139" xr:uid="{00000000-0005-0000-0000-0000CF060000}"/>
    <cellStyle name="20% - Accent3 3 2 3 4" xfId="2140" xr:uid="{00000000-0005-0000-0000-0000D0060000}"/>
    <cellStyle name="20% - Accent3 3 2 4" xfId="2141" xr:uid="{00000000-0005-0000-0000-0000D1060000}"/>
    <cellStyle name="20% - Accent3 3 2 4 2" xfId="2142" xr:uid="{00000000-0005-0000-0000-0000D2060000}"/>
    <cellStyle name="20% - Accent3 3 2 4 3" xfId="2143" xr:uid="{00000000-0005-0000-0000-0000D3060000}"/>
    <cellStyle name="20% - Accent3 3 2 5" xfId="2144" xr:uid="{00000000-0005-0000-0000-0000D4060000}"/>
    <cellStyle name="20% - Accent3 3 2 5 2" xfId="2145" xr:uid="{00000000-0005-0000-0000-0000D5060000}"/>
    <cellStyle name="20% - Accent3 3 2 5 3" xfId="2146" xr:uid="{00000000-0005-0000-0000-0000D6060000}"/>
    <cellStyle name="20% - Accent3 3 2 6" xfId="2147" xr:uid="{00000000-0005-0000-0000-0000D7060000}"/>
    <cellStyle name="20% - Accent3 3 2 7" xfId="2148" xr:uid="{00000000-0005-0000-0000-0000D8060000}"/>
    <cellStyle name="20% - Accent3 3 2 8" xfId="2149" xr:uid="{00000000-0005-0000-0000-0000D9060000}"/>
    <cellStyle name="20% - Accent3 3 2 9" xfId="2150" xr:uid="{00000000-0005-0000-0000-0000DA060000}"/>
    <cellStyle name="20% - Accent3 3 3" xfId="2151" xr:uid="{00000000-0005-0000-0000-0000DB060000}"/>
    <cellStyle name="20% - Accent3 3 3 2" xfId="2152" xr:uid="{00000000-0005-0000-0000-0000DC060000}"/>
    <cellStyle name="20% - Accent3 3 3 2 2" xfId="2153" xr:uid="{00000000-0005-0000-0000-0000DD060000}"/>
    <cellStyle name="20% - Accent3 3 3 2 3" xfId="2154" xr:uid="{00000000-0005-0000-0000-0000DE060000}"/>
    <cellStyle name="20% - Accent3 3 3 2 3 2" xfId="2155" xr:uid="{00000000-0005-0000-0000-0000DF060000}"/>
    <cellStyle name="20% - Accent3 3 3 3" xfId="2156" xr:uid="{00000000-0005-0000-0000-0000E0060000}"/>
    <cellStyle name="20% - Accent3 3 3 3 2" xfId="2157" xr:uid="{00000000-0005-0000-0000-0000E1060000}"/>
    <cellStyle name="20% - Accent3 3 3 3 3" xfId="2158" xr:uid="{00000000-0005-0000-0000-0000E2060000}"/>
    <cellStyle name="20% - Accent3 3 3 4" xfId="2159" xr:uid="{00000000-0005-0000-0000-0000E3060000}"/>
    <cellStyle name="20% - Accent3 3 3 4 2" xfId="2160" xr:uid="{00000000-0005-0000-0000-0000E4060000}"/>
    <cellStyle name="20% - Accent3 3 3 5" xfId="2161" xr:uid="{00000000-0005-0000-0000-0000E5060000}"/>
    <cellStyle name="20% - Accent3 3 3 6" xfId="2162" xr:uid="{00000000-0005-0000-0000-0000E6060000}"/>
    <cellStyle name="20% - Accent3 3 3 7" xfId="2163" xr:uid="{00000000-0005-0000-0000-0000E7060000}"/>
    <cellStyle name="20% - Accent3 3 3 8" xfId="2164" xr:uid="{00000000-0005-0000-0000-0000E8060000}"/>
    <cellStyle name="20% - Accent3 3 4" xfId="2165" xr:uid="{00000000-0005-0000-0000-0000E9060000}"/>
    <cellStyle name="20% - Accent3 3 4 2" xfId="2166" xr:uid="{00000000-0005-0000-0000-0000EA060000}"/>
    <cellStyle name="20% - Accent3 3 4 2 2" xfId="2167" xr:uid="{00000000-0005-0000-0000-0000EB060000}"/>
    <cellStyle name="20% - Accent3 3 4 2 3" xfId="2168" xr:uid="{00000000-0005-0000-0000-0000EC060000}"/>
    <cellStyle name="20% - Accent3 3 4 3" xfId="2169" xr:uid="{00000000-0005-0000-0000-0000ED060000}"/>
    <cellStyle name="20% - Accent3 3 4 3 2" xfId="2170" xr:uid="{00000000-0005-0000-0000-0000EE060000}"/>
    <cellStyle name="20% - Accent3 3 4 3 3" xfId="2171" xr:uid="{00000000-0005-0000-0000-0000EF060000}"/>
    <cellStyle name="20% - Accent3 3 4 4" xfId="2172" xr:uid="{00000000-0005-0000-0000-0000F0060000}"/>
    <cellStyle name="20% - Accent3 3 4 4 2" xfId="2173" xr:uid="{00000000-0005-0000-0000-0000F1060000}"/>
    <cellStyle name="20% - Accent3 3 4 5" xfId="2174" xr:uid="{00000000-0005-0000-0000-0000F2060000}"/>
    <cellStyle name="20% - Accent3 3 4 6" xfId="2175" xr:uid="{00000000-0005-0000-0000-0000F3060000}"/>
    <cellStyle name="20% - Accent3 3 4 7" xfId="2176" xr:uid="{00000000-0005-0000-0000-0000F4060000}"/>
    <cellStyle name="20% - Accent3 3 4 8" xfId="2177" xr:uid="{00000000-0005-0000-0000-0000F5060000}"/>
    <cellStyle name="20% - Accent3 3 5" xfId="2178" xr:uid="{00000000-0005-0000-0000-0000F6060000}"/>
    <cellStyle name="20% - Accent3 3 5 2" xfId="2179" xr:uid="{00000000-0005-0000-0000-0000F7060000}"/>
    <cellStyle name="20% - Accent3 3 5 2 2" xfId="2180" xr:uid="{00000000-0005-0000-0000-0000F8060000}"/>
    <cellStyle name="20% - Accent3 3 5 2 3" xfId="2181" xr:uid="{00000000-0005-0000-0000-0000F9060000}"/>
    <cellStyle name="20% - Accent3 3 5 3" xfId="2182" xr:uid="{00000000-0005-0000-0000-0000FA060000}"/>
    <cellStyle name="20% - Accent3 3 5 3 2" xfId="2183" xr:uid="{00000000-0005-0000-0000-0000FB060000}"/>
    <cellStyle name="20% - Accent3 3 5 4" xfId="2184" xr:uid="{00000000-0005-0000-0000-0000FC060000}"/>
    <cellStyle name="20% - Accent3 3 5 5" xfId="2185" xr:uid="{00000000-0005-0000-0000-0000FD060000}"/>
    <cellStyle name="20% - Accent3 3 5 6" xfId="2186" xr:uid="{00000000-0005-0000-0000-0000FE060000}"/>
    <cellStyle name="20% - Accent3 3 5 7" xfId="2187" xr:uid="{00000000-0005-0000-0000-0000FF060000}"/>
    <cellStyle name="20% - Accent3 3 5 8" xfId="2188" xr:uid="{00000000-0005-0000-0000-000000070000}"/>
    <cellStyle name="20% - Accent3 3 6" xfId="2189" xr:uid="{00000000-0005-0000-0000-000001070000}"/>
    <cellStyle name="20% - Accent3 3 6 2" xfId="2190" xr:uid="{00000000-0005-0000-0000-000002070000}"/>
    <cellStyle name="20% - Accent3 3 6 3" xfId="2191" xr:uid="{00000000-0005-0000-0000-000003070000}"/>
    <cellStyle name="20% - Accent3 3 7" xfId="2192" xr:uid="{00000000-0005-0000-0000-000004070000}"/>
    <cellStyle name="20% - Accent3 3 7 2" xfId="2193" xr:uid="{00000000-0005-0000-0000-000005070000}"/>
    <cellStyle name="20% - Accent3 3 7 3" xfId="2194" xr:uid="{00000000-0005-0000-0000-000006070000}"/>
    <cellStyle name="20% - Accent3 3 8" xfId="2195" xr:uid="{00000000-0005-0000-0000-000007070000}"/>
    <cellStyle name="20% - Accent3 3 8 2" xfId="2196" xr:uid="{00000000-0005-0000-0000-000008070000}"/>
    <cellStyle name="20% - Accent3 3 8 3" xfId="2197" xr:uid="{00000000-0005-0000-0000-000009070000}"/>
    <cellStyle name="20% - Accent3 3 9" xfId="2198" xr:uid="{00000000-0005-0000-0000-00000A070000}"/>
    <cellStyle name="20% - Accent3 3 9 2" xfId="2199" xr:uid="{00000000-0005-0000-0000-00000B070000}"/>
    <cellStyle name="20% - Accent3 3 9 3" xfId="2200" xr:uid="{00000000-0005-0000-0000-00000C070000}"/>
    <cellStyle name="20% - Accent3 4" xfId="2201" xr:uid="{00000000-0005-0000-0000-00000D070000}"/>
    <cellStyle name="20% - Accent3 4 10" xfId="2202" xr:uid="{00000000-0005-0000-0000-00000E070000}"/>
    <cellStyle name="20% - Accent3 4 11" xfId="2203" xr:uid="{00000000-0005-0000-0000-00000F070000}"/>
    <cellStyle name="20% - Accent3 4 12" xfId="2204" xr:uid="{00000000-0005-0000-0000-000010070000}"/>
    <cellStyle name="20% - Accent3 4 13" xfId="2205" xr:uid="{00000000-0005-0000-0000-000011070000}"/>
    <cellStyle name="20% - Accent3 4 2" xfId="2206" xr:uid="{00000000-0005-0000-0000-000012070000}"/>
    <cellStyle name="20% - Accent3 4 2 2" xfId="2207" xr:uid="{00000000-0005-0000-0000-000013070000}"/>
    <cellStyle name="20% - Accent3 4 2 2 2" xfId="2208" xr:uid="{00000000-0005-0000-0000-000014070000}"/>
    <cellStyle name="20% - Accent3 4 2 2 2 2" xfId="2209" xr:uid="{00000000-0005-0000-0000-000015070000}"/>
    <cellStyle name="20% - Accent3 4 2 2 2 2 2" xfId="2210" xr:uid="{00000000-0005-0000-0000-000016070000}"/>
    <cellStyle name="20% - Accent3 4 2 2 2 2 3" xfId="2211" xr:uid="{00000000-0005-0000-0000-000017070000}"/>
    <cellStyle name="20% - Accent3 4 2 2 2 3" xfId="2212" xr:uid="{00000000-0005-0000-0000-000018070000}"/>
    <cellStyle name="20% - Accent3 4 2 2 2 3 2" xfId="2213" xr:uid="{00000000-0005-0000-0000-000019070000}"/>
    <cellStyle name="20% - Accent3 4 2 2 2 3 3" xfId="2214" xr:uid="{00000000-0005-0000-0000-00001A070000}"/>
    <cellStyle name="20% - Accent3 4 2 2 2 4" xfId="2215" xr:uid="{00000000-0005-0000-0000-00001B070000}"/>
    <cellStyle name="20% - Accent3 4 2 2 2 5" xfId="2216" xr:uid="{00000000-0005-0000-0000-00001C070000}"/>
    <cellStyle name="20% - Accent3 4 2 2 2 6" xfId="2217" xr:uid="{00000000-0005-0000-0000-00001D070000}"/>
    <cellStyle name="20% - Accent3 4 2 2 2 7" xfId="2218" xr:uid="{00000000-0005-0000-0000-00001E070000}"/>
    <cellStyle name="20% - Accent3 4 2 2 2 8" xfId="2219" xr:uid="{00000000-0005-0000-0000-00001F070000}"/>
    <cellStyle name="20% - Accent3 4 2 2 3" xfId="2220" xr:uid="{00000000-0005-0000-0000-000020070000}"/>
    <cellStyle name="20% - Accent3 4 2 2 3 2" xfId="2221" xr:uid="{00000000-0005-0000-0000-000021070000}"/>
    <cellStyle name="20% - Accent3 4 2 2 3 3" xfId="2222" xr:uid="{00000000-0005-0000-0000-000022070000}"/>
    <cellStyle name="20% - Accent3 4 2 2 4" xfId="2223" xr:uid="{00000000-0005-0000-0000-000023070000}"/>
    <cellStyle name="20% - Accent3 4 2 2 4 2" xfId="2224" xr:uid="{00000000-0005-0000-0000-000024070000}"/>
    <cellStyle name="20% - Accent3 4 2 2 4 3" xfId="2225" xr:uid="{00000000-0005-0000-0000-000025070000}"/>
    <cellStyle name="20% - Accent3 4 2 2 5" xfId="2226" xr:uid="{00000000-0005-0000-0000-000026070000}"/>
    <cellStyle name="20% - Accent3 4 2 2 5 2" xfId="2227" xr:uid="{00000000-0005-0000-0000-000027070000}"/>
    <cellStyle name="20% - Accent3 4 2 2 6" xfId="2228" xr:uid="{00000000-0005-0000-0000-000028070000}"/>
    <cellStyle name="20% - Accent3 4 2 2 7" xfId="2229" xr:uid="{00000000-0005-0000-0000-000029070000}"/>
    <cellStyle name="20% - Accent3 4 2 2 8" xfId="2230" xr:uid="{00000000-0005-0000-0000-00002A070000}"/>
    <cellStyle name="20% - Accent3 4 2 2 9" xfId="2231" xr:uid="{00000000-0005-0000-0000-00002B070000}"/>
    <cellStyle name="20% - Accent3 4 2 3" xfId="2232" xr:uid="{00000000-0005-0000-0000-00002C070000}"/>
    <cellStyle name="20% - Accent3 4 2 3 2" xfId="2233" xr:uid="{00000000-0005-0000-0000-00002D070000}"/>
    <cellStyle name="20% - Accent3 4 2 3 2 2" xfId="2234" xr:uid="{00000000-0005-0000-0000-00002E070000}"/>
    <cellStyle name="20% - Accent3 4 2 3 2 3" xfId="2235" xr:uid="{00000000-0005-0000-0000-00002F070000}"/>
    <cellStyle name="20% - Accent3 4 2 3 3" xfId="2236" xr:uid="{00000000-0005-0000-0000-000030070000}"/>
    <cellStyle name="20% - Accent3 4 2 3 3 2" xfId="2237" xr:uid="{00000000-0005-0000-0000-000031070000}"/>
    <cellStyle name="20% - Accent3 4 2 3 4" xfId="2238" xr:uid="{00000000-0005-0000-0000-000032070000}"/>
    <cellStyle name="20% - Accent3 4 2 4" xfId="2239" xr:uid="{00000000-0005-0000-0000-000033070000}"/>
    <cellStyle name="20% - Accent3 4 2 4 2" xfId="2240" xr:uid="{00000000-0005-0000-0000-000034070000}"/>
    <cellStyle name="20% - Accent3 4 2 4 3" xfId="2241" xr:uid="{00000000-0005-0000-0000-000035070000}"/>
    <cellStyle name="20% - Accent3 4 2 5" xfId="2242" xr:uid="{00000000-0005-0000-0000-000036070000}"/>
    <cellStyle name="20% - Accent3 4 2 5 2" xfId="2243" xr:uid="{00000000-0005-0000-0000-000037070000}"/>
    <cellStyle name="20% - Accent3 4 2 5 3" xfId="2244" xr:uid="{00000000-0005-0000-0000-000038070000}"/>
    <cellStyle name="20% - Accent3 4 2 6" xfId="2245" xr:uid="{00000000-0005-0000-0000-000039070000}"/>
    <cellStyle name="20% - Accent3 4 2 7" xfId="2246" xr:uid="{00000000-0005-0000-0000-00003A070000}"/>
    <cellStyle name="20% - Accent3 4 2 8" xfId="2247" xr:uid="{00000000-0005-0000-0000-00003B070000}"/>
    <cellStyle name="20% - Accent3 4 2 9" xfId="2248" xr:uid="{00000000-0005-0000-0000-00003C070000}"/>
    <cellStyle name="20% - Accent3 4 3" xfId="2249" xr:uid="{00000000-0005-0000-0000-00003D070000}"/>
    <cellStyle name="20% - Accent3 4 3 2" xfId="2250" xr:uid="{00000000-0005-0000-0000-00003E070000}"/>
    <cellStyle name="20% - Accent3 4 3 2 2" xfId="2251" xr:uid="{00000000-0005-0000-0000-00003F070000}"/>
    <cellStyle name="20% - Accent3 4 3 2 3" xfId="2252" xr:uid="{00000000-0005-0000-0000-000040070000}"/>
    <cellStyle name="20% - Accent3 4 3 3" xfId="2253" xr:uid="{00000000-0005-0000-0000-000041070000}"/>
    <cellStyle name="20% - Accent3 4 3 3 2" xfId="2254" xr:uid="{00000000-0005-0000-0000-000042070000}"/>
    <cellStyle name="20% - Accent3 4 3 3 3" xfId="2255" xr:uid="{00000000-0005-0000-0000-000043070000}"/>
    <cellStyle name="20% - Accent3 4 3 4" xfId="2256" xr:uid="{00000000-0005-0000-0000-000044070000}"/>
    <cellStyle name="20% - Accent3 4 3 4 2" xfId="2257" xr:uid="{00000000-0005-0000-0000-000045070000}"/>
    <cellStyle name="20% - Accent3 4 3 5" xfId="2258" xr:uid="{00000000-0005-0000-0000-000046070000}"/>
    <cellStyle name="20% - Accent3 4 3 6" xfId="2259" xr:uid="{00000000-0005-0000-0000-000047070000}"/>
    <cellStyle name="20% - Accent3 4 3 7" xfId="2260" xr:uid="{00000000-0005-0000-0000-000048070000}"/>
    <cellStyle name="20% - Accent3 4 3 8" xfId="2261" xr:uid="{00000000-0005-0000-0000-000049070000}"/>
    <cellStyle name="20% - Accent3 4 4" xfId="2262" xr:uid="{00000000-0005-0000-0000-00004A070000}"/>
    <cellStyle name="20% - Accent3 4 4 2" xfId="2263" xr:uid="{00000000-0005-0000-0000-00004B070000}"/>
    <cellStyle name="20% - Accent3 4 4 2 2" xfId="2264" xr:uid="{00000000-0005-0000-0000-00004C070000}"/>
    <cellStyle name="20% - Accent3 4 4 2 3" xfId="2265" xr:uid="{00000000-0005-0000-0000-00004D070000}"/>
    <cellStyle name="20% - Accent3 4 4 3" xfId="2266" xr:uid="{00000000-0005-0000-0000-00004E070000}"/>
    <cellStyle name="20% - Accent3 4 4 3 2" xfId="2267" xr:uid="{00000000-0005-0000-0000-00004F070000}"/>
    <cellStyle name="20% - Accent3 4 4 3 3" xfId="2268" xr:uid="{00000000-0005-0000-0000-000050070000}"/>
    <cellStyle name="20% - Accent3 4 4 4" xfId="2269" xr:uid="{00000000-0005-0000-0000-000051070000}"/>
    <cellStyle name="20% - Accent3 4 4 5" xfId="2270" xr:uid="{00000000-0005-0000-0000-000052070000}"/>
    <cellStyle name="20% - Accent3 4 4 6" xfId="2271" xr:uid="{00000000-0005-0000-0000-000053070000}"/>
    <cellStyle name="20% - Accent3 4 4 7" xfId="2272" xr:uid="{00000000-0005-0000-0000-000054070000}"/>
    <cellStyle name="20% - Accent3 4 4 8" xfId="2273" xr:uid="{00000000-0005-0000-0000-000055070000}"/>
    <cellStyle name="20% - Accent3 4 5" xfId="2274" xr:uid="{00000000-0005-0000-0000-000056070000}"/>
    <cellStyle name="20% - Accent3 4 5 2" xfId="2275" xr:uid="{00000000-0005-0000-0000-000057070000}"/>
    <cellStyle name="20% - Accent3 4 5 2 2" xfId="2276" xr:uid="{00000000-0005-0000-0000-000058070000}"/>
    <cellStyle name="20% - Accent3 4 5 2 3" xfId="2277" xr:uid="{00000000-0005-0000-0000-000059070000}"/>
    <cellStyle name="20% - Accent3 4 5 3" xfId="2278" xr:uid="{00000000-0005-0000-0000-00005A070000}"/>
    <cellStyle name="20% - Accent3 4 5 3 2" xfId="2279" xr:uid="{00000000-0005-0000-0000-00005B070000}"/>
    <cellStyle name="20% - Accent3 4 5 4" xfId="2280" xr:uid="{00000000-0005-0000-0000-00005C070000}"/>
    <cellStyle name="20% - Accent3 4 6" xfId="2281" xr:uid="{00000000-0005-0000-0000-00005D070000}"/>
    <cellStyle name="20% - Accent3 4 6 2" xfId="2282" xr:uid="{00000000-0005-0000-0000-00005E070000}"/>
    <cellStyle name="20% - Accent3 4 6 3" xfId="2283" xr:uid="{00000000-0005-0000-0000-00005F070000}"/>
    <cellStyle name="20% - Accent3 4 7" xfId="2284" xr:uid="{00000000-0005-0000-0000-000060070000}"/>
    <cellStyle name="20% - Accent3 4 7 2" xfId="2285" xr:uid="{00000000-0005-0000-0000-000061070000}"/>
    <cellStyle name="20% - Accent3 4 7 3" xfId="2286" xr:uid="{00000000-0005-0000-0000-000062070000}"/>
    <cellStyle name="20% - Accent3 4 8" xfId="2287" xr:uid="{00000000-0005-0000-0000-000063070000}"/>
    <cellStyle name="20% - Accent3 4 8 2" xfId="2288" xr:uid="{00000000-0005-0000-0000-000064070000}"/>
    <cellStyle name="20% - Accent3 4 8 3" xfId="2289" xr:uid="{00000000-0005-0000-0000-000065070000}"/>
    <cellStyle name="20% - Accent3 4 9" xfId="2290" xr:uid="{00000000-0005-0000-0000-000066070000}"/>
    <cellStyle name="20% - Accent3 5" xfId="2291" xr:uid="{00000000-0005-0000-0000-000067070000}"/>
    <cellStyle name="20% - Accent3 5 10" xfId="2292" xr:uid="{00000000-0005-0000-0000-000068070000}"/>
    <cellStyle name="20% - Accent3 5 11" xfId="2293" xr:uid="{00000000-0005-0000-0000-000069070000}"/>
    <cellStyle name="20% - Accent3 5 12" xfId="2294" xr:uid="{00000000-0005-0000-0000-00006A070000}"/>
    <cellStyle name="20% - Accent3 5 2" xfId="2295" xr:uid="{00000000-0005-0000-0000-00006B070000}"/>
    <cellStyle name="20% - Accent3 5 2 2" xfId="2296" xr:uid="{00000000-0005-0000-0000-00006C070000}"/>
    <cellStyle name="20% - Accent3 5 2 2 2" xfId="2297" xr:uid="{00000000-0005-0000-0000-00006D070000}"/>
    <cellStyle name="20% - Accent3 5 2 2 2 2" xfId="2298" xr:uid="{00000000-0005-0000-0000-00006E070000}"/>
    <cellStyle name="20% - Accent3 5 2 2 2 2 2" xfId="2299" xr:uid="{00000000-0005-0000-0000-00006F070000}"/>
    <cellStyle name="20% - Accent3 5 2 2 2 2 3" xfId="2300" xr:uid="{00000000-0005-0000-0000-000070070000}"/>
    <cellStyle name="20% - Accent3 5 2 2 2 3" xfId="2301" xr:uid="{00000000-0005-0000-0000-000071070000}"/>
    <cellStyle name="20% - Accent3 5 2 2 2 3 2" xfId="2302" xr:uid="{00000000-0005-0000-0000-000072070000}"/>
    <cellStyle name="20% - Accent3 5 2 2 2 3 3" xfId="2303" xr:uid="{00000000-0005-0000-0000-000073070000}"/>
    <cellStyle name="20% - Accent3 5 2 2 2 4" xfId="2304" xr:uid="{00000000-0005-0000-0000-000074070000}"/>
    <cellStyle name="20% - Accent3 5 2 2 2 5" xfId="2305" xr:uid="{00000000-0005-0000-0000-000075070000}"/>
    <cellStyle name="20% - Accent3 5 2 2 2 6" xfId="2306" xr:uid="{00000000-0005-0000-0000-000076070000}"/>
    <cellStyle name="20% - Accent3 5 2 2 2 7" xfId="2307" xr:uid="{00000000-0005-0000-0000-000077070000}"/>
    <cellStyle name="20% - Accent3 5 2 2 2 8" xfId="2308" xr:uid="{00000000-0005-0000-0000-000078070000}"/>
    <cellStyle name="20% - Accent3 5 2 2 3" xfId="2309" xr:uid="{00000000-0005-0000-0000-000079070000}"/>
    <cellStyle name="20% - Accent3 5 2 2 3 2" xfId="2310" xr:uid="{00000000-0005-0000-0000-00007A070000}"/>
    <cellStyle name="20% - Accent3 5 2 2 3 3" xfId="2311" xr:uid="{00000000-0005-0000-0000-00007B070000}"/>
    <cellStyle name="20% - Accent3 5 2 2 4" xfId="2312" xr:uid="{00000000-0005-0000-0000-00007C070000}"/>
    <cellStyle name="20% - Accent3 5 2 2 4 2" xfId="2313" xr:uid="{00000000-0005-0000-0000-00007D070000}"/>
    <cellStyle name="20% - Accent3 5 2 2 4 3" xfId="2314" xr:uid="{00000000-0005-0000-0000-00007E070000}"/>
    <cellStyle name="20% - Accent3 5 2 2 5" xfId="2315" xr:uid="{00000000-0005-0000-0000-00007F070000}"/>
    <cellStyle name="20% - Accent3 5 2 2 5 2" xfId="2316" xr:uid="{00000000-0005-0000-0000-000080070000}"/>
    <cellStyle name="20% - Accent3 5 2 2 6" xfId="2317" xr:uid="{00000000-0005-0000-0000-000081070000}"/>
    <cellStyle name="20% - Accent3 5 2 2 7" xfId="2318" xr:uid="{00000000-0005-0000-0000-000082070000}"/>
    <cellStyle name="20% - Accent3 5 2 2 8" xfId="2319" xr:uid="{00000000-0005-0000-0000-000083070000}"/>
    <cellStyle name="20% - Accent3 5 2 2 9" xfId="2320" xr:uid="{00000000-0005-0000-0000-000084070000}"/>
    <cellStyle name="20% - Accent3 5 2 3" xfId="2321" xr:uid="{00000000-0005-0000-0000-000085070000}"/>
    <cellStyle name="20% - Accent3 5 2 3 2" xfId="2322" xr:uid="{00000000-0005-0000-0000-000086070000}"/>
    <cellStyle name="20% - Accent3 5 2 3 2 2" xfId="2323" xr:uid="{00000000-0005-0000-0000-000087070000}"/>
    <cellStyle name="20% - Accent3 5 2 3 2 3" xfId="2324" xr:uid="{00000000-0005-0000-0000-000088070000}"/>
    <cellStyle name="20% - Accent3 5 2 3 3" xfId="2325" xr:uid="{00000000-0005-0000-0000-000089070000}"/>
    <cellStyle name="20% - Accent3 5 2 3 3 2" xfId="2326" xr:uid="{00000000-0005-0000-0000-00008A070000}"/>
    <cellStyle name="20% - Accent3 5 2 3 4" xfId="2327" xr:uid="{00000000-0005-0000-0000-00008B070000}"/>
    <cellStyle name="20% - Accent3 5 2 4" xfId="2328" xr:uid="{00000000-0005-0000-0000-00008C070000}"/>
    <cellStyle name="20% - Accent3 5 2 5" xfId="2329" xr:uid="{00000000-0005-0000-0000-00008D070000}"/>
    <cellStyle name="20% - Accent3 5 2_Dec monthly report" xfId="2330" xr:uid="{00000000-0005-0000-0000-00008E070000}"/>
    <cellStyle name="20% - Accent3 5 3" xfId="2331" xr:uid="{00000000-0005-0000-0000-00008F070000}"/>
    <cellStyle name="20% - Accent3 5 3 2" xfId="2332" xr:uid="{00000000-0005-0000-0000-000090070000}"/>
    <cellStyle name="20% - Accent3 5 3 2 2" xfId="2333" xr:uid="{00000000-0005-0000-0000-000091070000}"/>
    <cellStyle name="20% - Accent3 5 3 2 3" xfId="2334" xr:uid="{00000000-0005-0000-0000-000092070000}"/>
    <cellStyle name="20% - Accent3 5 3 3" xfId="2335" xr:uid="{00000000-0005-0000-0000-000093070000}"/>
    <cellStyle name="20% - Accent3 5 3 3 2" xfId="2336" xr:uid="{00000000-0005-0000-0000-000094070000}"/>
    <cellStyle name="20% - Accent3 5 3 3 3" xfId="2337" xr:uid="{00000000-0005-0000-0000-000095070000}"/>
    <cellStyle name="20% - Accent3 5 3 4" xfId="2338" xr:uid="{00000000-0005-0000-0000-000096070000}"/>
    <cellStyle name="20% - Accent3 5 3 4 2" xfId="2339" xr:uid="{00000000-0005-0000-0000-000097070000}"/>
    <cellStyle name="20% - Accent3 5 3 5" xfId="2340" xr:uid="{00000000-0005-0000-0000-000098070000}"/>
    <cellStyle name="20% - Accent3 5 3 6" xfId="2341" xr:uid="{00000000-0005-0000-0000-000099070000}"/>
    <cellStyle name="20% - Accent3 5 3 7" xfId="2342" xr:uid="{00000000-0005-0000-0000-00009A070000}"/>
    <cellStyle name="20% - Accent3 5 3 8" xfId="2343" xr:uid="{00000000-0005-0000-0000-00009B070000}"/>
    <cellStyle name="20% - Accent3 5 4" xfId="2344" xr:uid="{00000000-0005-0000-0000-00009C070000}"/>
    <cellStyle name="20% - Accent3 5 4 2" xfId="2345" xr:uid="{00000000-0005-0000-0000-00009D070000}"/>
    <cellStyle name="20% - Accent3 5 4 2 2" xfId="2346" xr:uid="{00000000-0005-0000-0000-00009E070000}"/>
    <cellStyle name="20% - Accent3 5 4 2 3" xfId="2347" xr:uid="{00000000-0005-0000-0000-00009F070000}"/>
    <cellStyle name="20% - Accent3 5 4 3" xfId="2348" xr:uid="{00000000-0005-0000-0000-0000A0070000}"/>
    <cellStyle name="20% - Accent3 5 4 3 2" xfId="2349" xr:uid="{00000000-0005-0000-0000-0000A1070000}"/>
    <cellStyle name="20% - Accent3 5 4 3 3" xfId="2350" xr:uid="{00000000-0005-0000-0000-0000A2070000}"/>
    <cellStyle name="20% - Accent3 5 4 4" xfId="2351" xr:uid="{00000000-0005-0000-0000-0000A3070000}"/>
    <cellStyle name="20% - Accent3 5 4 5" xfId="2352" xr:uid="{00000000-0005-0000-0000-0000A4070000}"/>
    <cellStyle name="20% - Accent3 5 4 6" xfId="2353" xr:uid="{00000000-0005-0000-0000-0000A5070000}"/>
    <cellStyle name="20% - Accent3 5 4 7" xfId="2354" xr:uid="{00000000-0005-0000-0000-0000A6070000}"/>
    <cellStyle name="20% - Accent3 5 4 8" xfId="2355" xr:uid="{00000000-0005-0000-0000-0000A7070000}"/>
    <cellStyle name="20% - Accent3 5 5" xfId="2356" xr:uid="{00000000-0005-0000-0000-0000A8070000}"/>
    <cellStyle name="20% - Accent3 5 5 2" xfId="2357" xr:uid="{00000000-0005-0000-0000-0000A9070000}"/>
    <cellStyle name="20% - Accent3 5 5 3" xfId="2358" xr:uid="{00000000-0005-0000-0000-0000AA070000}"/>
    <cellStyle name="20% - Accent3 5 6" xfId="2359" xr:uid="{00000000-0005-0000-0000-0000AB070000}"/>
    <cellStyle name="20% - Accent3 5 6 2" xfId="2360" xr:uid="{00000000-0005-0000-0000-0000AC070000}"/>
    <cellStyle name="20% - Accent3 5 6 3" xfId="2361" xr:uid="{00000000-0005-0000-0000-0000AD070000}"/>
    <cellStyle name="20% - Accent3 5 7" xfId="2362" xr:uid="{00000000-0005-0000-0000-0000AE070000}"/>
    <cellStyle name="20% - Accent3 5 7 2" xfId="2363" xr:uid="{00000000-0005-0000-0000-0000AF070000}"/>
    <cellStyle name="20% - Accent3 5 7 3" xfId="2364" xr:uid="{00000000-0005-0000-0000-0000B0070000}"/>
    <cellStyle name="20% - Accent3 5 8" xfId="2365" xr:uid="{00000000-0005-0000-0000-0000B1070000}"/>
    <cellStyle name="20% - Accent3 5 9" xfId="2366" xr:uid="{00000000-0005-0000-0000-0000B2070000}"/>
    <cellStyle name="20% - Accent3 6" xfId="2367" xr:uid="{00000000-0005-0000-0000-0000B3070000}"/>
    <cellStyle name="20% - Accent3 6 2" xfId="2368" xr:uid="{00000000-0005-0000-0000-0000B4070000}"/>
    <cellStyle name="20% - Accent3 6 2 2" xfId="2369" xr:uid="{00000000-0005-0000-0000-0000B5070000}"/>
    <cellStyle name="20% - Accent3 6 2 2 2" xfId="2370" xr:uid="{00000000-0005-0000-0000-0000B6070000}"/>
    <cellStyle name="20% - Accent3 6 2 2 2 2" xfId="2371" xr:uid="{00000000-0005-0000-0000-0000B7070000}"/>
    <cellStyle name="20% - Accent3 6 2 2 2 3" xfId="2372" xr:uid="{00000000-0005-0000-0000-0000B8070000}"/>
    <cellStyle name="20% - Accent3 6 2 2 3" xfId="2373" xr:uid="{00000000-0005-0000-0000-0000B9070000}"/>
    <cellStyle name="20% - Accent3 6 2 2 3 2" xfId="2374" xr:uid="{00000000-0005-0000-0000-0000BA070000}"/>
    <cellStyle name="20% - Accent3 6 2 2 3 3" xfId="2375" xr:uid="{00000000-0005-0000-0000-0000BB070000}"/>
    <cellStyle name="20% - Accent3 6 2 2 4" xfId="2376" xr:uid="{00000000-0005-0000-0000-0000BC070000}"/>
    <cellStyle name="20% - Accent3 6 2 2 5" xfId="2377" xr:uid="{00000000-0005-0000-0000-0000BD070000}"/>
    <cellStyle name="20% - Accent3 6 2 2 6" xfId="2378" xr:uid="{00000000-0005-0000-0000-0000BE070000}"/>
    <cellStyle name="20% - Accent3 6 2 2 7" xfId="2379" xr:uid="{00000000-0005-0000-0000-0000BF070000}"/>
    <cellStyle name="20% - Accent3 6 2 2 8" xfId="2380" xr:uid="{00000000-0005-0000-0000-0000C0070000}"/>
    <cellStyle name="20% - Accent3 6 2 3" xfId="2381" xr:uid="{00000000-0005-0000-0000-0000C1070000}"/>
    <cellStyle name="20% - Accent3 6 2 3 2" xfId="2382" xr:uid="{00000000-0005-0000-0000-0000C2070000}"/>
    <cellStyle name="20% - Accent3 6 2 3 3" xfId="2383" xr:uid="{00000000-0005-0000-0000-0000C3070000}"/>
    <cellStyle name="20% - Accent3 6 2 4" xfId="2384" xr:uid="{00000000-0005-0000-0000-0000C4070000}"/>
    <cellStyle name="20% - Accent3 6 2 4 2" xfId="2385" xr:uid="{00000000-0005-0000-0000-0000C5070000}"/>
    <cellStyle name="20% - Accent3 6 2 4 3" xfId="2386" xr:uid="{00000000-0005-0000-0000-0000C6070000}"/>
    <cellStyle name="20% - Accent3 6 2 5" xfId="2387" xr:uid="{00000000-0005-0000-0000-0000C7070000}"/>
    <cellStyle name="20% - Accent3 6 2 5 2" xfId="2388" xr:uid="{00000000-0005-0000-0000-0000C8070000}"/>
    <cellStyle name="20% - Accent3 6 2 6" xfId="2389" xr:uid="{00000000-0005-0000-0000-0000C9070000}"/>
    <cellStyle name="20% - Accent3 6 2 7" xfId="2390" xr:uid="{00000000-0005-0000-0000-0000CA070000}"/>
    <cellStyle name="20% - Accent3 6 2 8" xfId="2391" xr:uid="{00000000-0005-0000-0000-0000CB070000}"/>
    <cellStyle name="20% - Accent3 6 2 9" xfId="2392" xr:uid="{00000000-0005-0000-0000-0000CC070000}"/>
    <cellStyle name="20% - Accent3 6 3" xfId="2393" xr:uid="{00000000-0005-0000-0000-0000CD070000}"/>
    <cellStyle name="20% - Accent3 6 3 2" xfId="2394" xr:uid="{00000000-0005-0000-0000-0000CE070000}"/>
    <cellStyle name="20% - Accent3 6 3 2 2" xfId="2395" xr:uid="{00000000-0005-0000-0000-0000CF070000}"/>
    <cellStyle name="20% - Accent3 6 3 2 3" xfId="2396" xr:uid="{00000000-0005-0000-0000-0000D0070000}"/>
    <cellStyle name="20% - Accent3 6 3 3" xfId="2397" xr:uid="{00000000-0005-0000-0000-0000D1070000}"/>
    <cellStyle name="20% - Accent3 6 3 3 2" xfId="2398" xr:uid="{00000000-0005-0000-0000-0000D2070000}"/>
    <cellStyle name="20% - Accent3 6 3 4" xfId="2399" xr:uid="{00000000-0005-0000-0000-0000D3070000}"/>
    <cellStyle name="20% - Accent3 6 4" xfId="2400" xr:uid="{00000000-0005-0000-0000-0000D4070000}"/>
    <cellStyle name="20% - Accent3 6 5" xfId="2401" xr:uid="{00000000-0005-0000-0000-0000D5070000}"/>
    <cellStyle name="20% - Accent3 6_Dec monthly report" xfId="2402" xr:uid="{00000000-0005-0000-0000-0000D6070000}"/>
    <cellStyle name="20% - Accent3 7" xfId="2403" xr:uid="{00000000-0005-0000-0000-0000D7070000}"/>
    <cellStyle name="20% - Accent3 7 2" xfId="2404" xr:uid="{00000000-0005-0000-0000-0000D8070000}"/>
    <cellStyle name="20% - Accent3 7 3" xfId="2405" xr:uid="{00000000-0005-0000-0000-0000D9070000}"/>
    <cellStyle name="20% - Accent3 7 4" xfId="2406" xr:uid="{00000000-0005-0000-0000-0000DA070000}"/>
    <cellStyle name="20% - Accent3 8" xfId="2407" xr:uid="{00000000-0005-0000-0000-0000DB070000}"/>
    <cellStyle name="20% - Accent3 8 2" xfId="2408" xr:uid="{00000000-0005-0000-0000-0000DC070000}"/>
    <cellStyle name="20% - Accent3 8 2 2" xfId="2409" xr:uid="{00000000-0005-0000-0000-0000DD070000}"/>
    <cellStyle name="20% - Accent3 8 2 3" xfId="2410" xr:uid="{00000000-0005-0000-0000-0000DE070000}"/>
    <cellStyle name="20% - Accent3 8 2 3 2" xfId="2411" xr:uid="{00000000-0005-0000-0000-0000DF070000}"/>
    <cellStyle name="20% - Accent3 8 3" xfId="2412" xr:uid="{00000000-0005-0000-0000-0000E0070000}"/>
    <cellStyle name="20% - Accent3 8 3 2" xfId="2413" xr:uid="{00000000-0005-0000-0000-0000E1070000}"/>
    <cellStyle name="20% - Accent3 8 3 3" xfId="2414" xr:uid="{00000000-0005-0000-0000-0000E2070000}"/>
    <cellStyle name="20% - Accent3 8 4" xfId="2415" xr:uid="{00000000-0005-0000-0000-0000E3070000}"/>
    <cellStyle name="20% - Accent3 8 4 2" xfId="2416" xr:uid="{00000000-0005-0000-0000-0000E4070000}"/>
    <cellStyle name="20% - Accent3 8 5" xfId="2417" xr:uid="{00000000-0005-0000-0000-0000E5070000}"/>
    <cellStyle name="20% - Accent3 8 6" xfId="2418" xr:uid="{00000000-0005-0000-0000-0000E6070000}"/>
    <cellStyle name="20% - Accent3 8 7" xfId="2419" xr:uid="{00000000-0005-0000-0000-0000E7070000}"/>
    <cellStyle name="20% - Accent3 8 8" xfId="2420" xr:uid="{00000000-0005-0000-0000-0000E8070000}"/>
    <cellStyle name="20% - Accent3 9" xfId="2421" xr:uid="{00000000-0005-0000-0000-0000E9070000}"/>
    <cellStyle name="20% - Accent3 9 2" xfId="2422" xr:uid="{00000000-0005-0000-0000-0000EA070000}"/>
    <cellStyle name="20% - Accent3 9 2 2" xfId="2423" xr:uid="{00000000-0005-0000-0000-0000EB070000}"/>
    <cellStyle name="20% - Accent3 9 2 3" xfId="2424" xr:uid="{00000000-0005-0000-0000-0000EC070000}"/>
    <cellStyle name="20% - Accent3 9 3" xfId="2425" xr:uid="{00000000-0005-0000-0000-0000ED070000}"/>
    <cellStyle name="20% - Accent3 9 3 2" xfId="2426" xr:uid="{00000000-0005-0000-0000-0000EE070000}"/>
    <cellStyle name="20% - Accent3 9 3 3" xfId="2427" xr:uid="{00000000-0005-0000-0000-0000EF070000}"/>
    <cellStyle name="20% - Accent3 9 4" xfId="2428" xr:uid="{00000000-0005-0000-0000-0000F0070000}"/>
    <cellStyle name="20% - Accent3 9 4 2" xfId="2429" xr:uid="{00000000-0005-0000-0000-0000F1070000}"/>
    <cellStyle name="20% - Accent3 9 5" xfId="2430" xr:uid="{00000000-0005-0000-0000-0000F2070000}"/>
    <cellStyle name="20% - Accent3 9 6" xfId="2431" xr:uid="{00000000-0005-0000-0000-0000F3070000}"/>
    <cellStyle name="20% - Accent3 9 7" xfId="2432" xr:uid="{00000000-0005-0000-0000-0000F4070000}"/>
    <cellStyle name="20% - Accent3 9 8" xfId="2433" xr:uid="{00000000-0005-0000-0000-0000F5070000}"/>
    <cellStyle name="20% - Accent4 10" xfId="2434" xr:uid="{00000000-0005-0000-0000-0000F6070000}"/>
    <cellStyle name="20% - Accent4 10 2" xfId="2435" xr:uid="{00000000-0005-0000-0000-0000F7070000}"/>
    <cellStyle name="20% - Accent4 10 2 2" xfId="2436" xr:uid="{00000000-0005-0000-0000-0000F8070000}"/>
    <cellStyle name="20% - Accent4 10 2 3" xfId="2437" xr:uid="{00000000-0005-0000-0000-0000F9070000}"/>
    <cellStyle name="20% - Accent4 10 3" xfId="2438" xr:uid="{00000000-0005-0000-0000-0000FA070000}"/>
    <cellStyle name="20% - Accent4 10 4" xfId="2439" xr:uid="{00000000-0005-0000-0000-0000FB070000}"/>
    <cellStyle name="20% - Accent4 10 4 2" xfId="2440" xr:uid="{00000000-0005-0000-0000-0000FC070000}"/>
    <cellStyle name="20% - Accent4 10 5" xfId="2441" xr:uid="{00000000-0005-0000-0000-0000FD070000}"/>
    <cellStyle name="20% - Accent4 11" xfId="2442" xr:uid="{00000000-0005-0000-0000-0000FE070000}"/>
    <cellStyle name="20% - Accent4 11 2" xfId="2443" xr:uid="{00000000-0005-0000-0000-0000FF070000}"/>
    <cellStyle name="20% - Accent4 11 3" xfId="2444" xr:uid="{00000000-0005-0000-0000-000000080000}"/>
    <cellStyle name="20% - Accent4 11 3 2" xfId="2445" xr:uid="{00000000-0005-0000-0000-000001080000}"/>
    <cellStyle name="20% - Accent4 12" xfId="2446" xr:uid="{00000000-0005-0000-0000-000002080000}"/>
    <cellStyle name="20% - Accent4 12 2" xfId="2447" xr:uid="{00000000-0005-0000-0000-000003080000}"/>
    <cellStyle name="20% - Accent4 12 3" xfId="2448" xr:uid="{00000000-0005-0000-0000-000004080000}"/>
    <cellStyle name="20% - Accent4 13" xfId="2449" xr:uid="{00000000-0005-0000-0000-000005080000}"/>
    <cellStyle name="20% - Accent4 13 2" xfId="2450" xr:uid="{00000000-0005-0000-0000-000006080000}"/>
    <cellStyle name="20% - Accent4 13 3" xfId="2451" xr:uid="{00000000-0005-0000-0000-000007080000}"/>
    <cellStyle name="20% - Accent4 14" xfId="2452" xr:uid="{00000000-0005-0000-0000-000008080000}"/>
    <cellStyle name="20% - Accent4 14 2" xfId="2453" xr:uid="{00000000-0005-0000-0000-000009080000}"/>
    <cellStyle name="20% - Accent4 14 3" xfId="2454" xr:uid="{00000000-0005-0000-0000-00000A080000}"/>
    <cellStyle name="20% - Accent4 15" xfId="2455" xr:uid="{00000000-0005-0000-0000-00000B080000}"/>
    <cellStyle name="20% - Accent4 15 2" xfId="2456" xr:uid="{00000000-0005-0000-0000-00000C080000}"/>
    <cellStyle name="20% - Accent4 15 3" xfId="2457" xr:uid="{00000000-0005-0000-0000-00000D080000}"/>
    <cellStyle name="20% - Accent4 16" xfId="2458" xr:uid="{00000000-0005-0000-0000-00000E080000}"/>
    <cellStyle name="20% - Accent4 16 2" xfId="2459" xr:uid="{00000000-0005-0000-0000-00000F080000}"/>
    <cellStyle name="20% - Accent4 16 3" xfId="2460" xr:uid="{00000000-0005-0000-0000-000010080000}"/>
    <cellStyle name="20% - Accent4 17" xfId="2461" xr:uid="{00000000-0005-0000-0000-000011080000}"/>
    <cellStyle name="20% - Accent4 17 2" xfId="2462" xr:uid="{00000000-0005-0000-0000-000012080000}"/>
    <cellStyle name="20% - Accent4 17 3" xfId="2463" xr:uid="{00000000-0005-0000-0000-000013080000}"/>
    <cellStyle name="20% - Accent4 18" xfId="2464" xr:uid="{00000000-0005-0000-0000-000014080000}"/>
    <cellStyle name="20% - Accent4 18 2" xfId="2465" xr:uid="{00000000-0005-0000-0000-000015080000}"/>
    <cellStyle name="20% - Accent4 18 3" xfId="2466" xr:uid="{00000000-0005-0000-0000-000016080000}"/>
    <cellStyle name="20% - Accent4 19" xfId="2467" xr:uid="{00000000-0005-0000-0000-000017080000}"/>
    <cellStyle name="20% - Accent4 19 2" xfId="2468" xr:uid="{00000000-0005-0000-0000-000018080000}"/>
    <cellStyle name="20% - Accent4 19 3" xfId="2469" xr:uid="{00000000-0005-0000-0000-000019080000}"/>
    <cellStyle name="20% - Accent4 2" xfId="2470" xr:uid="{00000000-0005-0000-0000-00001A080000}"/>
    <cellStyle name="20% - Accent4 2 10" xfId="2471" xr:uid="{00000000-0005-0000-0000-00001B080000}"/>
    <cellStyle name="20% - Accent4 2 10 2" xfId="2472" xr:uid="{00000000-0005-0000-0000-00001C080000}"/>
    <cellStyle name="20% - Accent4 2 10 3" xfId="2473" xr:uid="{00000000-0005-0000-0000-00001D080000}"/>
    <cellStyle name="20% - Accent4 2 11" xfId="2474" xr:uid="{00000000-0005-0000-0000-00001E080000}"/>
    <cellStyle name="20% - Accent4 2 11 2" xfId="2475" xr:uid="{00000000-0005-0000-0000-00001F080000}"/>
    <cellStyle name="20% - Accent4 2 11 3" xfId="2476" xr:uid="{00000000-0005-0000-0000-000020080000}"/>
    <cellStyle name="20% - Accent4 2 12" xfId="2477" xr:uid="{00000000-0005-0000-0000-000021080000}"/>
    <cellStyle name="20% - Accent4 2 12 2" xfId="2478" xr:uid="{00000000-0005-0000-0000-000022080000}"/>
    <cellStyle name="20% - Accent4 2 12 3" xfId="2479" xr:uid="{00000000-0005-0000-0000-000023080000}"/>
    <cellStyle name="20% - Accent4 2 13" xfId="2480" xr:uid="{00000000-0005-0000-0000-000024080000}"/>
    <cellStyle name="20% - Accent4 2 14" xfId="2481" xr:uid="{00000000-0005-0000-0000-000025080000}"/>
    <cellStyle name="20% - Accent4 2 2" xfId="2482" xr:uid="{00000000-0005-0000-0000-000026080000}"/>
    <cellStyle name="20% - Accent4 2 2 2" xfId="2483" xr:uid="{00000000-0005-0000-0000-000027080000}"/>
    <cellStyle name="20% - Accent4 2 2 2 2" xfId="2484" xr:uid="{00000000-0005-0000-0000-000028080000}"/>
    <cellStyle name="20% - Accent4 2 2 2 3" xfId="2485" xr:uid="{00000000-0005-0000-0000-000029080000}"/>
    <cellStyle name="20% - Accent4 2 2 2 4" xfId="2486" xr:uid="{00000000-0005-0000-0000-00002A080000}"/>
    <cellStyle name="20% - Accent4 2 2 3" xfId="2487" xr:uid="{00000000-0005-0000-0000-00002B080000}"/>
    <cellStyle name="20% - Accent4 2 2 3 2" xfId="2488" xr:uid="{00000000-0005-0000-0000-00002C080000}"/>
    <cellStyle name="20% - Accent4 2 2 3 3" xfId="2489" xr:uid="{00000000-0005-0000-0000-00002D080000}"/>
    <cellStyle name="20% - Accent4 2 2 4" xfId="2490" xr:uid="{00000000-0005-0000-0000-00002E080000}"/>
    <cellStyle name="20% - Accent4 2 2 4 2" xfId="2491" xr:uid="{00000000-0005-0000-0000-00002F080000}"/>
    <cellStyle name="20% - Accent4 2 2 4 3" xfId="2492" xr:uid="{00000000-0005-0000-0000-000030080000}"/>
    <cellStyle name="20% - Accent4 2 2 5" xfId="2493" xr:uid="{00000000-0005-0000-0000-000031080000}"/>
    <cellStyle name="20% - Accent4 2 2 6" xfId="2494" xr:uid="{00000000-0005-0000-0000-000032080000}"/>
    <cellStyle name="20% - Accent4 2 2 7" xfId="2495" xr:uid="{00000000-0005-0000-0000-000033080000}"/>
    <cellStyle name="20% - Accent4 2 2 8" xfId="2496" xr:uid="{00000000-0005-0000-0000-000034080000}"/>
    <cellStyle name="20% - Accent4 2 2_Dec monthly report" xfId="2497" xr:uid="{00000000-0005-0000-0000-000035080000}"/>
    <cellStyle name="20% - Accent4 2 3" xfId="2498" xr:uid="{00000000-0005-0000-0000-000036080000}"/>
    <cellStyle name="20% - Accent4 2 3 10" xfId="2499" xr:uid="{00000000-0005-0000-0000-000037080000}"/>
    <cellStyle name="20% - Accent4 2 3 11" xfId="2500" xr:uid="{00000000-0005-0000-0000-000038080000}"/>
    <cellStyle name="20% - Accent4 2 3 2" xfId="2501" xr:uid="{00000000-0005-0000-0000-000039080000}"/>
    <cellStyle name="20% - Accent4 2 3 2 10" xfId="2502" xr:uid="{00000000-0005-0000-0000-00003A080000}"/>
    <cellStyle name="20% - Accent4 2 3 2 2" xfId="2503" xr:uid="{00000000-0005-0000-0000-00003B080000}"/>
    <cellStyle name="20% - Accent4 2 3 2 2 2" xfId="2504" xr:uid="{00000000-0005-0000-0000-00003C080000}"/>
    <cellStyle name="20% - Accent4 2 3 2 2 2 2" xfId="2505" xr:uid="{00000000-0005-0000-0000-00003D080000}"/>
    <cellStyle name="20% - Accent4 2 3 2 2 2 3" xfId="2506" xr:uid="{00000000-0005-0000-0000-00003E080000}"/>
    <cellStyle name="20% - Accent4 2 3 2 2 3" xfId="2507" xr:uid="{00000000-0005-0000-0000-00003F080000}"/>
    <cellStyle name="20% - Accent4 2 3 2 2 3 2" xfId="2508" xr:uid="{00000000-0005-0000-0000-000040080000}"/>
    <cellStyle name="20% - Accent4 2 3 2 2 3 3" xfId="2509" xr:uid="{00000000-0005-0000-0000-000041080000}"/>
    <cellStyle name="20% - Accent4 2 3 2 2 4" xfId="2510" xr:uid="{00000000-0005-0000-0000-000042080000}"/>
    <cellStyle name="20% - Accent4 2 3 2 2 5" xfId="2511" xr:uid="{00000000-0005-0000-0000-000043080000}"/>
    <cellStyle name="20% - Accent4 2 3 2 2 6" xfId="2512" xr:uid="{00000000-0005-0000-0000-000044080000}"/>
    <cellStyle name="20% - Accent4 2 3 2 2 7" xfId="2513" xr:uid="{00000000-0005-0000-0000-000045080000}"/>
    <cellStyle name="20% - Accent4 2 3 2 2 8" xfId="2514" xr:uid="{00000000-0005-0000-0000-000046080000}"/>
    <cellStyle name="20% - Accent4 2 3 2 3" xfId="2515" xr:uid="{00000000-0005-0000-0000-000047080000}"/>
    <cellStyle name="20% - Accent4 2 3 2 3 2" xfId="2516" xr:uid="{00000000-0005-0000-0000-000048080000}"/>
    <cellStyle name="20% - Accent4 2 3 2 3 2 2" xfId="2517" xr:uid="{00000000-0005-0000-0000-000049080000}"/>
    <cellStyle name="20% - Accent4 2 3 2 3 2 3" xfId="2518" xr:uid="{00000000-0005-0000-0000-00004A080000}"/>
    <cellStyle name="20% - Accent4 2 3 2 3 3" xfId="2519" xr:uid="{00000000-0005-0000-0000-00004B080000}"/>
    <cellStyle name="20% - Accent4 2 3 2 3 3 2" xfId="2520" xr:uid="{00000000-0005-0000-0000-00004C080000}"/>
    <cellStyle name="20% - Accent4 2 3 2 3 4" xfId="2521" xr:uid="{00000000-0005-0000-0000-00004D080000}"/>
    <cellStyle name="20% - Accent4 2 3 2 4" xfId="2522" xr:uid="{00000000-0005-0000-0000-00004E080000}"/>
    <cellStyle name="20% - Accent4 2 3 2 4 2" xfId="2523" xr:uid="{00000000-0005-0000-0000-00004F080000}"/>
    <cellStyle name="20% - Accent4 2 3 2 4 3" xfId="2524" xr:uid="{00000000-0005-0000-0000-000050080000}"/>
    <cellStyle name="20% - Accent4 2 3 2 5" xfId="2525" xr:uid="{00000000-0005-0000-0000-000051080000}"/>
    <cellStyle name="20% - Accent4 2 3 2 5 2" xfId="2526" xr:uid="{00000000-0005-0000-0000-000052080000}"/>
    <cellStyle name="20% - Accent4 2 3 2 5 3" xfId="2527" xr:uid="{00000000-0005-0000-0000-000053080000}"/>
    <cellStyle name="20% - Accent4 2 3 2 6" xfId="2528" xr:uid="{00000000-0005-0000-0000-000054080000}"/>
    <cellStyle name="20% - Accent4 2 3 2 6 2" xfId="2529" xr:uid="{00000000-0005-0000-0000-000055080000}"/>
    <cellStyle name="20% - Accent4 2 3 2 7" xfId="2530" xr:uid="{00000000-0005-0000-0000-000056080000}"/>
    <cellStyle name="20% - Accent4 2 3 2 8" xfId="2531" xr:uid="{00000000-0005-0000-0000-000057080000}"/>
    <cellStyle name="20% - Accent4 2 3 2 9" xfId="2532" xr:uid="{00000000-0005-0000-0000-000058080000}"/>
    <cellStyle name="20% - Accent4 2 3 3" xfId="2533" xr:uid="{00000000-0005-0000-0000-000059080000}"/>
    <cellStyle name="20% - Accent4 2 3 3 2" xfId="2534" xr:uid="{00000000-0005-0000-0000-00005A080000}"/>
    <cellStyle name="20% - Accent4 2 3 3 2 2" xfId="2535" xr:uid="{00000000-0005-0000-0000-00005B080000}"/>
    <cellStyle name="20% - Accent4 2 3 3 2 3" xfId="2536" xr:uid="{00000000-0005-0000-0000-00005C080000}"/>
    <cellStyle name="20% - Accent4 2 3 3 3" xfId="2537" xr:uid="{00000000-0005-0000-0000-00005D080000}"/>
    <cellStyle name="20% - Accent4 2 3 3 3 2" xfId="2538" xr:uid="{00000000-0005-0000-0000-00005E080000}"/>
    <cellStyle name="20% - Accent4 2 3 3 3 3" xfId="2539" xr:uid="{00000000-0005-0000-0000-00005F080000}"/>
    <cellStyle name="20% - Accent4 2 3 3 4" xfId="2540" xr:uid="{00000000-0005-0000-0000-000060080000}"/>
    <cellStyle name="20% - Accent4 2 3 3 5" xfId="2541" xr:uid="{00000000-0005-0000-0000-000061080000}"/>
    <cellStyle name="20% - Accent4 2 3 3 6" xfId="2542" xr:uid="{00000000-0005-0000-0000-000062080000}"/>
    <cellStyle name="20% - Accent4 2 3 3 7" xfId="2543" xr:uid="{00000000-0005-0000-0000-000063080000}"/>
    <cellStyle name="20% - Accent4 2 3 3 8" xfId="2544" xr:uid="{00000000-0005-0000-0000-000064080000}"/>
    <cellStyle name="20% - Accent4 2 3 4" xfId="2545" xr:uid="{00000000-0005-0000-0000-000065080000}"/>
    <cellStyle name="20% - Accent4 2 3 4 2" xfId="2546" xr:uid="{00000000-0005-0000-0000-000066080000}"/>
    <cellStyle name="20% - Accent4 2 3 4 2 2" xfId="2547" xr:uid="{00000000-0005-0000-0000-000067080000}"/>
    <cellStyle name="20% - Accent4 2 3 4 2 3" xfId="2548" xr:uid="{00000000-0005-0000-0000-000068080000}"/>
    <cellStyle name="20% - Accent4 2 3 4 3" xfId="2549" xr:uid="{00000000-0005-0000-0000-000069080000}"/>
    <cellStyle name="20% - Accent4 2 3 4 3 2" xfId="2550" xr:uid="{00000000-0005-0000-0000-00006A080000}"/>
    <cellStyle name="20% - Accent4 2 3 4 4" xfId="2551" xr:uid="{00000000-0005-0000-0000-00006B080000}"/>
    <cellStyle name="20% - Accent4 2 3 5" xfId="2552" xr:uid="{00000000-0005-0000-0000-00006C080000}"/>
    <cellStyle name="20% - Accent4 2 3 5 2" xfId="2553" xr:uid="{00000000-0005-0000-0000-00006D080000}"/>
    <cellStyle name="20% - Accent4 2 3 5 3" xfId="2554" xr:uid="{00000000-0005-0000-0000-00006E080000}"/>
    <cellStyle name="20% - Accent4 2 3 6" xfId="2555" xr:uid="{00000000-0005-0000-0000-00006F080000}"/>
    <cellStyle name="20% - Accent4 2 3 6 2" xfId="2556" xr:uid="{00000000-0005-0000-0000-000070080000}"/>
    <cellStyle name="20% - Accent4 2 3 6 3" xfId="2557" xr:uid="{00000000-0005-0000-0000-000071080000}"/>
    <cellStyle name="20% - Accent4 2 3 7" xfId="2558" xr:uid="{00000000-0005-0000-0000-000072080000}"/>
    <cellStyle name="20% - Accent4 2 3 7 2" xfId="2559" xr:uid="{00000000-0005-0000-0000-000073080000}"/>
    <cellStyle name="20% - Accent4 2 3 8" xfId="2560" xr:uid="{00000000-0005-0000-0000-000074080000}"/>
    <cellStyle name="20% - Accent4 2 3 9" xfId="2561" xr:uid="{00000000-0005-0000-0000-000075080000}"/>
    <cellStyle name="20% - Accent4 2 4" xfId="2562" xr:uid="{00000000-0005-0000-0000-000076080000}"/>
    <cellStyle name="20% - Accent4 2 4 10" xfId="2563" xr:uid="{00000000-0005-0000-0000-000077080000}"/>
    <cellStyle name="20% - Accent4 2 4 11" xfId="2564" xr:uid="{00000000-0005-0000-0000-000078080000}"/>
    <cellStyle name="20% - Accent4 2 4 2" xfId="2565" xr:uid="{00000000-0005-0000-0000-000079080000}"/>
    <cellStyle name="20% - Accent4 2 4 2 10" xfId="2566" xr:uid="{00000000-0005-0000-0000-00007A080000}"/>
    <cellStyle name="20% - Accent4 2 4 2 2" xfId="2567" xr:uid="{00000000-0005-0000-0000-00007B080000}"/>
    <cellStyle name="20% - Accent4 2 4 2 2 2" xfId="2568" xr:uid="{00000000-0005-0000-0000-00007C080000}"/>
    <cellStyle name="20% - Accent4 2 4 2 2 2 2" xfId="2569" xr:uid="{00000000-0005-0000-0000-00007D080000}"/>
    <cellStyle name="20% - Accent4 2 4 2 2 2 3" xfId="2570" xr:uid="{00000000-0005-0000-0000-00007E080000}"/>
    <cellStyle name="20% - Accent4 2 4 2 2 3" xfId="2571" xr:uid="{00000000-0005-0000-0000-00007F080000}"/>
    <cellStyle name="20% - Accent4 2 4 2 2 3 2" xfId="2572" xr:uid="{00000000-0005-0000-0000-000080080000}"/>
    <cellStyle name="20% - Accent4 2 4 2 2 3 3" xfId="2573" xr:uid="{00000000-0005-0000-0000-000081080000}"/>
    <cellStyle name="20% - Accent4 2 4 2 2 4" xfId="2574" xr:uid="{00000000-0005-0000-0000-000082080000}"/>
    <cellStyle name="20% - Accent4 2 4 2 2 5" xfId="2575" xr:uid="{00000000-0005-0000-0000-000083080000}"/>
    <cellStyle name="20% - Accent4 2 4 2 2 6" xfId="2576" xr:uid="{00000000-0005-0000-0000-000084080000}"/>
    <cellStyle name="20% - Accent4 2 4 2 2 7" xfId="2577" xr:uid="{00000000-0005-0000-0000-000085080000}"/>
    <cellStyle name="20% - Accent4 2 4 2 2 8" xfId="2578" xr:uid="{00000000-0005-0000-0000-000086080000}"/>
    <cellStyle name="20% - Accent4 2 4 2 3" xfId="2579" xr:uid="{00000000-0005-0000-0000-000087080000}"/>
    <cellStyle name="20% - Accent4 2 4 2 3 2" xfId="2580" xr:uid="{00000000-0005-0000-0000-000088080000}"/>
    <cellStyle name="20% - Accent4 2 4 2 3 2 2" xfId="2581" xr:uid="{00000000-0005-0000-0000-000089080000}"/>
    <cellStyle name="20% - Accent4 2 4 2 3 2 3" xfId="2582" xr:uid="{00000000-0005-0000-0000-00008A080000}"/>
    <cellStyle name="20% - Accent4 2 4 2 3 3" xfId="2583" xr:uid="{00000000-0005-0000-0000-00008B080000}"/>
    <cellStyle name="20% - Accent4 2 4 2 3 3 2" xfId="2584" xr:uid="{00000000-0005-0000-0000-00008C080000}"/>
    <cellStyle name="20% - Accent4 2 4 2 3 4" xfId="2585" xr:uid="{00000000-0005-0000-0000-00008D080000}"/>
    <cellStyle name="20% - Accent4 2 4 2 4" xfId="2586" xr:uid="{00000000-0005-0000-0000-00008E080000}"/>
    <cellStyle name="20% - Accent4 2 4 2 4 2" xfId="2587" xr:uid="{00000000-0005-0000-0000-00008F080000}"/>
    <cellStyle name="20% - Accent4 2 4 2 4 3" xfId="2588" xr:uid="{00000000-0005-0000-0000-000090080000}"/>
    <cellStyle name="20% - Accent4 2 4 2 5" xfId="2589" xr:uid="{00000000-0005-0000-0000-000091080000}"/>
    <cellStyle name="20% - Accent4 2 4 2 5 2" xfId="2590" xr:uid="{00000000-0005-0000-0000-000092080000}"/>
    <cellStyle name="20% - Accent4 2 4 2 5 3" xfId="2591" xr:uid="{00000000-0005-0000-0000-000093080000}"/>
    <cellStyle name="20% - Accent4 2 4 2 6" xfId="2592" xr:uid="{00000000-0005-0000-0000-000094080000}"/>
    <cellStyle name="20% - Accent4 2 4 2 6 2" xfId="2593" xr:uid="{00000000-0005-0000-0000-000095080000}"/>
    <cellStyle name="20% - Accent4 2 4 2 7" xfId="2594" xr:uid="{00000000-0005-0000-0000-000096080000}"/>
    <cellStyle name="20% - Accent4 2 4 2 8" xfId="2595" xr:uid="{00000000-0005-0000-0000-000097080000}"/>
    <cellStyle name="20% - Accent4 2 4 2 9" xfId="2596" xr:uid="{00000000-0005-0000-0000-000098080000}"/>
    <cellStyle name="20% - Accent4 2 4 3" xfId="2597" xr:uid="{00000000-0005-0000-0000-000099080000}"/>
    <cellStyle name="20% - Accent4 2 4 3 2" xfId="2598" xr:uid="{00000000-0005-0000-0000-00009A080000}"/>
    <cellStyle name="20% - Accent4 2 4 3 2 2" xfId="2599" xr:uid="{00000000-0005-0000-0000-00009B080000}"/>
    <cellStyle name="20% - Accent4 2 4 3 2 3" xfId="2600" xr:uid="{00000000-0005-0000-0000-00009C080000}"/>
    <cellStyle name="20% - Accent4 2 4 3 3" xfId="2601" xr:uid="{00000000-0005-0000-0000-00009D080000}"/>
    <cellStyle name="20% - Accent4 2 4 3 3 2" xfId="2602" xr:uid="{00000000-0005-0000-0000-00009E080000}"/>
    <cellStyle name="20% - Accent4 2 4 3 3 3" xfId="2603" xr:uid="{00000000-0005-0000-0000-00009F080000}"/>
    <cellStyle name="20% - Accent4 2 4 3 4" xfId="2604" xr:uid="{00000000-0005-0000-0000-0000A0080000}"/>
    <cellStyle name="20% - Accent4 2 4 3 5" xfId="2605" xr:uid="{00000000-0005-0000-0000-0000A1080000}"/>
    <cellStyle name="20% - Accent4 2 4 3 6" xfId="2606" xr:uid="{00000000-0005-0000-0000-0000A2080000}"/>
    <cellStyle name="20% - Accent4 2 4 3 7" xfId="2607" xr:uid="{00000000-0005-0000-0000-0000A3080000}"/>
    <cellStyle name="20% - Accent4 2 4 3 8" xfId="2608" xr:uid="{00000000-0005-0000-0000-0000A4080000}"/>
    <cellStyle name="20% - Accent4 2 4 4" xfId="2609" xr:uid="{00000000-0005-0000-0000-0000A5080000}"/>
    <cellStyle name="20% - Accent4 2 4 4 2" xfId="2610" xr:uid="{00000000-0005-0000-0000-0000A6080000}"/>
    <cellStyle name="20% - Accent4 2 4 4 2 2" xfId="2611" xr:uid="{00000000-0005-0000-0000-0000A7080000}"/>
    <cellStyle name="20% - Accent4 2 4 4 2 3" xfId="2612" xr:uid="{00000000-0005-0000-0000-0000A8080000}"/>
    <cellStyle name="20% - Accent4 2 4 4 3" xfId="2613" xr:uid="{00000000-0005-0000-0000-0000A9080000}"/>
    <cellStyle name="20% - Accent4 2 4 4 3 2" xfId="2614" xr:uid="{00000000-0005-0000-0000-0000AA080000}"/>
    <cellStyle name="20% - Accent4 2 4 4 4" xfId="2615" xr:uid="{00000000-0005-0000-0000-0000AB080000}"/>
    <cellStyle name="20% - Accent4 2 4 5" xfId="2616" xr:uid="{00000000-0005-0000-0000-0000AC080000}"/>
    <cellStyle name="20% - Accent4 2 4 5 2" xfId="2617" xr:uid="{00000000-0005-0000-0000-0000AD080000}"/>
    <cellStyle name="20% - Accent4 2 4 5 3" xfId="2618" xr:uid="{00000000-0005-0000-0000-0000AE080000}"/>
    <cellStyle name="20% - Accent4 2 4 6" xfId="2619" xr:uid="{00000000-0005-0000-0000-0000AF080000}"/>
    <cellStyle name="20% - Accent4 2 4 6 2" xfId="2620" xr:uid="{00000000-0005-0000-0000-0000B0080000}"/>
    <cellStyle name="20% - Accent4 2 4 6 3" xfId="2621" xr:uid="{00000000-0005-0000-0000-0000B1080000}"/>
    <cellStyle name="20% - Accent4 2 4 7" xfId="2622" xr:uid="{00000000-0005-0000-0000-0000B2080000}"/>
    <cellStyle name="20% - Accent4 2 4 7 2" xfId="2623" xr:uid="{00000000-0005-0000-0000-0000B3080000}"/>
    <cellStyle name="20% - Accent4 2 4 8" xfId="2624" xr:uid="{00000000-0005-0000-0000-0000B4080000}"/>
    <cellStyle name="20% - Accent4 2 4 9" xfId="2625" xr:uid="{00000000-0005-0000-0000-0000B5080000}"/>
    <cellStyle name="20% - Accent4 2 5" xfId="2626" xr:uid="{00000000-0005-0000-0000-0000B6080000}"/>
    <cellStyle name="20% - Accent4 2 5 10" xfId="2627" xr:uid="{00000000-0005-0000-0000-0000B7080000}"/>
    <cellStyle name="20% - Accent4 2 5 11" xfId="2628" xr:uid="{00000000-0005-0000-0000-0000B8080000}"/>
    <cellStyle name="20% - Accent4 2 5 2" xfId="2629" xr:uid="{00000000-0005-0000-0000-0000B9080000}"/>
    <cellStyle name="20% - Accent4 2 5 2 2" xfId="2630" xr:uid="{00000000-0005-0000-0000-0000BA080000}"/>
    <cellStyle name="20% - Accent4 2 5 2 2 2" xfId="2631" xr:uid="{00000000-0005-0000-0000-0000BB080000}"/>
    <cellStyle name="20% - Accent4 2 5 2 2 2 2" xfId="2632" xr:uid="{00000000-0005-0000-0000-0000BC080000}"/>
    <cellStyle name="20% - Accent4 2 5 2 2 2 3" xfId="2633" xr:uid="{00000000-0005-0000-0000-0000BD080000}"/>
    <cellStyle name="20% - Accent4 2 5 2 2 3" xfId="2634" xr:uid="{00000000-0005-0000-0000-0000BE080000}"/>
    <cellStyle name="20% - Accent4 2 5 2 2 3 2" xfId="2635" xr:uid="{00000000-0005-0000-0000-0000BF080000}"/>
    <cellStyle name="20% - Accent4 2 5 2 2 3 3" xfId="2636" xr:uid="{00000000-0005-0000-0000-0000C0080000}"/>
    <cellStyle name="20% - Accent4 2 5 2 2 4" xfId="2637" xr:uid="{00000000-0005-0000-0000-0000C1080000}"/>
    <cellStyle name="20% - Accent4 2 5 2 2 5" xfId="2638" xr:uid="{00000000-0005-0000-0000-0000C2080000}"/>
    <cellStyle name="20% - Accent4 2 5 2 2 6" xfId="2639" xr:uid="{00000000-0005-0000-0000-0000C3080000}"/>
    <cellStyle name="20% - Accent4 2 5 2 2 7" xfId="2640" xr:uid="{00000000-0005-0000-0000-0000C4080000}"/>
    <cellStyle name="20% - Accent4 2 5 2 2 8" xfId="2641" xr:uid="{00000000-0005-0000-0000-0000C5080000}"/>
    <cellStyle name="20% - Accent4 2 5 2 3" xfId="2642" xr:uid="{00000000-0005-0000-0000-0000C6080000}"/>
    <cellStyle name="20% - Accent4 2 5 2 3 2" xfId="2643" xr:uid="{00000000-0005-0000-0000-0000C7080000}"/>
    <cellStyle name="20% - Accent4 2 5 2 3 2 2" xfId="2644" xr:uid="{00000000-0005-0000-0000-0000C8080000}"/>
    <cellStyle name="20% - Accent4 2 5 2 3 2 3" xfId="2645" xr:uid="{00000000-0005-0000-0000-0000C9080000}"/>
    <cellStyle name="20% - Accent4 2 5 2 3 3" xfId="2646" xr:uid="{00000000-0005-0000-0000-0000CA080000}"/>
    <cellStyle name="20% - Accent4 2 5 2 3 3 2" xfId="2647" xr:uid="{00000000-0005-0000-0000-0000CB080000}"/>
    <cellStyle name="20% - Accent4 2 5 2 3 4" xfId="2648" xr:uid="{00000000-0005-0000-0000-0000CC080000}"/>
    <cellStyle name="20% - Accent4 2 5 2 4" xfId="2649" xr:uid="{00000000-0005-0000-0000-0000CD080000}"/>
    <cellStyle name="20% - Accent4 2 5 2 4 2" xfId="2650" xr:uid="{00000000-0005-0000-0000-0000CE080000}"/>
    <cellStyle name="20% - Accent4 2 5 2 4 3" xfId="2651" xr:uid="{00000000-0005-0000-0000-0000CF080000}"/>
    <cellStyle name="20% - Accent4 2 5 2 5" xfId="2652" xr:uid="{00000000-0005-0000-0000-0000D0080000}"/>
    <cellStyle name="20% - Accent4 2 5 2 6" xfId="2653" xr:uid="{00000000-0005-0000-0000-0000D1080000}"/>
    <cellStyle name="20% - Accent4 2 5 2 6 2" xfId="2654" xr:uid="{00000000-0005-0000-0000-0000D2080000}"/>
    <cellStyle name="20% - Accent4 2 5 2 7" xfId="2655" xr:uid="{00000000-0005-0000-0000-0000D3080000}"/>
    <cellStyle name="20% - Accent4 2 5 2 8" xfId="2656" xr:uid="{00000000-0005-0000-0000-0000D4080000}"/>
    <cellStyle name="20% - Accent4 2 5 2 9" xfId="2657" xr:uid="{00000000-0005-0000-0000-0000D5080000}"/>
    <cellStyle name="20% - Accent4 2 5 3" xfId="2658" xr:uid="{00000000-0005-0000-0000-0000D6080000}"/>
    <cellStyle name="20% - Accent4 2 5 3 2" xfId="2659" xr:uid="{00000000-0005-0000-0000-0000D7080000}"/>
    <cellStyle name="20% - Accent4 2 5 3 2 2" xfId="2660" xr:uid="{00000000-0005-0000-0000-0000D8080000}"/>
    <cellStyle name="20% - Accent4 2 5 3 2 3" xfId="2661" xr:uid="{00000000-0005-0000-0000-0000D9080000}"/>
    <cellStyle name="20% - Accent4 2 5 3 3" xfId="2662" xr:uid="{00000000-0005-0000-0000-0000DA080000}"/>
    <cellStyle name="20% - Accent4 2 5 3 3 2" xfId="2663" xr:uid="{00000000-0005-0000-0000-0000DB080000}"/>
    <cellStyle name="20% - Accent4 2 5 3 3 3" xfId="2664" xr:uid="{00000000-0005-0000-0000-0000DC080000}"/>
    <cellStyle name="20% - Accent4 2 5 3 4" xfId="2665" xr:uid="{00000000-0005-0000-0000-0000DD080000}"/>
    <cellStyle name="20% - Accent4 2 5 3 5" xfId="2666" xr:uid="{00000000-0005-0000-0000-0000DE080000}"/>
    <cellStyle name="20% - Accent4 2 5 3 6" xfId="2667" xr:uid="{00000000-0005-0000-0000-0000DF080000}"/>
    <cellStyle name="20% - Accent4 2 5 3 7" xfId="2668" xr:uid="{00000000-0005-0000-0000-0000E0080000}"/>
    <cellStyle name="20% - Accent4 2 5 3 8" xfId="2669" xr:uid="{00000000-0005-0000-0000-0000E1080000}"/>
    <cellStyle name="20% - Accent4 2 5 4" xfId="2670" xr:uid="{00000000-0005-0000-0000-0000E2080000}"/>
    <cellStyle name="20% - Accent4 2 5 4 2" xfId="2671" xr:uid="{00000000-0005-0000-0000-0000E3080000}"/>
    <cellStyle name="20% - Accent4 2 5 4 2 2" xfId="2672" xr:uid="{00000000-0005-0000-0000-0000E4080000}"/>
    <cellStyle name="20% - Accent4 2 5 4 2 3" xfId="2673" xr:uid="{00000000-0005-0000-0000-0000E5080000}"/>
    <cellStyle name="20% - Accent4 2 5 4 3" xfId="2674" xr:uid="{00000000-0005-0000-0000-0000E6080000}"/>
    <cellStyle name="20% - Accent4 2 5 4 3 2" xfId="2675" xr:uid="{00000000-0005-0000-0000-0000E7080000}"/>
    <cellStyle name="20% - Accent4 2 5 4 4" xfId="2676" xr:uid="{00000000-0005-0000-0000-0000E8080000}"/>
    <cellStyle name="20% - Accent4 2 5 5" xfId="2677" xr:uid="{00000000-0005-0000-0000-0000E9080000}"/>
    <cellStyle name="20% - Accent4 2 5 5 2" xfId="2678" xr:uid="{00000000-0005-0000-0000-0000EA080000}"/>
    <cellStyle name="20% - Accent4 2 5 5 3" xfId="2679" xr:uid="{00000000-0005-0000-0000-0000EB080000}"/>
    <cellStyle name="20% - Accent4 2 5 6" xfId="2680" xr:uid="{00000000-0005-0000-0000-0000EC080000}"/>
    <cellStyle name="20% - Accent4 2 5 6 2" xfId="2681" xr:uid="{00000000-0005-0000-0000-0000ED080000}"/>
    <cellStyle name="20% - Accent4 2 5 6 3" xfId="2682" xr:uid="{00000000-0005-0000-0000-0000EE080000}"/>
    <cellStyle name="20% - Accent4 2 5 7" xfId="2683" xr:uid="{00000000-0005-0000-0000-0000EF080000}"/>
    <cellStyle name="20% - Accent4 2 5 7 2" xfId="2684" xr:uid="{00000000-0005-0000-0000-0000F0080000}"/>
    <cellStyle name="20% - Accent4 2 5 8" xfId="2685" xr:uid="{00000000-0005-0000-0000-0000F1080000}"/>
    <cellStyle name="20% - Accent4 2 5 9" xfId="2686" xr:uid="{00000000-0005-0000-0000-0000F2080000}"/>
    <cellStyle name="20% - Accent4 2 6" xfId="2687" xr:uid="{00000000-0005-0000-0000-0000F3080000}"/>
    <cellStyle name="20% - Accent4 2 6 10" xfId="2688" xr:uid="{00000000-0005-0000-0000-0000F4080000}"/>
    <cellStyle name="20% - Accent4 2 6 11" xfId="2689" xr:uid="{00000000-0005-0000-0000-0000F5080000}"/>
    <cellStyle name="20% - Accent4 2 6 2" xfId="2690" xr:uid="{00000000-0005-0000-0000-0000F6080000}"/>
    <cellStyle name="20% - Accent4 2 6 2 2" xfId="2691" xr:uid="{00000000-0005-0000-0000-0000F7080000}"/>
    <cellStyle name="20% - Accent4 2 6 2 2 2" xfId="2692" xr:uid="{00000000-0005-0000-0000-0000F8080000}"/>
    <cellStyle name="20% - Accent4 2 6 2 2 2 2" xfId="2693" xr:uid="{00000000-0005-0000-0000-0000F9080000}"/>
    <cellStyle name="20% - Accent4 2 6 2 2 2 3" xfId="2694" xr:uid="{00000000-0005-0000-0000-0000FA080000}"/>
    <cellStyle name="20% - Accent4 2 6 2 2 3" xfId="2695" xr:uid="{00000000-0005-0000-0000-0000FB080000}"/>
    <cellStyle name="20% - Accent4 2 6 2 2 3 2" xfId="2696" xr:uid="{00000000-0005-0000-0000-0000FC080000}"/>
    <cellStyle name="20% - Accent4 2 6 2 2 3 3" xfId="2697" xr:uid="{00000000-0005-0000-0000-0000FD080000}"/>
    <cellStyle name="20% - Accent4 2 6 2 2 4" xfId="2698" xr:uid="{00000000-0005-0000-0000-0000FE080000}"/>
    <cellStyle name="20% - Accent4 2 6 2 2 5" xfId="2699" xr:uid="{00000000-0005-0000-0000-0000FF080000}"/>
    <cellStyle name="20% - Accent4 2 6 2 2 6" xfId="2700" xr:uid="{00000000-0005-0000-0000-000000090000}"/>
    <cellStyle name="20% - Accent4 2 6 2 2 7" xfId="2701" xr:uid="{00000000-0005-0000-0000-000001090000}"/>
    <cellStyle name="20% - Accent4 2 6 2 2 8" xfId="2702" xr:uid="{00000000-0005-0000-0000-000002090000}"/>
    <cellStyle name="20% - Accent4 2 6 2 3" xfId="2703" xr:uid="{00000000-0005-0000-0000-000003090000}"/>
    <cellStyle name="20% - Accent4 2 6 2 3 2" xfId="2704" xr:uid="{00000000-0005-0000-0000-000004090000}"/>
    <cellStyle name="20% - Accent4 2 6 2 3 2 2" xfId="2705" xr:uid="{00000000-0005-0000-0000-000005090000}"/>
    <cellStyle name="20% - Accent4 2 6 2 3 2 3" xfId="2706" xr:uid="{00000000-0005-0000-0000-000006090000}"/>
    <cellStyle name="20% - Accent4 2 6 2 3 3" xfId="2707" xr:uid="{00000000-0005-0000-0000-000007090000}"/>
    <cellStyle name="20% - Accent4 2 6 2 3 3 2" xfId="2708" xr:uid="{00000000-0005-0000-0000-000008090000}"/>
    <cellStyle name="20% - Accent4 2 6 2 3 4" xfId="2709" xr:uid="{00000000-0005-0000-0000-000009090000}"/>
    <cellStyle name="20% - Accent4 2 6 2 4" xfId="2710" xr:uid="{00000000-0005-0000-0000-00000A090000}"/>
    <cellStyle name="20% - Accent4 2 6 2 4 2" xfId="2711" xr:uid="{00000000-0005-0000-0000-00000B090000}"/>
    <cellStyle name="20% - Accent4 2 6 2 4 3" xfId="2712" xr:uid="{00000000-0005-0000-0000-00000C090000}"/>
    <cellStyle name="20% - Accent4 2 6 2 5" xfId="2713" xr:uid="{00000000-0005-0000-0000-00000D090000}"/>
    <cellStyle name="20% - Accent4 2 6 2 6" xfId="2714" xr:uid="{00000000-0005-0000-0000-00000E090000}"/>
    <cellStyle name="20% - Accent4 2 6 2 6 2" xfId="2715" xr:uid="{00000000-0005-0000-0000-00000F090000}"/>
    <cellStyle name="20% - Accent4 2 6 2 7" xfId="2716" xr:uid="{00000000-0005-0000-0000-000010090000}"/>
    <cellStyle name="20% - Accent4 2 6 2 8" xfId="2717" xr:uid="{00000000-0005-0000-0000-000011090000}"/>
    <cellStyle name="20% - Accent4 2 6 2 9" xfId="2718" xr:uid="{00000000-0005-0000-0000-000012090000}"/>
    <cellStyle name="20% - Accent4 2 6 3" xfId="2719" xr:uid="{00000000-0005-0000-0000-000013090000}"/>
    <cellStyle name="20% - Accent4 2 6 3 2" xfId="2720" xr:uid="{00000000-0005-0000-0000-000014090000}"/>
    <cellStyle name="20% - Accent4 2 6 3 2 2" xfId="2721" xr:uid="{00000000-0005-0000-0000-000015090000}"/>
    <cellStyle name="20% - Accent4 2 6 3 2 3" xfId="2722" xr:uid="{00000000-0005-0000-0000-000016090000}"/>
    <cellStyle name="20% - Accent4 2 6 3 3" xfId="2723" xr:uid="{00000000-0005-0000-0000-000017090000}"/>
    <cellStyle name="20% - Accent4 2 6 3 3 2" xfId="2724" xr:uid="{00000000-0005-0000-0000-000018090000}"/>
    <cellStyle name="20% - Accent4 2 6 3 3 3" xfId="2725" xr:uid="{00000000-0005-0000-0000-000019090000}"/>
    <cellStyle name="20% - Accent4 2 6 3 4" xfId="2726" xr:uid="{00000000-0005-0000-0000-00001A090000}"/>
    <cellStyle name="20% - Accent4 2 6 3 5" xfId="2727" xr:uid="{00000000-0005-0000-0000-00001B090000}"/>
    <cellStyle name="20% - Accent4 2 6 3 6" xfId="2728" xr:uid="{00000000-0005-0000-0000-00001C090000}"/>
    <cellStyle name="20% - Accent4 2 6 3 7" xfId="2729" xr:uid="{00000000-0005-0000-0000-00001D090000}"/>
    <cellStyle name="20% - Accent4 2 6 3 8" xfId="2730" xr:uid="{00000000-0005-0000-0000-00001E090000}"/>
    <cellStyle name="20% - Accent4 2 6 4" xfId="2731" xr:uid="{00000000-0005-0000-0000-00001F090000}"/>
    <cellStyle name="20% - Accent4 2 6 4 2" xfId="2732" xr:uid="{00000000-0005-0000-0000-000020090000}"/>
    <cellStyle name="20% - Accent4 2 6 4 2 2" xfId="2733" xr:uid="{00000000-0005-0000-0000-000021090000}"/>
    <cellStyle name="20% - Accent4 2 6 4 2 3" xfId="2734" xr:uid="{00000000-0005-0000-0000-000022090000}"/>
    <cellStyle name="20% - Accent4 2 6 4 3" xfId="2735" xr:uid="{00000000-0005-0000-0000-000023090000}"/>
    <cellStyle name="20% - Accent4 2 6 4 3 2" xfId="2736" xr:uid="{00000000-0005-0000-0000-000024090000}"/>
    <cellStyle name="20% - Accent4 2 6 4 4" xfId="2737" xr:uid="{00000000-0005-0000-0000-000025090000}"/>
    <cellStyle name="20% - Accent4 2 6 5" xfId="2738" xr:uid="{00000000-0005-0000-0000-000026090000}"/>
    <cellStyle name="20% - Accent4 2 6 5 2" xfId="2739" xr:uid="{00000000-0005-0000-0000-000027090000}"/>
    <cellStyle name="20% - Accent4 2 6 5 3" xfId="2740" xr:uid="{00000000-0005-0000-0000-000028090000}"/>
    <cellStyle name="20% - Accent4 2 6 6" xfId="2741" xr:uid="{00000000-0005-0000-0000-000029090000}"/>
    <cellStyle name="20% - Accent4 2 6 6 2" xfId="2742" xr:uid="{00000000-0005-0000-0000-00002A090000}"/>
    <cellStyle name="20% - Accent4 2 6 6 3" xfId="2743" xr:uid="{00000000-0005-0000-0000-00002B090000}"/>
    <cellStyle name="20% - Accent4 2 6 7" xfId="2744" xr:uid="{00000000-0005-0000-0000-00002C090000}"/>
    <cellStyle name="20% - Accent4 2 6 7 2" xfId="2745" xr:uid="{00000000-0005-0000-0000-00002D090000}"/>
    <cellStyle name="20% - Accent4 2 6 8" xfId="2746" xr:uid="{00000000-0005-0000-0000-00002E090000}"/>
    <cellStyle name="20% - Accent4 2 6 9" xfId="2747" xr:uid="{00000000-0005-0000-0000-00002F090000}"/>
    <cellStyle name="20% - Accent4 2 7" xfId="2748" xr:uid="{00000000-0005-0000-0000-000030090000}"/>
    <cellStyle name="20% - Accent4 2 7 2" xfId="2749" xr:uid="{00000000-0005-0000-0000-000031090000}"/>
    <cellStyle name="20% - Accent4 2 7 2 2" xfId="2750" xr:uid="{00000000-0005-0000-0000-000032090000}"/>
    <cellStyle name="20% - Accent4 2 7 2 3" xfId="2751" xr:uid="{00000000-0005-0000-0000-000033090000}"/>
    <cellStyle name="20% - Accent4 2 7 3" xfId="2752" xr:uid="{00000000-0005-0000-0000-000034090000}"/>
    <cellStyle name="20% - Accent4 2 7 3 2" xfId="2753" xr:uid="{00000000-0005-0000-0000-000035090000}"/>
    <cellStyle name="20% - Accent4 2 7 4" xfId="2754" xr:uid="{00000000-0005-0000-0000-000036090000}"/>
    <cellStyle name="20% - Accent4 2 8" xfId="2755" xr:uid="{00000000-0005-0000-0000-000037090000}"/>
    <cellStyle name="20% - Accent4 2 8 2" xfId="2756" xr:uid="{00000000-0005-0000-0000-000038090000}"/>
    <cellStyle name="20% - Accent4 2 8 3" xfId="2757" xr:uid="{00000000-0005-0000-0000-000039090000}"/>
    <cellStyle name="20% - Accent4 2 9" xfId="2758" xr:uid="{00000000-0005-0000-0000-00003A090000}"/>
    <cellStyle name="20% - Accent4 2 9 2" xfId="2759" xr:uid="{00000000-0005-0000-0000-00003B090000}"/>
    <cellStyle name="20% - Accent4 2 9 3" xfId="2760" xr:uid="{00000000-0005-0000-0000-00003C090000}"/>
    <cellStyle name="20% - Accent4 2_Dec monthly report" xfId="2761" xr:uid="{00000000-0005-0000-0000-00003D090000}"/>
    <cellStyle name="20% - Accent4 20" xfId="2762" xr:uid="{00000000-0005-0000-0000-00003E090000}"/>
    <cellStyle name="20% - Accent4 20 2" xfId="2763" xr:uid="{00000000-0005-0000-0000-00003F090000}"/>
    <cellStyle name="20% - Accent4 20 3" xfId="2764" xr:uid="{00000000-0005-0000-0000-000040090000}"/>
    <cellStyle name="20% - Accent4 21" xfId="2765" xr:uid="{00000000-0005-0000-0000-000041090000}"/>
    <cellStyle name="20% - Accent4 21 2" xfId="2766" xr:uid="{00000000-0005-0000-0000-000042090000}"/>
    <cellStyle name="20% - Accent4 21 3" xfId="2767" xr:uid="{00000000-0005-0000-0000-000043090000}"/>
    <cellStyle name="20% - Accent4 22" xfId="2768" xr:uid="{00000000-0005-0000-0000-000044090000}"/>
    <cellStyle name="20% - Accent4 23" xfId="2769" xr:uid="{00000000-0005-0000-0000-000045090000}"/>
    <cellStyle name="20% - Accent4 24" xfId="2770" xr:uid="{00000000-0005-0000-0000-000046090000}"/>
    <cellStyle name="20% - Accent4 3" xfId="2771" xr:uid="{00000000-0005-0000-0000-000047090000}"/>
    <cellStyle name="20% - Accent4 3 10" xfId="2772" xr:uid="{00000000-0005-0000-0000-000048090000}"/>
    <cellStyle name="20% - Accent4 3 11" xfId="2773" xr:uid="{00000000-0005-0000-0000-000049090000}"/>
    <cellStyle name="20% - Accent4 3 12" xfId="2774" xr:uid="{00000000-0005-0000-0000-00004A090000}"/>
    <cellStyle name="20% - Accent4 3 13" xfId="2775" xr:uid="{00000000-0005-0000-0000-00004B090000}"/>
    <cellStyle name="20% - Accent4 3 14" xfId="2776" xr:uid="{00000000-0005-0000-0000-00004C090000}"/>
    <cellStyle name="20% - Accent4 3 2" xfId="2777" xr:uid="{00000000-0005-0000-0000-00004D090000}"/>
    <cellStyle name="20% - Accent4 3 2 2" xfId="2778" xr:uid="{00000000-0005-0000-0000-00004E090000}"/>
    <cellStyle name="20% - Accent4 3 2 2 10" xfId="2779" xr:uid="{00000000-0005-0000-0000-00004F090000}"/>
    <cellStyle name="20% - Accent4 3 2 2 2" xfId="2780" xr:uid="{00000000-0005-0000-0000-000050090000}"/>
    <cellStyle name="20% - Accent4 3 2 2 2 2" xfId="2781" xr:uid="{00000000-0005-0000-0000-000051090000}"/>
    <cellStyle name="20% - Accent4 3 2 2 2 2 2" xfId="2782" xr:uid="{00000000-0005-0000-0000-000052090000}"/>
    <cellStyle name="20% - Accent4 3 2 2 2 2 3" xfId="2783" xr:uid="{00000000-0005-0000-0000-000053090000}"/>
    <cellStyle name="20% - Accent4 3 2 2 2 3" xfId="2784" xr:uid="{00000000-0005-0000-0000-000054090000}"/>
    <cellStyle name="20% - Accent4 3 2 2 2 3 2" xfId="2785" xr:uid="{00000000-0005-0000-0000-000055090000}"/>
    <cellStyle name="20% - Accent4 3 2 2 2 3 3" xfId="2786" xr:uid="{00000000-0005-0000-0000-000056090000}"/>
    <cellStyle name="20% - Accent4 3 2 2 2 4" xfId="2787" xr:uid="{00000000-0005-0000-0000-000057090000}"/>
    <cellStyle name="20% - Accent4 3 2 2 2 5" xfId="2788" xr:uid="{00000000-0005-0000-0000-000058090000}"/>
    <cellStyle name="20% - Accent4 3 2 2 2 6" xfId="2789" xr:uid="{00000000-0005-0000-0000-000059090000}"/>
    <cellStyle name="20% - Accent4 3 2 2 2 7" xfId="2790" xr:uid="{00000000-0005-0000-0000-00005A090000}"/>
    <cellStyle name="20% - Accent4 3 2 2 2 8" xfId="2791" xr:uid="{00000000-0005-0000-0000-00005B090000}"/>
    <cellStyle name="20% - Accent4 3 2 2 3" xfId="2792" xr:uid="{00000000-0005-0000-0000-00005C090000}"/>
    <cellStyle name="20% - Accent4 3 2 2 3 2" xfId="2793" xr:uid="{00000000-0005-0000-0000-00005D090000}"/>
    <cellStyle name="20% - Accent4 3 2 2 3 3" xfId="2794" xr:uid="{00000000-0005-0000-0000-00005E090000}"/>
    <cellStyle name="20% - Accent4 3 2 2 4" xfId="2795" xr:uid="{00000000-0005-0000-0000-00005F090000}"/>
    <cellStyle name="20% - Accent4 3 2 2 4 2" xfId="2796" xr:uid="{00000000-0005-0000-0000-000060090000}"/>
    <cellStyle name="20% - Accent4 3 2 2 4 3" xfId="2797" xr:uid="{00000000-0005-0000-0000-000061090000}"/>
    <cellStyle name="20% - Accent4 3 2 2 5" xfId="2798" xr:uid="{00000000-0005-0000-0000-000062090000}"/>
    <cellStyle name="20% - Accent4 3 2 2 5 2" xfId="2799" xr:uid="{00000000-0005-0000-0000-000063090000}"/>
    <cellStyle name="20% - Accent4 3 2 2 5 3" xfId="2800" xr:uid="{00000000-0005-0000-0000-000064090000}"/>
    <cellStyle name="20% - Accent4 3 2 2 6" xfId="2801" xr:uid="{00000000-0005-0000-0000-000065090000}"/>
    <cellStyle name="20% - Accent4 3 2 2 7" xfId="2802" xr:uid="{00000000-0005-0000-0000-000066090000}"/>
    <cellStyle name="20% - Accent4 3 2 2 8" xfId="2803" xr:uid="{00000000-0005-0000-0000-000067090000}"/>
    <cellStyle name="20% - Accent4 3 2 2 9" xfId="2804" xr:uid="{00000000-0005-0000-0000-000068090000}"/>
    <cellStyle name="20% - Accent4 3 2 3" xfId="2805" xr:uid="{00000000-0005-0000-0000-000069090000}"/>
    <cellStyle name="20% - Accent4 3 2 3 2" xfId="2806" xr:uid="{00000000-0005-0000-0000-00006A090000}"/>
    <cellStyle name="20% - Accent4 3 2 3 2 2" xfId="2807" xr:uid="{00000000-0005-0000-0000-00006B090000}"/>
    <cellStyle name="20% - Accent4 3 2 3 2 3" xfId="2808" xr:uid="{00000000-0005-0000-0000-00006C090000}"/>
    <cellStyle name="20% - Accent4 3 2 3 3" xfId="2809" xr:uid="{00000000-0005-0000-0000-00006D090000}"/>
    <cellStyle name="20% - Accent4 3 2 3 3 2" xfId="2810" xr:uid="{00000000-0005-0000-0000-00006E090000}"/>
    <cellStyle name="20% - Accent4 3 2 3 4" xfId="2811" xr:uid="{00000000-0005-0000-0000-00006F090000}"/>
    <cellStyle name="20% - Accent4 3 2 4" xfId="2812" xr:uid="{00000000-0005-0000-0000-000070090000}"/>
    <cellStyle name="20% - Accent4 3 2 4 2" xfId="2813" xr:uid="{00000000-0005-0000-0000-000071090000}"/>
    <cellStyle name="20% - Accent4 3 2 4 3" xfId="2814" xr:uid="{00000000-0005-0000-0000-000072090000}"/>
    <cellStyle name="20% - Accent4 3 2 5" xfId="2815" xr:uid="{00000000-0005-0000-0000-000073090000}"/>
    <cellStyle name="20% - Accent4 3 2 5 2" xfId="2816" xr:uid="{00000000-0005-0000-0000-000074090000}"/>
    <cellStyle name="20% - Accent4 3 2 5 3" xfId="2817" xr:uid="{00000000-0005-0000-0000-000075090000}"/>
    <cellStyle name="20% - Accent4 3 2 6" xfId="2818" xr:uid="{00000000-0005-0000-0000-000076090000}"/>
    <cellStyle name="20% - Accent4 3 2 7" xfId="2819" xr:uid="{00000000-0005-0000-0000-000077090000}"/>
    <cellStyle name="20% - Accent4 3 2 8" xfId="2820" xr:uid="{00000000-0005-0000-0000-000078090000}"/>
    <cellStyle name="20% - Accent4 3 2 9" xfId="2821" xr:uid="{00000000-0005-0000-0000-000079090000}"/>
    <cellStyle name="20% - Accent4 3 3" xfId="2822" xr:uid="{00000000-0005-0000-0000-00007A090000}"/>
    <cellStyle name="20% - Accent4 3 3 2" xfId="2823" xr:uid="{00000000-0005-0000-0000-00007B090000}"/>
    <cellStyle name="20% - Accent4 3 3 2 2" xfId="2824" xr:uid="{00000000-0005-0000-0000-00007C090000}"/>
    <cellStyle name="20% - Accent4 3 3 2 3" xfId="2825" xr:uid="{00000000-0005-0000-0000-00007D090000}"/>
    <cellStyle name="20% - Accent4 3 3 2 3 2" xfId="2826" xr:uid="{00000000-0005-0000-0000-00007E090000}"/>
    <cellStyle name="20% - Accent4 3 3 3" xfId="2827" xr:uid="{00000000-0005-0000-0000-00007F090000}"/>
    <cellStyle name="20% - Accent4 3 3 3 2" xfId="2828" xr:uid="{00000000-0005-0000-0000-000080090000}"/>
    <cellStyle name="20% - Accent4 3 3 3 3" xfId="2829" xr:uid="{00000000-0005-0000-0000-000081090000}"/>
    <cellStyle name="20% - Accent4 3 3 4" xfId="2830" xr:uid="{00000000-0005-0000-0000-000082090000}"/>
    <cellStyle name="20% - Accent4 3 3 4 2" xfId="2831" xr:uid="{00000000-0005-0000-0000-000083090000}"/>
    <cellStyle name="20% - Accent4 3 3 5" xfId="2832" xr:uid="{00000000-0005-0000-0000-000084090000}"/>
    <cellStyle name="20% - Accent4 3 3 6" xfId="2833" xr:uid="{00000000-0005-0000-0000-000085090000}"/>
    <cellStyle name="20% - Accent4 3 3 7" xfId="2834" xr:uid="{00000000-0005-0000-0000-000086090000}"/>
    <cellStyle name="20% - Accent4 3 3 8" xfId="2835" xr:uid="{00000000-0005-0000-0000-000087090000}"/>
    <cellStyle name="20% - Accent4 3 4" xfId="2836" xr:uid="{00000000-0005-0000-0000-000088090000}"/>
    <cellStyle name="20% - Accent4 3 4 2" xfId="2837" xr:uid="{00000000-0005-0000-0000-000089090000}"/>
    <cellStyle name="20% - Accent4 3 4 2 2" xfId="2838" xr:uid="{00000000-0005-0000-0000-00008A090000}"/>
    <cellStyle name="20% - Accent4 3 4 2 3" xfId="2839" xr:uid="{00000000-0005-0000-0000-00008B090000}"/>
    <cellStyle name="20% - Accent4 3 4 3" xfId="2840" xr:uid="{00000000-0005-0000-0000-00008C090000}"/>
    <cellStyle name="20% - Accent4 3 4 3 2" xfId="2841" xr:uid="{00000000-0005-0000-0000-00008D090000}"/>
    <cellStyle name="20% - Accent4 3 4 3 3" xfId="2842" xr:uid="{00000000-0005-0000-0000-00008E090000}"/>
    <cellStyle name="20% - Accent4 3 4 4" xfId="2843" xr:uid="{00000000-0005-0000-0000-00008F090000}"/>
    <cellStyle name="20% - Accent4 3 4 4 2" xfId="2844" xr:uid="{00000000-0005-0000-0000-000090090000}"/>
    <cellStyle name="20% - Accent4 3 4 5" xfId="2845" xr:uid="{00000000-0005-0000-0000-000091090000}"/>
    <cellStyle name="20% - Accent4 3 4 6" xfId="2846" xr:uid="{00000000-0005-0000-0000-000092090000}"/>
    <cellStyle name="20% - Accent4 3 4 7" xfId="2847" xr:uid="{00000000-0005-0000-0000-000093090000}"/>
    <cellStyle name="20% - Accent4 3 4 8" xfId="2848" xr:uid="{00000000-0005-0000-0000-000094090000}"/>
    <cellStyle name="20% - Accent4 3 5" xfId="2849" xr:uid="{00000000-0005-0000-0000-000095090000}"/>
    <cellStyle name="20% - Accent4 3 5 2" xfId="2850" xr:uid="{00000000-0005-0000-0000-000096090000}"/>
    <cellStyle name="20% - Accent4 3 5 2 2" xfId="2851" xr:uid="{00000000-0005-0000-0000-000097090000}"/>
    <cellStyle name="20% - Accent4 3 5 2 3" xfId="2852" xr:uid="{00000000-0005-0000-0000-000098090000}"/>
    <cellStyle name="20% - Accent4 3 5 3" xfId="2853" xr:uid="{00000000-0005-0000-0000-000099090000}"/>
    <cellStyle name="20% - Accent4 3 5 3 2" xfId="2854" xr:uid="{00000000-0005-0000-0000-00009A090000}"/>
    <cellStyle name="20% - Accent4 3 5 4" xfId="2855" xr:uid="{00000000-0005-0000-0000-00009B090000}"/>
    <cellStyle name="20% - Accent4 3 5 5" xfId="2856" xr:uid="{00000000-0005-0000-0000-00009C090000}"/>
    <cellStyle name="20% - Accent4 3 5 6" xfId="2857" xr:uid="{00000000-0005-0000-0000-00009D090000}"/>
    <cellStyle name="20% - Accent4 3 5 7" xfId="2858" xr:uid="{00000000-0005-0000-0000-00009E090000}"/>
    <cellStyle name="20% - Accent4 3 5 8" xfId="2859" xr:uid="{00000000-0005-0000-0000-00009F090000}"/>
    <cellStyle name="20% - Accent4 3 6" xfId="2860" xr:uid="{00000000-0005-0000-0000-0000A0090000}"/>
    <cellStyle name="20% - Accent4 3 6 2" xfId="2861" xr:uid="{00000000-0005-0000-0000-0000A1090000}"/>
    <cellStyle name="20% - Accent4 3 6 3" xfId="2862" xr:uid="{00000000-0005-0000-0000-0000A2090000}"/>
    <cellStyle name="20% - Accent4 3 7" xfId="2863" xr:uid="{00000000-0005-0000-0000-0000A3090000}"/>
    <cellStyle name="20% - Accent4 3 7 2" xfId="2864" xr:uid="{00000000-0005-0000-0000-0000A4090000}"/>
    <cellStyle name="20% - Accent4 3 7 3" xfId="2865" xr:uid="{00000000-0005-0000-0000-0000A5090000}"/>
    <cellStyle name="20% - Accent4 3 8" xfId="2866" xr:uid="{00000000-0005-0000-0000-0000A6090000}"/>
    <cellStyle name="20% - Accent4 3 8 2" xfId="2867" xr:uid="{00000000-0005-0000-0000-0000A7090000}"/>
    <cellStyle name="20% - Accent4 3 8 3" xfId="2868" xr:uid="{00000000-0005-0000-0000-0000A8090000}"/>
    <cellStyle name="20% - Accent4 3 9" xfId="2869" xr:uid="{00000000-0005-0000-0000-0000A9090000}"/>
    <cellStyle name="20% - Accent4 3 9 2" xfId="2870" xr:uid="{00000000-0005-0000-0000-0000AA090000}"/>
    <cellStyle name="20% - Accent4 3 9 3" xfId="2871" xr:uid="{00000000-0005-0000-0000-0000AB090000}"/>
    <cellStyle name="20% - Accent4 4" xfId="2872" xr:uid="{00000000-0005-0000-0000-0000AC090000}"/>
    <cellStyle name="20% - Accent4 4 10" xfId="2873" xr:uid="{00000000-0005-0000-0000-0000AD090000}"/>
    <cellStyle name="20% - Accent4 4 11" xfId="2874" xr:uid="{00000000-0005-0000-0000-0000AE090000}"/>
    <cellStyle name="20% - Accent4 4 12" xfId="2875" xr:uid="{00000000-0005-0000-0000-0000AF090000}"/>
    <cellStyle name="20% - Accent4 4 13" xfId="2876" xr:uid="{00000000-0005-0000-0000-0000B0090000}"/>
    <cellStyle name="20% - Accent4 4 2" xfId="2877" xr:uid="{00000000-0005-0000-0000-0000B1090000}"/>
    <cellStyle name="20% - Accent4 4 2 2" xfId="2878" xr:uid="{00000000-0005-0000-0000-0000B2090000}"/>
    <cellStyle name="20% - Accent4 4 2 2 2" xfId="2879" xr:uid="{00000000-0005-0000-0000-0000B3090000}"/>
    <cellStyle name="20% - Accent4 4 2 2 2 2" xfId="2880" xr:uid="{00000000-0005-0000-0000-0000B4090000}"/>
    <cellStyle name="20% - Accent4 4 2 2 2 2 2" xfId="2881" xr:uid="{00000000-0005-0000-0000-0000B5090000}"/>
    <cellStyle name="20% - Accent4 4 2 2 2 2 3" xfId="2882" xr:uid="{00000000-0005-0000-0000-0000B6090000}"/>
    <cellStyle name="20% - Accent4 4 2 2 2 3" xfId="2883" xr:uid="{00000000-0005-0000-0000-0000B7090000}"/>
    <cellStyle name="20% - Accent4 4 2 2 2 3 2" xfId="2884" xr:uid="{00000000-0005-0000-0000-0000B8090000}"/>
    <cellStyle name="20% - Accent4 4 2 2 2 3 3" xfId="2885" xr:uid="{00000000-0005-0000-0000-0000B9090000}"/>
    <cellStyle name="20% - Accent4 4 2 2 2 4" xfId="2886" xr:uid="{00000000-0005-0000-0000-0000BA090000}"/>
    <cellStyle name="20% - Accent4 4 2 2 2 5" xfId="2887" xr:uid="{00000000-0005-0000-0000-0000BB090000}"/>
    <cellStyle name="20% - Accent4 4 2 2 2 6" xfId="2888" xr:uid="{00000000-0005-0000-0000-0000BC090000}"/>
    <cellStyle name="20% - Accent4 4 2 2 2 7" xfId="2889" xr:uid="{00000000-0005-0000-0000-0000BD090000}"/>
    <cellStyle name="20% - Accent4 4 2 2 2 8" xfId="2890" xr:uid="{00000000-0005-0000-0000-0000BE090000}"/>
    <cellStyle name="20% - Accent4 4 2 2 3" xfId="2891" xr:uid="{00000000-0005-0000-0000-0000BF090000}"/>
    <cellStyle name="20% - Accent4 4 2 2 3 2" xfId="2892" xr:uid="{00000000-0005-0000-0000-0000C0090000}"/>
    <cellStyle name="20% - Accent4 4 2 2 3 3" xfId="2893" xr:uid="{00000000-0005-0000-0000-0000C1090000}"/>
    <cellStyle name="20% - Accent4 4 2 2 4" xfId="2894" xr:uid="{00000000-0005-0000-0000-0000C2090000}"/>
    <cellStyle name="20% - Accent4 4 2 2 4 2" xfId="2895" xr:uid="{00000000-0005-0000-0000-0000C3090000}"/>
    <cellStyle name="20% - Accent4 4 2 2 4 3" xfId="2896" xr:uid="{00000000-0005-0000-0000-0000C4090000}"/>
    <cellStyle name="20% - Accent4 4 2 2 5" xfId="2897" xr:uid="{00000000-0005-0000-0000-0000C5090000}"/>
    <cellStyle name="20% - Accent4 4 2 2 5 2" xfId="2898" xr:uid="{00000000-0005-0000-0000-0000C6090000}"/>
    <cellStyle name="20% - Accent4 4 2 2 6" xfId="2899" xr:uid="{00000000-0005-0000-0000-0000C7090000}"/>
    <cellStyle name="20% - Accent4 4 2 2 7" xfId="2900" xr:uid="{00000000-0005-0000-0000-0000C8090000}"/>
    <cellStyle name="20% - Accent4 4 2 2 8" xfId="2901" xr:uid="{00000000-0005-0000-0000-0000C9090000}"/>
    <cellStyle name="20% - Accent4 4 2 2 9" xfId="2902" xr:uid="{00000000-0005-0000-0000-0000CA090000}"/>
    <cellStyle name="20% - Accent4 4 2 3" xfId="2903" xr:uid="{00000000-0005-0000-0000-0000CB090000}"/>
    <cellStyle name="20% - Accent4 4 2 3 2" xfId="2904" xr:uid="{00000000-0005-0000-0000-0000CC090000}"/>
    <cellStyle name="20% - Accent4 4 2 3 2 2" xfId="2905" xr:uid="{00000000-0005-0000-0000-0000CD090000}"/>
    <cellStyle name="20% - Accent4 4 2 3 2 3" xfId="2906" xr:uid="{00000000-0005-0000-0000-0000CE090000}"/>
    <cellStyle name="20% - Accent4 4 2 3 3" xfId="2907" xr:uid="{00000000-0005-0000-0000-0000CF090000}"/>
    <cellStyle name="20% - Accent4 4 2 3 3 2" xfId="2908" xr:uid="{00000000-0005-0000-0000-0000D0090000}"/>
    <cellStyle name="20% - Accent4 4 2 3 4" xfId="2909" xr:uid="{00000000-0005-0000-0000-0000D1090000}"/>
    <cellStyle name="20% - Accent4 4 2 4" xfId="2910" xr:uid="{00000000-0005-0000-0000-0000D2090000}"/>
    <cellStyle name="20% - Accent4 4 2 4 2" xfId="2911" xr:uid="{00000000-0005-0000-0000-0000D3090000}"/>
    <cellStyle name="20% - Accent4 4 2 4 3" xfId="2912" xr:uid="{00000000-0005-0000-0000-0000D4090000}"/>
    <cellStyle name="20% - Accent4 4 2 5" xfId="2913" xr:uid="{00000000-0005-0000-0000-0000D5090000}"/>
    <cellStyle name="20% - Accent4 4 2 5 2" xfId="2914" xr:uid="{00000000-0005-0000-0000-0000D6090000}"/>
    <cellStyle name="20% - Accent4 4 2 5 3" xfId="2915" xr:uid="{00000000-0005-0000-0000-0000D7090000}"/>
    <cellStyle name="20% - Accent4 4 2 6" xfId="2916" xr:uid="{00000000-0005-0000-0000-0000D8090000}"/>
    <cellStyle name="20% - Accent4 4 2 7" xfId="2917" xr:uid="{00000000-0005-0000-0000-0000D9090000}"/>
    <cellStyle name="20% - Accent4 4 2 8" xfId="2918" xr:uid="{00000000-0005-0000-0000-0000DA090000}"/>
    <cellStyle name="20% - Accent4 4 2 9" xfId="2919" xr:uid="{00000000-0005-0000-0000-0000DB090000}"/>
    <cellStyle name="20% - Accent4 4 3" xfId="2920" xr:uid="{00000000-0005-0000-0000-0000DC090000}"/>
    <cellStyle name="20% - Accent4 4 3 2" xfId="2921" xr:uid="{00000000-0005-0000-0000-0000DD090000}"/>
    <cellStyle name="20% - Accent4 4 3 2 2" xfId="2922" xr:uid="{00000000-0005-0000-0000-0000DE090000}"/>
    <cellStyle name="20% - Accent4 4 3 2 3" xfId="2923" xr:uid="{00000000-0005-0000-0000-0000DF090000}"/>
    <cellStyle name="20% - Accent4 4 3 3" xfId="2924" xr:uid="{00000000-0005-0000-0000-0000E0090000}"/>
    <cellStyle name="20% - Accent4 4 3 3 2" xfId="2925" xr:uid="{00000000-0005-0000-0000-0000E1090000}"/>
    <cellStyle name="20% - Accent4 4 3 3 3" xfId="2926" xr:uid="{00000000-0005-0000-0000-0000E2090000}"/>
    <cellStyle name="20% - Accent4 4 3 4" xfId="2927" xr:uid="{00000000-0005-0000-0000-0000E3090000}"/>
    <cellStyle name="20% - Accent4 4 3 4 2" xfId="2928" xr:uid="{00000000-0005-0000-0000-0000E4090000}"/>
    <cellStyle name="20% - Accent4 4 3 5" xfId="2929" xr:uid="{00000000-0005-0000-0000-0000E5090000}"/>
    <cellStyle name="20% - Accent4 4 3 6" xfId="2930" xr:uid="{00000000-0005-0000-0000-0000E6090000}"/>
    <cellStyle name="20% - Accent4 4 3 7" xfId="2931" xr:uid="{00000000-0005-0000-0000-0000E7090000}"/>
    <cellStyle name="20% - Accent4 4 3 8" xfId="2932" xr:uid="{00000000-0005-0000-0000-0000E8090000}"/>
    <cellStyle name="20% - Accent4 4 4" xfId="2933" xr:uid="{00000000-0005-0000-0000-0000E9090000}"/>
    <cellStyle name="20% - Accent4 4 4 2" xfId="2934" xr:uid="{00000000-0005-0000-0000-0000EA090000}"/>
    <cellStyle name="20% - Accent4 4 4 2 2" xfId="2935" xr:uid="{00000000-0005-0000-0000-0000EB090000}"/>
    <cellStyle name="20% - Accent4 4 4 2 3" xfId="2936" xr:uid="{00000000-0005-0000-0000-0000EC090000}"/>
    <cellStyle name="20% - Accent4 4 4 3" xfId="2937" xr:uid="{00000000-0005-0000-0000-0000ED090000}"/>
    <cellStyle name="20% - Accent4 4 4 3 2" xfId="2938" xr:uid="{00000000-0005-0000-0000-0000EE090000}"/>
    <cellStyle name="20% - Accent4 4 4 3 3" xfId="2939" xr:uid="{00000000-0005-0000-0000-0000EF090000}"/>
    <cellStyle name="20% - Accent4 4 4 4" xfId="2940" xr:uid="{00000000-0005-0000-0000-0000F0090000}"/>
    <cellStyle name="20% - Accent4 4 4 5" xfId="2941" xr:uid="{00000000-0005-0000-0000-0000F1090000}"/>
    <cellStyle name="20% - Accent4 4 4 6" xfId="2942" xr:uid="{00000000-0005-0000-0000-0000F2090000}"/>
    <cellStyle name="20% - Accent4 4 4 7" xfId="2943" xr:uid="{00000000-0005-0000-0000-0000F3090000}"/>
    <cellStyle name="20% - Accent4 4 4 8" xfId="2944" xr:uid="{00000000-0005-0000-0000-0000F4090000}"/>
    <cellStyle name="20% - Accent4 4 5" xfId="2945" xr:uid="{00000000-0005-0000-0000-0000F5090000}"/>
    <cellStyle name="20% - Accent4 4 5 2" xfId="2946" xr:uid="{00000000-0005-0000-0000-0000F6090000}"/>
    <cellStyle name="20% - Accent4 4 5 2 2" xfId="2947" xr:uid="{00000000-0005-0000-0000-0000F7090000}"/>
    <cellStyle name="20% - Accent4 4 5 2 3" xfId="2948" xr:uid="{00000000-0005-0000-0000-0000F8090000}"/>
    <cellStyle name="20% - Accent4 4 5 3" xfId="2949" xr:uid="{00000000-0005-0000-0000-0000F9090000}"/>
    <cellStyle name="20% - Accent4 4 5 3 2" xfId="2950" xr:uid="{00000000-0005-0000-0000-0000FA090000}"/>
    <cellStyle name="20% - Accent4 4 5 4" xfId="2951" xr:uid="{00000000-0005-0000-0000-0000FB090000}"/>
    <cellStyle name="20% - Accent4 4 6" xfId="2952" xr:uid="{00000000-0005-0000-0000-0000FC090000}"/>
    <cellStyle name="20% - Accent4 4 6 2" xfId="2953" xr:uid="{00000000-0005-0000-0000-0000FD090000}"/>
    <cellStyle name="20% - Accent4 4 6 3" xfId="2954" xr:uid="{00000000-0005-0000-0000-0000FE090000}"/>
    <cellStyle name="20% - Accent4 4 7" xfId="2955" xr:uid="{00000000-0005-0000-0000-0000FF090000}"/>
    <cellStyle name="20% - Accent4 4 7 2" xfId="2956" xr:uid="{00000000-0005-0000-0000-0000000A0000}"/>
    <cellStyle name="20% - Accent4 4 7 3" xfId="2957" xr:uid="{00000000-0005-0000-0000-0000010A0000}"/>
    <cellStyle name="20% - Accent4 4 8" xfId="2958" xr:uid="{00000000-0005-0000-0000-0000020A0000}"/>
    <cellStyle name="20% - Accent4 4 8 2" xfId="2959" xr:uid="{00000000-0005-0000-0000-0000030A0000}"/>
    <cellStyle name="20% - Accent4 4 8 3" xfId="2960" xr:uid="{00000000-0005-0000-0000-0000040A0000}"/>
    <cellStyle name="20% - Accent4 4 9" xfId="2961" xr:uid="{00000000-0005-0000-0000-0000050A0000}"/>
    <cellStyle name="20% - Accent4 5" xfId="2962" xr:uid="{00000000-0005-0000-0000-0000060A0000}"/>
    <cellStyle name="20% - Accent4 5 10" xfId="2963" xr:uid="{00000000-0005-0000-0000-0000070A0000}"/>
    <cellStyle name="20% - Accent4 5 11" xfId="2964" xr:uid="{00000000-0005-0000-0000-0000080A0000}"/>
    <cellStyle name="20% - Accent4 5 12" xfId="2965" xr:uid="{00000000-0005-0000-0000-0000090A0000}"/>
    <cellStyle name="20% - Accent4 5 2" xfId="2966" xr:uid="{00000000-0005-0000-0000-00000A0A0000}"/>
    <cellStyle name="20% - Accent4 5 2 2" xfId="2967" xr:uid="{00000000-0005-0000-0000-00000B0A0000}"/>
    <cellStyle name="20% - Accent4 5 2 2 2" xfId="2968" xr:uid="{00000000-0005-0000-0000-00000C0A0000}"/>
    <cellStyle name="20% - Accent4 5 2 2 2 2" xfId="2969" xr:uid="{00000000-0005-0000-0000-00000D0A0000}"/>
    <cellStyle name="20% - Accent4 5 2 2 2 2 2" xfId="2970" xr:uid="{00000000-0005-0000-0000-00000E0A0000}"/>
    <cellStyle name="20% - Accent4 5 2 2 2 2 3" xfId="2971" xr:uid="{00000000-0005-0000-0000-00000F0A0000}"/>
    <cellStyle name="20% - Accent4 5 2 2 2 3" xfId="2972" xr:uid="{00000000-0005-0000-0000-0000100A0000}"/>
    <cellStyle name="20% - Accent4 5 2 2 2 3 2" xfId="2973" xr:uid="{00000000-0005-0000-0000-0000110A0000}"/>
    <cellStyle name="20% - Accent4 5 2 2 2 3 3" xfId="2974" xr:uid="{00000000-0005-0000-0000-0000120A0000}"/>
    <cellStyle name="20% - Accent4 5 2 2 2 4" xfId="2975" xr:uid="{00000000-0005-0000-0000-0000130A0000}"/>
    <cellStyle name="20% - Accent4 5 2 2 2 5" xfId="2976" xr:uid="{00000000-0005-0000-0000-0000140A0000}"/>
    <cellStyle name="20% - Accent4 5 2 2 2 6" xfId="2977" xr:uid="{00000000-0005-0000-0000-0000150A0000}"/>
    <cellStyle name="20% - Accent4 5 2 2 2 7" xfId="2978" xr:uid="{00000000-0005-0000-0000-0000160A0000}"/>
    <cellStyle name="20% - Accent4 5 2 2 2 8" xfId="2979" xr:uid="{00000000-0005-0000-0000-0000170A0000}"/>
    <cellStyle name="20% - Accent4 5 2 2 3" xfId="2980" xr:uid="{00000000-0005-0000-0000-0000180A0000}"/>
    <cellStyle name="20% - Accent4 5 2 2 3 2" xfId="2981" xr:uid="{00000000-0005-0000-0000-0000190A0000}"/>
    <cellStyle name="20% - Accent4 5 2 2 3 3" xfId="2982" xr:uid="{00000000-0005-0000-0000-00001A0A0000}"/>
    <cellStyle name="20% - Accent4 5 2 2 4" xfId="2983" xr:uid="{00000000-0005-0000-0000-00001B0A0000}"/>
    <cellStyle name="20% - Accent4 5 2 2 4 2" xfId="2984" xr:uid="{00000000-0005-0000-0000-00001C0A0000}"/>
    <cellStyle name="20% - Accent4 5 2 2 4 3" xfId="2985" xr:uid="{00000000-0005-0000-0000-00001D0A0000}"/>
    <cellStyle name="20% - Accent4 5 2 2 5" xfId="2986" xr:uid="{00000000-0005-0000-0000-00001E0A0000}"/>
    <cellStyle name="20% - Accent4 5 2 2 5 2" xfId="2987" xr:uid="{00000000-0005-0000-0000-00001F0A0000}"/>
    <cellStyle name="20% - Accent4 5 2 2 6" xfId="2988" xr:uid="{00000000-0005-0000-0000-0000200A0000}"/>
    <cellStyle name="20% - Accent4 5 2 2 7" xfId="2989" xr:uid="{00000000-0005-0000-0000-0000210A0000}"/>
    <cellStyle name="20% - Accent4 5 2 2 8" xfId="2990" xr:uid="{00000000-0005-0000-0000-0000220A0000}"/>
    <cellStyle name="20% - Accent4 5 2 2 9" xfId="2991" xr:uid="{00000000-0005-0000-0000-0000230A0000}"/>
    <cellStyle name="20% - Accent4 5 2 3" xfId="2992" xr:uid="{00000000-0005-0000-0000-0000240A0000}"/>
    <cellStyle name="20% - Accent4 5 2 3 2" xfId="2993" xr:uid="{00000000-0005-0000-0000-0000250A0000}"/>
    <cellStyle name="20% - Accent4 5 2 3 2 2" xfId="2994" xr:uid="{00000000-0005-0000-0000-0000260A0000}"/>
    <cellStyle name="20% - Accent4 5 2 3 2 3" xfId="2995" xr:uid="{00000000-0005-0000-0000-0000270A0000}"/>
    <cellStyle name="20% - Accent4 5 2 3 3" xfId="2996" xr:uid="{00000000-0005-0000-0000-0000280A0000}"/>
    <cellStyle name="20% - Accent4 5 2 3 3 2" xfId="2997" xr:uid="{00000000-0005-0000-0000-0000290A0000}"/>
    <cellStyle name="20% - Accent4 5 2 3 4" xfId="2998" xr:uid="{00000000-0005-0000-0000-00002A0A0000}"/>
    <cellStyle name="20% - Accent4 5 2 4" xfId="2999" xr:uid="{00000000-0005-0000-0000-00002B0A0000}"/>
    <cellStyle name="20% - Accent4 5 2 5" xfId="3000" xr:uid="{00000000-0005-0000-0000-00002C0A0000}"/>
    <cellStyle name="20% - Accent4 5 2_Dec monthly report" xfId="3001" xr:uid="{00000000-0005-0000-0000-00002D0A0000}"/>
    <cellStyle name="20% - Accent4 5 3" xfId="3002" xr:uid="{00000000-0005-0000-0000-00002E0A0000}"/>
    <cellStyle name="20% - Accent4 5 3 2" xfId="3003" xr:uid="{00000000-0005-0000-0000-00002F0A0000}"/>
    <cellStyle name="20% - Accent4 5 3 2 2" xfId="3004" xr:uid="{00000000-0005-0000-0000-0000300A0000}"/>
    <cellStyle name="20% - Accent4 5 3 2 3" xfId="3005" xr:uid="{00000000-0005-0000-0000-0000310A0000}"/>
    <cellStyle name="20% - Accent4 5 3 3" xfId="3006" xr:uid="{00000000-0005-0000-0000-0000320A0000}"/>
    <cellStyle name="20% - Accent4 5 3 3 2" xfId="3007" xr:uid="{00000000-0005-0000-0000-0000330A0000}"/>
    <cellStyle name="20% - Accent4 5 3 3 3" xfId="3008" xr:uid="{00000000-0005-0000-0000-0000340A0000}"/>
    <cellStyle name="20% - Accent4 5 3 4" xfId="3009" xr:uid="{00000000-0005-0000-0000-0000350A0000}"/>
    <cellStyle name="20% - Accent4 5 3 4 2" xfId="3010" xr:uid="{00000000-0005-0000-0000-0000360A0000}"/>
    <cellStyle name="20% - Accent4 5 3 5" xfId="3011" xr:uid="{00000000-0005-0000-0000-0000370A0000}"/>
    <cellStyle name="20% - Accent4 5 3 6" xfId="3012" xr:uid="{00000000-0005-0000-0000-0000380A0000}"/>
    <cellStyle name="20% - Accent4 5 3 7" xfId="3013" xr:uid="{00000000-0005-0000-0000-0000390A0000}"/>
    <cellStyle name="20% - Accent4 5 3 8" xfId="3014" xr:uid="{00000000-0005-0000-0000-00003A0A0000}"/>
    <cellStyle name="20% - Accent4 5 4" xfId="3015" xr:uid="{00000000-0005-0000-0000-00003B0A0000}"/>
    <cellStyle name="20% - Accent4 5 4 2" xfId="3016" xr:uid="{00000000-0005-0000-0000-00003C0A0000}"/>
    <cellStyle name="20% - Accent4 5 4 2 2" xfId="3017" xr:uid="{00000000-0005-0000-0000-00003D0A0000}"/>
    <cellStyle name="20% - Accent4 5 4 2 3" xfId="3018" xr:uid="{00000000-0005-0000-0000-00003E0A0000}"/>
    <cellStyle name="20% - Accent4 5 4 3" xfId="3019" xr:uid="{00000000-0005-0000-0000-00003F0A0000}"/>
    <cellStyle name="20% - Accent4 5 4 3 2" xfId="3020" xr:uid="{00000000-0005-0000-0000-0000400A0000}"/>
    <cellStyle name="20% - Accent4 5 4 3 3" xfId="3021" xr:uid="{00000000-0005-0000-0000-0000410A0000}"/>
    <cellStyle name="20% - Accent4 5 4 4" xfId="3022" xr:uid="{00000000-0005-0000-0000-0000420A0000}"/>
    <cellStyle name="20% - Accent4 5 4 5" xfId="3023" xr:uid="{00000000-0005-0000-0000-0000430A0000}"/>
    <cellStyle name="20% - Accent4 5 4 6" xfId="3024" xr:uid="{00000000-0005-0000-0000-0000440A0000}"/>
    <cellStyle name="20% - Accent4 5 4 7" xfId="3025" xr:uid="{00000000-0005-0000-0000-0000450A0000}"/>
    <cellStyle name="20% - Accent4 5 4 8" xfId="3026" xr:uid="{00000000-0005-0000-0000-0000460A0000}"/>
    <cellStyle name="20% - Accent4 5 5" xfId="3027" xr:uid="{00000000-0005-0000-0000-0000470A0000}"/>
    <cellStyle name="20% - Accent4 5 5 2" xfId="3028" xr:uid="{00000000-0005-0000-0000-0000480A0000}"/>
    <cellStyle name="20% - Accent4 5 5 3" xfId="3029" xr:uid="{00000000-0005-0000-0000-0000490A0000}"/>
    <cellStyle name="20% - Accent4 5 6" xfId="3030" xr:uid="{00000000-0005-0000-0000-00004A0A0000}"/>
    <cellStyle name="20% - Accent4 5 6 2" xfId="3031" xr:uid="{00000000-0005-0000-0000-00004B0A0000}"/>
    <cellStyle name="20% - Accent4 5 6 3" xfId="3032" xr:uid="{00000000-0005-0000-0000-00004C0A0000}"/>
    <cellStyle name="20% - Accent4 5 7" xfId="3033" xr:uid="{00000000-0005-0000-0000-00004D0A0000}"/>
    <cellStyle name="20% - Accent4 5 7 2" xfId="3034" xr:uid="{00000000-0005-0000-0000-00004E0A0000}"/>
    <cellStyle name="20% - Accent4 5 7 3" xfId="3035" xr:uid="{00000000-0005-0000-0000-00004F0A0000}"/>
    <cellStyle name="20% - Accent4 5 8" xfId="3036" xr:uid="{00000000-0005-0000-0000-0000500A0000}"/>
    <cellStyle name="20% - Accent4 5 9" xfId="3037" xr:uid="{00000000-0005-0000-0000-0000510A0000}"/>
    <cellStyle name="20% - Accent4 6" xfId="3038" xr:uid="{00000000-0005-0000-0000-0000520A0000}"/>
    <cellStyle name="20% - Accent4 6 2" xfId="3039" xr:uid="{00000000-0005-0000-0000-0000530A0000}"/>
    <cellStyle name="20% - Accent4 6 2 2" xfId="3040" xr:uid="{00000000-0005-0000-0000-0000540A0000}"/>
    <cellStyle name="20% - Accent4 6 2 2 2" xfId="3041" xr:uid="{00000000-0005-0000-0000-0000550A0000}"/>
    <cellStyle name="20% - Accent4 6 2 2 2 2" xfId="3042" xr:uid="{00000000-0005-0000-0000-0000560A0000}"/>
    <cellStyle name="20% - Accent4 6 2 2 2 3" xfId="3043" xr:uid="{00000000-0005-0000-0000-0000570A0000}"/>
    <cellStyle name="20% - Accent4 6 2 2 3" xfId="3044" xr:uid="{00000000-0005-0000-0000-0000580A0000}"/>
    <cellStyle name="20% - Accent4 6 2 2 3 2" xfId="3045" xr:uid="{00000000-0005-0000-0000-0000590A0000}"/>
    <cellStyle name="20% - Accent4 6 2 2 3 3" xfId="3046" xr:uid="{00000000-0005-0000-0000-00005A0A0000}"/>
    <cellStyle name="20% - Accent4 6 2 2 4" xfId="3047" xr:uid="{00000000-0005-0000-0000-00005B0A0000}"/>
    <cellStyle name="20% - Accent4 6 2 2 5" xfId="3048" xr:uid="{00000000-0005-0000-0000-00005C0A0000}"/>
    <cellStyle name="20% - Accent4 6 2 2 6" xfId="3049" xr:uid="{00000000-0005-0000-0000-00005D0A0000}"/>
    <cellStyle name="20% - Accent4 6 2 2 7" xfId="3050" xr:uid="{00000000-0005-0000-0000-00005E0A0000}"/>
    <cellStyle name="20% - Accent4 6 2 2 8" xfId="3051" xr:uid="{00000000-0005-0000-0000-00005F0A0000}"/>
    <cellStyle name="20% - Accent4 6 2 3" xfId="3052" xr:uid="{00000000-0005-0000-0000-0000600A0000}"/>
    <cellStyle name="20% - Accent4 6 2 3 2" xfId="3053" xr:uid="{00000000-0005-0000-0000-0000610A0000}"/>
    <cellStyle name="20% - Accent4 6 2 3 3" xfId="3054" xr:uid="{00000000-0005-0000-0000-0000620A0000}"/>
    <cellStyle name="20% - Accent4 6 2 4" xfId="3055" xr:uid="{00000000-0005-0000-0000-0000630A0000}"/>
    <cellStyle name="20% - Accent4 6 2 4 2" xfId="3056" xr:uid="{00000000-0005-0000-0000-0000640A0000}"/>
    <cellStyle name="20% - Accent4 6 2 4 3" xfId="3057" xr:uid="{00000000-0005-0000-0000-0000650A0000}"/>
    <cellStyle name="20% - Accent4 6 2 5" xfId="3058" xr:uid="{00000000-0005-0000-0000-0000660A0000}"/>
    <cellStyle name="20% - Accent4 6 2 5 2" xfId="3059" xr:uid="{00000000-0005-0000-0000-0000670A0000}"/>
    <cellStyle name="20% - Accent4 6 2 6" xfId="3060" xr:uid="{00000000-0005-0000-0000-0000680A0000}"/>
    <cellStyle name="20% - Accent4 6 2 7" xfId="3061" xr:uid="{00000000-0005-0000-0000-0000690A0000}"/>
    <cellStyle name="20% - Accent4 6 2 8" xfId="3062" xr:uid="{00000000-0005-0000-0000-00006A0A0000}"/>
    <cellStyle name="20% - Accent4 6 2 9" xfId="3063" xr:uid="{00000000-0005-0000-0000-00006B0A0000}"/>
    <cellStyle name="20% - Accent4 6 3" xfId="3064" xr:uid="{00000000-0005-0000-0000-00006C0A0000}"/>
    <cellStyle name="20% - Accent4 6 3 2" xfId="3065" xr:uid="{00000000-0005-0000-0000-00006D0A0000}"/>
    <cellStyle name="20% - Accent4 6 3 2 2" xfId="3066" xr:uid="{00000000-0005-0000-0000-00006E0A0000}"/>
    <cellStyle name="20% - Accent4 6 3 2 3" xfId="3067" xr:uid="{00000000-0005-0000-0000-00006F0A0000}"/>
    <cellStyle name="20% - Accent4 6 3 3" xfId="3068" xr:uid="{00000000-0005-0000-0000-0000700A0000}"/>
    <cellStyle name="20% - Accent4 6 3 3 2" xfId="3069" xr:uid="{00000000-0005-0000-0000-0000710A0000}"/>
    <cellStyle name="20% - Accent4 6 3 4" xfId="3070" xr:uid="{00000000-0005-0000-0000-0000720A0000}"/>
    <cellStyle name="20% - Accent4 6 4" xfId="3071" xr:uid="{00000000-0005-0000-0000-0000730A0000}"/>
    <cellStyle name="20% - Accent4 6 5" xfId="3072" xr:uid="{00000000-0005-0000-0000-0000740A0000}"/>
    <cellStyle name="20% - Accent4 6_Dec monthly report" xfId="3073" xr:uid="{00000000-0005-0000-0000-0000750A0000}"/>
    <cellStyle name="20% - Accent4 7" xfId="3074" xr:uid="{00000000-0005-0000-0000-0000760A0000}"/>
    <cellStyle name="20% - Accent4 7 2" xfId="3075" xr:uid="{00000000-0005-0000-0000-0000770A0000}"/>
    <cellStyle name="20% - Accent4 7 3" xfId="3076" xr:uid="{00000000-0005-0000-0000-0000780A0000}"/>
    <cellStyle name="20% - Accent4 7 4" xfId="3077" xr:uid="{00000000-0005-0000-0000-0000790A0000}"/>
    <cellStyle name="20% - Accent4 8" xfId="3078" xr:uid="{00000000-0005-0000-0000-00007A0A0000}"/>
    <cellStyle name="20% - Accent4 8 2" xfId="3079" xr:uid="{00000000-0005-0000-0000-00007B0A0000}"/>
    <cellStyle name="20% - Accent4 8 2 2" xfId="3080" xr:uid="{00000000-0005-0000-0000-00007C0A0000}"/>
    <cellStyle name="20% - Accent4 8 2 3" xfId="3081" xr:uid="{00000000-0005-0000-0000-00007D0A0000}"/>
    <cellStyle name="20% - Accent4 8 2 3 2" xfId="3082" xr:uid="{00000000-0005-0000-0000-00007E0A0000}"/>
    <cellStyle name="20% - Accent4 8 3" xfId="3083" xr:uid="{00000000-0005-0000-0000-00007F0A0000}"/>
    <cellStyle name="20% - Accent4 8 3 2" xfId="3084" xr:uid="{00000000-0005-0000-0000-0000800A0000}"/>
    <cellStyle name="20% - Accent4 8 3 3" xfId="3085" xr:uid="{00000000-0005-0000-0000-0000810A0000}"/>
    <cellStyle name="20% - Accent4 8 4" xfId="3086" xr:uid="{00000000-0005-0000-0000-0000820A0000}"/>
    <cellStyle name="20% - Accent4 8 4 2" xfId="3087" xr:uid="{00000000-0005-0000-0000-0000830A0000}"/>
    <cellStyle name="20% - Accent4 8 5" xfId="3088" xr:uid="{00000000-0005-0000-0000-0000840A0000}"/>
    <cellStyle name="20% - Accent4 8 6" xfId="3089" xr:uid="{00000000-0005-0000-0000-0000850A0000}"/>
    <cellStyle name="20% - Accent4 8 7" xfId="3090" xr:uid="{00000000-0005-0000-0000-0000860A0000}"/>
    <cellStyle name="20% - Accent4 8 8" xfId="3091" xr:uid="{00000000-0005-0000-0000-0000870A0000}"/>
    <cellStyle name="20% - Accent4 9" xfId="3092" xr:uid="{00000000-0005-0000-0000-0000880A0000}"/>
    <cellStyle name="20% - Accent4 9 2" xfId="3093" xr:uid="{00000000-0005-0000-0000-0000890A0000}"/>
    <cellStyle name="20% - Accent4 9 2 2" xfId="3094" xr:uid="{00000000-0005-0000-0000-00008A0A0000}"/>
    <cellStyle name="20% - Accent4 9 2 3" xfId="3095" xr:uid="{00000000-0005-0000-0000-00008B0A0000}"/>
    <cellStyle name="20% - Accent4 9 3" xfId="3096" xr:uid="{00000000-0005-0000-0000-00008C0A0000}"/>
    <cellStyle name="20% - Accent4 9 3 2" xfId="3097" xr:uid="{00000000-0005-0000-0000-00008D0A0000}"/>
    <cellStyle name="20% - Accent4 9 3 3" xfId="3098" xr:uid="{00000000-0005-0000-0000-00008E0A0000}"/>
    <cellStyle name="20% - Accent4 9 4" xfId="3099" xr:uid="{00000000-0005-0000-0000-00008F0A0000}"/>
    <cellStyle name="20% - Accent4 9 4 2" xfId="3100" xr:uid="{00000000-0005-0000-0000-0000900A0000}"/>
    <cellStyle name="20% - Accent4 9 5" xfId="3101" xr:uid="{00000000-0005-0000-0000-0000910A0000}"/>
    <cellStyle name="20% - Accent4 9 6" xfId="3102" xr:uid="{00000000-0005-0000-0000-0000920A0000}"/>
    <cellStyle name="20% - Accent4 9 7" xfId="3103" xr:uid="{00000000-0005-0000-0000-0000930A0000}"/>
    <cellStyle name="20% - Accent4 9 8" xfId="3104" xr:uid="{00000000-0005-0000-0000-0000940A0000}"/>
    <cellStyle name="20% - Accent5 10" xfId="3105" xr:uid="{00000000-0005-0000-0000-0000950A0000}"/>
    <cellStyle name="20% - Accent5 10 2" xfId="3106" xr:uid="{00000000-0005-0000-0000-0000960A0000}"/>
    <cellStyle name="20% - Accent5 10 2 2" xfId="3107" xr:uid="{00000000-0005-0000-0000-0000970A0000}"/>
    <cellStyle name="20% - Accent5 10 2 3" xfId="3108" xr:uid="{00000000-0005-0000-0000-0000980A0000}"/>
    <cellStyle name="20% - Accent5 10 3" xfId="3109" xr:uid="{00000000-0005-0000-0000-0000990A0000}"/>
    <cellStyle name="20% - Accent5 10 4" xfId="3110" xr:uid="{00000000-0005-0000-0000-00009A0A0000}"/>
    <cellStyle name="20% - Accent5 11" xfId="3111" xr:uid="{00000000-0005-0000-0000-00009B0A0000}"/>
    <cellStyle name="20% - Accent5 11 2" xfId="3112" xr:uid="{00000000-0005-0000-0000-00009C0A0000}"/>
    <cellStyle name="20% - Accent5 11 3" xfId="3113" xr:uid="{00000000-0005-0000-0000-00009D0A0000}"/>
    <cellStyle name="20% - Accent5 12" xfId="3114" xr:uid="{00000000-0005-0000-0000-00009E0A0000}"/>
    <cellStyle name="20% - Accent5 12 2" xfId="3115" xr:uid="{00000000-0005-0000-0000-00009F0A0000}"/>
    <cellStyle name="20% - Accent5 12 3" xfId="3116" xr:uid="{00000000-0005-0000-0000-0000A00A0000}"/>
    <cellStyle name="20% - Accent5 13" xfId="3117" xr:uid="{00000000-0005-0000-0000-0000A10A0000}"/>
    <cellStyle name="20% - Accent5 13 2" xfId="3118" xr:uid="{00000000-0005-0000-0000-0000A20A0000}"/>
    <cellStyle name="20% - Accent5 13 3" xfId="3119" xr:uid="{00000000-0005-0000-0000-0000A30A0000}"/>
    <cellStyle name="20% - Accent5 14" xfId="3120" xr:uid="{00000000-0005-0000-0000-0000A40A0000}"/>
    <cellStyle name="20% - Accent5 14 2" xfId="3121" xr:uid="{00000000-0005-0000-0000-0000A50A0000}"/>
    <cellStyle name="20% - Accent5 14 3" xfId="3122" xr:uid="{00000000-0005-0000-0000-0000A60A0000}"/>
    <cellStyle name="20% - Accent5 15" xfId="3123" xr:uid="{00000000-0005-0000-0000-0000A70A0000}"/>
    <cellStyle name="20% - Accent5 15 2" xfId="3124" xr:uid="{00000000-0005-0000-0000-0000A80A0000}"/>
    <cellStyle name="20% - Accent5 15 3" xfId="3125" xr:uid="{00000000-0005-0000-0000-0000A90A0000}"/>
    <cellStyle name="20% - Accent5 16" xfId="3126" xr:uid="{00000000-0005-0000-0000-0000AA0A0000}"/>
    <cellStyle name="20% - Accent5 16 2" xfId="3127" xr:uid="{00000000-0005-0000-0000-0000AB0A0000}"/>
    <cellStyle name="20% - Accent5 16 3" xfId="3128" xr:uid="{00000000-0005-0000-0000-0000AC0A0000}"/>
    <cellStyle name="20% - Accent5 17" xfId="3129" xr:uid="{00000000-0005-0000-0000-0000AD0A0000}"/>
    <cellStyle name="20% - Accent5 17 2" xfId="3130" xr:uid="{00000000-0005-0000-0000-0000AE0A0000}"/>
    <cellStyle name="20% - Accent5 17 3" xfId="3131" xr:uid="{00000000-0005-0000-0000-0000AF0A0000}"/>
    <cellStyle name="20% - Accent5 18" xfId="3132" xr:uid="{00000000-0005-0000-0000-0000B00A0000}"/>
    <cellStyle name="20% - Accent5 18 2" xfId="3133" xr:uid="{00000000-0005-0000-0000-0000B10A0000}"/>
    <cellStyle name="20% - Accent5 18 3" xfId="3134" xr:uid="{00000000-0005-0000-0000-0000B20A0000}"/>
    <cellStyle name="20% - Accent5 19" xfId="3135" xr:uid="{00000000-0005-0000-0000-0000B30A0000}"/>
    <cellStyle name="20% - Accent5 19 2" xfId="3136" xr:uid="{00000000-0005-0000-0000-0000B40A0000}"/>
    <cellStyle name="20% - Accent5 19 3" xfId="3137" xr:uid="{00000000-0005-0000-0000-0000B50A0000}"/>
    <cellStyle name="20% - Accent5 2" xfId="3138" xr:uid="{00000000-0005-0000-0000-0000B60A0000}"/>
    <cellStyle name="20% - Accent5 2 10" xfId="3139" xr:uid="{00000000-0005-0000-0000-0000B70A0000}"/>
    <cellStyle name="20% - Accent5 2 10 2" xfId="3140" xr:uid="{00000000-0005-0000-0000-0000B80A0000}"/>
    <cellStyle name="20% - Accent5 2 10 3" xfId="3141" xr:uid="{00000000-0005-0000-0000-0000B90A0000}"/>
    <cellStyle name="20% - Accent5 2 11" xfId="3142" xr:uid="{00000000-0005-0000-0000-0000BA0A0000}"/>
    <cellStyle name="20% - Accent5 2 11 2" xfId="3143" xr:uid="{00000000-0005-0000-0000-0000BB0A0000}"/>
    <cellStyle name="20% - Accent5 2 11 3" xfId="3144" xr:uid="{00000000-0005-0000-0000-0000BC0A0000}"/>
    <cellStyle name="20% - Accent5 2 12" xfId="3145" xr:uid="{00000000-0005-0000-0000-0000BD0A0000}"/>
    <cellStyle name="20% - Accent5 2 12 2" xfId="3146" xr:uid="{00000000-0005-0000-0000-0000BE0A0000}"/>
    <cellStyle name="20% - Accent5 2 12 3" xfId="3147" xr:uid="{00000000-0005-0000-0000-0000BF0A0000}"/>
    <cellStyle name="20% - Accent5 2 13" xfId="3148" xr:uid="{00000000-0005-0000-0000-0000C00A0000}"/>
    <cellStyle name="20% - Accent5 2 14" xfId="3149" xr:uid="{00000000-0005-0000-0000-0000C10A0000}"/>
    <cellStyle name="20% - Accent5 2 2" xfId="3150" xr:uid="{00000000-0005-0000-0000-0000C20A0000}"/>
    <cellStyle name="20% - Accent5 2 2 2" xfId="3151" xr:uid="{00000000-0005-0000-0000-0000C30A0000}"/>
    <cellStyle name="20% - Accent5 2 2 2 2" xfId="3152" xr:uid="{00000000-0005-0000-0000-0000C40A0000}"/>
    <cellStyle name="20% - Accent5 2 2 2 3" xfId="3153" xr:uid="{00000000-0005-0000-0000-0000C50A0000}"/>
    <cellStyle name="20% - Accent5 2 2 2 4" xfId="3154" xr:uid="{00000000-0005-0000-0000-0000C60A0000}"/>
    <cellStyle name="20% - Accent5 2 2 3" xfId="3155" xr:uid="{00000000-0005-0000-0000-0000C70A0000}"/>
    <cellStyle name="20% - Accent5 2 2 3 2" xfId="3156" xr:uid="{00000000-0005-0000-0000-0000C80A0000}"/>
    <cellStyle name="20% - Accent5 2 2 3 3" xfId="3157" xr:uid="{00000000-0005-0000-0000-0000C90A0000}"/>
    <cellStyle name="20% - Accent5 2 2 4" xfId="3158" xr:uid="{00000000-0005-0000-0000-0000CA0A0000}"/>
    <cellStyle name="20% - Accent5 2 2 4 2" xfId="3159" xr:uid="{00000000-0005-0000-0000-0000CB0A0000}"/>
    <cellStyle name="20% - Accent5 2 2 4 3" xfId="3160" xr:uid="{00000000-0005-0000-0000-0000CC0A0000}"/>
    <cellStyle name="20% - Accent5 2 2 5" xfId="3161" xr:uid="{00000000-0005-0000-0000-0000CD0A0000}"/>
    <cellStyle name="20% - Accent5 2 2 6" xfId="3162" xr:uid="{00000000-0005-0000-0000-0000CE0A0000}"/>
    <cellStyle name="20% - Accent5 2 2 7" xfId="3163" xr:uid="{00000000-0005-0000-0000-0000CF0A0000}"/>
    <cellStyle name="20% - Accent5 2 2 8" xfId="3164" xr:uid="{00000000-0005-0000-0000-0000D00A0000}"/>
    <cellStyle name="20% - Accent5 2 2_Dec monthly report" xfId="3165" xr:uid="{00000000-0005-0000-0000-0000D10A0000}"/>
    <cellStyle name="20% - Accent5 2 3" xfId="3166" xr:uid="{00000000-0005-0000-0000-0000D20A0000}"/>
    <cellStyle name="20% - Accent5 2 3 10" xfId="3167" xr:uid="{00000000-0005-0000-0000-0000D30A0000}"/>
    <cellStyle name="20% - Accent5 2 3 11" xfId="3168" xr:uid="{00000000-0005-0000-0000-0000D40A0000}"/>
    <cellStyle name="20% - Accent5 2 3 2" xfId="3169" xr:uid="{00000000-0005-0000-0000-0000D50A0000}"/>
    <cellStyle name="20% - Accent5 2 3 2 10" xfId="3170" xr:uid="{00000000-0005-0000-0000-0000D60A0000}"/>
    <cellStyle name="20% - Accent5 2 3 2 2" xfId="3171" xr:uid="{00000000-0005-0000-0000-0000D70A0000}"/>
    <cellStyle name="20% - Accent5 2 3 2 2 2" xfId="3172" xr:uid="{00000000-0005-0000-0000-0000D80A0000}"/>
    <cellStyle name="20% - Accent5 2 3 2 2 2 2" xfId="3173" xr:uid="{00000000-0005-0000-0000-0000D90A0000}"/>
    <cellStyle name="20% - Accent5 2 3 2 2 2 3" xfId="3174" xr:uid="{00000000-0005-0000-0000-0000DA0A0000}"/>
    <cellStyle name="20% - Accent5 2 3 2 2 3" xfId="3175" xr:uid="{00000000-0005-0000-0000-0000DB0A0000}"/>
    <cellStyle name="20% - Accent5 2 3 2 2 3 2" xfId="3176" xr:uid="{00000000-0005-0000-0000-0000DC0A0000}"/>
    <cellStyle name="20% - Accent5 2 3 2 2 3 3" xfId="3177" xr:uid="{00000000-0005-0000-0000-0000DD0A0000}"/>
    <cellStyle name="20% - Accent5 2 3 2 2 4" xfId="3178" xr:uid="{00000000-0005-0000-0000-0000DE0A0000}"/>
    <cellStyle name="20% - Accent5 2 3 2 2 5" xfId="3179" xr:uid="{00000000-0005-0000-0000-0000DF0A0000}"/>
    <cellStyle name="20% - Accent5 2 3 2 2 6" xfId="3180" xr:uid="{00000000-0005-0000-0000-0000E00A0000}"/>
    <cellStyle name="20% - Accent5 2 3 2 2 7" xfId="3181" xr:uid="{00000000-0005-0000-0000-0000E10A0000}"/>
    <cellStyle name="20% - Accent5 2 3 2 2 8" xfId="3182" xr:uid="{00000000-0005-0000-0000-0000E20A0000}"/>
    <cellStyle name="20% - Accent5 2 3 2 3" xfId="3183" xr:uid="{00000000-0005-0000-0000-0000E30A0000}"/>
    <cellStyle name="20% - Accent5 2 3 2 3 2" xfId="3184" xr:uid="{00000000-0005-0000-0000-0000E40A0000}"/>
    <cellStyle name="20% - Accent5 2 3 2 3 2 2" xfId="3185" xr:uid="{00000000-0005-0000-0000-0000E50A0000}"/>
    <cellStyle name="20% - Accent5 2 3 2 3 2 3" xfId="3186" xr:uid="{00000000-0005-0000-0000-0000E60A0000}"/>
    <cellStyle name="20% - Accent5 2 3 2 3 3" xfId="3187" xr:uid="{00000000-0005-0000-0000-0000E70A0000}"/>
    <cellStyle name="20% - Accent5 2 3 2 3 4" xfId="3188" xr:uid="{00000000-0005-0000-0000-0000E80A0000}"/>
    <cellStyle name="20% - Accent5 2 3 2 4" xfId="3189" xr:uid="{00000000-0005-0000-0000-0000E90A0000}"/>
    <cellStyle name="20% - Accent5 2 3 2 4 2" xfId="3190" xr:uid="{00000000-0005-0000-0000-0000EA0A0000}"/>
    <cellStyle name="20% - Accent5 2 3 2 4 3" xfId="3191" xr:uid="{00000000-0005-0000-0000-0000EB0A0000}"/>
    <cellStyle name="20% - Accent5 2 3 2 5" xfId="3192" xr:uid="{00000000-0005-0000-0000-0000EC0A0000}"/>
    <cellStyle name="20% - Accent5 2 3 2 5 2" xfId="3193" xr:uid="{00000000-0005-0000-0000-0000ED0A0000}"/>
    <cellStyle name="20% - Accent5 2 3 2 5 3" xfId="3194" xr:uid="{00000000-0005-0000-0000-0000EE0A0000}"/>
    <cellStyle name="20% - Accent5 2 3 2 6" xfId="3195" xr:uid="{00000000-0005-0000-0000-0000EF0A0000}"/>
    <cellStyle name="20% - Accent5 2 3 2 7" xfId="3196" xr:uid="{00000000-0005-0000-0000-0000F00A0000}"/>
    <cellStyle name="20% - Accent5 2 3 2 8" xfId="3197" xr:uid="{00000000-0005-0000-0000-0000F10A0000}"/>
    <cellStyle name="20% - Accent5 2 3 2 9" xfId="3198" xr:uid="{00000000-0005-0000-0000-0000F20A0000}"/>
    <cellStyle name="20% - Accent5 2 3 3" xfId="3199" xr:uid="{00000000-0005-0000-0000-0000F30A0000}"/>
    <cellStyle name="20% - Accent5 2 3 3 2" xfId="3200" xr:uid="{00000000-0005-0000-0000-0000F40A0000}"/>
    <cellStyle name="20% - Accent5 2 3 3 2 2" xfId="3201" xr:uid="{00000000-0005-0000-0000-0000F50A0000}"/>
    <cellStyle name="20% - Accent5 2 3 3 2 3" xfId="3202" xr:uid="{00000000-0005-0000-0000-0000F60A0000}"/>
    <cellStyle name="20% - Accent5 2 3 3 3" xfId="3203" xr:uid="{00000000-0005-0000-0000-0000F70A0000}"/>
    <cellStyle name="20% - Accent5 2 3 3 3 2" xfId="3204" xr:uid="{00000000-0005-0000-0000-0000F80A0000}"/>
    <cellStyle name="20% - Accent5 2 3 3 3 3" xfId="3205" xr:uid="{00000000-0005-0000-0000-0000F90A0000}"/>
    <cellStyle name="20% - Accent5 2 3 3 4" xfId="3206" xr:uid="{00000000-0005-0000-0000-0000FA0A0000}"/>
    <cellStyle name="20% - Accent5 2 3 3 5" xfId="3207" xr:uid="{00000000-0005-0000-0000-0000FB0A0000}"/>
    <cellStyle name="20% - Accent5 2 3 3 6" xfId="3208" xr:uid="{00000000-0005-0000-0000-0000FC0A0000}"/>
    <cellStyle name="20% - Accent5 2 3 3 7" xfId="3209" xr:uid="{00000000-0005-0000-0000-0000FD0A0000}"/>
    <cellStyle name="20% - Accent5 2 3 3 8" xfId="3210" xr:uid="{00000000-0005-0000-0000-0000FE0A0000}"/>
    <cellStyle name="20% - Accent5 2 3 4" xfId="3211" xr:uid="{00000000-0005-0000-0000-0000FF0A0000}"/>
    <cellStyle name="20% - Accent5 2 3 4 2" xfId="3212" xr:uid="{00000000-0005-0000-0000-0000000B0000}"/>
    <cellStyle name="20% - Accent5 2 3 4 2 2" xfId="3213" xr:uid="{00000000-0005-0000-0000-0000010B0000}"/>
    <cellStyle name="20% - Accent5 2 3 4 2 3" xfId="3214" xr:uid="{00000000-0005-0000-0000-0000020B0000}"/>
    <cellStyle name="20% - Accent5 2 3 4 3" xfId="3215" xr:uid="{00000000-0005-0000-0000-0000030B0000}"/>
    <cellStyle name="20% - Accent5 2 3 4 4" xfId="3216" xr:uid="{00000000-0005-0000-0000-0000040B0000}"/>
    <cellStyle name="20% - Accent5 2 3 5" xfId="3217" xr:uid="{00000000-0005-0000-0000-0000050B0000}"/>
    <cellStyle name="20% - Accent5 2 3 5 2" xfId="3218" xr:uid="{00000000-0005-0000-0000-0000060B0000}"/>
    <cellStyle name="20% - Accent5 2 3 5 3" xfId="3219" xr:uid="{00000000-0005-0000-0000-0000070B0000}"/>
    <cellStyle name="20% - Accent5 2 3 6" xfId="3220" xr:uid="{00000000-0005-0000-0000-0000080B0000}"/>
    <cellStyle name="20% - Accent5 2 3 6 2" xfId="3221" xr:uid="{00000000-0005-0000-0000-0000090B0000}"/>
    <cellStyle name="20% - Accent5 2 3 6 3" xfId="3222" xr:uid="{00000000-0005-0000-0000-00000A0B0000}"/>
    <cellStyle name="20% - Accent5 2 3 7" xfId="3223" xr:uid="{00000000-0005-0000-0000-00000B0B0000}"/>
    <cellStyle name="20% - Accent5 2 3 8" xfId="3224" xr:uid="{00000000-0005-0000-0000-00000C0B0000}"/>
    <cellStyle name="20% - Accent5 2 3 9" xfId="3225" xr:uid="{00000000-0005-0000-0000-00000D0B0000}"/>
    <cellStyle name="20% - Accent5 2 4" xfId="3226" xr:uid="{00000000-0005-0000-0000-00000E0B0000}"/>
    <cellStyle name="20% - Accent5 2 4 10" xfId="3227" xr:uid="{00000000-0005-0000-0000-00000F0B0000}"/>
    <cellStyle name="20% - Accent5 2 4 11" xfId="3228" xr:uid="{00000000-0005-0000-0000-0000100B0000}"/>
    <cellStyle name="20% - Accent5 2 4 2" xfId="3229" xr:uid="{00000000-0005-0000-0000-0000110B0000}"/>
    <cellStyle name="20% - Accent5 2 4 2 10" xfId="3230" xr:uid="{00000000-0005-0000-0000-0000120B0000}"/>
    <cellStyle name="20% - Accent5 2 4 2 2" xfId="3231" xr:uid="{00000000-0005-0000-0000-0000130B0000}"/>
    <cellStyle name="20% - Accent5 2 4 2 2 2" xfId="3232" xr:uid="{00000000-0005-0000-0000-0000140B0000}"/>
    <cellStyle name="20% - Accent5 2 4 2 2 2 2" xfId="3233" xr:uid="{00000000-0005-0000-0000-0000150B0000}"/>
    <cellStyle name="20% - Accent5 2 4 2 2 2 3" xfId="3234" xr:uid="{00000000-0005-0000-0000-0000160B0000}"/>
    <cellStyle name="20% - Accent5 2 4 2 2 3" xfId="3235" xr:uid="{00000000-0005-0000-0000-0000170B0000}"/>
    <cellStyle name="20% - Accent5 2 4 2 2 3 2" xfId="3236" xr:uid="{00000000-0005-0000-0000-0000180B0000}"/>
    <cellStyle name="20% - Accent5 2 4 2 2 3 3" xfId="3237" xr:uid="{00000000-0005-0000-0000-0000190B0000}"/>
    <cellStyle name="20% - Accent5 2 4 2 2 4" xfId="3238" xr:uid="{00000000-0005-0000-0000-00001A0B0000}"/>
    <cellStyle name="20% - Accent5 2 4 2 2 5" xfId="3239" xr:uid="{00000000-0005-0000-0000-00001B0B0000}"/>
    <cellStyle name="20% - Accent5 2 4 2 2 6" xfId="3240" xr:uid="{00000000-0005-0000-0000-00001C0B0000}"/>
    <cellStyle name="20% - Accent5 2 4 2 2 7" xfId="3241" xr:uid="{00000000-0005-0000-0000-00001D0B0000}"/>
    <cellStyle name="20% - Accent5 2 4 2 2 8" xfId="3242" xr:uid="{00000000-0005-0000-0000-00001E0B0000}"/>
    <cellStyle name="20% - Accent5 2 4 2 3" xfId="3243" xr:uid="{00000000-0005-0000-0000-00001F0B0000}"/>
    <cellStyle name="20% - Accent5 2 4 2 3 2" xfId="3244" xr:uid="{00000000-0005-0000-0000-0000200B0000}"/>
    <cellStyle name="20% - Accent5 2 4 2 3 2 2" xfId="3245" xr:uid="{00000000-0005-0000-0000-0000210B0000}"/>
    <cellStyle name="20% - Accent5 2 4 2 3 2 3" xfId="3246" xr:uid="{00000000-0005-0000-0000-0000220B0000}"/>
    <cellStyle name="20% - Accent5 2 4 2 3 3" xfId="3247" xr:uid="{00000000-0005-0000-0000-0000230B0000}"/>
    <cellStyle name="20% - Accent5 2 4 2 3 4" xfId="3248" xr:uid="{00000000-0005-0000-0000-0000240B0000}"/>
    <cellStyle name="20% - Accent5 2 4 2 4" xfId="3249" xr:uid="{00000000-0005-0000-0000-0000250B0000}"/>
    <cellStyle name="20% - Accent5 2 4 2 4 2" xfId="3250" xr:uid="{00000000-0005-0000-0000-0000260B0000}"/>
    <cellStyle name="20% - Accent5 2 4 2 4 3" xfId="3251" xr:uid="{00000000-0005-0000-0000-0000270B0000}"/>
    <cellStyle name="20% - Accent5 2 4 2 5" xfId="3252" xr:uid="{00000000-0005-0000-0000-0000280B0000}"/>
    <cellStyle name="20% - Accent5 2 4 2 5 2" xfId="3253" xr:uid="{00000000-0005-0000-0000-0000290B0000}"/>
    <cellStyle name="20% - Accent5 2 4 2 5 3" xfId="3254" xr:uid="{00000000-0005-0000-0000-00002A0B0000}"/>
    <cellStyle name="20% - Accent5 2 4 2 6" xfId="3255" xr:uid="{00000000-0005-0000-0000-00002B0B0000}"/>
    <cellStyle name="20% - Accent5 2 4 2 7" xfId="3256" xr:uid="{00000000-0005-0000-0000-00002C0B0000}"/>
    <cellStyle name="20% - Accent5 2 4 2 8" xfId="3257" xr:uid="{00000000-0005-0000-0000-00002D0B0000}"/>
    <cellStyle name="20% - Accent5 2 4 2 9" xfId="3258" xr:uid="{00000000-0005-0000-0000-00002E0B0000}"/>
    <cellStyle name="20% - Accent5 2 4 3" xfId="3259" xr:uid="{00000000-0005-0000-0000-00002F0B0000}"/>
    <cellStyle name="20% - Accent5 2 4 3 2" xfId="3260" xr:uid="{00000000-0005-0000-0000-0000300B0000}"/>
    <cellStyle name="20% - Accent5 2 4 3 2 2" xfId="3261" xr:uid="{00000000-0005-0000-0000-0000310B0000}"/>
    <cellStyle name="20% - Accent5 2 4 3 2 3" xfId="3262" xr:uid="{00000000-0005-0000-0000-0000320B0000}"/>
    <cellStyle name="20% - Accent5 2 4 3 3" xfId="3263" xr:uid="{00000000-0005-0000-0000-0000330B0000}"/>
    <cellStyle name="20% - Accent5 2 4 3 3 2" xfId="3264" xr:uid="{00000000-0005-0000-0000-0000340B0000}"/>
    <cellStyle name="20% - Accent5 2 4 3 3 3" xfId="3265" xr:uid="{00000000-0005-0000-0000-0000350B0000}"/>
    <cellStyle name="20% - Accent5 2 4 3 4" xfId="3266" xr:uid="{00000000-0005-0000-0000-0000360B0000}"/>
    <cellStyle name="20% - Accent5 2 4 3 5" xfId="3267" xr:uid="{00000000-0005-0000-0000-0000370B0000}"/>
    <cellStyle name="20% - Accent5 2 4 3 6" xfId="3268" xr:uid="{00000000-0005-0000-0000-0000380B0000}"/>
    <cellStyle name="20% - Accent5 2 4 3 7" xfId="3269" xr:uid="{00000000-0005-0000-0000-0000390B0000}"/>
    <cellStyle name="20% - Accent5 2 4 3 8" xfId="3270" xr:uid="{00000000-0005-0000-0000-00003A0B0000}"/>
    <cellStyle name="20% - Accent5 2 4 4" xfId="3271" xr:uid="{00000000-0005-0000-0000-00003B0B0000}"/>
    <cellStyle name="20% - Accent5 2 4 4 2" xfId="3272" xr:uid="{00000000-0005-0000-0000-00003C0B0000}"/>
    <cellStyle name="20% - Accent5 2 4 4 2 2" xfId="3273" xr:uid="{00000000-0005-0000-0000-00003D0B0000}"/>
    <cellStyle name="20% - Accent5 2 4 4 2 3" xfId="3274" xr:uid="{00000000-0005-0000-0000-00003E0B0000}"/>
    <cellStyle name="20% - Accent5 2 4 4 3" xfId="3275" xr:uid="{00000000-0005-0000-0000-00003F0B0000}"/>
    <cellStyle name="20% - Accent5 2 4 4 4" xfId="3276" xr:uid="{00000000-0005-0000-0000-0000400B0000}"/>
    <cellStyle name="20% - Accent5 2 4 5" xfId="3277" xr:uid="{00000000-0005-0000-0000-0000410B0000}"/>
    <cellStyle name="20% - Accent5 2 4 5 2" xfId="3278" xr:uid="{00000000-0005-0000-0000-0000420B0000}"/>
    <cellStyle name="20% - Accent5 2 4 5 3" xfId="3279" xr:uid="{00000000-0005-0000-0000-0000430B0000}"/>
    <cellStyle name="20% - Accent5 2 4 6" xfId="3280" xr:uid="{00000000-0005-0000-0000-0000440B0000}"/>
    <cellStyle name="20% - Accent5 2 4 6 2" xfId="3281" xr:uid="{00000000-0005-0000-0000-0000450B0000}"/>
    <cellStyle name="20% - Accent5 2 4 6 3" xfId="3282" xr:uid="{00000000-0005-0000-0000-0000460B0000}"/>
    <cellStyle name="20% - Accent5 2 4 7" xfId="3283" xr:uid="{00000000-0005-0000-0000-0000470B0000}"/>
    <cellStyle name="20% - Accent5 2 4 8" xfId="3284" xr:uid="{00000000-0005-0000-0000-0000480B0000}"/>
    <cellStyle name="20% - Accent5 2 4 9" xfId="3285" xr:uid="{00000000-0005-0000-0000-0000490B0000}"/>
    <cellStyle name="20% - Accent5 2 5" xfId="3286" xr:uid="{00000000-0005-0000-0000-00004A0B0000}"/>
    <cellStyle name="20% - Accent5 2 5 10" xfId="3287" xr:uid="{00000000-0005-0000-0000-00004B0B0000}"/>
    <cellStyle name="20% - Accent5 2 5 11" xfId="3288" xr:uid="{00000000-0005-0000-0000-00004C0B0000}"/>
    <cellStyle name="20% - Accent5 2 5 2" xfId="3289" xr:uid="{00000000-0005-0000-0000-00004D0B0000}"/>
    <cellStyle name="20% - Accent5 2 5 2 2" xfId="3290" xr:uid="{00000000-0005-0000-0000-00004E0B0000}"/>
    <cellStyle name="20% - Accent5 2 5 2 2 2" xfId="3291" xr:uid="{00000000-0005-0000-0000-00004F0B0000}"/>
    <cellStyle name="20% - Accent5 2 5 2 2 2 2" xfId="3292" xr:uid="{00000000-0005-0000-0000-0000500B0000}"/>
    <cellStyle name="20% - Accent5 2 5 2 2 2 3" xfId="3293" xr:uid="{00000000-0005-0000-0000-0000510B0000}"/>
    <cellStyle name="20% - Accent5 2 5 2 2 3" xfId="3294" xr:uid="{00000000-0005-0000-0000-0000520B0000}"/>
    <cellStyle name="20% - Accent5 2 5 2 2 3 2" xfId="3295" xr:uid="{00000000-0005-0000-0000-0000530B0000}"/>
    <cellStyle name="20% - Accent5 2 5 2 2 3 3" xfId="3296" xr:uid="{00000000-0005-0000-0000-0000540B0000}"/>
    <cellStyle name="20% - Accent5 2 5 2 2 4" xfId="3297" xr:uid="{00000000-0005-0000-0000-0000550B0000}"/>
    <cellStyle name="20% - Accent5 2 5 2 2 5" xfId="3298" xr:uid="{00000000-0005-0000-0000-0000560B0000}"/>
    <cellStyle name="20% - Accent5 2 5 2 2 6" xfId="3299" xr:uid="{00000000-0005-0000-0000-0000570B0000}"/>
    <cellStyle name="20% - Accent5 2 5 2 2 7" xfId="3300" xr:uid="{00000000-0005-0000-0000-0000580B0000}"/>
    <cellStyle name="20% - Accent5 2 5 2 2 8" xfId="3301" xr:uid="{00000000-0005-0000-0000-0000590B0000}"/>
    <cellStyle name="20% - Accent5 2 5 2 3" xfId="3302" xr:uid="{00000000-0005-0000-0000-00005A0B0000}"/>
    <cellStyle name="20% - Accent5 2 5 2 3 2" xfId="3303" xr:uid="{00000000-0005-0000-0000-00005B0B0000}"/>
    <cellStyle name="20% - Accent5 2 5 2 3 2 2" xfId="3304" xr:uid="{00000000-0005-0000-0000-00005C0B0000}"/>
    <cellStyle name="20% - Accent5 2 5 2 3 2 3" xfId="3305" xr:uid="{00000000-0005-0000-0000-00005D0B0000}"/>
    <cellStyle name="20% - Accent5 2 5 2 3 3" xfId="3306" xr:uid="{00000000-0005-0000-0000-00005E0B0000}"/>
    <cellStyle name="20% - Accent5 2 5 2 3 4" xfId="3307" xr:uid="{00000000-0005-0000-0000-00005F0B0000}"/>
    <cellStyle name="20% - Accent5 2 5 2 4" xfId="3308" xr:uid="{00000000-0005-0000-0000-0000600B0000}"/>
    <cellStyle name="20% - Accent5 2 5 2 4 2" xfId="3309" xr:uid="{00000000-0005-0000-0000-0000610B0000}"/>
    <cellStyle name="20% - Accent5 2 5 2 4 3" xfId="3310" xr:uid="{00000000-0005-0000-0000-0000620B0000}"/>
    <cellStyle name="20% - Accent5 2 5 2 5" xfId="3311" xr:uid="{00000000-0005-0000-0000-0000630B0000}"/>
    <cellStyle name="20% - Accent5 2 5 2 6" xfId="3312" xr:uid="{00000000-0005-0000-0000-0000640B0000}"/>
    <cellStyle name="20% - Accent5 2 5 2 7" xfId="3313" xr:uid="{00000000-0005-0000-0000-0000650B0000}"/>
    <cellStyle name="20% - Accent5 2 5 2 8" xfId="3314" xr:uid="{00000000-0005-0000-0000-0000660B0000}"/>
    <cellStyle name="20% - Accent5 2 5 2 9" xfId="3315" xr:uid="{00000000-0005-0000-0000-0000670B0000}"/>
    <cellStyle name="20% - Accent5 2 5 3" xfId="3316" xr:uid="{00000000-0005-0000-0000-0000680B0000}"/>
    <cellStyle name="20% - Accent5 2 5 3 2" xfId="3317" xr:uid="{00000000-0005-0000-0000-0000690B0000}"/>
    <cellStyle name="20% - Accent5 2 5 3 2 2" xfId="3318" xr:uid="{00000000-0005-0000-0000-00006A0B0000}"/>
    <cellStyle name="20% - Accent5 2 5 3 2 3" xfId="3319" xr:uid="{00000000-0005-0000-0000-00006B0B0000}"/>
    <cellStyle name="20% - Accent5 2 5 3 3" xfId="3320" xr:uid="{00000000-0005-0000-0000-00006C0B0000}"/>
    <cellStyle name="20% - Accent5 2 5 3 3 2" xfId="3321" xr:uid="{00000000-0005-0000-0000-00006D0B0000}"/>
    <cellStyle name="20% - Accent5 2 5 3 3 3" xfId="3322" xr:uid="{00000000-0005-0000-0000-00006E0B0000}"/>
    <cellStyle name="20% - Accent5 2 5 3 4" xfId="3323" xr:uid="{00000000-0005-0000-0000-00006F0B0000}"/>
    <cellStyle name="20% - Accent5 2 5 3 5" xfId="3324" xr:uid="{00000000-0005-0000-0000-0000700B0000}"/>
    <cellStyle name="20% - Accent5 2 5 3 6" xfId="3325" xr:uid="{00000000-0005-0000-0000-0000710B0000}"/>
    <cellStyle name="20% - Accent5 2 5 3 7" xfId="3326" xr:uid="{00000000-0005-0000-0000-0000720B0000}"/>
    <cellStyle name="20% - Accent5 2 5 3 8" xfId="3327" xr:uid="{00000000-0005-0000-0000-0000730B0000}"/>
    <cellStyle name="20% - Accent5 2 5 4" xfId="3328" xr:uid="{00000000-0005-0000-0000-0000740B0000}"/>
    <cellStyle name="20% - Accent5 2 5 4 2" xfId="3329" xr:uid="{00000000-0005-0000-0000-0000750B0000}"/>
    <cellStyle name="20% - Accent5 2 5 4 2 2" xfId="3330" xr:uid="{00000000-0005-0000-0000-0000760B0000}"/>
    <cellStyle name="20% - Accent5 2 5 4 2 3" xfId="3331" xr:uid="{00000000-0005-0000-0000-0000770B0000}"/>
    <cellStyle name="20% - Accent5 2 5 4 3" xfId="3332" xr:uid="{00000000-0005-0000-0000-0000780B0000}"/>
    <cellStyle name="20% - Accent5 2 5 4 4" xfId="3333" xr:uid="{00000000-0005-0000-0000-0000790B0000}"/>
    <cellStyle name="20% - Accent5 2 5 5" xfId="3334" xr:uid="{00000000-0005-0000-0000-00007A0B0000}"/>
    <cellStyle name="20% - Accent5 2 5 5 2" xfId="3335" xr:uid="{00000000-0005-0000-0000-00007B0B0000}"/>
    <cellStyle name="20% - Accent5 2 5 5 3" xfId="3336" xr:uid="{00000000-0005-0000-0000-00007C0B0000}"/>
    <cellStyle name="20% - Accent5 2 5 6" xfId="3337" xr:uid="{00000000-0005-0000-0000-00007D0B0000}"/>
    <cellStyle name="20% - Accent5 2 5 6 2" xfId="3338" xr:uid="{00000000-0005-0000-0000-00007E0B0000}"/>
    <cellStyle name="20% - Accent5 2 5 6 3" xfId="3339" xr:uid="{00000000-0005-0000-0000-00007F0B0000}"/>
    <cellStyle name="20% - Accent5 2 5 7" xfId="3340" xr:uid="{00000000-0005-0000-0000-0000800B0000}"/>
    <cellStyle name="20% - Accent5 2 5 8" xfId="3341" xr:uid="{00000000-0005-0000-0000-0000810B0000}"/>
    <cellStyle name="20% - Accent5 2 5 9" xfId="3342" xr:uid="{00000000-0005-0000-0000-0000820B0000}"/>
    <cellStyle name="20% - Accent5 2 6" xfId="3343" xr:uid="{00000000-0005-0000-0000-0000830B0000}"/>
    <cellStyle name="20% - Accent5 2 6 10" xfId="3344" xr:uid="{00000000-0005-0000-0000-0000840B0000}"/>
    <cellStyle name="20% - Accent5 2 6 11" xfId="3345" xr:uid="{00000000-0005-0000-0000-0000850B0000}"/>
    <cellStyle name="20% - Accent5 2 6 2" xfId="3346" xr:uid="{00000000-0005-0000-0000-0000860B0000}"/>
    <cellStyle name="20% - Accent5 2 6 2 2" xfId="3347" xr:uid="{00000000-0005-0000-0000-0000870B0000}"/>
    <cellStyle name="20% - Accent5 2 6 2 2 2" xfId="3348" xr:uid="{00000000-0005-0000-0000-0000880B0000}"/>
    <cellStyle name="20% - Accent5 2 6 2 2 2 2" xfId="3349" xr:uid="{00000000-0005-0000-0000-0000890B0000}"/>
    <cellStyle name="20% - Accent5 2 6 2 2 2 3" xfId="3350" xr:uid="{00000000-0005-0000-0000-00008A0B0000}"/>
    <cellStyle name="20% - Accent5 2 6 2 2 3" xfId="3351" xr:uid="{00000000-0005-0000-0000-00008B0B0000}"/>
    <cellStyle name="20% - Accent5 2 6 2 2 3 2" xfId="3352" xr:uid="{00000000-0005-0000-0000-00008C0B0000}"/>
    <cellStyle name="20% - Accent5 2 6 2 2 3 3" xfId="3353" xr:uid="{00000000-0005-0000-0000-00008D0B0000}"/>
    <cellStyle name="20% - Accent5 2 6 2 2 4" xfId="3354" xr:uid="{00000000-0005-0000-0000-00008E0B0000}"/>
    <cellStyle name="20% - Accent5 2 6 2 2 5" xfId="3355" xr:uid="{00000000-0005-0000-0000-00008F0B0000}"/>
    <cellStyle name="20% - Accent5 2 6 2 2 6" xfId="3356" xr:uid="{00000000-0005-0000-0000-0000900B0000}"/>
    <cellStyle name="20% - Accent5 2 6 2 2 7" xfId="3357" xr:uid="{00000000-0005-0000-0000-0000910B0000}"/>
    <cellStyle name="20% - Accent5 2 6 2 2 8" xfId="3358" xr:uid="{00000000-0005-0000-0000-0000920B0000}"/>
    <cellStyle name="20% - Accent5 2 6 2 3" xfId="3359" xr:uid="{00000000-0005-0000-0000-0000930B0000}"/>
    <cellStyle name="20% - Accent5 2 6 2 3 2" xfId="3360" xr:uid="{00000000-0005-0000-0000-0000940B0000}"/>
    <cellStyle name="20% - Accent5 2 6 2 3 2 2" xfId="3361" xr:uid="{00000000-0005-0000-0000-0000950B0000}"/>
    <cellStyle name="20% - Accent5 2 6 2 3 2 3" xfId="3362" xr:uid="{00000000-0005-0000-0000-0000960B0000}"/>
    <cellStyle name="20% - Accent5 2 6 2 3 3" xfId="3363" xr:uid="{00000000-0005-0000-0000-0000970B0000}"/>
    <cellStyle name="20% - Accent5 2 6 2 3 4" xfId="3364" xr:uid="{00000000-0005-0000-0000-0000980B0000}"/>
    <cellStyle name="20% - Accent5 2 6 2 4" xfId="3365" xr:uid="{00000000-0005-0000-0000-0000990B0000}"/>
    <cellStyle name="20% - Accent5 2 6 2 4 2" xfId="3366" xr:uid="{00000000-0005-0000-0000-00009A0B0000}"/>
    <cellStyle name="20% - Accent5 2 6 2 4 3" xfId="3367" xr:uid="{00000000-0005-0000-0000-00009B0B0000}"/>
    <cellStyle name="20% - Accent5 2 6 2 5" xfId="3368" xr:uid="{00000000-0005-0000-0000-00009C0B0000}"/>
    <cellStyle name="20% - Accent5 2 6 2 6" xfId="3369" xr:uid="{00000000-0005-0000-0000-00009D0B0000}"/>
    <cellStyle name="20% - Accent5 2 6 2 7" xfId="3370" xr:uid="{00000000-0005-0000-0000-00009E0B0000}"/>
    <cellStyle name="20% - Accent5 2 6 2 8" xfId="3371" xr:uid="{00000000-0005-0000-0000-00009F0B0000}"/>
    <cellStyle name="20% - Accent5 2 6 2 9" xfId="3372" xr:uid="{00000000-0005-0000-0000-0000A00B0000}"/>
    <cellStyle name="20% - Accent5 2 6 3" xfId="3373" xr:uid="{00000000-0005-0000-0000-0000A10B0000}"/>
    <cellStyle name="20% - Accent5 2 6 3 2" xfId="3374" xr:uid="{00000000-0005-0000-0000-0000A20B0000}"/>
    <cellStyle name="20% - Accent5 2 6 3 2 2" xfId="3375" xr:uid="{00000000-0005-0000-0000-0000A30B0000}"/>
    <cellStyle name="20% - Accent5 2 6 3 2 3" xfId="3376" xr:uid="{00000000-0005-0000-0000-0000A40B0000}"/>
    <cellStyle name="20% - Accent5 2 6 3 3" xfId="3377" xr:uid="{00000000-0005-0000-0000-0000A50B0000}"/>
    <cellStyle name="20% - Accent5 2 6 3 3 2" xfId="3378" xr:uid="{00000000-0005-0000-0000-0000A60B0000}"/>
    <cellStyle name="20% - Accent5 2 6 3 3 3" xfId="3379" xr:uid="{00000000-0005-0000-0000-0000A70B0000}"/>
    <cellStyle name="20% - Accent5 2 6 3 4" xfId="3380" xr:uid="{00000000-0005-0000-0000-0000A80B0000}"/>
    <cellStyle name="20% - Accent5 2 6 3 5" xfId="3381" xr:uid="{00000000-0005-0000-0000-0000A90B0000}"/>
    <cellStyle name="20% - Accent5 2 6 3 6" xfId="3382" xr:uid="{00000000-0005-0000-0000-0000AA0B0000}"/>
    <cellStyle name="20% - Accent5 2 6 3 7" xfId="3383" xr:uid="{00000000-0005-0000-0000-0000AB0B0000}"/>
    <cellStyle name="20% - Accent5 2 6 3 8" xfId="3384" xr:uid="{00000000-0005-0000-0000-0000AC0B0000}"/>
    <cellStyle name="20% - Accent5 2 6 4" xfId="3385" xr:uid="{00000000-0005-0000-0000-0000AD0B0000}"/>
    <cellStyle name="20% - Accent5 2 6 4 2" xfId="3386" xr:uid="{00000000-0005-0000-0000-0000AE0B0000}"/>
    <cellStyle name="20% - Accent5 2 6 4 2 2" xfId="3387" xr:uid="{00000000-0005-0000-0000-0000AF0B0000}"/>
    <cellStyle name="20% - Accent5 2 6 4 2 3" xfId="3388" xr:uid="{00000000-0005-0000-0000-0000B00B0000}"/>
    <cellStyle name="20% - Accent5 2 6 4 3" xfId="3389" xr:uid="{00000000-0005-0000-0000-0000B10B0000}"/>
    <cellStyle name="20% - Accent5 2 6 4 4" xfId="3390" xr:uid="{00000000-0005-0000-0000-0000B20B0000}"/>
    <cellStyle name="20% - Accent5 2 6 5" xfId="3391" xr:uid="{00000000-0005-0000-0000-0000B30B0000}"/>
    <cellStyle name="20% - Accent5 2 6 5 2" xfId="3392" xr:uid="{00000000-0005-0000-0000-0000B40B0000}"/>
    <cellStyle name="20% - Accent5 2 6 5 3" xfId="3393" xr:uid="{00000000-0005-0000-0000-0000B50B0000}"/>
    <cellStyle name="20% - Accent5 2 6 6" xfId="3394" xr:uid="{00000000-0005-0000-0000-0000B60B0000}"/>
    <cellStyle name="20% - Accent5 2 6 6 2" xfId="3395" xr:uid="{00000000-0005-0000-0000-0000B70B0000}"/>
    <cellStyle name="20% - Accent5 2 6 6 3" xfId="3396" xr:uid="{00000000-0005-0000-0000-0000B80B0000}"/>
    <cellStyle name="20% - Accent5 2 6 7" xfId="3397" xr:uid="{00000000-0005-0000-0000-0000B90B0000}"/>
    <cellStyle name="20% - Accent5 2 6 8" xfId="3398" xr:uid="{00000000-0005-0000-0000-0000BA0B0000}"/>
    <cellStyle name="20% - Accent5 2 6 9" xfId="3399" xr:uid="{00000000-0005-0000-0000-0000BB0B0000}"/>
    <cellStyle name="20% - Accent5 2 7" xfId="3400" xr:uid="{00000000-0005-0000-0000-0000BC0B0000}"/>
    <cellStyle name="20% - Accent5 2 7 2" xfId="3401" xr:uid="{00000000-0005-0000-0000-0000BD0B0000}"/>
    <cellStyle name="20% - Accent5 2 7 2 2" xfId="3402" xr:uid="{00000000-0005-0000-0000-0000BE0B0000}"/>
    <cellStyle name="20% - Accent5 2 7 2 3" xfId="3403" xr:uid="{00000000-0005-0000-0000-0000BF0B0000}"/>
    <cellStyle name="20% - Accent5 2 7 3" xfId="3404" xr:uid="{00000000-0005-0000-0000-0000C00B0000}"/>
    <cellStyle name="20% - Accent5 2 7 4" xfId="3405" xr:uid="{00000000-0005-0000-0000-0000C10B0000}"/>
    <cellStyle name="20% - Accent5 2 8" xfId="3406" xr:uid="{00000000-0005-0000-0000-0000C20B0000}"/>
    <cellStyle name="20% - Accent5 2 8 2" xfId="3407" xr:uid="{00000000-0005-0000-0000-0000C30B0000}"/>
    <cellStyle name="20% - Accent5 2 8 3" xfId="3408" xr:uid="{00000000-0005-0000-0000-0000C40B0000}"/>
    <cellStyle name="20% - Accent5 2 9" xfId="3409" xr:uid="{00000000-0005-0000-0000-0000C50B0000}"/>
    <cellStyle name="20% - Accent5 2 9 2" xfId="3410" xr:uid="{00000000-0005-0000-0000-0000C60B0000}"/>
    <cellStyle name="20% - Accent5 2 9 3" xfId="3411" xr:uid="{00000000-0005-0000-0000-0000C70B0000}"/>
    <cellStyle name="20% - Accent5 2_Dec monthly report" xfId="3412" xr:uid="{00000000-0005-0000-0000-0000C80B0000}"/>
    <cellStyle name="20% - Accent5 20" xfId="3413" xr:uid="{00000000-0005-0000-0000-0000C90B0000}"/>
    <cellStyle name="20% - Accent5 20 2" xfId="3414" xr:uid="{00000000-0005-0000-0000-0000CA0B0000}"/>
    <cellStyle name="20% - Accent5 20 3" xfId="3415" xr:uid="{00000000-0005-0000-0000-0000CB0B0000}"/>
    <cellStyle name="20% - Accent5 21" xfId="3416" xr:uid="{00000000-0005-0000-0000-0000CC0B0000}"/>
    <cellStyle name="20% - Accent5 21 2" xfId="3417" xr:uid="{00000000-0005-0000-0000-0000CD0B0000}"/>
    <cellStyle name="20% - Accent5 21 3" xfId="3418" xr:uid="{00000000-0005-0000-0000-0000CE0B0000}"/>
    <cellStyle name="20% - Accent5 22" xfId="3419" xr:uid="{00000000-0005-0000-0000-0000CF0B0000}"/>
    <cellStyle name="20% - Accent5 23" xfId="3420" xr:uid="{00000000-0005-0000-0000-0000D00B0000}"/>
    <cellStyle name="20% - Accent5 24" xfId="3421" xr:uid="{00000000-0005-0000-0000-0000D10B0000}"/>
    <cellStyle name="20% - Accent5 3" xfId="3422" xr:uid="{00000000-0005-0000-0000-0000D20B0000}"/>
    <cellStyle name="20% - Accent5 3 10" xfId="3423" xr:uid="{00000000-0005-0000-0000-0000D30B0000}"/>
    <cellStyle name="20% - Accent5 3 11" xfId="3424" xr:uid="{00000000-0005-0000-0000-0000D40B0000}"/>
    <cellStyle name="20% - Accent5 3 12" xfId="3425" xr:uid="{00000000-0005-0000-0000-0000D50B0000}"/>
    <cellStyle name="20% - Accent5 3 13" xfId="3426" xr:uid="{00000000-0005-0000-0000-0000D60B0000}"/>
    <cellStyle name="20% - Accent5 3 14" xfId="3427" xr:uid="{00000000-0005-0000-0000-0000D70B0000}"/>
    <cellStyle name="20% - Accent5 3 2" xfId="3428" xr:uid="{00000000-0005-0000-0000-0000D80B0000}"/>
    <cellStyle name="20% - Accent5 3 2 2" xfId="3429" xr:uid="{00000000-0005-0000-0000-0000D90B0000}"/>
    <cellStyle name="20% - Accent5 3 2 2 10" xfId="3430" xr:uid="{00000000-0005-0000-0000-0000DA0B0000}"/>
    <cellStyle name="20% - Accent5 3 2 2 2" xfId="3431" xr:uid="{00000000-0005-0000-0000-0000DB0B0000}"/>
    <cellStyle name="20% - Accent5 3 2 2 2 2" xfId="3432" xr:uid="{00000000-0005-0000-0000-0000DC0B0000}"/>
    <cellStyle name="20% - Accent5 3 2 2 2 2 2" xfId="3433" xr:uid="{00000000-0005-0000-0000-0000DD0B0000}"/>
    <cellStyle name="20% - Accent5 3 2 2 2 2 3" xfId="3434" xr:uid="{00000000-0005-0000-0000-0000DE0B0000}"/>
    <cellStyle name="20% - Accent5 3 2 2 2 3" xfId="3435" xr:uid="{00000000-0005-0000-0000-0000DF0B0000}"/>
    <cellStyle name="20% - Accent5 3 2 2 2 3 2" xfId="3436" xr:uid="{00000000-0005-0000-0000-0000E00B0000}"/>
    <cellStyle name="20% - Accent5 3 2 2 2 3 3" xfId="3437" xr:uid="{00000000-0005-0000-0000-0000E10B0000}"/>
    <cellStyle name="20% - Accent5 3 2 2 2 4" xfId="3438" xr:uid="{00000000-0005-0000-0000-0000E20B0000}"/>
    <cellStyle name="20% - Accent5 3 2 2 2 5" xfId="3439" xr:uid="{00000000-0005-0000-0000-0000E30B0000}"/>
    <cellStyle name="20% - Accent5 3 2 2 2 6" xfId="3440" xr:uid="{00000000-0005-0000-0000-0000E40B0000}"/>
    <cellStyle name="20% - Accent5 3 2 2 2 7" xfId="3441" xr:uid="{00000000-0005-0000-0000-0000E50B0000}"/>
    <cellStyle name="20% - Accent5 3 2 2 2 8" xfId="3442" xr:uid="{00000000-0005-0000-0000-0000E60B0000}"/>
    <cellStyle name="20% - Accent5 3 2 2 3" xfId="3443" xr:uid="{00000000-0005-0000-0000-0000E70B0000}"/>
    <cellStyle name="20% - Accent5 3 2 2 3 2" xfId="3444" xr:uid="{00000000-0005-0000-0000-0000E80B0000}"/>
    <cellStyle name="20% - Accent5 3 2 2 3 3" xfId="3445" xr:uid="{00000000-0005-0000-0000-0000E90B0000}"/>
    <cellStyle name="20% - Accent5 3 2 2 4" xfId="3446" xr:uid="{00000000-0005-0000-0000-0000EA0B0000}"/>
    <cellStyle name="20% - Accent5 3 2 2 4 2" xfId="3447" xr:uid="{00000000-0005-0000-0000-0000EB0B0000}"/>
    <cellStyle name="20% - Accent5 3 2 2 4 3" xfId="3448" xr:uid="{00000000-0005-0000-0000-0000EC0B0000}"/>
    <cellStyle name="20% - Accent5 3 2 2 5" xfId="3449" xr:uid="{00000000-0005-0000-0000-0000ED0B0000}"/>
    <cellStyle name="20% - Accent5 3 2 2 5 2" xfId="3450" xr:uid="{00000000-0005-0000-0000-0000EE0B0000}"/>
    <cellStyle name="20% - Accent5 3 2 2 5 3" xfId="3451" xr:uid="{00000000-0005-0000-0000-0000EF0B0000}"/>
    <cellStyle name="20% - Accent5 3 2 2 6" xfId="3452" xr:uid="{00000000-0005-0000-0000-0000F00B0000}"/>
    <cellStyle name="20% - Accent5 3 2 2 7" xfId="3453" xr:uid="{00000000-0005-0000-0000-0000F10B0000}"/>
    <cellStyle name="20% - Accent5 3 2 2 8" xfId="3454" xr:uid="{00000000-0005-0000-0000-0000F20B0000}"/>
    <cellStyle name="20% - Accent5 3 2 2 9" xfId="3455" xr:uid="{00000000-0005-0000-0000-0000F30B0000}"/>
    <cellStyle name="20% - Accent5 3 2 3" xfId="3456" xr:uid="{00000000-0005-0000-0000-0000F40B0000}"/>
    <cellStyle name="20% - Accent5 3 2 3 2" xfId="3457" xr:uid="{00000000-0005-0000-0000-0000F50B0000}"/>
    <cellStyle name="20% - Accent5 3 2 3 2 2" xfId="3458" xr:uid="{00000000-0005-0000-0000-0000F60B0000}"/>
    <cellStyle name="20% - Accent5 3 2 3 2 3" xfId="3459" xr:uid="{00000000-0005-0000-0000-0000F70B0000}"/>
    <cellStyle name="20% - Accent5 3 2 3 3" xfId="3460" xr:uid="{00000000-0005-0000-0000-0000F80B0000}"/>
    <cellStyle name="20% - Accent5 3 2 3 4" xfId="3461" xr:uid="{00000000-0005-0000-0000-0000F90B0000}"/>
    <cellStyle name="20% - Accent5 3 2 4" xfId="3462" xr:uid="{00000000-0005-0000-0000-0000FA0B0000}"/>
    <cellStyle name="20% - Accent5 3 2 4 2" xfId="3463" xr:uid="{00000000-0005-0000-0000-0000FB0B0000}"/>
    <cellStyle name="20% - Accent5 3 2 4 3" xfId="3464" xr:uid="{00000000-0005-0000-0000-0000FC0B0000}"/>
    <cellStyle name="20% - Accent5 3 2 5" xfId="3465" xr:uid="{00000000-0005-0000-0000-0000FD0B0000}"/>
    <cellStyle name="20% - Accent5 3 2 5 2" xfId="3466" xr:uid="{00000000-0005-0000-0000-0000FE0B0000}"/>
    <cellStyle name="20% - Accent5 3 2 5 3" xfId="3467" xr:uid="{00000000-0005-0000-0000-0000FF0B0000}"/>
    <cellStyle name="20% - Accent5 3 2 6" xfId="3468" xr:uid="{00000000-0005-0000-0000-0000000C0000}"/>
    <cellStyle name="20% - Accent5 3 2 7" xfId="3469" xr:uid="{00000000-0005-0000-0000-0000010C0000}"/>
    <cellStyle name="20% - Accent5 3 2 8" xfId="3470" xr:uid="{00000000-0005-0000-0000-0000020C0000}"/>
    <cellStyle name="20% - Accent5 3 2 9" xfId="3471" xr:uid="{00000000-0005-0000-0000-0000030C0000}"/>
    <cellStyle name="20% - Accent5 3 3" xfId="3472" xr:uid="{00000000-0005-0000-0000-0000040C0000}"/>
    <cellStyle name="20% - Accent5 3 3 2" xfId="3473" xr:uid="{00000000-0005-0000-0000-0000050C0000}"/>
    <cellStyle name="20% - Accent5 3 3 2 2" xfId="3474" xr:uid="{00000000-0005-0000-0000-0000060C0000}"/>
    <cellStyle name="20% - Accent5 3 3 2 3" xfId="3475" xr:uid="{00000000-0005-0000-0000-0000070C0000}"/>
    <cellStyle name="20% - Accent5 3 3 3" xfId="3476" xr:uid="{00000000-0005-0000-0000-0000080C0000}"/>
    <cellStyle name="20% - Accent5 3 3 3 2" xfId="3477" xr:uid="{00000000-0005-0000-0000-0000090C0000}"/>
    <cellStyle name="20% - Accent5 3 3 3 3" xfId="3478" xr:uid="{00000000-0005-0000-0000-00000A0C0000}"/>
    <cellStyle name="20% - Accent5 3 3 4" xfId="3479" xr:uid="{00000000-0005-0000-0000-00000B0C0000}"/>
    <cellStyle name="20% - Accent5 3 3 5" xfId="3480" xr:uid="{00000000-0005-0000-0000-00000C0C0000}"/>
    <cellStyle name="20% - Accent5 3 3 6" xfId="3481" xr:uid="{00000000-0005-0000-0000-00000D0C0000}"/>
    <cellStyle name="20% - Accent5 3 3 7" xfId="3482" xr:uid="{00000000-0005-0000-0000-00000E0C0000}"/>
    <cellStyle name="20% - Accent5 3 3 8" xfId="3483" xr:uid="{00000000-0005-0000-0000-00000F0C0000}"/>
    <cellStyle name="20% - Accent5 3 4" xfId="3484" xr:uid="{00000000-0005-0000-0000-0000100C0000}"/>
    <cellStyle name="20% - Accent5 3 4 2" xfId="3485" xr:uid="{00000000-0005-0000-0000-0000110C0000}"/>
    <cellStyle name="20% - Accent5 3 4 2 2" xfId="3486" xr:uid="{00000000-0005-0000-0000-0000120C0000}"/>
    <cellStyle name="20% - Accent5 3 4 2 3" xfId="3487" xr:uid="{00000000-0005-0000-0000-0000130C0000}"/>
    <cellStyle name="20% - Accent5 3 4 3" xfId="3488" xr:uid="{00000000-0005-0000-0000-0000140C0000}"/>
    <cellStyle name="20% - Accent5 3 4 3 2" xfId="3489" xr:uid="{00000000-0005-0000-0000-0000150C0000}"/>
    <cellStyle name="20% - Accent5 3 4 3 3" xfId="3490" xr:uid="{00000000-0005-0000-0000-0000160C0000}"/>
    <cellStyle name="20% - Accent5 3 4 4" xfId="3491" xr:uid="{00000000-0005-0000-0000-0000170C0000}"/>
    <cellStyle name="20% - Accent5 3 4 5" xfId="3492" xr:uid="{00000000-0005-0000-0000-0000180C0000}"/>
    <cellStyle name="20% - Accent5 3 4 6" xfId="3493" xr:uid="{00000000-0005-0000-0000-0000190C0000}"/>
    <cellStyle name="20% - Accent5 3 4 7" xfId="3494" xr:uid="{00000000-0005-0000-0000-00001A0C0000}"/>
    <cellStyle name="20% - Accent5 3 4 8" xfId="3495" xr:uid="{00000000-0005-0000-0000-00001B0C0000}"/>
    <cellStyle name="20% - Accent5 3 5" xfId="3496" xr:uid="{00000000-0005-0000-0000-00001C0C0000}"/>
    <cellStyle name="20% - Accent5 3 5 2" xfId="3497" xr:uid="{00000000-0005-0000-0000-00001D0C0000}"/>
    <cellStyle name="20% - Accent5 3 5 2 2" xfId="3498" xr:uid="{00000000-0005-0000-0000-00001E0C0000}"/>
    <cellStyle name="20% - Accent5 3 5 2 3" xfId="3499" xr:uid="{00000000-0005-0000-0000-00001F0C0000}"/>
    <cellStyle name="20% - Accent5 3 5 3" xfId="3500" xr:uid="{00000000-0005-0000-0000-0000200C0000}"/>
    <cellStyle name="20% - Accent5 3 5 3 2" xfId="3501" xr:uid="{00000000-0005-0000-0000-0000210C0000}"/>
    <cellStyle name="20% - Accent5 3 5 4" xfId="3502" xr:uid="{00000000-0005-0000-0000-0000220C0000}"/>
    <cellStyle name="20% - Accent5 3 5 5" xfId="3503" xr:uid="{00000000-0005-0000-0000-0000230C0000}"/>
    <cellStyle name="20% - Accent5 3 5 6" xfId="3504" xr:uid="{00000000-0005-0000-0000-0000240C0000}"/>
    <cellStyle name="20% - Accent5 3 5 7" xfId="3505" xr:uid="{00000000-0005-0000-0000-0000250C0000}"/>
    <cellStyle name="20% - Accent5 3 5 8" xfId="3506" xr:uid="{00000000-0005-0000-0000-0000260C0000}"/>
    <cellStyle name="20% - Accent5 3 6" xfId="3507" xr:uid="{00000000-0005-0000-0000-0000270C0000}"/>
    <cellStyle name="20% - Accent5 3 6 2" xfId="3508" xr:uid="{00000000-0005-0000-0000-0000280C0000}"/>
    <cellStyle name="20% - Accent5 3 6 3" xfId="3509" xr:uid="{00000000-0005-0000-0000-0000290C0000}"/>
    <cellStyle name="20% - Accent5 3 7" xfId="3510" xr:uid="{00000000-0005-0000-0000-00002A0C0000}"/>
    <cellStyle name="20% - Accent5 3 7 2" xfId="3511" xr:uid="{00000000-0005-0000-0000-00002B0C0000}"/>
    <cellStyle name="20% - Accent5 3 7 3" xfId="3512" xr:uid="{00000000-0005-0000-0000-00002C0C0000}"/>
    <cellStyle name="20% - Accent5 3 8" xfId="3513" xr:uid="{00000000-0005-0000-0000-00002D0C0000}"/>
    <cellStyle name="20% - Accent5 3 8 2" xfId="3514" xr:uid="{00000000-0005-0000-0000-00002E0C0000}"/>
    <cellStyle name="20% - Accent5 3 8 3" xfId="3515" xr:uid="{00000000-0005-0000-0000-00002F0C0000}"/>
    <cellStyle name="20% - Accent5 3 9" xfId="3516" xr:uid="{00000000-0005-0000-0000-0000300C0000}"/>
    <cellStyle name="20% - Accent5 3 9 2" xfId="3517" xr:uid="{00000000-0005-0000-0000-0000310C0000}"/>
    <cellStyle name="20% - Accent5 3 9 3" xfId="3518" xr:uid="{00000000-0005-0000-0000-0000320C0000}"/>
    <cellStyle name="20% - Accent5 4" xfId="3519" xr:uid="{00000000-0005-0000-0000-0000330C0000}"/>
    <cellStyle name="20% - Accent5 4 10" xfId="3520" xr:uid="{00000000-0005-0000-0000-0000340C0000}"/>
    <cellStyle name="20% - Accent5 4 11" xfId="3521" xr:uid="{00000000-0005-0000-0000-0000350C0000}"/>
    <cellStyle name="20% - Accent5 4 12" xfId="3522" xr:uid="{00000000-0005-0000-0000-0000360C0000}"/>
    <cellStyle name="20% - Accent5 4 13" xfId="3523" xr:uid="{00000000-0005-0000-0000-0000370C0000}"/>
    <cellStyle name="20% - Accent5 4 2" xfId="3524" xr:uid="{00000000-0005-0000-0000-0000380C0000}"/>
    <cellStyle name="20% - Accent5 4 2 2" xfId="3525" xr:uid="{00000000-0005-0000-0000-0000390C0000}"/>
    <cellStyle name="20% - Accent5 4 2 2 2" xfId="3526" xr:uid="{00000000-0005-0000-0000-00003A0C0000}"/>
    <cellStyle name="20% - Accent5 4 2 2 2 2" xfId="3527" xr:uid="{00000000-0005-0000-0000-00003B0C0000}"/>
    <cellStyle name="20% - Accent5 4 2 2 2 2 2" xfId="3528" xr:uid="{00000000-0005-0000-0000-00003C0C0000}"/>
    <cellStyle name="20% - Accent5 4 2 2 2 2 3" xfId="3529" xr:uid="{00000000-0005-0000-0000-00003D0C0000}"/>
    <cellStyle name="20% - Accent5 4 2 2 2 3" xfId="3530" xr:uid="{00000000-0005-0000-0000-00003E0C0000}"/>
    <cellStyle name="20% - Accent5 4 2 2 2 3 2" xfId="3531" xr:uid="{00000000-0005-0000-0000-00003F0C0000}"/>
    <cellStyle name="20% - Accent5 4 2 2 2 3 3" xfId="3532" xr:uid="{00000000-0005-0000-0000-0000400C0000}"/>
    <cellStyle name="20% - Accent5 4 2 2 2 4" xfId="3533" xr:uid="{00000000-0005-0000-0000-0000410C0000}"/>
    <cellStyle name="20% - Accent5 4 2 2 2 5" xfId="3534" xr:uid="{00000000-0005-0000-0000-0000420C0000}"/>
    <cellStyle name="20% - Accent5 4 2 2 2 6" xfId="3535" xr:uid="{00000000-0005-0000-0000-0000430C0000}"/>
    <cellStyle name="20% - Accent5 4 2 2 2 7" xfId="3536" xr:uid="{00000000-0005-0000-0000-0000440C0000}"/>
    <cellStyle name="20% - Accent5 4 2 2 2 8" xfId="3537" xr:uid="{00000000-0005-0000-0000-0000450C0000}"/>
    <cellStyle name="20% - Accent5 4 2 2 3" xfId="3538" xr:uid="{00000000-0005-0000-0000-0000460C0000}"/>
    <cellStyle name="20% - Accent5 4 2 2 3 2" xfId="3539" xr:uid="{00000000-0005-0000-0000-0000470C0000}"/>
    <cellStyle name="20% - Accent5 4 2 2 3 3" xfId="3540" xr:uid="{00000000-0005-0000-0000-0000480C0000}"/>
    <cellStyle name="20% - Accent5 4 2 2 4" xfId="3541" xr:uid="{00000000-0005-0000-0000-0000490C0000}"/>
    <cellStyle name="20% - Accent5 4 2 2 4 2" xfId="3542" xr:uid="{00000000-0005-0000-0000-00004A0C0000}"/>
    <cellStyle name="20% - Accent5 4 2 2 4 3" xfId="3543" xr:uid="{00000000-0005-0000-0000-00004B0C0000}"/>
    <cellStyle name="20% - Accent5 4 2 2 5" xfId="3544" xr:uid="{00000000-0005-0000-0000-00004C0C0000}"/>
    <cellStyle name="20% - Accent5 4 2 2 6" xfId="3545" xr:uid="{00000000-0005-0000-0000-00004D0C0000}"/>
    <cellStyle name="20% - Accent5 4 2 2 7" xfId="3546" xr:uid="{00000000-0005-0000-0000-00004E0C0000}"/>
    <cellStyle name="20% - Accent5 4 2 2 8" xfId="3547" xr:uid="{00000000-0005-0000-0000-00004F0C0000}"/>
    <cellStyle name="20% - Accent5 4 2 2 9" xfId="3548" xr:uid="{00000000-0005-0000-0000-0000500C0000}"/>
    <cellStyle name="20% - Accent5 4 2 3" xfId="3549" xr:uid="{00000000-0005-0000-0000-0000510C0000}"/>
    <cellStyle name="20% - Accent5 4 2 3 2" xfId="3550" xr:uid="{00000000-0005-0000-0000-0000520C0000}"/>
    <cellStyle name="20% - Accent5 4 2 3 2 2" xfId="3551" xr:uid="{00000000-0005-0000-0000-0000530C0000}"/>
    <cellStyle name="20% - Accent5 4 2 3 2 3" xfId="3552" xr:uid="{00000000-0005-0000-0000-0000540C0000}"/>
    <cellStyle name="20% - Accent5 4 2 3 3" xfId="3553" xr:uid="{00000000-0005-0000-0000-0000550C0000}"/>
    <cellStyle name="20% - Accent5 4 2 3 4" xfId="3554" xr:uid="{00000000-0005-0000-0000-0000560C0000}"/>
    <cellStyle name="20% - Accent5 4 2 4" xfId="3555" xr:uid="{00000000-0005-0000-0000-0000570C0000}"/>
    <cellStyle name="20% - Accent5 4 2 4 2" xfId="3556" xr:uid="{00000000-0005-0000-0000-0000580C0000}"/>
    <cellStyle name="20% - Accent5 4 2 4 3" xfId="3557" xr:uid="{00000000-0005-0000-0000-0000590C0000}"/>
    <cellStyle name="20% - Accent5 4 2 5" xfId="3558" xr:uid="{00000000-0005-0000-0000-00005A0C0000}"/>
    <cellStyle name="20% - Accent5 4 2 5 2" xfId="3559" xr:uid="{00000000-0005-0000-0000-00005B0C0000}"/>
    <cellStyle name="20% - Accent5 4 2 5 3" xfId="3560" xr:uid="{00000000-0005-0000-0000-00005C0C0000}"/>
    <cellStyle name="20% - Accent5 4 2 6" xfId="3561" xr:uid="{00000000-0005-0000-0000-00005D0C0000}"/>
    <cellStyle name="20% - Accent5 4 2 7" xfId="3562" xr:uid="{00000000-0005-0000-0000-00005E0C0000}"/>
    <cellStyle name="20% - Accent5 4 2 8" xfId="3563" xr:uid="{00000000-0005-0000-0000-00005F0C0000}"/>
    <cellStyle name="20% - Accent5 4 2 9" xfId="3564" xr:uid="{00000000-0005-0000-0000-0000600C0000}"/>
    <cellStyle name="20% - Accent5 4 3" xfId="3565" xr:uid="{00000000-0005-0000-0000-0000610C0000}"/>
    <cellStyle name="20% - Accent5 4 3 2" xfId="3566" xr:uid="{00000000-0005-0000-0000-0000620C0000}"/>
    <cellStyle name="20% - Accent5 4 3 2 2" xfId="3567" xr:uid="{00000000-0005-0000-0000-0000630C0000}"/>
    <cellStyle name="20% - Accent5 4 3 2 3" xfId="3568" xr:uid="{00000000-0005-0000-0000-0000640C0000}"/>
    <cellStyle name="20% - Accent5 4 3 3" xfId="3569" xr:uid="{00000000-0005-0000-0000-0000650C0000}"/>
    <cellStyle name="20% - Accent5 4 3 3 2" xfId="3570" xr:uid="{00000000-0005-0000-0000-0000660C0000}"/>
    <cellStyle name="20% - Accent5 4 3 3 3" xfId="3571" xr:uid="{00000000-0005-0000-0000-0000670C0000}"/>
    <cellStyle name="20% - Accent5 4 3 4" xfId="3572" xr:uid="{00000000-0005-0000-0000-0000680C0000}"/>
    <cellStyle name="20% - Accent5 4 3 5" xfId="3573" xr:uid="{00000000-0005-0000-0000-0000690C0000}"/>
    <cellStyle name="20% - Accent5 4 3 6" xfId="3574" xr:uid="{00000000-0005-0000-0000-00006A0C0000}"/>
    <cellStyle name="20% - Accent5 4 3 7" xfId="3575" xr:uid="{00000000-0005-0000-0000-00006B0C0000}"/>
    <cellStyle name="20% - Accent5 4 3 8" xfId="3576" xr:uid="{00000000-0005-0000-0000-00006C0C0000}"/>
    <cellStyle name="20% - Accent5 4 4" xfId="3577" xr:uid="{00000000-0005-0000-0000-00006D0C0000}"/>
    <cellStyle name="20% - Accent5 4 4 2" xfId="3578" xr:uid="{00000000-0005-0000-0000-00006E0C0000}"/>
    <cellStyle name="20% - Accent5 4 4 2 2" xfId="3579" xr:uid="{00000000-0005-0000-0000-00006F0C0000}"/>
    <cellStyle name="20% - Accent5 4 4 2 3" xfId="3580" xr:uid="{00000000-0005-0000-0000-0000700C0000}"/>
    <cellStyle name="20% - Accent5 4 4 3" xfId="3581" xr:uid="{00000000-0005-0000-0000-0000710C0000}"/>
    <cellStyle name="20% - Accent5 4 4 3 2" xfId="3582" xr:uid="{00000000-0005-0000-0000-0000720C0000}"/>
    <cellStyle name="20% - Accent5 4 4 3 3" xfId="3583" xr:uid="{00000000-0005-0000-0000-0000730C0000}"/>
    <cellStyle name="20% - Accent5 4 4 4" xfId="3584" xr:uid="{00000000-0005-0000-0000-0000740C0000}"/>
    <cellStyle name="20% - Accent5 4 4 5" xfId="3585" xr:uid="{00000000-0005-0000-0000-0000750C0000}"/>
    <cellStyle name="20% - Accent5 4 4 6" xfId="3586" xr:uid="{00000000-0005-0000-0000-0000760C0000}"/>
    <cellStyle name="20% - Accent5 4 4 7" xfId="3587" xr:uid="{00000000-0005-0000-0000-0000770C0000}"/>
    <cellStyle name="20% - Accent5 4 4 8" xfId="3588" xr:uid="{00000000-0005-0000-0000-0000780C0000}"/>
    <cellStyle name="20% - Accent5 4 5" xfId="3589" xr:uid="{00000000-0005-0000-0000-0000790C0000}"/>
    <cellStyle name="20% - Accent5 4 5 2" xfId="3590" xr:uid="{00000000-0005-0000-0000-00007A0C0000}"/>
    <cellStyle name="20% - Accent5 4 5 2 2" xfId="3591" xr:uid="{00000000-0005-0000-0000-00007B0C0000}"/>
    <cellStyle name="20% - Accent5 4 5 2 3" xfId="3592" xr:uid="{00000000-0005-0000-0000-00007C0C0000}"/>
    <cellStyle name="20% - Accent5 4 5 3" xfId="3593" xr:uid="{00000000-0005-0000-0000-00007D0C0000}"/>
    <cellStyle name="20% - Accent5 4 5 4" xfId="3594" xr:uid="{00000000-0005-0000-0000-00007E0C0000}"/>
    <cellStyle name="20% - Accent5 4 6" xfId="3595" xr:uid="{00000000-0005-0000-0000-00007F0C0000}"/>
    <cellStyle name="20% - Accent5 4 6 2" xfId="3596" xr:uid="{00000000-0005-0000-0000-0000800C0000}"/>
    <cellStyle name="20% - Accent5 4 6 3" xfId="3597" xr:uid="{00000000-0005-0000-0000-0000810C0000}"/>
    <cellStyle name="20% - Accent5 4 7" xfId="3598" xr:uid="{00000000-0005-0000-0000-0000820C0000}"/>
    <cellStyle name="20% - Accent5 4 7 2" xfId="3599" xr:uid="{00000000-0005-0000-0000-0000830C0000}"/>
    <cellStyle name="20% - Accent5 4 7 3" xfId="3600" xr:uid="{00000000-0005-0000-0000-0000840C0000}"/>
    <cellStyle name="20% - Accent5 4 8" xfId="3601" xr:uid="{00000000-0005-0000-0000-0000850C0000}"/>
    <cellStyle name="20% - Accent5 4 8 2" xfId="3602" xr:uid="{00000000-0005-0000-0000-0000860C0000}"/>
    <cellStyle name="20% - Accent5 4 8 3" xfId="3603" xr:uid="{00000000-0005-0000-0000-0000870C0000}"/>
    <cellStyle name="20% - Accent5 4 9" xfId="3604" xr:uid="{00000000-0005-0000-0000-0000880C0000}"/>
    <cellStyle name="20% - Accent5 5" xfId="3605" xr:uid="{00000000-0005-0000-0000-0000890C0000}"/>
    <cellStyle name="20% - Accent5 5 10" xfId="3606" xr:uid="{00000000-0005-0000-0000-00008A0C0000}"/>
    <cellStyle name="20% - Accent5 5 11" xfId="3607" xr:uid="{00000000-0005-0000-0000-00008B0C0000}"/>
    <cellStyle name="20% - Accent5 5 12" xfId="3608" xr:uid="{00000000-0005-0000-0000-00008C0C0000}"/>
    <cellStyle name="20% - Accent5 5 2" xfId="3609" xr:uid="{00000000-0005-0000-0000-00008D0C0000}"/>
    <cellStyle name="20% - Accent5 5 2 2" xfId="3610" xr:uid="{00000000-0005-0000-0000-00008E0C0000}"/>
    <cellStyle name="20% - Accent5 5 2 2 2" xfId="3611" xr:uid="{00000000-0005-0000-0000-00008F0C0000}"/>
    <cellStyle name="20% - Accent5 5 2 2 2 2" xfId="3612" xr:uid="{00000000-0005-0000-0000-0000900C0000}"/>
    <cellStyle name="20% - Accent5 5 2 2 2 2 2" xfId="3613" xr:uid="{00000000-0005-0000-0000-0000910C0000}"/>
    <cellStyle name="20% - Accent5 5 2 2 2 2 3" xfId="3614" xr:uid="{00000000-0005-0000-0000-0000920C0000}"/>
    <cellStyle name="20% - Accent5 5 2 2 2 3" xfId="3615" xr:uid="{00000000-0005-0000-0000-0000930C0000}"/>
    <cellStyle name="20% - Accent5 5 2 2 2 3 2" xfId="3616" xr:uid="{00000000-0005-0000-0000-0000940C0000}"/>
    <cellStyle name="20% - Accent5 5 2 2 2 3 3" xfId="3617" xr:uid="{00000000-0005-0000-0000-0000950C0000}"/>
    <cellStyle name="20% - Accent5 5 2 2 2 4" xfId="3618" xr:uid="{00000000-0005-0000-0000-0000960C0000}"/>
    <cellStyle name="20% - Accent5 5 2 2 2 5" xfId="3619" xr:uid="{00000000-0005-0000-0000-0000970C0000}"/>
    <cellStyle name="20% - Accent5 5 2 2 2 6" xfId="3620" xr:uid="{00000000-0005-0000-0000-0000980C0000}"/>
    <cellStyle name="20% - Accent5 5 2 2 2 7" xfId="3621" xr:uid="{00000000-0005-0000-0000-0000990C0000}"/>
    <cellStyle name="20% - Accent5 5 2 2 2 8" xfId="3622" xr:uid="{00000000-0005-0000-0000-00009A0C0000}"/>
    <cellStyle name="20% - Accent5 5 2 2 3" xfId="3623" xr:uid="{00000000-0005-0000-0000-00009B0C0000}"/>
    <cellStyle name="20% - Accent5 5 2 2 3 2" xfId="3624" xr:uid="{00000000-0005-0000-0000-00009C0C0000}"/>
    <cellStyle name="20% - Accent5 5 2 2 3 3" xfId="3625" xr:uid="{00000000-0005-0000-0000-00009D0C0000}"/>
    <cellStyle name="20% - Accent5 5 2 2 4" xfId="3626" xr:uid="{00000000-0005-0000-0000-00009E0C0000}"/>
    <cellStyle name="20% - Accent5 5 2 2 4 2" xfId="3627" xr:uid="{00000000-0005-0000-0000-00009F0C0000}"/>
    <cellStyle name="20% - Accent5 5 2 2 4 3" xfId="3628" xr:uid="{00000000-0005-0000-0000-0000A00C0000}"/>
    <cellStyle name="20% - Accent5 5 2 2 5" xfId="3629" xr:uid="{00000000-0005-0000-0000-0000A10C0000}"/>
    <cellStyle name="20% - Accent5 5 2 2 6" xfId="3630" xr:uid="{00000000-0005-0000-0000-0000A20C0000}"/>
    <cellStyle name="20% - Accent5 5 2 2 7" xfId="3631" xr:uid="{00000000-0005-0000-0000-0000A30C0000}"/>
    <cellStyle name="20% - Accent5 5 2 2 8" xfId="3632" xr:uid="{00000000-0005-0000-0000-0000A40C0000}"/>
    <cellStyle name="20% - Accent5 5 2 2 9" xfId="3633" xr:uid="{00000000-0005-0000-0000-0000A50C0000}"/>
    <cellStyle name="20% - Accent5 5 2 3" xfId="3634" xr:uid="{00000000-0005-0000-0000-0000A60C0000}"/>
    <cellStyle name="20% - Accent5 5 2 3 2" xfId="3635" xr:uid="{00000000-0005-0000-0000-0000A70C0000}"/>
    <cellStyle name="20% - Accent5 5 2 3 2 2" xfId="3636" xr:uid="{00000000-0005-0000-0000-0000A80C0000}"/>
    <cellStyle name="20% - Accent5 5 2 3 2 3" xfId="3637" xr:uid="{00000000-0005-0000-0000-0000A90C0000}"/>
    <cellStyle name="20% - Accent5 5 2 3 3" xfId="3638" xr:uid="{00000000-0005-0000-0000-0000AA0C0000}"/>
    <cellStyle name="20% - Accent5 5 2 3 4" xfId="3639" xr:uid="{00000000-0005-0000-0000-0000AB0C0000}"/>
    <cellStyle name="20% - Accent5 5 2 4" xfId="3640" xr:uid="{00000000-0005-0000-0000-0000AC0C0000}"/>
    <cellStyle name="20% - Accent5 5 2 5" xfId="3641" xr:uid="{00000000-0005-0000-0000-0000AD0C0000}"/>
    <cellStyle name="20% - Accent5 5 2_Dec monthly report" xfId="3642" xr:uid="{00000000-0005-0000-0000-0000AE0C0000}"/>
    <cellStyle name="20% - Accent5 5 3" xfId="3643" xr:uid="{00000000-0005-0000-0000-0000AF0C0000}"/>
    <cellStyle name="20% - Accent5 5 3 2" xfId="3644" xr:uid="{00000000-0005-0000-0000-0000B00C0000}"/>
    <cellStyle name="20% - Accent5 5 3 2 2" xfId="3645" xr:uid="{00000000-0005-0000-0000-0000B10C0000}"/>
    <cellStyle name="20% - Accent5 5 3 2 3" xfId="3646" xr:uid="{00000000-0005-0000-0000-0000B20C0000}"/>
    <cellStyle name="20% - Accent5 5 3 3" xfId="3647" xr:uid="{00000000-0005-0000-0000-0000B30C0000}"/>
    <cellStyle name="20% - Accent5 5 3 3 2" xfId="3648" xr:uid="{00000000-0005-0000-0000-0000B40C0000}"/>
    <cellStyle name="20% - Accent5 5 3 3 3" xfId="3649" xr:uid="{00000000-0005-0000-0000-0000B50C0000}"/>
    <cellStyle name="20% - Accent5 5 3 4" xfId="3650" xr:uid="{00000000-0005-0000-0000-0000B60C0000}"/>
    <cellStyle name="20% - Accent5 5 3 5" xfId="3651" xr:uid="{00000000-0005-0000-0000-0000B70C0000}"/>
    <cellStyle name="20% - Accent5 5 3 6" xfId="3652" xr:uid="{00000000-0005-0000-0000-0000B80C0000}"/>
    <cellStyle name="20% - Accent5 5 3 7" xfId="3653" xr:uid="{00000000-0005-0000-0000-0000B90C0000}"/>
    <cellStyle name="20% - Accent5 5 3 8" xfId="3654" xr:uid="{00000000-0005-0000-0000-0000BA0C0000}"/>
    <cellStyle name="20% - Accent5 5 4" xfId="3655" xr:uid="{00000000-0005-0000-0000-0000BB0C0000}"/>
    <cellStyle name="20% - Accent5 5 4 2" xfId="3656" xr:uid="{00000000-0005-0000-0000-0000BC0C0000}"/>
    <cellStyle name="20% - Accent5 5 4 2 2" xfId="3657" xr:uid="{00000000-0005-0000-0000-0000BD0C0000}"/>
    <cellStyle name="20% - Accent5 5 4 2 3" xfId="3658" xr:uid="{00000000-0005-0000-0000-0000BE0C0000}"/>
    <cellStyle name="20% - Accent5 5 4 3" xfId="3659" xr:uid="{00000000-0005-0000-0000-0000BF0C0000}"/>
    <cellStyle name="20% - Accent5 5 4 3 2" xfId="3660" xr:uid="{00000000-0005-0000-0000-0000C00C0000}"/>
    <cellStyle name="20% - Accent5 5 4 3 3" xfId="3661" xr:uid="{00000000-0005-0000-0000-0000C10C0000}"/>
    <cellStyle name="20% - Accent5 5 4 4" xfId="3662" xr:uid="{00000000-0005-0000-0000-0000C20C0000}"/>
    <cellStyle name="20% - Accent5 5 4 5" xfId="3663" xr:uid="{00000000-0005-0000-0000-0000C30C0000}"/>
    <cellStyle name="20% - Accent5 5 4 6" xfId="3664" xr:uid="{00000000-0005-0000-0000-0000C40C0000}"/>
    <cellStyle name="20% - Accent5 5 4 7" xfId="3665" xr:uid="{00000000-0005-0000-0000-0000C50C0000}"/>
    <cellStyle name="20% - Accent5 5 4 8" xfId="3666" xr:uid="{00000000-0005-0000-0000-0000C60C0000}"/>
    <cellStyle name="20% - Accent5 5 5" xfId="3667" xr:uid="{00000000-0005-0000-0000-0000C70C0000}"/>
    <cellStyle name="20% - Accent5 5 5 2" xfId="3668" xr:uid="{00000000-0005-0000-0000-0000C80C0000}"/>
    <cellStyle name="20% - Accent5 5 5 3" xfId="3669" xr:uid="{00000000-0005-0000-0000-0000C90C0000}"/>
    <cellStyle name="20% - Accent5 5 6" xfId="3670" xr:uid="{00000000-0005-0000-0000-0000CA0C0000}"/>
    <cellStyle name="20% - Accent5 5 6 2" xfId="3671" xr:uid="{00000000-0005-0000-0000-0000CB0C0000}"/>
    <cellStyle name="20% - Accent5 5 6 3" xfId="3672" xr:uid="{00000000-0005-0000-0000-0000CC0C0000}"/>
    <cellStyle name="20% - Accent5 5 7" xfId="3673" xr:uid="{00000000-0005-0000-0000-0000CD0C0000}"/>
    <cellStyle name="20% - Accent5 5 7 2" xfId="3674" xr:uid="{00000000-0005-0000-0000-0000CE0C0000}"/>
    <cellStyle name="20% - Accent5 5 7 3" xfId="3675" xr:uid="{00000000-0005-0000-0000-0000CF0C0000}"/>
    <cellStyle name="20% - Accent5 5 8" xfId="3676" xr:uid="{00000000-0005-0000-0000-0000D00C0000}"/>
    <cellStyle name="20% - Accent5 5 9" xfId="3677" xr:uid="{00000000-0005-0000-0000-0000D10C0000}"/>
    <cellStyle name="20% - Accent5 6" xfId="3678" xr:uid="{00000000-0005-0000-0000-0000D20C0000}"/>
    <cellStyle name="20% - Accent5 6 2" xfId="3679" xr:uid="{00000000-0005-0000-0000-0000D30C0000}"/>
    <cellStyle name="20% - Accent5 6 2 2" xfId="3680" xr:uid="{00000000-0005-0000-0000-0000D40C0000}"/>
    <cellStyle name="20% - Accent5 6 2 2 2" xfId="3681" xr:uid="{00000000-0005-0000-0000-0000D50C0000}"/>
    <cellStyle name="20% - Accent5 6 2 2 2 2" xfId="3682" xr:uid="{00000000-0005-0000-0000-0000D60C0000}"/>
    <cellStyle name="20% - Accent5 6 2 2 2 3" xfId="3683" xr:uid="{00000000-0005-0000-0000-0000D70C0000}"/>
    <cellStyle name="20% - Accent5 6 2 2 3" xfId="3684" xr:uid="{00000000-0005-0000-0000-0000D80C0000}"/>
    <cellStyle name="20% - Accent5 6 2 2 3 2" xfId="3685" xr:uid="{00000000-0005-0000-0000-0000D90C0000}"/>
    <cellStyle name="20% - Accent5 6 2 2 3 3" xfId="3686" xr:uid="{00000000-0005-0000-0000-0000DA0C0000}"/>
    <cellStyle name="20% - Accent5 6 2 2 4" xfId="3687" xr:uid="{00000000-0005-0000-0000-0000DB0C0000}"/>
    <cellStyle name="20% - Accent5 6 2 2 5" xfId="3688" xr:uid="{00000000-0005-0000-0000-0000DC0C0000}"/>
    <cellStyle name="20% - Accent5 6 2 2 6" xfId="3689" xr:uid="{00000000-0005-0000-0000-0000DD0C0000}"/>
    <cellStyle name="20% - Accent5 6 2 2 7" xfId="3690" xr:uid="{00000000-0005-0000-0000-0000DE0C0000}"/>
    <cellStyle name="20% - Accent5 6 2 2 8" xfId="3691" xr:uid="{00000000-0005-0000-0000-0000DF0C0000}"/>
    <cellStyle name="20% - Accent5 6 2 3" xfId="3692" xr:uid="{00000000-0005-0000-0000-0000E00C0000}"/>
    <cellStyle name="20% - Accent5 6 2 3 2" xfId="3693" xr:uid="{00000000-0005-0000-0000-0000E10C0000}"/>
    <cellStyle name="20% - Accent5 6 2 3 3" xfId="3694" xr:uid="{00000000-0005-0000-0000-0000E20C0000}"/>
    <cellStyle name="20% - Accent5 6 2 4" xfId="3695" xr:uid="{00000000-0005-0000-0000-0000E30C0000}"/>
    <cellStyle name="20% - Accent5 6 2 4 2" xfId="3696" xr:uid="{00000000-0005-0000-0000-0000E40C0000}"/>
    <cellStyle name="20% - Accent5 6 2 4 3" xfId="3697" xr:uid="{00000000-0005-0000-0000-0000E50C0000}"/>
    <cellStyle name="20% - Accent5 6 2 5" xfId="3698" xr:uid="{00000000-0005-0000-0000-0000E60C0000}"/>
    <cellStyle name="20% - Accent5 6 2 6" xfId="3699" xr:uid="{00000000-0005-0000-0000-0000E70C0000}"/>
    <cellStyle name="20% - Accent5 6 2 7" xfId="3700" xr:uid="{00000000-0005-0000-0000-0000E80C0000}"/>
    <cellStyle name="20% - Accent5 6 2 8" xfId="3701" xr:uid="{00000000-0005-0000-0000-0000E90C0000}"/>
    <cellStyle name="20% - Accent5 6 2 9" xfId="3702" xr:uid="{00000000-0005-0000-0000-0000EA0C0000}"/>
    <cellStyle name="20% - Accent5 6 3" xfId="3703" xr:uid="{00000000-0005-0000-0000-0000EB0C0000}"/>
    <cellStyle name="20% - Accent5 6 3 2" xfId="3704" xr:uid="{00000000-0005-0000-0000-0000EC0C0000}"/>
    <cellStyle name="20% - Accent5 6 3 2 2" xfId="3705" xr:uid="{00000000-0005-0000-0000-0000ED0C0000}"/>
    <cellStyle name="20% - Accent5 6 3 2 3" xfId="3706" xr:uid="{00000000-0005-0000-0000-0000EE0C0000}"/>
    <cellStyle name="20% - Accent5 6 3 3" xfId="3707" xr:uid="{00000000-0005-0000-0000-0000EF0C0000}"/>
    <cellStyle name="20% - Accent5 6 3 4" xfId="3708" xr:uid="{00000000-0005-0000-0000-0000F00C0000}"/>
    <cellStyle name="20% - Accent5 6 4" xfId="3709" xr:uid="{00000000-0005-0000-0000-0000F10C0000}"/>
    <cellStyle name="20% - Accent5 6_Dec monthly report" xfId="3710" xr:uid="{00000000-0005-0000-0000-0000F20C0000}"/>
    <cellStyle name="20% - Accent5 7" xfId="3711" xr:uid="{00000000-0005-0000-0000-0000F30C0000}"/>
    <cellStyle name="20% - Accent5 7 2" xfId="3712" xr:uid="{00000000-0005-0000-0000-0000F40C0000}"/>
    <cellStyle name="20% - Accent5 7 3" xfId="3713" xr:uid="{00000000-0005-0000-0000-0000F50C0000}"/>
    <cellStyle name="20% - Accent5 7 4" xfId="3714" xr:uid="{00000000-0005-0000-0000-0000F60C0000}"/>
    <cellStyle name="20% - Accent5 8" xfId="3715" xr:uid="{00000000-0005-0000-0000-0000F70C0000}"/>
    <cellStyle name="20% - Accent5 8 2" xfId="3716" xr:uid="{00000000-0005-0000-0000-0000F80C0000}"/>
    <cellStyle name="20% - Accent5 8 2 2" xfId="3717" xr:uid="{00000000-0005-0000-0000-0000F90C0000}"/>
    <cellStyle name="20% - Accent5 8 2 3" xfId="3718" xr:uid="{00000000-0005-0000-0000-0000FA0C0000}"/>
    <cellStyle name="20% - Accent5 8 3" xfId="3719" xr:uid="{00000000-0005-0000-0000-0000FB0C0000}"/>
    <cellStyle name="20% - Accent5 8 3 2" xfId="3720" xr:uid="{00000000-0005-0000-0000-0000FC0C0000}"/>
    <cellStyle name="20% - Accent5 8 3 3" xfId="3721" xr:uid="{00000000-0005-0000-0000-0000FD0C0000}"/>
    <cellStyle name="20% - Accent5 8 4" xfId="3722" xr:uid="{00000000-0005-0000-0000-0000FE0C0000}"/>
    <cellStyle name="20% - Accent5 8 5" xfId="3723" xr:uid="{00000000-0005-0000-0000-0000FF0C0000}"/>
    <cellStyle name="20% - Accent5 8 6" xfId="3724" xr:uid="{00000000-0005-0000-0000-0000000D0000}"/>
    <cellStyle name="20% - Accent5 8 7" xfId="3725" xr:uid="{00000000-0005-0000-0000-0000010D0000}"/>
    <cellStyle name="20% - Accent5 8 8" xfId="3726" xr:uid="{00000000-0005-0000-0000-0000020D0000}"/>
    <cellStyle name="20% - Accent5 9" xfId="3727" xr:uid="{00000000-0005-0000-0000-0000030D0000}"/>
    <cellStyle name="20% - Accent5 9 2" xfId="3728" xr:uid="{00000000-0005-0000-0000-0000040D0000}"/>
    <cellStyle name="20% - Accent5 9 2 2" xfId="3729" xr:uid="{00000000-0005-0000-0000-0000050D0000}"/>
    <cellStyle name="20% - Accent5 9 2 3" xfId="3730" xr:uid="{00000000-0005-0000-0000-0000060D0000}"/>
    <cellStyle name="20% - Accent5 9 3" xfId="3731" xr:uid="{00000000-0005-0000-0000-0000070D0000}"/>
    <cellStyle name="20% - Accent5 9 3 2" xfId="3732" xr:uid="{00000000-0005-0000-0000-0000080D0000}"/>
    <cellStyle name="20% - Accent5 9 3 3" xfId="3733" xr:uid="{00000000-0005-0000-0000-0000090D0000}"/>
    <cellStyle name="20% - Accent5 9 4" xfId="3734" xr:uid="{00000000-0005-0000-0000-00000A0D0000}"/>
    <cellStyle name="20% - Accent5 9 5" xfId="3735" xr:uid="{00000000-0005-0000-0000-00000B0D0000}"/>
    <cellStyle name="20% - Accent5 9 6" xfId="3736" xr:uid="{00000000-0005-0000-0000-00000C0D0000}"/>
    <cellStyle name="20% - Accent5 9 7" xfId="3737" xr:uid="{00000000-0005-0000-0000-00000D0D0000}"/>
    <cellStyle name="20% - Accent5 9 8" xfId="3738" xr:uid="{00000000-0005-0000-0000-00000E0D0000}"/>
    <cellStyle name="20% - Accent6 10" xfId="3739" xr:uid="{00000000-0005-0000-0000-00000F0D0000}"/>
    <cellStyle name="20% - Accent6 10 2" xfId="3740" xr:uid="{00000000-0005-0000-0000-0000100D0000}"/>
    <cellStyle name="20% - Accent6 10 2 2" xfId="3741" xr:uid="{00000000-0005-0000-0000-0000110D0000}"/>
    <cellStyle name="20% - Accent6 10 2 3" xfId="3742" xr:uid="{00000000-0005-0000-0000-0000120D0000}"/>
    <cellStyle name="20% - Accent6 10 3" xfId="3743" xr:uid="{00000000-0005-0000-0000-0000130D0000}"/>
    <cellStyle name="20% - Accent6 10 4" xfId="3744" xr:uid="{00000000-0005-0000-0000-0000140D0000}"/>
    <cellStyle name="20% - Accent6 10 4 2" xfId="3745" xr:uid="{00000000-0005-0000-0000-0000150D0000}"/>
    <cellStyle name="20% - Accent6 10 5" xfId="3746" xr:uid="{00000000-0005-0000-0000-0000160D0000}"/>
    <cellStyle name="20% - Accent6 11" xfId="3747" xr:uid="{00000000-0005-0000-0000-0000170D0000}"/>
    <cellStyle name="20% - Accent6 11 2" xfId="3748" xr:uid="{00000000-0005-0000-0000-0000180D0000}"/>
    <cellStyle name="20% - Accent6 11 3" xfId="3749" xr:uid="{00000000-0005-0000-0000-0000190D0000}"/>
    <cellStyle name="20% - Accent6 11 3 2" xfId="3750" xr:uid="{00000000-0005-0000-0000-00001A0D0000}"/>
    <cellStyle name="20% - Accent6 12" xfId="3751" xr:uid="{00000000-0005-0000-0000-00001B0D0000}"/>
    <cellStyle name="20% - Accent6 12 2" xfId="3752" xr:uid="{00000000-0005-0000-0000-00001C0D0000}"/>
    <cellStyle name="20% - Accent6 12 3" xfId="3753" xr:uid="{00000000-0005-0000-0000-00001D0D0000}"/>
    <cellStyle name="20% - Accent6 13" xfId="3754" xr:uid="{00000000-0005-0000-0000-00001E0D0000}"/>
    <cellStyle name="20% - Accent6 13 2" xfId="3755" xr:uid="{00000000-0005-0000-0000-00001F0D0000}"/>
    <cellStyle name="20% - Accent6 13 3" xfId="3756" xr:uid="{00000000-0005-0000-0000-0000200D0000}"/>
    <cellStyle name="20% - Accent6 14" xfId="3757" xr:uid="{00000000-0005-0000-0000-0000210D0000}"/>
    <cellStyle name="20% - Accent6 14 2" xfId="3758" xr:uid="{00000000-0005-0000-0000-0000220D0000}"/>
    <cellStyle name="20% - Accent6 14 3" xfId="3759" xr:uid="{00000000-0005-0000-0000-0000230D0000}"/>
    <cellStyle name="20% - Accent6 15" xfId="3760" xr:uid="{00000000-0005-0000-0000-0000240D0000}"/>
    <cellStyle name="20% - Accent6 15 2" xfId="3761" xr:uid="{00000000-0005-0000-0000-0000250D0000}"/>
    <cellStyle name="20% - Accent6 15 3" xfId="3762" xr:uid="{00000000-0005-0000-0000-0000260D0000}"/>
    <cellStyle name="20% - Accent6 16" xfId="3763" xr:uid="{00000000-0005-0000-0000-0000270D0000}"/>
    <cellStyle name="20% - Accent6 16 2" xfId="3764" xr:uid="{00000000-0005-0000-0000-0000280D0000}"/>
    <cellStyle name="20% - Accent6 16 3" xfId="3765" xr:uid="{00000000-0005-0000-0000-0000290D0000}"/>
    <cellStyle name="20% - Accent6 17" xfId="3766" xr:uid="{00000000-0005-0000-0000-00002A0D0000}"/>
    <cellStyle name="20% - Accent6 17 2" xfId="3767" xr:uid="{00000000-0005-0000-0000-00002B0D0000}"/>
    <cellStyle name="20% - Accent6 17 3" xfId="3768" xr:uid="{00000000-0005-0000-0000-00002C0D0000}"/>
    <cellStyle name="20% - Accent6 18" xfId="3769" xr:uid="{00000000-0005-0000-0000-00002D0D0000}"/>
    <cellStyle name="20% - Accent6 18 2" xfId="3770" xr:uid="{00000000-0005-0000-0000-00002E0D0000}"/>
    <cellStyle name="20% - Accent6 18 3" xfId="3771" xr:uid="{00000000-0005-0000-0000-00002F0D0000}"/>
    <cellStyle name="20% - Accent6 19" xfId="3772" xr:uid="{00000000-0005-0000-0000-0000300D0000}"/>
    <cellStyle name="20% - Accent6 19 2" xfId="3773" xr:uid="{00000000-0005-0000-0000-0000310D0000}"/>
    <cellStyle name="20% - Accent6 19 3" xfId="3774" xr:uid="{00000000-0005-0000-0000-0000320D0000}"/>
    <cellStyle name="20% - Accent6 2" xfId="3775" xr:uid="{00000000-0005-0000-0000-0000330D0000}"/>
    <cellStyle name="20% - Accent6 2 10" xfId="3776" xr:uid="{00000000-0005-0000-0000-0000340D0000}"/>
    <cellStyle name="20% - Accent6 2 10 2" xfId="3777" xr:uid="{00000000-0005-0000-0000-0000350D0000}"/>
    <cellStyle name="20% - Accent6 2 10 3" xfId="3778" xr:uid="{00000000-0005-0000-0000-0000360D0000}"/>
    <cellStyle name="20% - Accent6 2 11" xfId="3779" xr:uid="{00000000-0005-0000-0000-0000370D0000}"/>
    <cellStyle name="20% - Accent6 2 11 2" xfId="3780" xr:uid="{00000000-0005-0000-0000-0000380D0000}"/>
    <cellStyle name="20% - Accent6 2 11 3" xfId="3781" xr:uid="{00000000-0005-0000-0000-0000390D0000}"/>
    <cellStyle name="20% - Accent6 2 12" xfId="3782" xr:uid="{00000000-0005-0000-0000-00003A0D0000}"/>
    <cellStyle name="20% - Accent6 2 12 2" xfId="3783" xr:uid="{00000000-0005-0000-0000-00003B0D0000}"/>
    <cellStyle name="20% - Accent6 2 12 3" xfId="3784" xr:uid="{00000000-0005-0000-0000-00003C0D0000}"/>
    <cellStyle name="20% - Accent6 2 13" xfId="3785" xr:uid="{00000000-0005-0000-0000-00003D0D0000}"/>
    <cellStyle name="20% - Accent6 2 14" xfId="3786" xr:uid="{00000000-0005-0000-0000-00003E0D0000}"/>
    <cellStyle name="20% - Accent6 2 2" xfId="3787" xr:uid="{00000000-0005-0000-0000-00003F0D0000}"/>
    <cellStyle name="20% - Accent6 2 2 2" xfId="3788" xr:uid="{00000000-0005-0000-0000-0000400D0000}"/>
    <cellStyle name="20% - Accent6 2 2 2 2" xfId="3789" xr:uid="{00000000-0005-0000-0000-0000410D0000}"/>
    <cellStyle name="20% - Accent6 2 2 2 3" xfId="3790" xr:uid="{00000000-0005-0000-0000-0000420D0000}"/>
    <cellStyle name="20% - Accent6 2 2 2 4" xfId="3791" xr:uid="{00000000-0005-0000-0000-0000430D0000}"/>
    <cellStyle name="20% - Accent6 2 2 3" xfId="3792" xr:uid="{00000000-0005-0000-0000-0000440D0000}"/>
    <cellStyle name="20% - Accent6 2 2 3 2" xfId="3793" xr:uid="{00000000-0005-0000-0000-0000450D0000}"/>
    <cellStyle name="20% - Accent6 2 2 3 3" xfId="3794" xr:uid="{00000000-0005-0000-0000-0000460D0000}"/>
    <cellStyle name="20% - Accent6 2 2 4" xfId="3795" xr:uid="{00000000-0005-0000-0000-0000470D0000}"/>
    <cellStyle name="20% - Accent6 2 2 4 2" xfId="3796" xr:uid="{00000000-0005-0000-0000-0000480D0000}"/>
    <cellStyle name="20% - Accent6 2 2 4 3" xfId="3797" xr:uid="{00000000-0005-0000-0000-0000490D0000}"/>
    <cellStyle name="20% - Accent6 2 2 5" xfId="3798" xr:uid="{00000000-0005-0000-0000-00004A0D0000}"/>
    <cellStyle name="20% - Accent6 2 2 6" xfId="3799" xr:uid="{00000000-0005-0000-0000-00004B0D0000}"/>
    <cellStyle name="20% - Accent6 2 2 7" xfId="3800" xr:uid="{00000000-0005-0000-0000-00004C0D0000}"/>
    <cellStyle name="20% - Accent6 2 2 8" xfId="3801" xr:uid="{00000000-0005-0000-0000-00004D0D0000}"/>
    <cellStyle name="20% - Accent6 2 2_Dec monthly report" xfId="3802" xr:uid="{00000000-0005-0000-0000-00004E0D0000}"/>
    <cellStyle name="20% - Accent6 2 3" xfId="3803" xr:uid="{00000000-0005-0000-0000-00004F0D0000}"/>
    <cellStyle name="20% - Accent6 2 3 10" xfId="3804" xr:uid="{00000000-0005-0000-0000-0000500D0000}"/>
    <cellStyle name="20% - Accent6 2 3 11" xfId="3805" xr:uid="{00000000-0005-0000-0000-0000510D0000}"/>
    <cellStyle name="20% - Accent6 2 3 2" xfId="3806" xr:uid="{00000000-0005-0000-0000-0000520D0000}"/>
    <cellStyle name="20% - Accent6 2 3 2 10" xfId="3807" xr:uid="{00000000-0005-0000-0000-0000530D0000}"/>
    <cellStyle name="20% - Accent6 2 3 2 2" xfId="3808" xr:uid="{00000000-0005-0000-0000-0000540D0000}"/>
    <cellStyle name="20% - Accent6 2 3 2 2 2" xfId="3809" xr:uid="{00000000-0005-0000-0000-0000550D0000}"/>
    <cellStyle name="20% - Accent6 2 3 2 2 2 2" xfId="3810" xr:uid="{00000000-0005-0000-0000-0000560D0000}"/>
    <cellStyle name="20% - Accent6 2 3 2 2 2 3" xfId="3811" xr:uid="{00000000-0005-0000-0000-0000570D0000}"/>
    <cellStyle name="20% - Accent6 2 3 2 2 3" xfId="3812" xr:uid="{00000000-0005-0000-0000-0000580D0000}"/>
    <cellStyle name="20% - Accent6 2 3 2 2 3 2" xfId="3813" xr:uid="{00000000-0005-0000-0000-0000590D0000}"/>
    <cellStyle name="20% - Accent6 2 3 2 2 3 3" xfId="3814" xr:uid="{00000000-0005-0000-0000-00005A0D0000}"/>
    <cellStyle name="20% - Accent6 2 3 2 2 4" xfId="3815" xr:uid="{00000000-0005-0000-0000-00005B0D0000}"/>
    <cellStyle name="20% - Accent6 2 3 2 2 5" xfId="3816" xr:uid="{00000000-0005-0000-0000-00005C0D0000}"/>
    <cellStyle name="20% - Accent6 2 3 2 2 6" xfId="3817" xr:uid="{00000000-0005-0000-0000-00005D0D0000}"/>
    <cellStyle name="20% - Accent6 2 3 2 2 7" xfId="3818" xr:uid="{00000000-0005-0000-0000-00005E0D0000}"/>
    <cellStyle name="20% - Accent6 2 3 2 2 8" xfId="3819" xr:uid="{00000000-0005-0000-0000-00005F0D0000}"/>
    <cellStyle name="20% - Accent6 2 3 2 3" xfId="3820" xr:uid="{00000000-0005-0000-0000-0000600D0000}"/>
    <cellStyle name="20% - Accent6 2 3 2 3 2" xfId="3821" xr:uid="{00000000-0005-0000-0000-0000610D0000}"/>
    <cellStyle name="20% - Accent6 2 3 2 3 2 2" xfId="3822" xr:uid="{00000000-0005-0000-0000-0000620D0000}"/>
    <cellStyle name="20% - Accent6 2 3 2 3 2 3" xfId="3823" xr:uid="{00000000-0005-0000-0000-0000630D0000}"/>
    <cellStyle name="20% - Accent6 2 3 2 3 3" xfId="3824" xr:uid="{00000000-0005-0000-0000-0000640D0000}"/>
    <cellStyle name="20% - Accent6 2 3 2 3 3 2" xfId="3825" xr:uid="{00000000-0005-0000-0000-0000650D0000}"/>
    <cellStyle name="20% - Accent6 2 3 2 3 4" xfId="3826" xr:uid="{00000000-0005-0000-0000-0000660D0000}"/>
    <cellStyle name="20% - Accent6 2 3 2 4" xfId="3827" xr:uid="{00000000-0005-0000-0000-0000670D0000}"/>
    <cellStyle name="20% - Accent6 2 3 2 4 2" xfId="3828" xr:uid="{00000000-0005-0000-0000-0000680D0000}"/>
    <cellStyle name="20% - Accent6 2 3 2 4 3" xfId="3829" xr:uid="{00000000-0005-0000-0000-0000690D0000}"/>
    <cellStyle name="20% - Accent6 2 3 2 5" xfId="3830" xr:uid="{00000000-0005-0000-0000-00006A0D0000}"/>
    <cellStyle name="20% - Accent6 2 3 2 5 2" xfId="3831" xr:uid="{00000000-0005-0000-0000-00006B0D0000}"/>
    <cellStyle name="20% - Accent6 2 3 2 5 3" xfId="3832" xr:uid="{00000000-0005-0000-0000-00006C0D0000}"/>
    <cellStyle name="20% - Accent6 2 3 2 6" xfId="3833" xr:uid="{00000000-0005-0000-0000-00006D0D0000}"/>
    <cellStyle name="20% - Accent6 2 3 2 6 2" xfId="3834" xr:uid="{00000000-0005-0000-0000-00006E0D0000}"/>
    <cellStyle name="20% - Accent6 2 3 2 7" xfId="3835" xr:uid="{00000000-0005-0000-0000-00006F0D0000}"/>
    <cellStyle name="20% - Accent6 2 3 2 8" xfId="3836" xr:uid="{00000000-0005-0000-0000-0000700D0000}"/>
    <cellStyle name="20% - Accent6 2 3 2 9" xfId="3837" xr:uid="{00000000-0005-0000-0000-0000710D0000}"/>
    <cellStyle name="20% - Accent6 2 3 3" xfId="3838" xr:uid="{00000000-0005-0000-0000-0000720D0000}"/>
    <cellStyle name="20% - Accent6 2 3 3 2" xfId="3839" xr:uid="{00000000-0005-0000-0000-0000730D0000}"/>
    <cellStyle name="20% - Accent6 2 3 3 2 2" xfId="3840" xr:uid="{00000000-0005-0000-0000-0000740D0000}"/>
    <cellStyle name="20% - Accent6 2 3 3 2 3" xfId="3841" xr:uid="{00000000-0005-0000-0000-0000750D0000}"/>
    <cellStyle name="20% - Accent6 2 3 3 3" xfId="3842" xr:uid="{00000000-0005-0000-0000-0000760D0000}"/>
    <cellStyle name="20% - Accent6 2 3 3 3 2" xfId="3843" xr:uid="{00000000-0005-0000-0000-0000770D0000}"/>
    <cellStyle name="20% - Accent6 2 3 3 3 3" xfId="3844" xr:uid="{00000000-0005-0000-0000-0000780D0000}"/>
    <cellStyle name="20% - Accent6 2 3 3 4" xfId="3845" xr:uid="{00000000-0005-0000-0000-0000790D0000}"/>
    <cellStyle name="20% - Accent6 2 3 3 5" xfId="3846" xr:uid="{00000000-0005-0000-0000-00007A0D0000}"/>
    <cellStyle name="20% - Accent6 2 3 3 6" xfId="3847" xr:uid="{00000000-0005-0000-0000-00007B0D0000}"/>
    <cellStyle name="20% - Accent6 2 3 3 7" xfId="3848" xr:uid="{00000000-0005-0000-0000-00007C0D0000}"/>
    <cellStyle name="20% - Accent6 2 3 3 8" xfId="3849" xr:uid="{00000000-0005-0000-0000-00007D0D0000}"/>
    <cellStyle name="20% - Accent6 2 3 4" xfId="3850" xr:uid="{00000000-0005-0000-0000-00007E0D0000}"/>
    <cellStyle name="20% - Accent6 2 3 4 2" xfId="3851" xr:uid="{00000000-0005-0000-0000-00007F0D0000}"/>
    <cellStyle name="20% - Accent6 2 3 4 2 2" xfId="3852" xr:uid="{00000000-0005-0000-0000-0000800D0000}"/>
    <cellStyle name="20% - Accent6 2 3 4 2 3" xfId="3853" xr:uid="{00000000-0005-0000-0000-0000810D0000}"/>
    <cellStyle name="20% - Accent6 2 3 4 3" xfId="3854" xr:uid="{00000000-0005-0000-0000-0000820D0000}"/>
    <cellStyle name="20% - Accent6 2 3 4 3 2" xfId="3855" xr:uid="{00000000-0005-0000-0000-0000830D0000}"/>
    <cellStyle name="20% - Accent6 2 3 4 4" xfId="3856" xr:uid="{00000000-0005-0000-0000-0000840D0000}"/>
    <cellStyle name="20% - Accent6 2 3 5" xfId="3857" xr:uid="{00000000-0005-0000-0000-0000850D0000}"/>
    <cellStyle name="20% - Accent6 2 3 5 2" xfId="3858" xr:uid="{00000000-0005-0000-0000-0000860D0000}"/>
    <cellStyle name="20% - Accent6 2 3 5 3" xfId="3859" xr:uid="{00000000-0005-0000-0000-0000870D0000}"/>
    <cellStyle name="20% - Accent6 2 3 6" xfId="3860" xr:uid="{00000000-0005-0000-0000-0000880D0000}"/>
    <cellStyle name="20% - Accent6 2 3 6 2" xfId="3861" xr:uid="{00000000-0005-0000-0000-0000890D0000}"/>
    <cellStyle name="20% - Accent6 2 3 6 3" xfId="3862" xr:uid="{00000000-0005-0000-0000-00008A0D0000}"/>
    <cellStyle name="20% - Accent6 2 3 7" xfId="3863" xr:uid="{00000000-0005-0000-0000-00008B0D0000}"/>
    <cellStyle name="20% - Accent6 2 3 7 2" xfId="3864" xr:uid="{00000000-0005-0000-0000-00008C0D0000}"/>
    <cellStyle name="20% - Accent6 2 3 8" xfId="3865" xr:uid="{00000000-0005-0000-0000-00008D0D0000}"/>
    <cellStyle name="20% - Accent6 2 3 9" xfId="3866" xr:uid="{00000000-0005-0000-0000-00008E0D0000}"/>
    <cellStyle name="20% - Accent6 2 4" xfId="3867" xr:uid="{00000000-0005-0000-0000-00008F0D0000}"/>
    <cellStyle name="20% - Accent6 2 4 10" xfId="3868" xr:uid="{00000000-0005-0000-0000-0000900D0000}"/>
    <cellStyle name="20% - Accent6 2 4 11" xfId="3869" xr:uid="{00000000-0005-0000-0000-0000910D0000}"/>
    <cellStyle name="20% - Accent6 2 4 2" xfId="3870" xr:uid="{00000000-0005-0000-0000-0000920D0000}"/>
    <cellStyle name="20% - Accent6 2 4 2 10" xfId="3871" xr:uid="{00000000-0005-0000-0000-0000930D0000}"/>
    <cellStyle name="20% - Accent6 2 4 2 2" xfId="3872" xr:uid="{00000000-0005-0000-0000-0000940D0000}"/>
    <cellStyle name="20% - Accent6 2 4 2 2 2" xfId="3873" xr:uid="{00000000-0005-0000-0000-0000950D0000}"/>
    <cellStyle name="20% - Accent6 2 4 2 2 2 2" xfId="3874" xr:uid="{00000000-0005-0000-0000-0000960D0000}"/>
    <cellStyle name="20% - Accent6 2 4 2 2 2 3" xfId="3875" xr:uid="{00000000-0005-0000-0000-0000970D0000}"/>
    <cellStyle name="20% - Accent6 2 4 2 2 3" xfId="3876" xr:uid="{00000000-0005-0000-0000-0000980D0000}"/>
    <cellStyle name="20% - Accent6 2 4 2 2 3 2" xfId="3877" xr:uid="{00000000-0005-0000-0000-0000990D0000}"/>
    <cellStyle name="20% - Accent6 2 4 2 2 3 3" xfId="3878" xr:uid="{00000000-0005-0000-0000-00009A0D0000}"/>
    <cellStyle name="20% - Accent6 2 4 2 2 4" xfId="3879" xr:uid="{00000000-0005-0000-0000-00009B0D0000}"/>
    <cellStyle name="20% - Accent6 2 4 2 2 5" xfId="3880" xr:uid="{00000000-0005-0000-0000-00009C0D0000}"/>
    <cellStyle name="20% - Accent6 2 4 2 2 6" xfId="3881" xr:uid="{00000000-0005-0000-0000-00009D0D0000}"/>
    <cellStyle name="20% - Accent6 2 4 2 2 7" xfId="3882" xr:uid="{00000000-0005-0000-0000-00009E0D0000}"/>
    <cellStyle name="20% - Accent6 2 4 2 2 8" xfId="3883" xr:uid="{00000000-0005-0000-0000-00009F0D0000}"/>
    <cellStyle name="20% - Accent6 2 4 2 3" xfId="3884" xr:uid="{00000000-0005-0000-0000-0000A00D0000}"/>
    <cellStyle name="20% - Accent6 2 4 2 3 2" xfId="3885" xr:uid="{00000000-0005-0000-0000-0000A10D0000}"/>
    <cellStyle name="20% - Accent6 2 4 2 3 2 2" xfId="3886" xr:uid="{00000000-0005-0000-0000-0000A20D0000}"/>
    <cellStyle name="20% - Accent6 2 4 2 3 2 3" xfId="3887" xr:uid="{00000000-0005-0000-0000-0000A30D0000}"/>
    <cellStyle name="20% - Accent6 2 4 2 3 3" xfId="3888" xr:uid="{00000000-0005-0000-0000-0000A40D0000}"/>
    <cellStyle name="20% - Accent6 2 4 2 3 3 2" xfId="3889" xr:uid="{00000000-0005-0000-0000-0000A50D0000}"/>
    <cellStyle name="20% - Accent6 2 4 2 3 4" xfId="3890" xr:uid="{00000000-0005-0000-0000-0000A60D0000}"/>
    <cellStyle name="20% - Accent6 2 4 2 4" xfId="3891" xr:uid="{00000000-0005-0000-0000-0000A70D0000}"/>
    <cellStyle name="20% - Accent6 2 4 2 4 2" xfId="3892" xr:uid="{00000000-0005-0000-0000-0000A80D0000}"/>
    <cellStyle name="20% - Accent6 2 4 2 4 3" xfId="3893" xr:uid="{00000000-0005-0000-0000-0000A90D0000}"/>
    <cellStyle name="20% - Accent6 2 4 2 5" xfId="3894" xr:uid="{00000000-0005-0000-0000-0000AA0D0000}"/>
    <cellStyle name="20% - Accent6 2 4 2 5 2" xfId="3895" xr:uid="{00000000-0005-0000-0000-0000AB0D0000}"/>
    <cellStyle name="20% - Accent6 2 4 2 5 3" xfId="3896" xr:uid="{00000000-0005-0000-0000-0000AC0D0000}"/>
    <cellStyle name="20% - Accent6 2 4 2 6" xfId="3897" xr:uid="{00000000-0005-0000-0000-0000AD0D0000}"/>
    <cellStyle name="20% - Accent6 2 4 2 6 2" xfId="3898" xr:uid="{00000000-0005-0000-0000-0000AE0D0000}"/>
    <cellStyle name="20% - Accent6 2 4 2 7" xfId="3899" xr:uid="{00000000-0005-0000-0000-0000AF0D0000}"/>
    <cellStyle name="20% - Accent6 2 4 2 8" xfId="3900" xr:uid="{00000000-0005-0000-0000-0000B00D0000}"/>
    <cellStyle name="20% - Accent6 2 4 2 9" xfId="3901" xr:uid="{00000000-0005-0000-0000-0000B10D0000}"/>
    <cellStyle name="20% - Accent6 2 4 3" xfId="3902" xr:uid="{00000000-0005-0000-0000-0000B20D0000}"/>
    <cellStyle name="20% - Accent6 2 4 3 2" xfId="3903" xr:uid="{00000000-0005-0000-0000-0000B30D0000}"/>
    <cellStyle name="20% - Accent6 2 4 3 2 2" xfId="3904" xr:uid="{00000000-0005-0000-0000-0000B40D0000}"/>
    <cellStyle name="20% - Accent6 2 4 3 2 3" xfId="3905" xr:uid="{00000000-0005-0000-0000-0000B50D0000}"/>
    <cellStyle name="20% - Accent6 2 4 3 3" xfId="3906" xr:uid="{00000000-0005-0000-0000-0000B60D0000}"/>
    <cellStyle name="20% - Accent6 2 4 3 3 2" xfId="3907" xr:uid="{00000000-0005-0000-0000-0000B70D0000}"/>
    <cellStyle name="20% - Accent6 2 4 3 3 3" xfId="3908" xr:uid="{00000000-0005-0000-0000-0000B80D0000}"/>
    <cellStyle name="20% - Accent6 2 4 3 4" xfId="3909" xr:uid="{00000000-0005-0000-0000-0000B90D0000}"/>
    <cellStyle name="20% - Accent6 2 4 3 5" xfId="3910" xr:uid="{00000000-0005-0000-0000-0000BA0D0000}"/>
    <cellStyle name="20% - Accent6 2 4 3 6" xfId="3911" xr:uid="{00000000-0005-0000-0000-0000BB0D0000}"/>
    <cellStyle name="20% - Accent6 2 4 3 7" xfId="3912" xr:uid="{00000000-0005-0000-0000-0000BC0D0000}"/>
    <cellStyle name="20% - Accent6 2 4 3 8" xfId="3913" xr:uid="{00000000-0005-0000-0000-0000BD0D0000}"/>
    <cellStyle name="20% - Accent6 2 4 4" xfId="3914" xr:uid="{00000000-0005-0000-0000-0000BE0D0000}"/>
    <cellStyle name="20% - Accent6 2 4 4 2" xfId="3915" xr:uid="{00000000-0005-0000-0000-0000BF0D0000}"/>
    <cellStyle name="20% - Accent6 2 4 4 2 2" xfId="3916" xr:uid="{00000000-0005-0000-0000-0000C00D0000}"/>
    <cellStyle name="20% - Accent6 2 4 4 2 3" xfId="3917" xr:uid="{00000000-0005-0000-0000-0000C10D0000}"/>
    <cellStyle name="20% - Accent6 2 4 4 3" xfId="3918" xr:uid="{00000000-0005-0000-0000-0000C20D0000}"/>
    <cellStyle name="20% - Accent6 2 4 4 3 2" xfId="3919" xr:uid="{00000000-0005-0000-0000-0000C30D0000}"/>
    <cellStyle name="20% - Accent6 2 4 4 4" xfId="3920" xr:uid="{00000000-0005-0000-0000-0000C40D0000}"/>
    <cellStyle name="20% - Accent6 2 4 5" xfId="3921" xr:uid="{00000000-0005-0000-0000-0000C50D0000}"/>
    <cellStyle name="20% - Accent6 2 4 5 2" xfId="3922" xr:uid="{00000000-0005-0000-0000-0000C60D0000}"/>
    <cellStyle name="20% - Accent6 2 4 5 3" xfId="3923" xr:uid="{00000000-0005-0000-0000-0000C70D0000}"/>
    <cellStyle name="20% - Accent6 2 4 6" xfId="3924" xr:uid="{00000000-0005-0000-0000-0000C80D0000}"/>
    <cellStyle name="20% - Accent6 2 4 6 2" xfId="3925" xr:uid="{00000000-0005-0000-0000-0000C90D0000}"/>
    <cellStyle name="20% - Accent6 2 4 6 3" xfId="3926" xr:uid="{00000000-0005-0000-0000-0000CA0D0000}"/>
    <cellStyle name="20% - Accent6 2 4 7" xfId="3927" xr:uid="{00000000-0005-0000-0000-0000CB0D0000}"/>
    <cellStyle name="20% - Accent6 2 4 7 2" xfId="3928" xr:uid="{00000000-0005-0000-0000-0000CC0D0000}"/>
    <cellStyle name="20% - Accent6 2 4 8" xfId="3929" xr:uid="{00000000-0005-0000-0000-0000CD0D0000}"/>
    <cellStyle name="20% - Accent6 2 4 9" xfId="3930" xr:uid="{00000000-0005-0000-0000-0000CE0D0000}"/>
    <cellStyle name="20% - Accent6 2 5" xfId="3931" xr:uid="{00000000-0005-0000-0000-0000CF0D0000}"/>
    <cellStyle name="20% - Accent6 2 5 10" xfId="3932" xr:uid="{00000000-0005-0000-0000-0000D00D0000}"/>
    <cellStyle name="20% - Accent6 2 5 11" xfId="3933" xr:uid="{00000000-0005-0000-0000-0000D10D0000}"/>
    <cellStyle name="20% - Accent6 2 5 2" xfId="3934" xr:uid="{00000000-0005-0000-0000-0000D20D0000}"/>
    <cellStyle name="20% - Accent6 2 5 2 2" xfId="3935" xr:uid="{00000000-0005-0000-0000-0000D30D0000}"/>
    <cellStyle name="20% - Accent6 2 5 2 2 2" xfId="3936" xr:uid="{00000000-0005-0000-0000-0000D40D0000}"/>
    <cellStyle name="20% - Accent6 2 5 2 2 2 2" xfId="3937" xr:uid="{00000000-0005-0000-0000-0000D50D0000}"/>
    <cellStyle name="20% - Accent6 2 5 2 2 2 3" xfId="3938" xr:uid="{00000000-0005-0000-0000-0000D60D0000}"/>
    <cellStyle name="20% - Accent6 2 5 2 2 3" xfId="3939" xr:uid="{00000000-0005-0000-0000-0000D70D0000}"/>
    <cellStyle name="20% - Accent6 2 5 2 2 3 2" xfId="3940" xr:uid="{00000000-0005-0000-0000-0000D80D0000}"/>
    <cellStyle name="20% - Accent6 2 5 2 2 3 3" xfId="3941" xr:uid="{00000000-0005-0000-0000-0000D90D0000}"/>
    <cellStyle name="20% - Accent6 2 5 2 2 4" xfId="3942" xr:uid="{00000000-0005-0000-0000-0000DA0D0000}"/>
    <cellStyle name="20% - Accent6 2 5 2 2 5" xfId="3943" xr:uid="{00000000-0005-0000-0000-0000DB0D0000}"/>
    <cellStyle name="20% - Accent6 2 5 2 2 6" xfId="3944" xr:uid="{00000000-0005-0000-0000-0000DC0D0000}"/>
    <cellStyle name="20% - Accent6 2 5 2 2 7" xfId="3945" xr:uid="{00000000-0005-0000-0000-0000DD0D0000}"/>
    <cellStyle name="20% - Accent6 2 5 2 2 8" xfId="3946" xr:uid="{00000000-0005-0000-0000-0000DE0D0000}"/>
    <cellStyle name="20% - Accent6 2 5 2 3" xfId="3947" xr:uid="{00000000-0005-0000-0000-0000DF0D0000}"/>
    <cellStyle name="20% - Accent6 2 5 2 3 2" xfId="3948" xr:uid="{00000000-0005-0000-0000-0000E00D0000}"/>
    <cellStyle name="20% - Accent6 2 5 2 3 2 2" xfId="3949" xr:uid="{00000000-0005-0000-0000-0000E10D0000}"/>
    <cellStyle name="20% - Accent6 2 5 2 3 2 3" xfId="3950" xr:uid="{00000000-0005-0000-0000-0000E20D0000}"/>
    <cellStyle name="20% - Accent6 2 5 2 3 3" xfId="3951" xr:uid="{00000000-0005-0000-0000-0000E30D0000}"/>
    <cellStyle name="20% - Accent6 2 5 2 3 3 2" xfId="3952" xr:uid="{00000000-0005-0000-0000-0000E40D0000}"/>
    <cellStyle name="20% - Accent6 2 5 2 3 4" xfId="3953" xr:uid="{00000000-0005-0000-0000-0000E50D0000}"/>
    <cellStyle name="20% - Accent6 2 5 2 4" xfId="3954" xr:uid="{00000000-0005-0000-0000-0000E60D0000}"/>
    <cellStyle name="20% - Accent6 2 5 2 4 2" xfId="3955" xr:uid="{00000000-0005-0000-0000-0000E70D0000}"/>
    <cellStyle name="20% - Accent6 2 5 2 4 3" xfId="3956" xr:uid="{00000000-0005-0000-0000-0000E80D0000}"/>
    <cellStyle name="20% - Accent6 2 5 2 5" xfId="3957" xr:uid="{00000000-0005-0000-0000-0000E90D0000}"/>
    <cellStyle name="20% - Accent6 2 5 2 6" xfId="3958" xr:uid="{00000000-0005-0000-0000-0000EA0D0000}"/>
    <cellStyle name="20% - Accent6 2 5 2 6 2" xfId="3959" xr:uid="{00000000-0005-0000-0000-0000EB0D0000}"/>
    <cellStyle name="20% - Accent6 2 5 2 7" xfId="3960" xr:uid="{00000000-0005-0000-0000-0000EC0D0000}"/>
    <cellStyle name="20% - Accent6 2 5 2 8" xfId="3961" xr:uid="{00000000-0005-0000-0000-0000ED0D0000}"/>
    <cellStyle name="20% - Accent6 2 5 2 9" xfId="3962" xr:uid="{00000000-0005-0000-0000-0000EE0D0000}"/>
    <cellStyle name="20% - Accent6 2 5 3" xfId="3963" xr:uid="{00000000-0005-0000-0000-0000EF0D0000}"/>
    <cellStyle name="20% - Accent6 2 5 3 2" xfId="3964" xr:uid="{00000000-0005-0000-0000-0000F00D0000}"/>
    <cellStyle name="20% - Accent6 2 5 3 2 2" xfId="3965" xr:uid="{00000000-0005-0000-0000-0000F10D0000}"/>
    <cellStyle name="20% - Accent6 2 5 3 2 3" xfId="3966" xr:uid="{00000000-0005-0000-0000-0000F20D0000}"/>
    <cellStyle name="20% - Accent6 2 5 3 3" xfId="3967" xr:uid="{00000000-0005-0000-0000-0000F30D0000}"/>
    <cellStyle name="20% - Accent6 2 5 3 3 2" xfId="3968" xr:uid="{00000000-0005-0000-0000-0000F40D0000}"/>
    <cellStyle name="20% - Accent6 2 5 3 3 3" xfId="3969" xr:uid="{00000000-0005-0000-0000-0000F50D0000}"/>
    <cellStyle name="20% - Accent6 2 5 3 4" xfId="3970" xr:uid="{00000000-0005-0000-0000-0000F60D0000}"/>
    <cellStyle name="20% - Accent6 2 5 3 5" xfId="3971" xr:uid="{00000000-0005-0000-0000-0000F70D0000}"/>
    <cellStyle name="20% - Accent6 2 5 3 6" xfId="3972" xr:uid="{00000000-0005-0000-0000-0000F80D0000}"/>
    <cellStyle name="20% - Accent6 2 5 3 7" xfId="3973" xr:uid="{00000000-0005-0000-0000-0000F90D0000}"/>
    <cellStyle name="20% - Accent6 2 5 3 8" xfId="3974" xr:uid="{00000000-0005-0000-0000-0000FA0D0000}"/>
    <cellStyle name="20% - Accent6 2 5 4" xfId="3975" xr:uid="{00000000-0005-0000-0000-0000FB0D0000}"/>
    <cellStyle name="20% - Accent6 2 5 4 2" xfId="3976" xr:uid="{00000000-0005-0000-0000-0000FC0D0000}"/>
    <cellStyle name="20% - Accent6 2 5 4 2 2" xfId="3977" xr:uid="{00000000-0005-0000-0000-0000FD0D0000}"/>
    <cellStyle name="20% - Accent6 2 5 4 2 3" xfId="3978" xr:uid="{00000000-0005-0000-0000-0000FE0D0000}"/>
    <cellStyle name="20% - Accent6 2 5 4 3" xfId="3979" xr:uid="{00000000-0005-0000-0000-0000FF0D0000}"/>
    <cellStyle name="20% - Accent6 2 5 4 3 2" xfId="3980" xr:uid="{00000000-0005-0000-0000-0000000E0000}"/>
    <cellStyle name="20% - Accent6 2 5 4 4" xfId="3981" xr:uid="{00000000-0005-0000-0000-0000010E0000}"/>
    <cellStyle name="20% - Accent6 2 5 5" xfId="3982" xr:uid="{00000000-0005-0000-0000-0000020E0000}"/>
    <cellStyle name="20% - Accent6 2 5 5 2" xfId="3983" xr:uid="{00000000-0005-0000-0000-0000030E0000}"/>
    <cellStyle name="20% - Accent6 2 5 5 3" xfId="3984" xr:uid="{00000000-0005-0000-0000-0000040E0000}"/>
    <cellStyle name="20% - Accent6 2 5 6" xfId="3985" xr:uid="{00000000-0005-0000-0000-0000050E0000}"/>
    <cellStyle name="20% - Accent6 2 5 6 2" xfId="3986" xr:uid="{00000000-0005-0000-0000-0000060E0000}"/>
    <cellStyle name="20% - Accent6 2 5 6 3" xfId="3987" xr:uid="{00000000-0005-0000-0000-0000070E0000}"/>
    <cellStyle name="20% - Accent6 2 5 7" xfId="3988" xr:uid="{00000000-0005-0000-0000-0000080E0000}"/>
    <cellStyle name="20% - Accent6 2 5 7 2" xfId="3989" xr:uid="{00000000-0005-0000-0000-0000090E0000}"/>
    <cellStyle name="20% - Accent6 2 5 8" xfId="3990" xr:uid="{00000000-0005-0000-0000-00000A0E0000}"/>
    <cellStyle name="20% - Accent6 2 5 9" xfId="3991" xr:uid="{00000000-0005-0000-0000-00000B0E0000}"/>
    <cellStyle name="20% - Accent6 2 6" xfId="3992" xr:uid="{00000000-0005-0000-0000-00000C0E0000}"/>
    <cellStyle name="20% - Accent6 2 6 10" xfId="3993" xr:uid="{00000000-0005-0000-0000-00000D0E0000}"/>
    <cellStyle name="20% - Accent6 2 6 11" xfId="3994" xr:uid="{00000000-0005-0000-0000-00000E0E0000}"/>
    <cellStyle name="20% - Accent6 2 6 2" xfId="3995" xr:uid="{00000000-0005-0000-0000-00000F0E0000}"/>
    <cellStyle name="20% - Accent6 2 6 2 2" xfId="3996" xr:uid="{00000000-0005-0000-0000-0000100E0000}"/>
    <cellStyle name="20% - Accent6 2 6 2 2 2" xfId="3997" xr:uid="{00000000-0005-0000-0000-0000110E0000}"/>
    <cellStyle name="20% - Accent6 2 6 2 2 2 2" xfId="3998" xr:uid="{00000000-0005-0000-0000-0000120E0000}"/>
    <cellStyle name="20% - Accent6 2 6 2 2 2 3" xfId="3999" xr:uid="{00000000-0005-0000-0000-0000130E0000}"/>
    <cellStyle name="20% - Accent6 2 6 2 2 3" xfId="4000" xr:uid="{00000000-0005-0000-0000-0000140E0000}"/>
    <cellStyle name="20% - Accent6 2 6 2 2 3 2" xfId="4001" xr:uid="{00000000-0005-0000-0000-0000150E0000}"/>
    <cellStyle name="20% - Accent6 2 6 2 2 3 3" xfId="4002" xr:uid="{00000000-0005-0000-0000-0000160E0000}"/>
    <cellStyle name="20% - Accent6 2 6 2 2 4" xfId="4003" xr:uid="{00000000-0005-0000-0000-0000170E0000}"/>
    <cellStyle name="20% - Accent6 2 6 2 2 5" xfId="4004" xr:uid="{00000000-0005-0000-0000-0000180E0000}"/>
    <cellStyle name="20% - Accent6 2 6 2 2 6" xfId="4005" xr:uid="{00000000-0005-0000-0000-0000190E0000}"/>
    <cellStyle name="20% - Accent6 2 6 2 2 7" xfId="4006" xr:uid="{00000000-0005-0000-0000-00001A0E0000}"/>
    <cellStyle name="20% - Accent6 2 6 2 2 8" xfId="4007" xr:uid="{00000000-0005-0000-0000-00001B0E0000}"/>
    <cellStyle name="20% - Accent6 2 6 2 3" xfId="4008" xr:uid="{00000000-0005-0000-0000-00001C0E0000}"/>
    <cellStyle name="20% - Accent6 2 6 2 3 2" xfId="4009" xr:uid="{00000000-0005-0000-0000-00001D0E0000}"/>
    <cellStyle name="20% - Accent6 2 6 2 3 2 2" xfId="4010" xr:uid="{00000000-0005-0000-0000-00001E0E0000}"/>
    <cellStyle name="20% - Accent6 2 6 2 3 2 3" xfId="4011" xr:uid="{00000000-0005-0000-0000-00001F0E0000}"/>
    <cellStyle name="20% - Accent6 2 6 2 3 3" xfId="4012" xr:uid="{00000000-0005-0000-0000-0000200E0000}"/>
    <cellStyle name="20% - Accent6 2 6 2 3 3 2" xfId="4013" xr:uid="{00000000-0005-0000-0000-0000210E0000}"/>
    <cellStyle name="20% - Accent6 2 6 2 3 4" xfId="4014" xr:uid="{00000000-0005-0000-0000-0000220E0000}"/>
    <cellStyle name="20% - Accent6 2 6 2 4" xfId="4015" xr:uid="{00000000-0005-0000-0000-0000230E0000}"/>
    <cellStyle name="20% - Accent6 2 6 2 4 2" xfId="4016" xr:uid="{00000000-0005-0000-0000-0000240E0000}"/>
    <cellStyle name="20% - Accent6 2 6 2 4 3" xfId="4017" xr:uid="{00000000-0005-0000-0000-0000250E0000}"/>
    <cellStyle name="20% - Accent6 2 6 2 5" xfId="4018" xr:uid="{00000000-0005-0000-0000-0000260E0000}"/>
    <cellStyle name="20% - Accent6 2 6 2 6" xfId="4019" xr:uid="{00000000-0005-0000-0000-0000270E0000}"/>
    <cellStyle name="20% - Accent6 2 6 2 6 2" xfId="4020" xr:uid="{00000000-0005-0000-0000-0000280E0000}"/>
    <cellStyle name="20% - Accent6 2 6 2 7" xfId="4021" xr:uid="{00000000-0005-0000-0000-0000290E0000}"/>
    <cellStyle name="20% - Accent6 2 6 2 8" xfId="4022" xr:uid="{00000000-0005-0000-0000-00002A0E0000}"/>
    <cellStyle name="20% - Accent6 2 6 2 9" xfId="4023" xr:uid="{00000000-0005-0000-0000-00002B0E0000}"/>
    <cellStyle name="20% - Accent6 2 6 3" xfId="4024" xr:uid="{00000000-0005-0000-0000-00002C0E0000}"/>
    <cellStyle name="20% - Accent6 2 6 3 2" xfId="4025" xr:uid="{00000000-0005-0000-0000-00002D0E0000}"/>
    <cellStyle name="20% - Accent6 2 6 3 2 2" xfId="4026" xr:uid="{00000000-0005-0000-0000-00002E0E0000}"/>
    <cellStyle name="20% - Accent6 2 6 3 2 3" xfId="4027" xr:uid="{00000000-0005-0000-0000-00002F0E0000}"/>
    <cellStyle name="20% - Accent6 2 6 3 3" xfId="4028" xr:uid="{00000000-0005-0000-0000-0000300E0000}"/>
    <cellStyle name="20% - Accent6 2 6 3 3 2" xfId="4029" xr:uid="{00000000-0005-0000-0000-0000310E0000}"/>
    <cellStyle name="20% - Accent6 2 6 3 3 3" xfId="4030" xr:uid="{00000000-0005-0000-0000-0000320E0000}"/>
    <cellStyle name="20% - Accent6 2 6 3 4" xfId="4031" xr:uid="{00000000-0005-0000-0000-0000330E0000}"/>
    <cellStyle name="20% - Accent6 2 6 3 5" xfId="4032" xr:uid="{00000000-0005-0000-0000-0000340E0000}"/>
    <cellStyle name="20% - Accent6 2 6 3 6" xfId="4033" xr:uid="{00000000-0005-0000-0000-0000350E0000}"/>
    <cellStyle name="20% - Accent6 2 6 3 7" xfId="4034" xr:uid="{00000000-0005-0000-0000-0000360E0000}"/>
    <cellStyle name="20% - Accent6 2 6 3 8" xfId="4035" xr:uid="{00000000-0005-0000-0000-0000370E0000}"/>
    <cellStyle name="20% - Accent6 2 6 4" xfId="4036" xr:uid="{00000000-0005-0000-0000-0000380E0000}"/>
    <cellStyle name="20% - Accent6 2 6 4 2" xfId="4037" xr:uid="{00000000-0005-0000-0000-0000390E0000}"/>
    <cellStyle name="20% - Accent6 2 6 4 2 2" xfId="4038" xr:uid="{00000000-0005-0000-0000-00003A0E0000}"/>
    <cellStyle name="20% - Accent6 2 6 4 2 3" xfId="4039" xr:uid="{00000000-0005-0000-0000-00003B0E0000}"/>
    <cellStyle name="20% - Accent6 2 6 4 3" xfId="4040" xr:uid="{00000000-0005-0000-0000-00003C0E0000}"/>
    <cellStyle name="20% - Accent6 2 6 4 3 2" xfId="4041" xr:uid="{00000000-0005-0000-0000-00003D0E0000}"/>
    <cellStyle name="20% - Accent6 2 6 4 4" xfId="4042" xr:uid="{00000000-0005-0000-0000-00003E0E0000}"/>
    <cellStyle name="20% - Accent6 2 6 5" xfId="4043" xr:uid="{00000000-0005-0000-0000-00003F0E0000}"/>
    <cellStyle name="20% - Accent6 2 6 5 2" xfId="4044" xr:uid="{00000000-0005-0000-0000-0000400E0000}"/>
    <cellStyle name="20% - Accent6 2 6 5 3" xfId="4045" xr:uid="{00000000-0005-0000-0000-0000410E0000}"/>
    <cellStyle name="20% - Accent6 2 6 6" xfId="4046" xr:uid="{00000000-0005-0000-0000-0000420E0000}"/>
    <cellStyle name="20% - Accent6 2 6 6 2" xfId="4047" xr:uid="{00000000-0005-0000-0000-0000430E0000}"/>
    <cellStyle name="20% - Accent6 2 6 6 3" xfId="4048" xr:uid="{00000000-0005-0000-0000-0000440E0000}"/>
    <cellStyle name="20% - Accent6 2 6 7" xfId="4049" xr:uid="{00000000-0005-0000-0000-0000450E0000}"/>
    <cellStyle name="20% - Accent6 2 6 7 2" xfId="4050" xr:uid="{00000000-0005-0000-0000-0000460E0000}"/>
    <cellStyle name="20% - Accent6 2 6 8" xfId="4051" xr:uid="{00000000-0005-0000-0000-0000470E0000}"/>
    <cellStyle name="20% - Accent6 2 6 9" xfId="4052" xr:uid="{00000000-0005-0000-0000-0000480E0000}"/>
    <cellStyle name="20% - Accent6 2 7" xfId="4053" xr:uid="{00000000-0005-0000-0000-0000490E0000}"/>
    <cellStyle name="20% - Accent6 2 7 2" xfId="4054" xr:uid="{00000000-0005-0000-0000-00004A0E0000}"/>
    <cellStyle name="20% - Accent6 2 7 2 2" xfId="4055" xr:uid="{00000000-0005-0000-0000-00004B0E0000}"/>
    <cellStyle name="20% - Accent6 2 7 2 3" xfId="4056" xr:uid="{00000000-0005-0000-0000-00004C0E0000}"/>
    <cellStyle name="20% - Accent6 2 7 3" xfId="4057" xr:uid="{00000000-0005-0000-0000-00004D0E0000}"/>
    <cellStyle name="20% - Accent6 2 7 3 2" xfId="4058" xr:uid="{00000000-0005-0000-0000-00004E0E0000}"/>
    <cellStyle name="20% - Accent6 2 7 4" xfId="4059" xr:uid="{00000000-0005-0000-0000-00004F0E0000}"/>
    <cellStyle name="20% - Accent6 2 8" xfId="4060" xr:uid="{00000000-0005-0000-0000-0000500E0000}"/>
    <cellStyle name="20% - Accent6 2 8 2" xfId="4061" xr:uid="{00000000-0005-0000-0000-0000510E0000}"/>
    <cellStyle name="20% - Accent6 2 8 3" xfId="4062" xr:uid="{00000000-0005-0000-0000-0000520E0000}"/>
    <cellStyle name="20% - Accent6 2 9" xfId="4063" xr:uid="{00000000-0005-0000-0000-0000530E0000}"/>
    <cellStyle name="20% - Accent6 2 9 2" xfId="4064" xr:uid="{00000000-0005-0000-0000-0000540E0000}"/>
    <cellStyle name="20% - Accent6 2 9 3" xfId="4065" xr:uid="{00000000-0005-0000-0000-0000550E0000}"/>
    <cellStyle name="20% - Accent6 2_Dec monthly report" xfId="4066" xr:uid="{00000000-0005-0000-0000-0000560E0000}"/>
    <cellStyle name="20% - Accent6 20" xfId="4067" xr:uid="{00000000-0005-0000-0000-0000570E0000}"/>
    <cellStyle name="20% - Accent6 20 2" xfId="4068" xr:uid="{00000000-0005-0000-0000-0000580E0000}"/>
    <cellStyle name="20% - Accent6 20 3" xfId="4069" xr:uid="{00000000-0005-0000-0000-0000590E0000}"/>
    <cellStyle name="20% - Accent6 21" xfId="4070" xr:uid="{00000000-0005-0000-0000-00005A0E0000}"/>
    <cellStyle name="20% - Accent6 21 2" xfId="4071" xr:uid="{00000000-0005-0000-0000-00005B0E0000}"/>
    <cellStyle name="20% - Accent6 21 3" xfId="4072" xr:uid="{00000000-0005-0000-0000-00005C0E0000}"/>
    <cellStyle name="20% - Accent6 22" xfId="4073" xr:uid="{00000000-0005-0000-0000-00005D0E0000}"/>
    <cellStyle name="20% - Accent6 23" xfId="4074" xr:uid="{00000000-0005-0000-0000-00005E0E0000}"/>
    <cellStyle name="20% - Accent6 24" xfId="4075" xr:uid="{00000000-0005-0000-0000-00005F0E0000}"/>
    <cellStyle name="20% - Accent6 3" xfId="4076" xr:uid="{00000000-0005-0000-0000-0000600E0000}"/>
    <cellStyle name="20% - Accent6 3 10" xfId="4077" xr:uid="{00000000-0005-0000-0000-0000610E0000}"/>
    <cellStyle name="20% - Accent6 3 11" xfId="4078" xr:uid="{00000000-0005-0000-0000-0000620E0000}"/>
    <cellStyle name="20% - Accent6 3 12" xfId="4079" xr:uid="{00000000-0005-0000-0000-0000630E0000}"/>
    <cellStyle name="20% - Accent6 3 13" xfId="4080" xr:uid="{00000000-0005-0000-0000-0000640E0000}"/>
    <cellStyle name="20% - Accent6 3 14" xfId="4081" xr:uid="{00000000-0005-0000-0000-0000650E0000}"/>
    <cellStyle name="20% - Accent6 3 2" xfId="4082" xr:uid="{00000000-0005-0000-0000-0000660E0000}"/>
    <cellStyle name="20% - Accent6 3 2 2" xfId="4083" xr:uid="{00000000-0005-0000-0000-0000670E0000}"/>
    <cellStyle name="20% - Accent6 3 2 2 10" xfId="4084" xr:uid="{00000000-0005-0000-0000-0000680E0000}"/>
    <cellStyle name="20% - Accent6 3 2 2 2" xfId="4085" xr:uid="{00000000-0005-0000-0000-0000690E0000}"/>
    <cellStyle name="20% - Accent6 3 2 2 2 2" xfId="4086" xr:uid="{00000000-0005-0000-0000-00006A0E0000}"/>
    <cellStyle name="20% - Accent6 3 2 2 2 2 2" xfId="4087" xr:uid="{00000000-0005-0000-0000-00006B0E0000}"/>
    <cellStyle name="20% - Accent6 3 2 2 2 2 3" xfId="4088" xr:uid="{00000000-0005-0000-0000-00006C0E0000}"/>
    <cellStyle name="20% - Accent6 3 2 2 2 3" xfId="4089" xr:uid="{00000000-0005-0000-0000-00006D0E0000}"/>
    <cellStyle name="20% - Accent6 3 2 2 2 3 2" xfId="4090" xr:uid="{00000000-0005-0000-0000-00006E0E0000}"/>
    <cellStyle name="20% - Accent6 3 2 2 2 3 3" xfId="4091" xr:uid="{00000000-0005-0000-0000-00006F0E0000}"/>
    <cellStyle name="20% - Accent6 3 2 2 2 4" xfId="4092" xr:uid="{00000000-0005-0000-0000-0000700E0000}"/>
    <cellStyle name="20% - Accent6 3 2 2 2 5" xfId="4093" xr:uid="{00000000-0005-0000-0000-0000710E0000}"/>
    <cellStyle name="20% - Accent6 3 2 2 2 6" xfId="4094" xr:uid="{00000000-0005-0000-0000-0000720E0000}"/>
    <cellStyle name="20% - Accent6 3 2 2 2 7" xfId="4095" xr:uid="{00000000-0005-0000-0000-0000730E0000}"/>
    <cellStyle name="20% - Accent6 3 2 2 2 8" xfId="4096" xr:uid="{00000000-0005-0000-0000-0000740E0000}"/>
    <cellStyle name="20% - Accent6 3 2 2 3" xfId="4097" xr:uid="{00000000-0005-0000-0000-0000750E0000}"/>
    <cellStyle name="20% - Accent6 3 2 2 3 2" xfId="4098" xr:uid="{00000000-0005-0000-0000-0000760E0000}"/>
    <cellStyle name="20% - Accent6 3 2 2 3 3" xfId="4099" xr:uid="{00000000-0005-0000-0000-0000770E0000}"/>
    <cellStyle name="20% - Accent6 3 2 2 4" xfId="4100" xr:uid="{00000000-0005-0000-0000-0000780E0000}"/>
    <cellStyle name="20% - Accent6 3 2 2 4 2" xfId="4101" xr:uid="{00000000-0005-0000-0000-0000790E0000}"/>
    <cellStyle name="20% - Accent6 3 2 2 4 3" xfId="4102" xr:uid="{00000000-0005-0000-0000-00007A0E0000}"/>
    <cellStyle name="20% - Accent6 3 2 2 5" xfId="4103" xr:uid="{00000000-0005-0000-0000-00007B0E0000}"/>
    <cellStyle name="20% - Accent6 3 2 2 5 2" xfId="4104" xr:uid="{00000000-0005-0000-0000-00007C0E0000}"/>
    <cellStyle name="20% - Accent6 3 2 2 5 3" xfId="4105" xr:uid="{00000000-0005-0000-0000-00007D0E0000}"/>
    <cellStyle name="20% - Accent6 3 2 2 6" xfId="4106" xr:uid="{00000000-0005-0000-0000-00007E0E0000}"/>
    <cellStyle name="20% - Accent6 3 2 2 7" xfId="4107" xr:uid="{00000000-0005-0000-0000-00007F0E0000}"/>
    <cellStyle name="20% - Accent6 3 2 2 8" xfId="4108" xr:uid="{00000000-0005-0000-0000-0000800E0000}"/>
    <cellStyle name="20% - Accent6 3 2 2 9" xfId="4109" xr:uid="{00000000-0005-0000-0000-0000810E0000}"/>
    <cellStyle name="20% - Accent6 3 2 3" xfId="4110" xr:uid="{00000000-0005-0000-0000-0000820E0000}"/>
    <cellStyle name="20% - Accent6 3 2 3 2" xfId="4111" xr:uid="{00000000-0005-0000-0000-0000830E0000}"/>
    <cellStyle name="20% - Accent6 3 2 3 2 2" xfId="4112" xr:uid="{00000000-0005-0000-0000-0000840E0000}"/>
    <cellStyle name="20% - Accent6 3 2 3 2 3" xfId="4113" xr:uid="{00000000-0005-0000-0000-0000850E0000}"/>
    <cellStyle name="20% - Accent6 3 2 3 3" xfId="4114" xr:uid="{00000000-0005-0000-0000-0000860E0000}"/>
    <cellStyle name="20% - Accent6 3 2 3 3 2" xfId="4115" xr:uid="{00000000-0005-0000-0000-0000870E0000}"/>
    <cellStyle name="20% - Accent6 3 2 3 4" xfId="4116" xr:uid="{00000000-0005-0000-0000-0000880E0000}"/>
    <cellStyle name="20% - Accent6 3 2 4" xfId="4117" xr:uid="{00000000-0005-0000-0000-0000890E0000}"/>
    <cellStyle name="20% - Accent6 3 2 4 2" xfId="4118" xr:uid="{00000000-0005-0000-0000-00008A0E0000}"/>
    <cellStyle name="20% - Accent6 3 2 4 3" xfId="4119" xr:uid="{00000000-0005-0000-0000-00008B0E0000}"/>
    <cellStyle name="20% - Accent6 3 2 5" xfId="4120" xr:uid="{00000000-0005-0000-0000-00008C0E0000}"/>
    <cellStyle name="20% - Accent6 3 2 5 2" xfId="4121" xr:uid="{00000000-0005-0000-0000-00008D0E0000}"/>
    <cellStyle name="20% - Accent6 3 2 5 3" xfId="4122" xr:uid="{00000000-0005-0000-0000-00008E0E0000}"/>
    <cellStyle name="20% - Accent6 3 2 6" xfId="4123" xr:uid="{00000000-0005-0000-0000-00008F0E0000}"/>
    <cellStyle name="20% - Accent6 3 2 7" xfId="4124" xr:uid="{00000000-0005-0000-0000-0000900E0000}"/>
    <cellStyle name="20% - Accent6 3 2 8" xfId="4125" xr:uid="{00000000-0005-0000-0000-0000910E0000}"/>
    <cellStyle name="20% - Accent6 3 2 9" xfId="4126" xr:uid="{00000000-0005-0000-0000-0000920E0000}"/>
    <cellStyle name="20% - Accent6 3 3" xfId="4127" xr:uid="{00000000-0005-0000-0000-0000930E0000}"/>
    <cellStyle name="20% - Accent6 3 3 2" xfId="4128" xr:uid="{00000000-0005-0000-0000-0000940E0000}"/>
    <cellStyle name="20% - Accent6 3 3 2 2" xfId="4129" xr:uid="{00000000-0005-0000-0000-0000950E0000}"/>
    <cellStyle name="20% - Accent6 3 3 2 3" xfId="4130" xr:uid="{00000000-0005-0000-0000-0000960E0000}"/>
    <cellStyle name="20% - Accent6 3 3 2 3 2" xfId="4131" xr:uid="{00000000-0005-0000-0000-0000970E0000}"/>
    <cellStyle name="20% - Accent6 3 3 3" xfId="4132" xr:uid="{00000000-0005-0000-0000-0000980E0000}"/>
    <cellStyle name="20% - Accent6 3 3 3 2" xfId="4133" xr:uid="{00000000-0005-0000-0000-0000990E0000}"/>
    <cellStyle name="20% - Accent6 3 3 3 3" xfId="4134" xr:uid="{00000000-0005-0000-0000-00009A0E0000}"/>
    <cellStyle name="20% - Accent6 3 3 4" xfId="4135" xr:uid="{00000000-0005-0000-0000-00009B0E0000}"/>
    <cellStyle name="20% - Accent6 3 3 4 2" xfId="4136" xr:uid="{00000000-0005-0000-0000-00009C0E0000}"/>
    <cellStyle name="20% - Accent6 3 3 5" xfId="4137" xr:uid="{00000000-0005-0000-0000-00009D0E0000}"/>
    <cellStyle name="20% - Accent6 3 3 6" xfId="4138" xr:uid="{00000000-0005-0000-0000-00009E0E0000}"/>
    <cellStyle name="20% - Accent6 3 3 7" xfId="4139" xr:uid="{00000000-0005-0000-0000-00009F0E0000}"/>
    <cellStyle name="20% - Accent6 3 3 8" xfId="4140" xr:uid="{00000000-0005-0000-0000-0000A00E0000}"/>
    <cellStyle name="20% - Accent6 3 4" xfId="4141" xr:uid="{00000000-0005-0000-0000-0000A10E0000}"/>
    <cellStyle name="20% - Accent6 3 4 2" xfId="4142" xr:uid="{00000000-0005-0000-0000-0000A20E0000}"/>
    <cellStyle name="20% - Accent6 3 4 2 2" xfId="4143" xr:uid="{00000000-0005-0000-0000-0000A30E0000}"/>
    <cellStyle name="20% - Accent6 3 4 2 3" xfId="4144" xr:uid="{00000000-0005-0000-0000-0000A40E0000}"/>
    <cellStyle name="20% - Accent6 3 4 3" xfId="4145" xr:uid="{00000000-0005-0000-0000-0000A50E0000}"/>
    <cellStyle name="20% - Accent6 3 4 3 2" xfId="4146" xr:uid="{00000000-0005-0000-0000-0000A60E0000}"/>
    <cellStyle name="20% - Accent6 3 4 3 3" xfId="4147" xr:uid="{00000000-0005-0000-0000-0000A70E0000}"/>
    <cellStyle name="20% - Accent6 3 4 4" xfId="4148" xr:uid="{00000000-0005-0000-0000-0000A80E0000}"/>
    <cellStyle name="20% - Accent6 3 4 4 2" xfId="4149" xr:uid="{00000000-0005-0000-0000-0000A90E0000}"/>
    <cellStyle name="20% - Accent6 3 4 5" xfId="4150" xr:uid="{00000000-0005-0000-0000-0000AA0E0000}"/>
    <cellStyle name="20% - Accent6 3 4 6" xfId="4151" xr:uid="{00000000-0005-0000-0000-0000AB0E0000}"/>
    <cellStyle name="20% - Accent6 3 4 7" xfId="4152" xr:uid="{00000000-0005-0000-0000-0000AC0E0000}"/>
    <cellStyle name="20% - Accent6 3 4 8" xfId="4153" xr:uid="{00000000-0005-0000-0000-0000AD0E0000}"/>
    <cellStyle name="20% - Accent6 3 5" xfId="4154" xr:uid="{00000000-0005-0000-0000-0000AE0E0000}"/>
    <cellStyle name="20% - Accent6 3 5 2" xfId="4155" xr:uid="{00000000-0005-0000-0000-0000AF0E0000}"/>
    <cellStyle name="20% - Accent6 3 5 2 2" xfId="4156" xr:uid="{00000000-0005-0000-0000-0000B00E0000}"/>
    <cellStyle name="20% - Accent6 3 5 2 3" xfId="4157" xr:uid="{00000000-0005-0000-0000-0000B10E0000}"/>
    <cellStyle name="20% - Accent6 3 5 3" xfId="4158" xr:uid="{00000000-0005-0000-0000-0000B20E0000}"/>
    <cellStyle name="20% - Accent6 3 5 3 2" xfId="4159" xr:uid="{00000000-0005-0000-0000-0000B30E0000}"/>
    <cellStyle name="20% - Accent6 3 5 4" xfId="4160" xr:uid="{00000000-0005-0000-0000-0000B40E0000}"/>
    <cellStyle name="20% - Accent6 3 5 5" xfId="4161" xr:uid="{00000000-0005-0000-0000-0000B50E0000}"/>
    <cellStyle name="20% - Accent6 3 5 6" xfId="4162" xr:uid="{00000000-0005-0000-0000-0000B60E0000}"/>
    <cellStyle name="20% - Accent6 3 5 7" xfId="4163" xr:uid="{00000000-0005-0000-0000-0000B70E0000}"/>
    <cellStyle name="20% - Accent6 3 5 8" xfId="4164" xr:uid="{00000000-0005-0000-0000-0000B80E0000}"/>
    <cellStyle name="20% - Accent6 3 6" xfId="4165" xr:uid="{00000000-0005-0000-0000-0000B90E0000}"/>
    <cellStyle name="20% - Accent6 3 6 2" xfId="4166" xr:uid="{00000000-0005-0000-0000-0000BA0E0000}"/>
    <cellStyle name="20% - Accent6 3 6 3" xfId="4167" xr:uid="{00000000-0005-0000-0000-0000BB0E0000}"/>
    <cellStyle name="20% - Accent6 3 7" xfId="4168" xr:uid="{00000000-0005-0000-0000-0000BC0E0000}"/>
    <cellStyle name="20% - Accent6 3 7 2" xfId="4169" xr:uid="{00000000-0005-0000-0000-0000BD0E0000}"/>
    <cellStyle name="20% - Accent6 3 7 3" xfId="4170" xr:uid="{00000000-0005-0000-0000-0000BE0E0000}"/>
    <cellStyle name="20% - Accent6 3 8" xfId="4171" xr:uid="{00000000-0005-0000-0000-0000BF0E0000}"/>
    <cellStyle name="20% - Accent6 3 8 2" xfId="4172" xr:uid="{00000000-0005-0000-0000-0000C00E0000}"/>
    <cellStyle name="20% - Accent6 3 8 3" xfId="4173" xr:uid="{00000000-0005-0000-0000-0000C10E0000}"/>
    <cellStyle name="20% - Accent6 3 9" xfId="4174" xr:uid="{00000000-0005-0000-0000-0000C20E0000}"/>
    <cellStyle name="20% - Accent6 3 9 2" xfId="4175" xr:uid="{00000000-0005-0000-0000-0000C30E0000}"/>
    <cellStyle name="20% - Accent6 3 9 3" xfId="4176" xr:uid="{00000000-0005-0000-0000-0000C40E0000}"/>
    <cellStyle name="20% - Accent6 4" xfId="4177" xr:uid="{00000000-0005-0000-0000-0000C50E0000}"/>
    <cellStyle name="20% - Accent6 4 10" xfId="4178" xr:uid="{00000000-0005-0000-0000-0000C60E0000}"/>
    <cellStyle name="20% - Accent6 4 11" xfId="4179" xr:uid="{00000000-0005-0000-0000-0000C70E0000}"/>
    <cellStyle name="20% - Accent6 4 12" xfId="4180" xr:uid="{00000000-0005-0000-0000-0000C80E0000}"/>
    <cellStyle name="20% - Accent6 4 13" xfId="4181" xr:uid="{00000000-0005-0000-0000-0000C90E0000}"/>
    <cellStyle name="20% - Accent6 4 2" xfId="4182" xr:uid="{00000000-0005-0000-0000-0000CA0E0000}"/>
    <cellStyle name="20% - Accent6 4 2 2" xfId="4183" xr:uid="{00000000-0005-0000-0000-0000CB0E0000}"/>
    <cellStyle name="20% - Accent6 4 2 2 2" xfId="4184" xr:uid="{00000000-0005-0000-0000-0000CC0E0000}"/>
    <cellStyle name="20% - Accent6 4 2 2 2 2" xfId="4185" xr:uid="{00000000-0005-0000-0000-0000CD0E0000}"/>
    <cellStyle name="20% - Accent6 4 2 2 2 2 2" xfId="4186" xr:uid="{00000000-0005-0000-0000-0000CE0E0000}"/>
    <cellStyle name="20% - Accent6 4 2 2 2 2 3" xfId="4187" xr:uid="{00000000-0005-0000-0000-0000CF0E0000}"/>
    <cellStyle name="20% - Accent6 4 2 2 2 3" xfId="4188" xr:uid="{00000000-0005-0000-0000-0000D00E0000}"/>
    <cellStyle name="20% - Accent6 4 2 2 2 3 2" xfId="4189" xr:uid="{00000000-0005-0000-0000-0000D10E0000}"/>
    <cellStyle name="20% - Accent6 4 2 2 2 3 3" xfId="4190" xr:uid="{00000000-0005-0000-0000-0000D20E0000}"/>
    <cellStyle name="20% - Accent6 4 2 2 2 4" xfId="4191" xr:uid="{00000000-0005-0000-0000-0000D30E0000}"/>
    <cellStyle name="20% - Accent6 4 2 2 2 5" xfId="4192" xr:uid="{00000000-0005-0000-0000-0000D40E0000}"/>
    <cellStyle name="20% - Accent6 4 2 2 2 6" xfId="4193" xr:uid="{00000000-0005-0000-0000-0000D50E0000}"/>
    <cellStyle name="20% - Accent6 4 2 2 2 7" xfId="4194" xr:uid="{00000000-0005-0000-0000-0000D60E0000}"/>
    <cellStyle name="20% - Accent6 4 2 2 2 8" xfId="4195" xr:uid="{00000000-0005-0000-0000-0000D70E0000}"/>
    <cellStyle name="20% - Accent6 4 2 2 3" xfId="4196" xr:uid="{00000000-0005-0000-0000-0000D80E0000}"/>
    <cellStyle name="20% - Accent6 4 2 2 3 2" xfId="4197" xr:uid="{00000000-0005-0000-0000-0000D90E0000}"/>
    <cellStyle name="20% - Accent6 4 2 2 3 3" xfId="4198" xr:uid="{00000000-0005-0000-0000-0000DA0E0000}"/>
    <cellStyle name="20% - Accent6 4 2 2 4" xfId="4199" xr:uid="{00000000-0005-0000-0000-0000DB0E0000}"/>
    <cellStyle name="20% - Accent6 4 2 2 4 2" xfId="4200" xr:uid="{00000000-0005-0000-0000-0000DC0E0000}"/>
    <cellStyle name="20% - Accent6 4 2 2 4 3" xfId="4201" xr:uid="{00000000-0005-0000-0000-0000DD0E0000}"/>
    <cellStyle name="20% - Accent6 4 2 2 5" xfId="4202" xr:uid="{00000000-0005-0000-0000-0000DE0E0000}"/>
    <cellStyle name="20% - Accent6 4 2 2 5 2" xfId="4203" xr:uid="{00000000-0005-0000-0000-0000DF0E0000}"/>
    <cellStyle name="20% - Accent6 4 2 2 6" xfId="4204" xr:uid="{00000000-0005-0000-0000-0000E00E0000}"/>
    <cellStyle name="20% - Accent6 4 2 2 7" xfId="4205" xr:uid="{00000000-0005-0000-0000-0000E10E0000}"/>
    <cellStyle name="20% - Accent6 4 2 2 8" xfId="4206" xr:uid="{00000000-0005-0000-0000-0000E20E0000}"/>
    <cellStyle name="20% - Accent6 4 2 2 9" xfId="4207" xr:uid="{00000000-0005-0000-0000-0000E30E0000}"/>
    <cellStyle name="20% - Accent6 4 2 3" xfId="4208" xr:uid="{00000000-0005-0000-0000-0000E40E0000}"/>
    <cellStyle name="20% - Accent6 4 2 3 2" xfId="4209" xr:uid="{00000000-0005-0000-0000-0000E50E0000}"/>
    <cellStyle name="20% - Accent6 4 2 3 2 2" xfId="4210" xr:uid="{00000000-0005-0000-0000-0000E60E0000}"/>
    <cellStyle name="20% - Accent6 4 2 3 2 3" xfId="4211" xr:uid="{00000000-0005-0000-0000-0000E70E0000}"/>
    <cellStyle name="20% - Accent6 4 2 3 3" xfId="4212" xr:uid="{00000000-0005-0000-0000-0000E80E0000}"/>
    <cellStyle name="20% - Accent6 4 2 3 3 2" xfId="4213" xr:uid="{00000000-0005-0000-0000-0000E90E0000}"/>
    <cellStyle name="20% - Accent6 4 2 3 4" xfId="4214" xr:uid="{00000000-0005-0000-0000-0000EA0E0000}"/>
    <cellStyle name="20% - Accent6 4 2 4" xfId="4215" xr:uid="{00000000-0005-0000-0000-0000EB0E0000}"/>
    <cellStyle name="20% - Accent6 4 2 4 2" xfId="4216" xr:uid="{00000000-0005-0000-0000-0000EC0E0000}"/>
    <cellStyle name="20% - Accent6 4 2 4 3" xfId="4217" xr:uid="{00000000-0005-0000-0000-0000ED0E0000}"/>
    <cellStyle name="20% - Accent6 4 2 5" xfId="4218" xr:uid="{00000000-0005-0000-0000-0000EE0E0000}"/>
    <cellStyle name="20% - Accent6 4 2 5 2" xfId="4219" xr:uid="{00000000-0005-0000-0000-0000EF0E0000}"/>
    <cellStyle name="20% - Accent6 4 2 5 3" xfId="4220" xr:uid="{00000000-0005-0000-0000-0000F00E0000}"/>
    <cellStyle name="20% - Accent6 4 2 6" xfId="4221" xr:uid="{00000000-0005-0000-0000-0000F10E0000}"/>
    <cellStyle name="20% - Accent6 4 2 7" xfId="4222" xr:uid="{00000000-0005-0000-0000-0000F20E0000}"/>
    <cellStyle name="20% - Accent6 4 2 8" xfId="4223" xr:uid="{00000000-0005-0000-0000-0000F30E0000}"/>
    <cellStyle name="20% - Accent6 4 2 9" xfId="4224" xr:uid="{00000000-0005-0000-0000-0000F40E0000}"/>
    <cellStyle name="20% - Accent6 4 3" xfId="4225" xr:uid="{00000000-0005-0000-0000-0000F50E0000}"/>
    <cellStyle name="20% - Accent6 4 3 2" xfId="4226" xr:uid="{00000000-0005-0000-0000-0000F60E0000}"/>
    <cellStyle name="20% - Accent6 4 3 2 2" xfId="4227" xr:uid="{00000000-0005-0000-0000-0000F70E0000}"/>
    <cellStyle name="20% - Accent6 4 3 2 3" xfId="4228" xr:uid="{00000000-0005-0000-0000-0000F80E0000}"/>
    <cellStyle name="20% - Accent6 4 3 3" xfId="4229" xr:uid="{00000000-0005-0000-0000-0000F90E0000}"/>
    <cellStyle name="20% - Accent6 4 3 3 2" xfId="4230" xr:uid="{00000000-0005-0000-0000-0000FA0E0000}"/>
    <cellStyle name="20% - Accent6 4 3 3 3" xfId="4231" xr:uid="{00000000-0005-0000-0000-0000FB0E0000}"/>
    <cellStyle name="20% - Accent6 4 3 4" xfId="4232" xr:uid="{00000000-0005-0000-0000-0000FC0E0000}"/>
    <cellStyle name="20% - Accent6 4 3 4 2" xfId="4233" xr:uid="{00000000-0005-0000-0000-0000FD0E0000}"/>
    <cellStyle name="20% - Accent6 4 3 5" xfId="4234" xr:uid="{00000000-0005-0000-0000-0000FE0E0000}"/>
    <cellStyle name="20% - Accent6 4 3 6" xfId="4235" xr:uid="{00000000-0005-0000-0000-0000FF0E0000}"/>
    <cellStyle name="20% - Accent6 4 3 7" xfId="4236" xr:uid="{00000000-0005-0000-0000-0000000F0000}"/>
    <cellStyle name="20% - Accent6 4 3 8" xfId="4237" xr:uid="{00000000-0005-0000-0000-0000010F0000}"/>
    <cellStyle name="20% - Accent6 4 4" xfId="4238" xr:uid="{00000000-0005-0000-0000-0000020F0000}"/>
    <cellStyle name="20% - Accent6 4 4 2" xfId="4239" xr:uid="{00000000-0005-0000-0000-0000030F0000}"/>
    <cellStyle name="20% - Accent6 4 4 2 2" xfId="4240" xr:uid="{00000000-0005-0000-0000-0000040F0000}"/>
    <cellStyle name="20% - Accent6 4 4 2 3" xfId="4241" xr:uid="{00000000-0005-0000-0000-0000050F0000}"/>
    <cellStyle name="20% - Accent6 4 4 3" xfId="4242" xr:uid="{00000000-0005-0000-0000-0000060F0000}"/>
    <cellStyle name="20% - Accent6 4 4 3 2" xfId="4243" xr:uid="{00000000-0005-0000-0000-0000070F0000}"/>
    <cellStyle name="20% - Accent6 4 4 3 3" xfId="4244" xr:uid="{00000000-0005-0000-0000-0000080F0000}"/>
    <cellStyle name="20% - Accent6 4 4 4" xfId="4245" xr:uid="{00000000-0005-0000-0000-0000090F0000}"/>
    <cellStyle name="20% - Accent6 4 4 5" xfId="4246" xr:uid="{00000000-0005-0000-0000-00000A0F0000}"/>
    <cellStyle name="20% - Accent6 4 4 6" xfId="4247" xr:uid="{00000000-0005-0000-0000-00000B0F0000}"/>
    <cellStyle name="20% - Accent6 4 4 7" xfId="4248" xr:uid="{00000000-0005-0000-0000-00000C0F0000}"/>
    <cellStyle name="20% - Accent6 4 4 8" xfId="4249" xr:uid="{00000000-0005-0000-0000-00000D0F0000}"/>
    <cellStyle name="20% - Accent6 4 5" xfId="4250" xr:uid="{00000000-0005-0000-0000-00000E0F0000}"/>
    <cellStyle name="20% - Accent6 4 5 2" xfId="4251" xr:uid="{00000000-0005-0000-0000-00000F0F0000}"/>
    <cellStyle name="20% - Accent6 4 5 2 2" xfId="4252" xr:uid="{00000000-0005-0000-0000-0000100F0000}"/>
    <cellStyle name="20% - Accent6 4 5 2 3" xfId="4253" xr:uid="{00000000-0005-0000-0000-0000110F0000}"/>
    <cellStyle name="20% - Accent6 4 5 3" xfId="4254" xr:uid="{00000000-0005-0000-0000-0000120F0000}"/>
    <cellStyle name="20% - Accent6 4 5 3 2" xfId="4255" xr:uid="{00000000-0005-0000-0000-0000130F0000}"/>
    <cellStyle name="20% - Accent6 4 5 4" xfId="4256" xr:uid="{00000000-0005-0000-0000-0000140F0000}"/>
    <cellStyle name="20% - Accent6 4 6" xfId="4257" xr:uid="{00000000-0005-0000-0000-0000150F0000}"/>
    <cellStyle name="20% - Accent6 4 6 2" xfId="4258" xr:uid="{00000000-0005-0000-0000-0000160F0000}"/>
    <cellStyle name="20% - Accent6 4 6 3" xfId="4259" xr:uid="{00000000-0005-0000-0000-0000170F0000}"/>
    <cellStyle name="20% - Accent6 4 7" xfId="4260" xr:uid="{00000000-0005-0000-0000-0000180F0000}"/>
    <cellStyle name="20% - Accent6 4 7 2" xfId="4261" xr:uid="{00000000-0005-0000-0000-0000190F0000}"/>
    <cellStyle name="20% - Accent6 4 7 3" xfId="4262" xr:uid="{00000000-0005-0000-0000-00001A0F0000}"/>
    <cellStyle name="20% - Accent6 4 8" xfId="4263" xr:uid="{00000000-0005-0000-0000-00001B0F0000}"/>
    <cellStyle name="20% - Accent6 4 8 2" xfId="4264" xr:uid="{00000000-0005-0000-0000-00001C0F0000}"/>
    <cellStyle name="20% - Accent6 4 8 3" xfId="4265" xr:uid="{00000000-0005-0000-0000-00001D0F0000}"/>
    <cellStyle name="20% - Accent6 4 9" xfId="4266" xr:uid="{00000000-0005-0000-0000-00001E0F0000}"/>
    <cellStyle name="20% - Accent6 5" xfId="4267" xr:uid="{00000000-0005-0000-0000-00001F0F0000}"/>
    <cellStyle name="20% - Accent6 5 10" xfId="4268" xr:uid="{00000000-0005-0000-0000-0000200F0000}"/>
    <cellStyle name="20% - Accent6 5 11" xfId="4269" xr:uid="{00000000-0005-0000-0000-0000210F0000}"/>
    <cellStyle name="20% - Accent6 5 12" xfId="4270" xr:uid="{00000000-0005-0000-0000-0000220F0000}"/>
    <cellStyle name="20% - Accent6 5 2" xfId="4271" xr:uid="{00000000-0005-0000-0000-0000230F0000}"/>
    <cellStyle name="20% - Accent6 5 2 2" xfId="4272" xr:uid="{00000000-0005-0000-0000-0000240F0000}"/>
    <cellStyle name="20% - Accent6 5 2 2 2" xfId="4273" xr:uid="{00000000-0005-0000-0000-0000250F0000}"/>
    <cellStyle name="20% - Accent6 5 2 2 2 2" xfId="4274" xr:uid="{00000000-0005-0000-0000-0000260F0000}"/>
    <cellStyle name="20% - Accent6 5 2 2 2 2 2" xfId="4275" xr:uid="{00000000-0005-0000-0000-0000270F0000}"/>
    <cellStyle name="20% - Accent6 5 2 2 2 2 3" xfId="4276" xr:uid="{00000000-0005-0000-0000-0000280F0000}"/>
    <cellStyle name="20% - Accent6 5 2 2 2 3" xfId="4277" xr:uid="{00000000-0005-0000-0000-0000290F0000}"/>
    <cellStyle name="20% - Accent6 5 2 2 2 3 2" xfId="4278" xr:uid="{00000000-0005-0000-0000-00002A0F0000}"/>
    <cellStyle name="20% - Accent6 5 2 2 2 3 3" xfId="4279" xr:uid="{00000000-0005-0000-0000-00002B0F0000}"/>
    <cellStyle name="20% - Accent6 5 2 2 2 4" xfId="4280" xr:uid="{00000000-0005-0000-0000-00002C0F0000}"/>
    <cellStyle name="20% - Accent6 5 2 2 2 5" xfId="4281" xr:uid="{00000000-0005-0000-0000-00002D0F0000}"/>
    <cellStyle name="20% - Accent6 5 2 2 2 6" xfId="4282" xr:uid="{00000000-0005-0000-0000-00002E0F0000}"/>
    <cellStyle name="20% - Accent6 5 2 2 2 7" xfId="4283" xr:uid="{00000000-0005-0000-0000-00002F0F0000}"/>
    <cellStyle name="20% - Accent6 5 2 2 2 8" xfId="4284" xr:uid="{00000000-0005-0000-0000-0000300F0000}"/>
    <cellStyle name="20% - Accent6 5 2 2 3" xfId="4285" xr:uid="{00000000-0005-0000-0000-0000310F0000}"/>
    <cellStyle name="20% - Accent6 5 2 2 3 2" xfId="4286" xr:uid="{00000000-0005-0000-0000-0000320F0000}"/>
    <cellStyle name="20% - Accent6 5 2 2 3 3" xfId="4287" xr:uid="{00000000-0005-0000-0000-0000330F0000}"/>
    <cellStyle name="20% - Accent6 5 2 2 4" xfId="4288" xr:uid="{00000000-0005-0000-0000-0000340F0000}"/>
    <cellStyle name="20% - Accent6 5 2 2 4 2" xfId="4289" xr:uid="{00000000-0005-0000-0000-0000350F0000}"/>
    <cellStyle name="20% - Accent6 5 2 2 4 3" xfId="4290" xr:uid="{00000000-0005-0000-0000-0000360F0000}"/>
    <cellStyle name="20% - Accent6 5 2 2 5" xfId="4291" xr:uid="{00000000-0005-0000-0000-0000370F0000}"/>
    <cellStyle name="20% - Accent6 5 2 2 5 2" xfId="4292" xr:uid="{00000000-0005-0000-0000-0000380F0000}"/>
    <cellStyle name="20% - Accent6 5 2 2 6" xfId="4293" xr:uid="{00000000-0005-0000-0000-0000390F0000}"/>
    <cellStyle name="20% - Accent6 5 2 2 7" xfId="4294" xr:uid="{00000000-0005-0000-0000-00003A0F0000}"/>
    <cellStyle name="20% - Accent6 5 2 2 8" xfId="4295" xr:uid="{00000000-0005-0000-0000-00003B0F0000}"/>
    <cellStyle name="20% - Accent6 5 2 2 9" xfId="4296" xr:uid="{00000000-0005-0000-0000-00003C0F0000}"/>
    <cellStyle name="20% - Accent6 5 2 3" xfId="4297" xr:uid="{00000000-0005-0000-0000-00003D0F0000}"/>
    <cellStyle name="20% - Accent6 5 2 3 2" xfId="4298" xr:uid="{00000000-0005-0000-0000-00003E0F0000}"/>
    <cellStyle name="20% - Accent6 5 2 3 2 2" xfId="4299" xr:uid="{00000000-0005-0000-0000-00003F0F0000}"/>
    <cellStyle name="20% - Accent6 5 2 3 2 3" xfId="4300" xr:uid="{00000000-0005-0000-0000-0000400F0000}"/>
    <cellStyle name="20% - Accent6 5 2 3 3" xfId="4301" xr:uid="{00000000-0005-0000-0000-0000410F0000}"/>
    <cellStyle name="20% - Accent6 5 2 3 3 2" xfId="4302" xr:uid="{00000000-0005-0000-0000-0000420F0000}"/>
    <cellStyle name="20% - Accent6 5 2 3 4" xfId="4303" xr:uid="{00000000-0005-0000-0000-0000430F0000}"/>
    <cellStyle name="20% - Accent6 5 2 4" xfId="4304" xr:uid="{00000000-0005-0000-0000-0000440F0000}"/>
    <cellStyle name="20% - Accent6 5 2 5" xfId="4305" xr:uid="{00000000-0005-0000-0000-0000450F0000}"/>
    <cellStyle name="20% - Accent6 5 2_Dec monthly report" xfId="4306" xr:uid="{00000000-0005-0000-0000-0000460F0000}"/>
    <cellStyle name="20% - Accent6 5 3" xfId="4307" xr:uid="{00000000-0005-0000-0000-0000470F0000}"/>
    <cellStyle name="20% - Accent6 5 3 2" xfId="4308" xr:uid="{00000000-0005-0000-0000-0000480F0000}"/>
    <cellStyle name="20% - Accent6 5 3 2 2" xfId="4309" xr:uid="{00000000-0005-0000-0000-0000490F0000}"/>
    <cellStyle name="20% - Accent6 5 3 2 3" xfId="4310" xr:uid="{00000000-0005-0000-0000-00004A0F0000}"/>
    <cellStyle name="20% - Accent6 5 3 3" xfId="4311" xr:uid="{00000000-0005-0000-0000-00004B0F0000}"/>
    <cellStyle name="20% - Accent6 5 3 3 2" xfId="4312" xr:uid="{00000000-0005-0000-0000-00004C0F0000}"/>
    <cellStyle name="20% - Accent6 5 3 3 3" xfId="4313" xr:uid="{00000000-0005-0000-0000-00004D0F0000}"/>
    <cellStyle name="20% - Accent6 5 3 4" xfId="4314" xr:uid="{00000000-0005-0000-0000-00004E0F0000}"/>
    <cellStyle name="20% - Accent6 5 3 4 2" xfId="4315" xr:uid="{00000000-0005-0000-0000-00004F0F0000}"/>
    <cellStyle name="20% - Accent6 5 3 5" xfId="4316" xr:uid="{00000000-0005-0000-0000-0000500F0000}"/>
    <cellStyle name="20% - Accent6 5 3 6" xfId="4317" xr:uid="{00000000-0005-0000-0000-0000510F0000}"/>
    <cellStyle name="20% - Accent6 5 3 7" xfId="4318" xr:uid="{00000000-0005-0000-0000-0000520F0000}"/>
    <cellStyle name="20% - Accent6 5 3 8" xfId="4319" xr:uid="{00000000-0005-0000-0000-0000530F0000}"/>
    <cellStyle name="20% - Accent6 5 4" xfId="4320" xr:uid="{00000000-0005-0000-0000-0000540F0000}"/>
    <cellStyle name="20% - Accent6 5 4 2" xfId="4321" xr:uid="{00000000-0005-0000-0000-0000550F0000}"/>
    <cellStyle name="20% - Accent6 5 4 2 2" xfId="4322" xr:uid="{00000000-0005-0000-0000-0000560F0000}"/>
    <cellStyle name="20% - Accent6 5 4 2 3" xfId="4323" xr:uid="{00000000-0005-0000-0000-0000570F0000}"/>
    <cellStyle name="20% - Accent6 5 4 3" xfId="4324" xr:uid="{00000000-0005-0000-0000-0000580F0000}"/>
    <cellStyle name="20% - Accent6 5 4 3 2" xfId="4325" xr:uid="{00000000-0005-0000-0000-0000590F0000}"/>
    <cellStyle name="20% - Accent6 5 4 3 3" xfId="4326" xr:uid="{00000000-0005-0000-0000-00005A0F0000}"/>
    <cellStyle name="20% - Accent6 5 4 4" xfId="4327" xr:uid="{00000000-0005-0000-0000-00005B0F0000}"/>
    <cellStyle name="20% - Accent6 5 4 5" xfId="4328" xr:uid="{00000000-0005-0000-0000-00005C0F0000}"/>
    <cellStyle name="20% - Accent6 5 4 6" xfId="4329" xr:uid="{00000000-0005-0000-0000-00005D0F0000}"/>
    <cellStyle name="20% - Accent6 5 4 7" xfId="4330" xr:uid="{00000000-0005-0000-0000-00005E0F0000}"/>
    <cellStyle name="20% - Accent6 5 4 8" xfId="4331" xr:uid="{00000000-0005-0000-0000-00005F0F0000}"/>
    <cellStyle name="20% - Accent6 5 5" xfId="4332" xr:uid="{00000000-0005-0000-0000-0000600F0000}"/>
    <cellStyle name="20% - Accent6 5 5 2" xfId="4333" xr:uid="{00000000-0005-0000-0000-0000610F0000}"/>
    <cellStyle name="20% - Accent6 5 5 3" xfId="4334" xr:uid="{00000000-0005-0000-0000-0000620F0000}"/>
    <cellStyle name="20% - Accent6 5 6" xfId="4335" xr:uid="{00000000-0005-0000-0000-0000630F0000}"/>
    <cellStyle name="20% - Accent6 5 6 2" xfId="4336" xr:uid="{00000000-0005-0000-0000-0000640F0000}"/>
    <cellStyle name="20% - Accent6 5 6 3" xfId="4337" xr:uid="{00000000-0005-0000-0000-0000650F0000}"/>
    <cellStyle name="20% - Accent6 5 7" xfId="4338" xr:uid="{00000000-0005-0000-0000-0000660F0000}"/>
    <cellStyle name="20% - Accent6 5 7 2" xfId="4339" xr:uid="{00000000-0005-0000-0000-0000670F0000}"/>
    <cellStyle name="20% - Accent6 5 7 3" xfId="4340" xr:uid="{00000000-0005-0000-0000-0000680F0000}"/>
    <cellStyle name="20% - Accent6 5 8" xfId="4341" xr:uid="{00000000-0005-0000-0000-0000690F0000}"/>
    <cellStyle name="20% - Accent6 5 9" xfId="4342" xr:uid="{00000000-0005-0000-0000-00006A0F0000}"/>
    <cellStyle name="20% - Accent6 6" xfId="4343" xr:uid="{00000000-0005-0000-0000-00006B0F0000}"/>
    <cellStyle name="20% - Accent6 6 2" xfId="4344" xr:uid="{00000000-0005-0000-0000-00006C0F0000}"/>
    <cellStyle name="20% - Accent6 6 2 2" xfId="4345" xr:uid="{00000000-0005-0000-0000-00006D0F0000}"/>
    <cellStyle name="20% - Accent6 6 2 2 2" xfId="4346" xr:uid="{00000000-0005-0000-0000-00006E0F0000}"/>
    <cellStyle name="20% - Accent6 6 2 2 2 2" xfId="4347" xr:uid="{00000000-0005-0000-0000-00006F0F0000}"/>
    <cellStyle name="20% - Accent6 6 2 2 2 3" xfId="4348" xr:uid="{00000000-0005-0000-0000-0000700F0000}"/>
    <cellStyle name="20% - Accent6 6 2 2 3" xfId="4349" xr:uid="{00000000-0005-0000-0000-0000710F0000}"/>
    <cellStyle name="20% - Accent6 6 2 2 3 2" xfId="4350" xr:uid="{00000000-0005-0000-0000-0000720F0000}"/>
    <cellStyle name="20% - Accent6 6 2 2 3 3" xfId="4351" xr:uid="{00000000-0005-0000-0000-0000730F0000}"/>
    <cellStyle name="20% - Accent6 6 2 2 4" xfId="4352" xr:uid="{00000000-0005-0000-0000-0000740F0000}"/>
    <cellStyle name="20% - Accent6 6 2 2 5" xfId="4353" xr:uid="{00000000-0005-0000-0000-0000750F0000}"/>
    <cellStyle name="20% - Accent6 6 2 2 6" xfId="4354" xr:uid="{00000000-0005-0000-0000-0000760F0000}"/>
    <cellStyle name="20% - Accent6 6 2 2 7" xfId="4355" xr:uid="{00000000-0005-0000-0000-0000770F0000}"/>
    <cellStyle name="20% - Accent6 6 2 2 8" xfId="4356" xr:uid="{00000000-0005-0000-0000-0000780F0000}"/>
    <cellStyle name="20% - Accent6 6 2 3" xfId="4357" xr:uid="{00000000-0005-0000-0000-0000790F0000}"/>
    <cellStyle name="20% - Accent6 6 2 3 2" xfId="4358" xr:uid="{00000000-0005-0000-0000-00007A0F0000}"/>
    <cellStyle name="20% - Accent6 6 2 3 3" xfId="4359" xr:uid="{00000000-0005-0000-0000-00007B0F0000}"/>
    <cellStyle name="20% - Accent6 6 2 4" xfId="4360" xr:uid="{00000000-0005-0000-0000-00007C0F0000}"/>
    <cellStyle name="20% - Accent6 6 2 4 2" xfId="4361" xr:uid="{00000000-0005-0000-0000-00007D0F0000}"/>
    <cellStyle name="20% - Accent6 6 2 4 3" xfId="4362" xr:uid="{00000000-0005-0000-0000-00007E0F0000}"/>
    <cellStyle name="20% - Accent6 6 2 5" xfId="4363" xr:uid="{00000000-0005-0000-0000-00007F0F0000}"/>
    <cellStyle name="20% - Accent6 6 2 5 2" xfId="4364" xr:uid="{00000000-0005-0000-0000-0000800F0000}"/>
    <cellStyle name="20% - Accent6 6 2 6" xfId="4365" xr:uid="{00000000-0005-0000-0000-0000810F0000}"/>
    <cellStyle name="20% - Accent6 6 2 7" xfId="4366" xr:uid="{00000000-0005-0000-0000-0000820F0000}"/>
    <cellStyle name="20% - Accent6 6 2 8" xfId="4367" xr:uid="{00000000-0005-0000-0000-0000830F0000}"/>
    <cellStyle name="20% - Accent6 6 2 9" xfId="4368" xr:uid="{00000000-0005-0000-0000-0000840F0000}"/>
    <cellStyle name="20% - Accent6 6 3" xfId="4369" xr:uid="{00000000-0005-0000-0000-0000850F0000}"/>
    <cellStyle name="20% - Accent6 6 3 2" xfId="4370" xr:uid="{00000000-0005-0000-0000-0000860F0000}"/>
    <cellStyle name="20% - Accent6 6 3 2 2" xfId="4371" xr:uid="{00000000-0005-0000-0000-0000870F0000}"/>
    <cellStyle name="20% - Accent6 6 3 2 3" xfId="4372" xr:uid="{00000000-0005-0000-0000-0000880F0000}"/>
    <cellStyle name="20% - Accent6 6 3 3" xfId="4373" xr:uid="{00000000-0005-0000-0000-0000890F0000}"/>
    <cellStyle name="20% - Accent6 6 3 3 2" xfId="4374" xr:uid="{00000000-0005-0000-0000-00008A0F0000}"/>
    <cellStyle name="20% - Accent6 6 3 4" xfId="4375" xr:uid="{00000000-0005-0000-0000-00008B0F0000}"/>
    <cellStyle name="20% - Accent6 6 4" xfId="4376" xr:uid="{00000000-0005-0000-0000-00008C0F0000}"/>
    <cellStyle name="20% - Accent6 6 5" xfId="4377" xr:uid="{00000000-0005-0000-0000-00008D0F0000}"/>
    <cellStyle name="20% - Accent6 6_Dec monthly report" xfId="4378" xr:uid="{00000000-0005-0000-0000-00008E0F0000}"/>
    <cellStyle name="20% - Accent6 7" xfId="4379" xr:uid="{00000000-0005-0000-0000-00008F0F0000}"/>
    <cellStyle name="20% - Accent6 7 2" xfId="4380" xr:uid="{00000000-0005-0000-0000-0000900F0000}"/>
    <cellStyle name="20% - Accent6 7 3" xfId="4381" xr:uid="{00000000-0005-0000-0000-0000910F0000}"/>
    <cellStyle name="20% - Accent6 7 4" xfId="4382" xr:uid="{00000000-0005-0000-0000-0000920F0000}"/>
    <cellStyle name="20% - Accent6 8" xfId="4383" xr:uid="{00000000-0005-0000-0000-0000930F0000}"/>
    <cellStyle name="20% - Accent6 8 2" xfId="4384" xr:uid="{00000000-0005-0000-0000-0000940F0000}"/>
    <cellStyle name="20% - Accent6 8 2 2" xfId="4385" xr:uid="{00000000-0005-0000-0000-0000950F0000}"/>
    <cellStyle name="20% - Accent6 8 2 3" xfId="4386" xr:uid="{00000000-0005-0000-0000-0000960F0000}"/>
    <cellStyle name="20% - Accent6 8 2 3 2" xfId="4387" xr:uid="{00000000-0005-0000-0000-0000970F0000}"/>
    <cellStyle name="20% - Accent6 8 3" xfId="4388" xr:uid="{00000000-0005-0000-0000-0000980F0000}"/>
    <cellStyle name="20% - Accent6 8 3 2" xfId="4389" xr:uid="{00000000-0005-0000-0000-0000990F0000}"/>
    <cellStyle name="20% - Accent6 8 3 3" xfId="4390" xr:uid="{00000000-0005-0000-0000-00009A0F0000}"/>
    <cellStyle name="20% - Accent6 8 4" xfId="4391" xr:uid="{00000000-0005-0000-0000-00009B0F0000}"/>
    <cellStyle name="20% - Accent6 8 4 2" xfId="4392" xr:uid="{00000000-0005-0000-0000-00009C0F0000}"/>
    <cellStyle name="20% - Accent6 8 5" xfId="4393" xr:uid="{00000000-0005-0000-0000-00009D0F0000}"/>
    <cellStyle name="20% - Accent6 8 6" xfId="4394" xr:uid="{00000000-0005-0000-0000-00009E0F0000}"/>
    <cellStyle name="20% - Accent6 8 7" xfId="4395" xr:uid="{00000000-0005-0000-0000-00009F0F0000}"/>
    <cellStyle name="20% - Accent6 8 8" xfId="4396" xr:uid="{00000000-0005-0000-0000-0000A00F0000}"/>
    <cellStyle name="20% - Accent6 9" xfId="4397" xr:uid="{00000000-0005-0000-0000-0000A10F0000}"/>
    <cellStyle name="20% - Accent6 9 2" xfId="4398" xr:uid="{00000000-0005-0000-0000-0000A20F0000}"/>
    <cellStyle name="20% - Accent6 9 2 2" xfId="4399" xr:uid="{00000000-0005-0000-0000-0000A30F0000}"/>
    <cellStyle name="20% - Accent6 9 2 3" xfId="4400" xr:uid="{00000000-0005-0000-0000-0000A40F0000}"/>
    <cellStyle name="20% - Accent6 9 3" xfId="4401" xr:uid="{00000000-0005-0000-0000-0000A50F0000}"/>
    <cellStyle name="20% - Accent6 9 3 2" xfId="4402" xr:uid="{00000000-0005-0000-0000-0000A60F0000}"/>
    <cellStyle name="20% - Accent6 9 3 3" xfId="4403" xr:uid="{00000000-0005-0000-0000-0000A70F0000}"/>
    <cellStyle name="20% - Accent6 9 4" xfId="4404" xr:uid="{00000000-0005-0000-0000-0000A80F0000}"/>
    <cellStyle name="20% - Accent6 9 4 2" xfId="4405" xr:uid="{00000000-0005-0000-0000-0000A90F0000}"/>
    <cellStyle name="20% - Accent6 9 5" xfId="4406" xr:uid="{00000000-0005-0000-0000-0000AA0F0000}"/>
    <cellStyle name="20% - Accent6 9 6" xfId="4407" xr:uid="{00000000-0005-0000-0000-0000AB0F0000}"/>
    <cellStyle name="20% - Accent6 9 7" xfId="4408" xr:uid="{00000000-0005-0000-0000-0000AC0F0000}"/>
    <cellStyle name="20% - Accent6 9 8" xfId="4409" xr:uid="{00000000-0005-0000-0000-0000AD0F0000}"/>
    <cellStyle name="2decimal" xfId="4410" xr:uid="{00000000-0005-0000-0000-0000AE0F0000}"/>
    <cellStyle name="40% - Accent1 10" xfId="4411" xr:uid="{00000000-0005-0000-0000-0000AF0F0000}"/>
    <cellStyle name="40% - Accent1 10 2" xfId="4412" xr:uid="{00000000-0005-0000-0000-0000B00F0000}"/>
    <cellStyle name="40% - Accent1 10 2 2" xfId="4413" xr:uid="{00000000-0005-0000-0000-0000B10F0000}"/>
    <cellStyle name="40% - Accent1 10 2 3" xfId="4414" xr:uid="{00000000-0005-0000-0000-0000B20F0000}"/>
    <cellStyle name="40% - Accent1 10 3" xfId="4415" xr:uid="{00000000-0005-0000-0000-0000B30F0000}"/>
    <cellStyle name="40% - Accent1 10 4" xfId="4416" xr:uid="{00000000-0005-0000-0000-0000B40F0000}"/>
    <cellStyle name="40% - Accent1 10 4 2" xfId="4417" xr:uid="{00000000-0005-0000-0000-0000B50F0000}"/>
    <cellStyle name="40% - Accent1 10 5" xfId="4418" xr:uid="{00000000-0005-0000-0000-0000B60F0000}"/>
    <cellStyle name="40% - Accent1 11" xfId="4419" xr:uid="{00000000-0005-0000-0000-0000B70F0000}"/>
    <cellStyle name="40% - Accent1 11 2" xfId="4420" xr:uid="{00000000-0005-0000-0000-0000B80F0000}"/>
    <cellStyle name="40% - Accent1 11 3" xfId="4421" xr:uid="{00000000-0005-0000-0000-0000B90F0000}"/>
    <cellStyle name="40% - Accent1 11 3 2" xfId="4422" xr:uid="{00000000-0005-0000-0000-0000BA0F0000}"/>
    <cellStyle name="40% - Accent1 12" xfId="4423" xr:uid="{00000000-0005-0000-0000-0000BB0F0000}"/>
    <cellStyle name="40% - Accent1 12 2" xfId="4424" xr:uid="{00000000-0005-0000-0000-0000BC0F0000}"/>
    <cellStyle name="40% - Accent1 12 3" xfId="4425" xr:uid="{00000000-0005-0000-0000-0000BD0F0000}"/>
    <cellStyle name="40% - Accent1 13" xfId="4426" xr:uid="{00000000-0005-0000-0000-0000BE0F0000}"/>
    <cellStyle name="40% - Accent1 13 2" xfId="4427" xr:uid="{00000000-0005-0000-0000-0000BF0F0000}"/>
    <cellStyle name="40% - Accent1 13 3" xfId="4428" xr:uid="{00000000-0005-0000-0000-0000C00F0000}"/>
    <cellStyle name="40% - Accent1 14" xfId="4429" xr:uid="{00000000-0005-0000-0000-0000C10F0000}"/>
    <cellStyle name="40% - Accent1 14 2" xfId="4430" xr:uid="{00000000-0005-0000-0000-0000C20F0000}"/>
    <cellStyle name="40% - Accent1 14 3" xfId="4431" xr:uid="{00000000-0005-0000-0000-0000C30F0000}"/>
    <cellStyle name="40% - Accent1 15" xfId="4432" xr:uid="{00000000-0005-0000-0000-0000C40F0000}"/>
    <cellStyle name="40% - Accent1 15 2" xfId="4433" xr:uid="{00000000-0005-0000-0000-0000C50F0000}"/>
    <cellStyle name="40% - Accent1 15 3" xfId="4434" xr:uid="{00000000-0005-0000-0000-0000C60F0000}"/>
    <cellStyle name="40% - Accent1 16" xfId="4435" xr:uid="{00000000-0005-0000-0000-0000C70F0000}"/>
    <cellStyle name="40% - Accent1 16 2" xfId="4436" xr:uid="{00000000-0005-0000-0000-0000C80F0000}"/>
    <cellStyle name="40% - Accent1 16 3" xfId="4437" xr:uid="{00000000-0005-0000-0000-0000C90F0000}"/>
    <cellStyle name="40% - Accent1 17" xfId="4438" xr:uid="{00000000-0005-0000-0000-0000CA0F0000}"/>
    <cellStyle name="40% - Accent1 17 2" xfId="4439" xr:uid="{00000000-0005-0000-0000-0000CB0F0000}"/>
    <cellStyle name="40% - Accent1 17 3" xfId="4440" xr:uid="{00000000-0005-0000-0000-0000CC0F0000}"/>
    <cellStyle name="40% - Accent1 18" xfId="4441" xr:uid="{00000000-0005-0000-0000-0000CD0F0000}"/>
    <cellStyle name="40% - Accent1 18 2" xfId="4442" xr:uid="{00000000-0005-0000-0000-0000CE0F0000}"/>
    <cellStyle name="40% - Accent1 18 3" xfId="4443" xr:uid="{00000000-0005-0000-0000-0000CF0F0000}"/>
    <cellStyle name="40% - Accent1 19" xfId="4444" xr:uid="{00000000-0005-0000-0000-0000D00F0000}"/>
    <cellStyle name="40% - Accent1 19 2" xfId="4445" xr:uid="{00000000-0005-0000-0000-0000D10F0000}"/>
    <cellStyle name="40% - Accent1 19 3" xfId="4446" xr:uid="{00000000-0005-0000-0000-0000D20F0000}"/>
    <cellStyle name="40% - Accent1 2" xfId="4447" xr:uid="{00000000-0005-0000-0000-0000D30F0000}"/>
    <cellStyle name="40% - Accent1 2 10" xfId="4448" xr:uid="{00000000-0005-0000-0000-0000D40F0000}"/>
    <cellStyle name="40% - Accent1 2 10 2" xfId="4449" xr:uid="{00000000-0005-0000-0000-0000D50F0000}"/>
    <cellStyle name="40% - Accent1 2 10 3" xfId="4450" xr:uid="{00000000-0005-0000-0000-0000D60F0000}"/>
    <cellStyle name="40% - Accent1 2 11" xfId="4451" xr:uid="{00000000-0005-0000-0000-0000D70F0000}"/>
    <cellStyle name="40% - Accent1 2 11 2" xfId="4452" xr:uid="{00000000-0005-0000-0000-0000D80F0000}"/>
    <cellStyle name="40% - Accent1 2 11 3" xfId="4453" xr:uid="{00000000-0005-0000-0000-0000D90F0000}"/>
    <cellStyle name="40% - Accent1 2 12" xfId="4454" xr:uid="{00000000-0005-0000-0000-0000DA0F0000}"/>
    <cellStyle name="40% - Accent1 2 12 2" xfId="4455" xr:uid="{00000000-0005-0000-0000-0000DB0F0000}"/>
    <cellStyle name="40% - Accent1 2 12 3" xfId="4456" xr:uid="{00000000-0005-0000-0000-0000DC0F0000}"/>
    <cellStyle name="40% - Accent1 2 13" xfId="4457" xr:uid="{00000000-0005-0000-0000-0000DD0F0000}"/>
    <cellStyle name="40% - Accent1 2 14" xfId="4458" xr:uid="{00000000-0005-0000-0000-0000DE0F0000}"/>
    <cellStyle name="40% - Accent1 2 2" xfId="4459" xr:uid="{00000000-0005-0000-0000-0000DF0F0000}"/>
    <cellStyle name="40% - Accent1 2 2 2" xfId="4460" xr:uid="{00000000-0005-0000-0000-0000E00F0000}"/>
    <cellStyle name="40% - Accent1 2 2 2 2" xfId="4461" xr:uid="{00000000-0005-0000-0000-0000E10F0000}"/>
    <cellStyle name="40% - Accent1 2 2 2 3" xfId="4462" xr:uid="{00000000-0005-0000-0000-0000E20F0000}"/>
    <cellStyle name="40% - Accent1 2 2 2 4" xfId="4463" xr:uid="{00000000-0005-0000-0000-0000E30F0000}"/>
    <cellStyle name="40% - Accent1 2 2 3" xfId="4464" xr:uid="{00000000-0005-0000-0000-0000E40F0000}"/>
    <cellStyle name="40% - Accent1 2 2 3 2" xfId="4465" xr:uid="{00000000-0005-0000-0000-0000E50F0000}"/>
    <cellStyle name="40% - Accent1 2 2 3 3" xfId="4466" xr:uid="{00000000-0005-0000-0000-0000E60F0000}"/>
    <cellStyle name="40% - Accent1 2 2 4" xfId="4467" xr:uid="{00000000-0005-0000-0000-0000E70F0000}"/>
    <cellStyle name="40% - Accent1 2 2 4 2" xfId="4468" xr:uid="{00000000-0005-0000-0000-0000E80F0000}"/>
    <cellStyle name="40% - Accent1 2 2 4 3" xfId="4469" xr:uid="{00000000-0005-0000-0000-0000E90F0000}"/>
    <cellStyle name="40% - Accent1 2 2 5" xfId="4470" xr:uid="{00000000-0005-0000-0000-0000EA0F0000}"/>
    <cellStyle name="40% - Accent1 2 2 6" xfId="4471" xr:uid="{00000000-0005-0000-0000-0000EB0F0000}"/>
    <cellStyle name="40% - Accent1 2 2 7" xfId="4472" xr:uid="{00000000-0005-0000-0000-0000EC0F0000}"/>
    <cellStyle name="40% - Accent1 2 2 8" xfId="4473" xr:uid="{00000000-0005-0000-0000-0000ED0F0000}"/>
    <cellStyle name="40% - Accent1 2 2_Dec monthly report" xfId="4474" xr:uid="{00000000-0005-0000-0000-0000EE0F0000}"/>
    <cellStyle name="40% - Accent1 2 3" xfId="4475" xr:uid="{00000000-0005-0000-0000-0000EF0F0000}"/>
    <cellStyle name="40% - Accent1 2 3 10" xfId="4476" xr:uid="{00000000-0005-0000-0000-0000F00F0000}"/>
    <cellStyle name="40% - Accent1 2 3 11" xfId="4477" xr:uid="{00000000-0005-0000-0000-0000F10F0000}"/>
    <cellStyle name="40% - Accent1 2 3 2" xfId="4478" xr:uid="{00000000-0005-0000-0000-0000F20F0000}"/>
    <cellStyle name="40% - Accent1 2 3 2 10" xfId="4479" xr:uid="{00000000-0005-0000-0000-0000F30F0000}"/>
    <cellStyle name="40% - Accent1 2 3 2 2" xfId="4480" xr:uid="{00000000-0005-0000-0000-0000F40F0000}"/>
    <cellStyle name="40% - Accent1 2 3 2 2 2" xfId="4481" xr:uid="{00000000-0005-0000-0000-0000F50F0000}"/>
    <cellStyle name="40% - Accent1 2 3 2 2 2 2" xfId="4482" xr:uid="{00000000-0005-0000-0000-0000F60F0000}"/>
    <cellStyle name="40% - Accent1 2 3 2 2 2 3" xfId="4483" xr:uid="{00000000-0005-0000-0000-0000F70F0000}"/>
    <cellStyle name="40% - Accent1 2 3 2 2 3" xfId="4484" xr:uid="{00000000-0005-0000-0000-0000F80F0000}"/>
    <cellStyle name="40% - Accent1 2 3 2 2 3 2" xfId="4485" xr:uid="{00000000-0005-0000-0000-0000F90F0000}"/>
    <cellStyle name="40% - Accent1 2 3 2 2 3 3" xfId="4486" xr:uid="{00000000-0005-0000-0000-0000FA0F0000}"/>
    <cellStyle name="40% - Accent1 2 3 2 2 4" xfId="4487" xr:uid="{00000000-0005-0000-0000-0000FB0F0000}"/>
    <cellStyle name="40% - Accent1 2 3 2 2 5" xfId="4488" xr:uid="{00000000-0005-0000-0000-0000FC0F0000}"/>
    <cellStyle name="40% - Accent1 2 3 2 2 6" xfId="4489" xr:uid="{00000000-0005-0000-0000-0000FD0F0000}"/>
    <cellStyle name="40% - Accent1 2 3 2 2 7" xfId="4490" xr:uid="{00000000-0005-0000-0000-0000FE0F0000}"/>
    <cellStyle name="40% - Accent1 2 3 2 2 8" xfId="4491" xr:uid="{00000000-0005-0000-0000-0000FF0F0000}"/>
    <cellStyle name="40% - Accent1 2 3 2 3" xfId="4492" xr:uid="{00000000-0005-0000-0000-000000100000}"/>
    <cellStyle name="40% - Accent1 2 3 2 3 2" xfId="4493" xr:uid="{00000000-0005-0000-0000-000001100000}"/>
    <cellStyle name="40% - Accent1 2 3 2 3 2 2" xfId="4494" xr:uid="{00000000-0005-0000-0000-000002100000}"/>
    <cellStyle name="40% - Accent1 2 3 2 3 2 3" xfId="4495" xr:uid="{00000000-0005-0000-0000-000003100000}"/>
    <cellStyle name="40% - Accent1 2 3 2 3 3" xfId="4496" xr:uid="{00000000-0005-0000-0000-000004100000}"/>
    <cellStyle name="40% - Accent1 2 3 2 3 3 2" xfId="4497" xr:uid="{00000000-0005-0000-0000-000005100000}"/>
    <cellStyle name="40% - Accent1 2 3 2 3 4" xfId="4498" xr:uid="{00000000-0005-0000-0000-000006100000}"/>
    <cellStyle name="40% - Accent1 2 3 2 4" xfId="4499" xr:uid="{00000000-0005-0000-0000-000007100000}"/>
    <cellStyle name="40% - Accent1 2 3 2 4 2" xfId="4500" xr:uid="{00000000-0005-0000-0000-000008100000}"/>
    <cellStyle name="40% - Accent1 2 3 2 4 3" xfId="4501" xr:uid="{00000000-0005-0000-0000-000009100000}"/>
    <cellStyle name="40% - Accent1 2 3 2 5" xfId="4502" xr:uid="{00000000-0005-0000-0000-00000A100000}"/>
    <cellStyle name="40% - Accent1 2 3 2 5 2" xfId="4503" xr:uid="{00000000-0005-0000-0000-00000B100000}"/>
    <cellStyle name="40% - Accent1 2 3 2 5 3" xfId="4504" xr:uid="{00000000-0005-0000-0000-00000C100000}"/>
    <cellStyle name="40% - Accent1 2 3 2 6" xfId="4505" xr:uid="{00000000-0005-0000-0000-00000D100000}"/>
    <cellStyle name="40% - Accent1 2 3 2 6 2" xfId="4506" xr:uid="{00000000-0005-0000-0000-00000E100000}"/>
    <cellStyle name="40% - Accent1 2 3 2 7" xfId="4507" xr:uid="{00000000-0005-0000-0000-00000F100000}"/>
    <cellStyle name="40% - Accent1 2 3 2 8" xfId="4508" xr:uid="{00000000-0005-0000-0000-000010100000}"/>
    <cellStyle name="40% - Accent1 2 3 2 9" xfId="4509" xr:uid="{00000000-0005-0000-0000-000011100000}"/>
    <cellStyle name="40% - Accent1 2 3 3" xfId="4510" xr:uid="{00000000-0005-0000-0000-000012100000}"/>
    <cellStyle name="40% - Accent1 2 3 3 2" xfId="4511" xr:uid="{00000000-0005-0000-0000-000013100000}"/>
    <cellStyle name="40% - Accent1 2 3 3 2 2" xfId="4512" xr:uid="{00000000-0005-0000-0000-000014100000}"/>
    <cellStyle name="40% - Accent1 2 3 3 2 3" xfId="4513" xr:uid="{00000000-0005-0000-0000-000015100000}"/>
    <cellStyle name="40% - Accent1 2 3 3 3" xfId="4514" xr:uid="{00000000-0005-0000-0000-000016100000}"/>
    <cellStyle name="40% - Accent1 2 3 3 3 2" xfId="4515" xr:uid="{00000000-0005-0000-0000-000017100000}"/>
    <cellStyle name="40% - Accent1 2 3 3 3 3" xfId="4516" xr:uid="{00000000-0005-0000-0000-000018100000}"/>
    <cellStyle name="40% - Accent1 2 3 3 4" xfId="4517" xr:uid="{00000000-0005-0000-0000-000019100000}"/>
    <cellStyle name="40% - Accent1 2 3 3 5" xfId="4518" xr:uid="{00000000-0005-0000-0000-00001A100000}"/>
    <cellStyle name="40% - Accent1 2 3 3 6" xfId="4519" xr:uid="{00000000-0005-0000-0000-00001B100000}"/>
    <cellStyle name="40% - Accent1 2 3 3 7" xfId="4520" xr:uid="{00000000-0005-0000-0000-00001C100000}"/>
    <cellStyle name="40% - Accent1 2 3 3 8" xfId="4521" xr:uid="{00000000-0005-0000-0000-00001D100000}"/>
    <cellStyle name="40% - Accent1 2 3 4" xfId="4522" xr:uid="{00000000-0005-0000-0000-00001E100000}"/>
    <cellStyle name="40% - Accent1 2 3 4 2" xfId="4523" xr:uid="{00000000-0005-0000-0000-00001F100000}"/>
    <cellStyle name="40% - Accent1 2 3 4 2 2" xfId="4524" xr:uid="{00000000-0005-0000-0000-000020100000}"/>
    <cellStyle name="40% - Accent1 2 3 4 2 3" xfId="4525" xr:uid="{00000000-0005-0000-0000-000021100000}"/>
    <cellStyle name="40% - Accent1 2 3 4 3" xfId="4526" xr:uid="{00000000-0005-0000-0000-000022100000}"/>
    <cellStyle name="40% - Accent1 2 3 4 3 2" xfId="4527" xr:uid="{00000000-0005-0000-0000-000023100000}"/>
    <cellStyle name="40% - Accent1 2 3 4 4" xfId="4528" xr:uid="{00000000-0005-0000-0000-000024100000}"/>
    <cellStyle name="40% - Accent1 2 3 5" xfId="4529" xr:uid="{00000000-0005-0000-0000-000025100000}"/>
    <cellStyle name="40% - Accent1 2 3 5 2" xfId="4530" xr:uid="{00000000-0005-0000-0000-000026100000}"/>
    <cellStyle name="40% - Accent1 2 3 5 3" xfId="4531" xr:uid="{00000000-0005-0000-0000-000027100000}"/>
    <cellStyle name="40% - Accent1 2 3 6" xfId="4532" xr:uid="{00000000-0005-0000-0000-000028100000}"/>
    <cellStyle name="40% - Accent1 2 3 6 2" xfId="4533" xr:uid="{00000000-0005-0000-0000-000029100000}"/>
    <cellStyle name="40% - Accent1 2 3 6 3" xfId="4534" xr:uid="{00000000-0005-0000-0000-00002A100000}"/>
    <cellStyle name="40% - Accent1 2 3 7" xfId="4535" xr:uid="{00000000-0005-0000-0000-00002B100000}"/>
    <cellStyle name="40% - Accent1 2 3 7 2" xfId="4536" xr:uid="{00000000-0005-0000-0000-00002C100000}"/>
    <cellStyle name="40% - Accent1 2 3 8" xfId="4537" xr:uid="{00000000-0005-0000-0000-00002D100000}"/>
    <cellStyle name="40% - Accent1 2 3 9" xfId="4538" xr:uid="{00000000-0005-0000-0000-00002E100000}"/>
    <cellStyle name="40% - Accent1 2 4" xfId="4539" xr:uid="{00000000-0005-0000-0000-00002F100000}"/>
    <cellStyle name="40% - Accent1 2 4 10" xfId="4540" xr:uid="{00000000-0005-0000-0000-000030100000}"/>
    <cellStyle name="40% - Accent1 2 4 11" xfId="4541" xr:uid="{00000000-0005-0000-0000-000031100000}"/>
    <cellStyle name="40% - Accent1 2 4 2" xfId="4542" xr:uid="{00000000-0005-0000-0000-000032100000}"/>
    <cellStyle name="40% - Accent1 2 4 2 10" xfId="4543" xr:uid="{00000000-0005-0000-0000-000033100000}"/>
    <cellStyle name="40% - Accent1 2 4 2 2" xfId="4544" xr:uid="{00000000-0005-0000-0000-000034100000}"/>
    <cellStyle name="40% - Accent1 2 4 2 2 2" xfId="4545" xr:uid="{00000000-0005-0000-0000-000035100000}"/>
    <cellStyle name="40% - Accent1 2 4 2 2 2 2" xfId="4546" xr:uid="{00000000-0005-0000-0000-000036100000}"/>
    <cellStyle name="40% - Accent1 2 4 2 2 2 3" xfId="4547" xr:uid="{00000000-0005-0000-0000-000037100000}"/>
    <cellStyle name="40% - Accent1 2 4 2 2 3" xfId="4548" xr:uid="{00000000-0005-0000-0000-000038100000}"/>
    <cellStyle name="40% - Accent1 2 4 2 2 3 2" xfId="4549" xr:uid="{00000000-0005-0000-0000-000039100000}"/>
    <cellStyle name="40% - Accent1 2 4 2 2 3 3" xfId="4550" xr:uid="{00000000-0005-0000-0000-00003A100000}"/>
    <cellStyle name="40% - Accent1 2 4 2 2 4" xfId="4551" xr:uid="{00000000-0005-0000-0000-00003B100000}"/>
    <cellStyle name="40% - Accent1 2 4 2 2 5" xfId="4552" xr:uid="{00000000-0005-0000-0000-00003C100000}"/>
    <cellStyle name="40% - Accent1 2 4 2 2 6" xfId="4553" xr:uid="{00000000-0005-0000-0000-00003D100000}"/>
    <cellStyle name="40% - Accent1 2 4 2 2 7" xfId="4554" xr:uid="{00000000-0005-0000-0000-00003E100000}"/>
    <cellStyle name="40% - Accent1 2 4 2 2 8" xfId="4555" xr:uid="{00000000-0005-0000-0000-00003F100000}"/>
    <cellStyle name="40% - Accent1 2 4 2 3" xfId="4556" xr:uid="{00000000-0005-0000-0000-000040100000}"/>
    <cellStyle name="40% - Accent1 2 4 2 3 2" xfId="4557" xr:uid="{00000000-0005-0000-0000-000041100000}"/>
    <cellStyle name="40% - Accent1 2 4 2 3 2 2" xfId="4558" xr:uid="{00000000-0005-0000-0000-000042100000}"/>
    <cellStyle name="40% - Accent1 2 4 2 3 2 3" xfId="4559" xr:uid="{00000000-0005-0000-0000-000043100000}"/>
    <cellStyle name="40% - Accent1 2 4 2 3 3" xfId="4560" xr:uid="{00000000-0005-0000-0000-000044100000}"/>
    <cellStyle name="40% - Accent1 2 4 2 3 3 2" xfId="4561" xr:uid="{00000000-0005-0000-0000-000045100000}"/>
    <cellStyle name="40% - Accent1 2 4 2 3 4" xfId="4562" xr:uid="{00000000-0005-0000-0000-000046100000}"/>
    <cellStyle name="40% - Accent1 2 4 2 4" xfId="4563" xr:uid="{00000000-0005-0000-0000-000047100000}"/>
    <cellStyle name="40% - Accent1 2 4 2 4 2" xfId="4564" xr:uid="{00000000-0005-0000-0000-000048100000}"/>
    <cellStyle name="40% - Accent1 2 4 2 4 3" xfId="4565" xr:uid="{00000000-0005-0000-0000-000049100000}"/>
    <cellStyle name="40% - Accent1 2 4 2 5" xfId="4566" xr:uid="{00000000-0005-0000-0000-00004A100000}"/>
    <cellStyle name="40% - Accent1 2 4 2 5 2" xfId="4567" xr:uid="{00000000-0005-0000-0000-00004B100000}"/>
    <cellStyle name="40% - Accent1 2 4 2 5 3" xfId="4568" xr:uid="{00000000-0005-0000-0000-00004C100000}"/>
    <cellStyle name="40% - Accent1 2 4 2 6" xfId="4569" xr:uid="{00000000-0005-0000-0000-00004D100000}"/>
    <cellStyle name="40% - Accent1 2 4 2 6 2" xfId="4570" xr:uid="{00000000-0005-0000-0000-00004E100000}"/>
    <cellStyle name="40% - Accent1 2 4 2 7" xfId="4571" xr:uid="{00000000-0005-0000-0000-00004F100000}"/>
    <cellStyle name="40% - Accent1 2 4 2 8" xfId="4572" xr:uid="{00000000-0005-0000-0000-000050100000}"/>
    <cellStyle name="40% - Accent1 2 4 2 9" xfId="4573" xr:uid="{00000000-0005-0000-0000-000051100000}"/>
    <cellStyle name="40% - Accent1 2 4 3" xfId="4574" xr:uid="{00000000-0005-0000-0000-000052100000}"/>
    <cellStyle name="40% - Accent1 2 4 3 2" xfId="4575" xr:uid="{00000000-0005-0000-0000-000053100000}"/>
    <cellStyle name="40% - Accent1 2 4 3 2 2" xfId="4576" xr:uid="{00000000-0005-0000-0000-000054100000}"/>
    <cellStyle name="40% - Accent1 2 4 3 2 3" xfId="4577" xr:uid="{00000000-0005-0000-0000-000055100000}"/>
    <cellStyle name="40% - Accent1 2 4 3 3" xfId="4578" xr:uid="{00000000-0005-0000-0000-000056100000}"/>
    <cellStyle name="40% - Accent1 2 4 3 3 2" xfId="4579" xr:uid="{00000000-0005-0000-0000-000057100000}"/>
    <cellStyle name="40% - Accent1 2 4 3 3 3" xfId="4580" xr:uid="{00000000-0005-0000-0000-000058100000}"/>
    <cellStyle name="40% - Accent1 2 4 3 4" xfId="4581" xr:uid="{00000000-0005-0000-0000-000059100000}"/>
    <cellStyle name="40% - Accent1 2 4 3 5" xfId="4582" xr:uid="{00000000-0005-0000-0000-00005A100000}"/>
    <cellStyle name="40% - Accent1 2 4 3 6" xfId="4583" xr:uid="{00000000-0005-0000-0000-00005B100000}"/>
    <cellStyle name="40% - Accent1 2 4 3 7" xfId="4584" xr:uid="{00000000-0005-0000-0000-00005C100000}"/>
    <cellStyle name="40% - Accent1 2 4 3 8" xfId="4585" xr:uid="{00000000-0005-0000-0000-00005D100000}"/>
    <cellStyle name="40% - Accent1 2 4 4" xfId="4586" xr:uid="{00000000-0005-0000-0000-00005E100000}"/>
    <cellStyle name="40% - Accent1 2 4 4 2" xfId="4587" xr:uid="{00000000-0005-0000-0000-00005F100000}"/>
    <cellStyle name="40% - Accent1 2 4 4 2 2" xfId="4588" xr:uid="{00000000-0005-0000-0000-000060100000}"/>
    <cellStyle name="40% - Accent1 2 4 4 2 3" xfId="4589" xr:uid="{00000000-0005-0000-0000-000061100000}"/>
    <cellStyle name="40% - Accent1 2 4 4 3" xfId="4590" xr:uid="{00000000-0005-0000-0000-000062100000}"/>
    <cellStyle name="40% - Accent1 2 4 4 3 2" xfId="4591" xr:uid="{00000000-0005-0000-0000-000063100000}"/>
    <cellStyle name="40% - Accent1 2 4 4 4" xfId="4592" xr:uid="{00000000-0005-0000-0000-000064100000}"/>
    <cellStyle name="40% - Accent1 2 4 5" xfId="4593" xr:uid="{00000000-0005-0000-0000-000065100000}"/>
    <cellStyle name="40% - Accent1 2 4 5 2" xfId="4594" xr:uid="{00000000-0005-0000-0000-000066100000}"/>
    <cellStyle name="40% - Accent1 2 4 5 3" xfId="4595" xr:uid="{00000000-0005-0000-0000-000067100000}"/>
    <cellStyle name="40% - Accent1 2 4 6" xfId="4596" xr:uid="{00000000-0005-0000-0000-000068100000}"/>
    <cellStyle name="40% - Accent1 2 4 6 2" xfId="4597" xr:uid="{00000000-0005-0000-0000-000069100000}"/>
    <cellStyle name="40% - Accent1 2 4 6 3" xfId="4598" xr:uid="{00000000-0005-0000-0000-00006A100000}"/>
    <cellStyle name="40% - Accent1 2 4 7" xfId="4599" xr:uid="{00000000-0005-0000-0000-00006B100000}"/>
    <cellStyle name="40% - Accent1 2 4 7 2" xfId="4600" xr:uid="{00000000-0005-0000-0000-00006C100000}"/>
    <cellStyle name="40% - Accent1 2 4 8" xfId="4601" xr:uid="{00000000-0005-0000-0000-00006D100000}"/>
    <cellStyle name="40% - Accent1 2 4 9" xfId="4602" xr:uid="{00000000-0005-0000-0000-00006E100000}"/>
    <cellStyle name="40% - Accent1 2 5" xfId="4603" xr:uid="{00000000-0005-0000-0000-00006F100000}"/>
    <cellStyle name="40% - Accent1 2 5 10" xfId="4604" xr:uid="{00000000-0005-0000-0000-000070100000}"/>
    <cellStyle name="40% - Accent1 2 5 11" xfId="4605" xr:uid="{00000000-0005-0000-0000-000071100000}"/>
    <cellStyle name="40% - Accent1 2 5 2" xfId="4606" xr:uid="{00000000-0005-0000-0000-000072100000}"/>
    <cellStyle name="40% - Accent1 2 5 2 2" xfId="4607" xr:uid="{00000000-0005-0000-0000-000073100000}"/>
    <cellStyle name="40% - Accent1 2 5 2 2 2" xfId="4608" xr:uid="{00000000-0005-0000-0000-000074100000}"/>
    <cellStyle name="40% - Accent1 2 5 2 2 2 2" xfId="4609" xr:uid="{00000000-0005-0000-0000-000075100000}"/>
    <cellStyle name="40% - Accent1 2 5 2 2 2 3" xfId="4610" xr:uid="{00000000-0005-0000-0000-000076100000}"/>
    <cellStyle name="40% - Accent1 2 5 2 2 3" xfId="4611" xr:uid="{00000000-0005-0000-0000-000077100000}"/>
    <cellStyle name="40% - Accent1 2 5 2 2 3 2" xfId="4612" xr:uid="{00000000-0005-0000-0000-000078100000}"/>
    <cellStyle name="40% - Accent1 2 5 2 2 3 3" xfId="4613" xr:uid="{00000000-0005-0000-0000-000079100000}"/>
    <cellStyle name="40% - Accent1 2 5 2 2 4" xfId="4614" xr:uid="{00000000-0005-0000-0000-00007A100000}"/>
    <cellStyle name="40% - Accent1 2 5 2 2 5" xfId="4615" xr:uid="{00000000-0005-0000-0000-00007B100000}"/>
    <cellStyle name="40% - Accent1 2 5 2 2 6" xfId="4616" xr:uid="{00000000-0005-0000-0000-00007C100000}"/>
    <cellStyle name="40% - Accent1 2 5 2 2 7" xfId="4617" xr:uid="{00000000-0005-0000-0000-00007D100000}"/>
    <cellStyle name="40% - Accent1 2 5 2 2 8" xfId="4618" xr:uid="{00000000-0005-0000-0000-00007E100000}"/>
    <cellStyle name="40% - Accent1 2 5 2 3" xfId="4619" xr:uid="{00000000-0005-0000-0000-00007F100000}"/>
    <cellStyle name="40% - Accent1 2 5 2 3 2" xfId="4620" xr:uid="{00000000-0005-0000-0000-000080100000}"/>
    <cellStyle name="40% - Accent1 2 5 2 3 2 2" xfId="4621" xr:uid="{00000000-0005-0000-0000-000081100000}"/>
    <cellStyle name="40% - Accent1 2 5 2 3 2 3" xfId="4622" xr:uid="{00000000-0005-0000-0000-000082100000}"/>
    <cellStyle name="40% - Accent1 2 5 2 3 3" xfId="4623" xr:uid="{00000000-0005-0000-0000-000083100000}"/>
    <cellStyle name="40% - Accent1 2 5 2 3 3 2" xfId="4624" xr:uid="{00000000-0005-0000-0000-000084100000}"/>
    <cellStyle name="40% - Accent1 2 5 2 3 4" xfId="4625" xr:uid="{00000000-0005-0000-0000-000085100000}"/>
    <cellStyle name="40% - Accent1 2 5 2 4" xfId="4626" xr:uid="{00000000-0005-0000-0000-000086100000}"/>
    <cellStyle name="40% - Accent1 2 5 2 4 2" xfId="4627" xr:uid="{00000000-0005-0000-0000-000087100000}"/>
    <cellStyle name="40% - Accent1 2 5 2 4 3" xfId="4628" xr:uid="{00000000-0005-0000-0000-000088100000}"/>
    <cellStyle name="40% - Accent1 2 5 2 5" xfId="4629" xr:uid="{00000000-0005-0000-0000-000089100000}"/>
    <cellStyle name="40% - Accent1 2 5 2 6" xfId="4630" xr:uid="{00000000-0005-0000-0000-00008A100000}"/>
    <cellStyle name="40% - Accent1 2 5 2 6 2" xfId="4631" xr:uid="{00000000-0005-0000-0000-00008B100000}"/>
    <cellStyle name="40% - Accent1 2 5 2 7" xfId="4632" xr:uid="{00000000-0005-0000-0000-00008C100000}"/>
    <cellStyle name="40% - Accent1 2 5 2 8" xfId="4633" xr:uid="{00000000-0005-0000-0000-00008D100000}"/>
    <cellStyle name="40% - Accent1 2 5 2 9" xfId="4634" xr:uid="{00000000-0005-0000-0000-00008E100000}"/>
    <cellStyle name="40% - Accent1 2 5 3" xfId="4635" xr:uid="{00000000-0005-0000-0000-00008F100000}"/>
    <cellStyle name="40% - Accent1 2 5 3 2" xfId="4636" xr:uid="{00000000-0005-0000-0000-000090100000}"/>
    <cellStyle name="40% - Accent1 2 5 3 2 2" xfId="4637" xr:uid="{00000000-0005-0000-0000-000091100000}"/>
    <cellStyle name="40% - Accent1 2 5 3 2 3" xfId="4638" xr:uid="{00000000-0005-0000-0000-000092100000}"/>
    <cellStyle name="40% - Accent1 2 5 3 3" xfId="4639" xr:uid="{00000000-0005-0000-0000-000093100000}"/>
    <cellStyle name="40% - Accent1 2 5 3 3 2" xfId="4640" xr:uid="{00000000-0005-0000-0000-000094100000}"/>
    <cellStyle name="40% - Accent1 2 5 3 3 3" xfId="4641" xr:uid="{00000000-0005-0000-0000-000095100000}"/>
    <cellStyle name="40% - Accent1 2 5 3 4" xfId="4642" xr:uid="{00000000-0005-0000-0000-000096100000}"/>
    <cellStyle name="40% - Accent1 2 5 3 5" xfId="4643" xr:uid="{00000000-0005-0000-0000-000097100000}"/>
    <cellStyle name="40% - Accent1 2 5 3 6" xfId="4644" xr:uid="{00000000-0005-0000-0000-000098100000}"/>
    <cellStyle name="40% - Accent1 2 5 3 7" xfId="4645" xr:uid="{00000000-0005-0000-0000-000099100000}"/>
    <cellStyle name="40% - Accent1 2 5 3 8" xfId="4646" xr:uid="{00000000-0005-0000-0000-00009A100000}"/>
    <cellStyle name="40% - Accent1 2 5 4" xfId="4647" xr:uid="{00000000-0005-0000-0000-00009B100000}"/>
    <cellStyle name="40% - Accent1 2 5 4 2" xfId="4648" xr:uid="{00000000-0005-0000-0000-00009C100000}"/>
    <cellStyle name="40% - Accent1 2 5 4 2 2" xfId="4649" xr:uid="{00000000-0005-0000-0000-00009D100000}"/>
    <cellStyle name="40% - Accent1 2 5 4 2 3" xfId="4650" xr:uid="{00000000-0005-0000-0000-00009E100000}"/>
    <cellStyle name="40% - Accent1 2 5 4 3" xfId="4651" xr:uid="{00000000-0005-0000-0000-00009F100000}"/>
    <cellStyle name="40% - Accent1 2 5 4 3 2" xfId="4652" xr:uid="{00000000-0005-0000-0000-0000A0100000}"/>
    <cellStyle name="40% - Accent1 2 5 4 4" xfId="4653" xr:uid="{00000000-0005-0000-0000-0000A1100000}"/>
    <cellStyle name="40% - Accent1 2 5 5" xfId="4654" xr:uid="{00000000-0005-0000-0000-0000A2100000}"/>
    <cellStyle name="40% - Accent1 2 5 5 2" xfId="4655" xr:uid="{00000000-0005-0000-0000-0000A3100000}"/>
    <cellStyle name="40% - Accent1 2 5 5 3" xfId="4656" xr:uid="{00000000-0005-0000-0000-0000A4100000}"/>
    <cellStyle name="40% - Accent1 2 5 6" xfId="4657" xr:uid="{00000000-0005-0000-0000-0000A5100000}"/>
    <cellStyle name="40% - Accent1 2 5 6 2" xfId="4658" xr:uid="{00000000-0005-0000-0000-0000A6100000}"/>
    <cellStyle name="40% - Accent1 2 5 6 3" xfId="4659" xr:uid="{00000000-0005-0000-0000-0000A7100000}"/>
    <cellStyle name="40% - Accent1 2 5 7" xfId="4660" xr:uid="{00000000-0005-0000-0000-0000A8100000}"/>
    <cellStyle name="40% - Accent1 2 5 7 2" xfId="4661" xr:uid="{00000000-0005-0000-0000-0000A9100000}"/>
    <cellStyle name="40% - Accent1 2 5 8" xfId="4662" xr:uid="{00000000-0005-0000-0000-0000AA100000}"/>
    <cellStyle name="40% - Accent1 2 5 9" xfId="4663" xr:uid="{00000000-0005-0000-0000-0000AB100000}"/>
    <cellStyle name="40% - Accent1 2 6" xfId="4664" xr:uid="{00000000-0005-0000-0000-0000AC100000}"/>
    <cellStyle name="40% - Accent1 2 6 10" xfId="4665" xr:uid="{00000000-0005-0000-0000-0000AD100000}"/>
    <cellStyle name="40% - Accent1 2 6 11" xfId="4666" xr:uid="{00000000-0005-0000-0000-0000AE100000}"/>
    <cellStyle name="40% - Accent1 2 6 2" xfId="4667" xr:uid="{00000000-0005-0000-0000-0000AF100000}"/>
    <cellStyle name="40% - Accent1 2 6 2 2" xfId="4668" xr:uid="{00000000-0005-0000-0000-0000B0100000}"/>
    <cellStyle name="40% - Accent1 2 6 2 2 2" xfId="4669" xr:uid="{00000000-0005-0000-0000-0000B1100000}"/>
    <cellStyle name="40% - Accent1 2 6 2 2 2 2" xfId="4670" xr:uid="{00000000-0005-0000-0000-0000B2100000}"/>
    <cellStyle name="40% - Accent1 2 6 2 2 2 3" xfId="4671" xr:uid="{00000000-0005-0000-0000-0000B3100000}"/>
    <cellStyle name="40% - Accent1 2 6 2 2 3" xfId="4672" xr:uid="{00000000-0005-0000-0000-0000B4100000}"/>
    <cellStyle name="40% - Accent1 2 6 2 2 3 2" xfId="4673" xr:uid="{00000000-0005-0000-0000-0000B5100000}"/>
    <cellStyle name="40% - Accent1 2 6 2 2 3 3" xfId="4674" xr:uid="{00000000-0005-0000-0000-0000B6100000}"/>
    <cellStyle name="40% - Accent1 2 6 2 2 4" xfId="4675" xr:uid="{00000000-0005-0000-0000-0000B7100000}"/>
    <cellStyle name="40% - Accent1 2 6 2 2 5" xfId="4676" xr:uid="{00000000-0005-0000-0000-0000B8100000}"/>
    <cellStyle name="40% - Accent1 2 6 2 2 6" xfId="4677" xr:uid="{00000000-0005-0000-0000-0000B9100000}"/>
    <cellStyle name="40% - Accent1 2 6 2 2 7" xfId="4678" xr:uid="{00000000-0005-0000-0000-0000BA100000}"/>
    <cellStyle name="40% - Accent1 2 6 2 2 8" xfId="4679" xr:uid="{00000000-0005-0000-0000-0000BB100000}"/>
    <cellStyle name="40% - Accent1 2 6 2 3" xfId="4680" xr:uid="{00000000-0005-0000-0000-0000BC100000}"/>
    <cellStyle name="40% - Accent1 2 6 2 3 2" xfId="4681" xr:uid="{00000000-0005-0000-0000-0000BD100000}"/>
    <cellStyle name="40% - Accent1 2 6 2 3 2 2" xfId="4682" xr:uid="{00000000-0005-0000-0000-0000BE100000}"/>
    <cellStyle name="40% - Accent1 2 6 2 3 2 3" xfId="4683" xr:uid="{00000000-0005-0000-0000-0000BF100000}"/>
    <cellStyle name="40% - Accent1 2 6 2 3 3" xfId="4684" xr:uid="{00000000-0005-0000-0000-0000C0100000}"/>
    <cellStyle name="40% - Accent1 2 6 2 3 3 2" xfId="4685" xr:uid="{00000000-0005-0000-0000-0000C1100000}"/>
    <cellStyle name="40% - Accent1 2 6 2 3 4" xfId="4686" xr:uid="{00000000-0005-0000-0000-0000C2100000}"/>
    <cellStyle name="40% - Accent1 2 6 2 4" xfId="4687" xr:uid="{00000000-0005-0000-0000-0000C3100000}"/>
    <cellStyle name="40% - Accent1 2 6 2 4 2" xfId="4688" xr:uid="{00000000-0005-0000-0000-0000C4100000}"/>
    <cellStyle name="40% - Accent1 2 6 2 4 3" xfId="4689" xr:uid="{00000000-0005-0000-0000-0000C5100000}"/>
    <cellStyle name="40% - Accent1 2 6 2 5" xfId="4690" xr:uid="{00000000-0005-0000-0000-0000C6100000}"/>
    <cellStyle name="40% - Accent1 2 6 2 6" xfId="4691" xr:uid="{00000000-0005-0000-0000-0000C7100000}"/>
    <cellStyle name="40% - Accent1 2 6 2 6 2" xfId="4692" xr:uid="{00000000-0005-0000-0000-0000C8100000}"/>
    <cellStyle name="40% - Accent1 2 6 2 7" xfId="4693" xr:uid="{00000000-0005-0000-0000-0000C9100000}"/>
    <cellStyle name="40% - Accent1 2 6 2 8" xfId="4694" xr:uid="{00000000-0005-0000-0000-0000CA100000}"/>
    <cellStyle name="40% - Accent1 2 6 2 9" xfId="4695" xr:uid="{00000000-0005-0000-0000-0000CB100000}"/>
    <cellStyle name="40% - Accent1 2 6 3" xfId="4696" xr:uid="{00000000-0005-0000-0000-0000CC100000}"/>
    <cellStyle name="40% - Accent1 2 6 3 2" xfId="4697" xr:uid="{00000000-0005-0000-0000-0000CD100000}"/>
    <cellStyle name="40% - Accent1 2 6 3 2 2" xfId="4698" xr:uid="{00000000-0005-0000-0000-0000CE100000}"/>
    <cellStyle name="40% - Accent1 2 6 3 2 3" xfId="4699" xr:uid="{00000000-0005-0000-0000-0000CF100000}"/>
    <cellStyle name="40% - Accent1 2 6 3 3" xfId="4700" xr:uid="{00000000-0005-0000-0000-0000D0100000}"/>
    <cellStyle name="40% - Accent1 2 6 3 3 2" xfId="4701" xr:uid="{00000000-0005-0000-0000-0000D1100000}"/>
    <cellStyle name="40% - Accent1 2 6 3 3 3" xfId="4702" xr:uid="{00000000-0005-0000-0000-0000D2100000}"/>
    <cellStyle name="40% - Accent1 2 6 3 4" xfId="4703" xr:uid="{00000000-0005-0000-0000-0000D3100000}"/>
    <cellStyle name="40% - Accent1 2 6 3 5" xfId="4704" xr:uid="{00000000-0005-0000-0000-0000D4100000}"/>
    <cellStyle name="40% - Accent1 2 6 3 6" xfId="4705" xr:uid="{00000000-0005-0000-0000-0000D5100000}"/>
    <cellStyle name="40% - Accent1 2 6 3 7" xfId="4706" xr:uid="{00000000-0005-0000-0000-0000D6100000}"/>
    <cellStyle name="40% - Accent1 2 6 3 8" xfId="4707" xr:uid="{00000000-0005-0000-0000-0000D7100000}"/>
    <cellStyle name="40% - Accent1 2 6 4" xfId="4708" xr:uid="{00000000-0005-0000-0000-0000D8100000}"/>
    <cellStyle name="40% - Accent1 2 6 4 2" xfId="4709" xr:uid="{00000000-0005-0000-0000-0000D9100000}"/>
    <cellStyle name="40% - Accent1 2 6 4 2 2" xfId="4710" xr:uid="{00000000-0005-0000-0000-0000DA100000}"/>
    <cellStyle name="40% - Accent1 2 6 4 2 3" xfId="4711" xr:uid="{00000000-0005-0000-0000-0000DB100000}"/>
    <cellStyle name="40% - Accent1 2 6 4 3" xfId="4712" xr:uid="{00000000-0005-0000-0000-0000DC100000}"/>
    <cellStyle name="40% - Accent1 2 6 4 3 2" xfId="4713" xr:uid="{00000000-0005-0000-0000-0000DD100000}"/>
    <cellStyle name="40% - Accent1 2 6 4 4" xfId="4714" xr:uid="{00000000-0005-0000-0000-0000DE100000}"/>
    <cellStyle name="40% - Accent1 2 6 5" xfId="4715" xr:uid="{00000000-0005-0000-0000-0000DF100000}"/>
    <cellStyle name="40% - Accent1 2 6 5 2" xfId="4716" xr:uid="{00000000-0005-0000-0000-0000E0100000}"/>
    <cellStyle name="40% - Accent1 2 6 5 3" xfId="4717" xr:uid="{00000000-0005-0000-0000-0000E1100000}"/>
    <cellStyle name="40% - Accent1 2 6 6" xfId="4718" xr:uid="{00000000-0005-0000-0000-0000E2100000}"/>
    <cellStyle name="40% - Accent1 2 6 6 2" xfId="4719" xr:uid="{00000000-0005-0000-0000-0000E3100000}"/>
    <cellStyle name="40% - Accent1 2 6 6 3" xfId="4720" xr:uid="{00000000-0005-0000-0000-0000E4100000}"/>
    <cellStyle name="40% - Accent1 2 6 7" xfId="4721" xr:uid="{00000000-0005-0000-0000-0000E5100000}"/>
    <cellStyle name="40% - Accent1 2 6 7 2" xfId="4722" xr:uid="{00000000-0005-0000-0000-0000E6100000}"/>
    <cellStyle name="40% - Accent1 2 6 8" xfId="4723" xr:uid="{00000000-0005-0000-0000-0000E7100000}"/>
    <cellStyle name="40% - Accent1 2 6 9" xfId="4724" xr:uid="{00000000-0005-0000-0000-0000E8100000}"/>
    <cellStyle name="40% - Accent1 2 7" xfId="4725" xr:uid="{00000000-0005-0000-0000-0000E9100000}"/>
    <cellStyle name="40% - Accent1 2 7 2" xfId="4726" xr:uid="{00000000-0005-0000-0000-0000EA100000}"/>
    <cellStyle name="40% - Accent1 2 7 2 2" xfId="4727" xr:uid="{00000000-0005-0000-0000-0000EB100000}"/>
    <cellStyle name="40% - Accent1 2 7 2 3" xfId="4728" xr:uid="{00000000-0005-0000-0000-0000EC100000}"/>
    <cellStyle name="40% - Accent1 2 7 3" xfId="4729" xr:uid="{00000000-0005-0000-0000-0000ED100000}"/>
    <cellStyle name="40% - Accent1 2 7 3 2" xfId="4730" xr:uid="{00000000-0005-0000-0000-0000EE100000}"/>
    <cellStyle name="40% - Accent1 2 7 4" xfId="4731" xr:uid="{00000000-0005-0000-0000-0000EF100000}"/>
    <cellStyle name="40% - Accent1 2 8" xfId="4732" xr:uid="{00000000-0005-0000-0000-0000F0100000}"/>
    <cellStyle name="40% - Accent1 2 8 2" xfId="4733" xr:uid="{00000000-0005-0000-0000-0000F1100000}"/>
    <cellStyle name="40% - Accent1 2 8 3" xfId="4734" xr:uid="{00000000-0005-0000-0000-0000F2100000}"/>
    <cellStyle name="40% - Accent1 2 9" xfId="4735" xr:uid="{00000000-0005-0000-0000-0000F3100000}"/>
    <cellStyle name="40% - Accent1 2 9 2" xfId="4736" xr:uid="{00000000-0005-0000-0000-0000F4100000}"/>
    <cellStyle name="40% - Accent1 2 9 3" xfId="4737" xr:uid="{00000000-0005-0000-0000-0000F5100000}"/>
    <cellStyle name="40% - Accent1 2_Dec monthly report" xfId="4738" xr:uid="{00000000-0005-0000-0000-0000F6100000}"/>
    <cellStyle name="40% - Accent1 20" xfId="4739" xr:uid="{00000000-0005-0000-0000-0000F7100000}"/>
    <cellStyle name="40% - Accent1 20 2" xfId="4740" xr:uid="{00000000-0005-0000-0000-0000F8100000}"/>
    <cellStyle name="40% - Accent1 20 3" xfId="4741" xr:uid="{00000000-0005-0000-0000-0000F9100000}"/>
    <cellStyle name="40% - Accent1 21" xfId="4742" xr:uid="{00000000-0005-0000-0000-0000FA100000}"/>
    <cellStyle name="40% - Accent1 21 2" xfId="4743" xr:uid="{00000000-0005-0000-0000-0000FB100000}"/>
    <cellStyle name="40% - Accent1 21 3" xfId="4744" xr:uid="{00000000-0005-0000-0000-0000FC100000}"/>
    <cellStyle name="40% - Accent1 22" xfId="4745" xr:uid="{00000000-0005-0000-0000-0000FD100000}"/>
    <cellStyle name="40% - Accent1 23" xfId="4746" xr:uid="{00000000-0005-0000-0000-0000FE100000}"/>
    <cellStyle name="40% - Accent1 24" xfId="4747" xr:uid="{00000000-0005-0000-0000-0000FF100000}"/>
    <cellStyle name="40% - Accent1 3" xfId="4748" xr:uid="{00000000-0005-0000-0000-000000110000}"/>
    <cellStyle name="40% - Accent1 3 10" xfId="4749" xr:uid="{00000000-0005-0000-0000-000001110000}"/>
    <cellStyle name="40% - Accent1 3 11" xfId="4750" xr:uid="{00000000-0005-0000-0000-000002110000}"/>
    <cellStyle name="40% - Accent1 3 12" xfId="4751" xr:uid="{00000000-0005-0000-0000-000003110000}"/>
    <cellStyle name="40% - Accent1 3 13" xfId="4752" xr:uid="{00000000-0005-0000-0000-000004110000}"/>
    <cellStyle name="40% - Accent1 3 14" xfId="4753" xr:uid="{00000000-0005-0000-0000-000005110000}"/>
    <cellStyle name="40% - Accent1 3 2" xfId="4754" xr:uid="{00000000-0005-0000-0000-000006110000}"/>
    <cellStyle name="40% - Accent1 3 2 2" xfId="4755" xr:uid="{00000000-0005-0000-0000-000007110000}"/>
    <cellStyle name="40% - Accent1 3 2 2 10" xfId="4756" xr:uid="{00000000-0005-0000-0000-000008110000}"/>
    <cellStyle name="40% - Accent1 3 2 2 2" xfId="4757" xr:uid="{00000000-0005-0000-0000-000009110000}"/>
    <cellStyle name="40% - Accent1 3 2 2 2 2" xfId="4758" xr:uid="{00000000-0005-0000-0000-00000A110000}"/>
    <cellStyle name="40% - Accent1 3 2 2 2 2 2" xfId="4759" xr:uid="{00000000-0005-0000-0000-00000B110000}"/>
    <cellStyle name="40% - Accent1 3 2 2 2 2 3" xfId="4760" xr:uid="{00000000-0005-0000-0000-00000C110000}"/>
    <cellStyle name="40% - Accent1 3 2 2 2 3" xfId="4761" xr:uid="{00000000-0005-0000-0000-00000D110000}"/>
    <cellStyle name="40% - Accent1 3 2 2 2 3 2" xfId="4762" xr:uid="{00000000-0005-0000-0000-00000E110000}"/>
    <cellStyle name="40% - Accent1 3 2 2 2 3 3" xfId="4763" xr:uid="{00000000-0005-0000-0000-00000F110000}"/>
    <cellStyle name="40% - Accent1 3 2 2 2 4" xfId="4764" xr:uid="{00000000-0005-0000-0000-000010110000}"/>
    <cellStyle name="40% - Accent1 3 2 2 2 5" xfId="4765" xr:uid="{00000000-0005-0000-0000-000011110000}"/>
    <cellStyle name="40% - Accent1 3 2 2 2 6" xfId="4766" xr:uid="{00000000-0005-0000-0000-000012110000}"/>
    <cellStyle name="40% - Accent1 3 2 2 2 7" xfId="4767" xr:uid="{00000000-0005-0000-0000-000013110000}"/>
    <cellStyle name="40% - Accent1 3 2 2 2 8" xfId="4768" xr:uid="{00000000-0005-0000-0000-000014110000}"/>
    <cellStyle name="40% - Accent1 3 2 2 3" xfId="4769" xr:uid="{00000000-0005-0000-0000-000015110000}"/>
    <cellStyle name="40% - Accent1 3 2 2 3 2" xfId="4770" xr:uid="{00000000-0005-0000-0000-000016110000}"/>
    <cellStyle name="40% - Accent1 3 2 2 3 3" xfId="4771" xr:uid="{00000000-0005-0000-0000-000017110000}"/>
    <cellStyle name="40% - Accent1 3 2 2 4" xfId="4772" xr:uid="{00000000-0005-0000-0000-000018110000}"/>
    <cellStyle name="40% - Accent1 3 2 2 4 2" xfId="4773" xr:uid="{00000000-0005-0000-0000-000019110000}"/>
    <cellStyle name="40% - Accent1 3 2 2 4 3" xfId="4774" xr:uid="{00000000-0005-0000-0000-00001A110000}"/>
    <cellStyle name="40% - Accent1 3 2 2 5" xfId="4775" xr:uid="{00000000-0005-0000-0000-00001B110000}"/>
    <cellStyle name="40% - Accent1 3 2 2 5 2" xfId="4776" xr:uid="{00000000-0005-0000-0000-00001C110000}"/>
    <cellStyle name="40% - Accent1 3 2 2 5 3" xfId="4777" xr:uid="{00000000-0005-0000-0000-00001D110000}"/>
    <cellStyle name="40% - Accent1 3 2 2 6" xfId="4778" xr:uid="{00000000-0005-0000-0000-00001E110000}"/>
    <cellStyle name="40% - Accent1 3 2 2 7" xfId="4779" xr:uid="{00000000-0005-0000-0000-00001F110000}"/>
    <cellStyle name="40% - Accent1 3 2 2 8" xfId="4780" xr:uid="{00000000-0005-0000-0000-000020110000}"/>
    <cellStyle name="40% - Accent1 3 2 2 9" xfId="4781" xr:uid="{00000000-0005-0000-0000-000021110000}"/>
    <cellStyle name="40% - Accent1 3 2 3" xfId="4782" xr:uid="{00000000-0005-0000-0000-000022110000}"/>
    <cellStyle name="40% - Accent1 3 2 3 2" xfId="4783" xr:uid="{00000000-0005-0000-0000-000023110000}"/>
    <cellStyle name="40% - Accent1 3 2 3 2 2" xfId="4784" xr:uid="{00000000-0005-0000-0000-000024110000}"/>
    <cellStyle name="40% - Accent1 3 2 3 2 3" xfId="4785" xr:uid="{00000000-0005-0000-0000-000025110000}"/>
    <cellStyle name="40% - Accent1 3 2 3 3" xfId="4786" xr:uid="{00000000-0005-0000-0000-000026110000}"/>
    <cellStyle name="40% - Accent1 3 2 3 3 2" xfId="4787" xr:uid="{00000000-0005-0000-0000-000027110000}"/>
    <cellStyle name="40% - Accent1 3 2 3 4" xfId="4788" xr:uid="{00000000-0005-0000-0000-000028110000}"/>
    <cellStyle name="40% - Accent1 3 2 4" xfId="4789" xr:uid="{00000000-0005-0000-0000-000029110000}"/>
    <cellStyle name="40% - Accent1 3 2 4 2" xfId="4790" xr:uid="{00000000-0005-0000-0000-00002A110000}"/>
    <cellStyle name="40% - Accent1 3 2 4 3" xfId="4791" xr:uid="{00000000-0005-0000-0000-00002B110000}"/>
    <cellStyle name="40% - Accent1 3 2 5" xfId="4792" xr:uid="{00000000-0005-0000-0000-00002C110000}"/>
    <cellStyle name="40% - Accent1 3 2 5 2" xfId="4793" xr:uid="{00000000-0005-0000-0000-00002D110000}"/>
    <cellStyle name="40% - Accent1 3 2 5 3" xfId="4794" xr:uid="{00000000-0005-0000-0000-00002E110000}"/>
    <cellStyle name="40% - Accent1 3 2 6" xfId="4795" xr:uid="{00000000-0005-0000-0000-00002F110000}"/>
    <cellStyle name="40% - Accent1 3 2 7" xfId="4796" xr:uid="{00000000-0005-0000-0000-000030110000}"/>
    <cellStyle name="40% - Accent1 3 2 8" xfId="4797" xr:uid="{00000000-0005-0000-0000-000031110000}"/>
    <cellStyle name="40% - Accent1 3 2 9" xfId="4798" xr:uid="{00000000-0005-0000-0000-000032110000}"/>
    <cellStyle name="40% - Accent1 3 3" xfId="4799" xr:uid="{00000000-0005-0000-0000-000033110000}"/>
    <cellStyle name="40% - Accent1 3 3 2" xfId="4800" xr:uid="{00000000-0005-0000-0000-000034110000}"/>
    <cellStyle name="40% - Accent1 3 3 2 2" xfId="4801" xr:uid="{00000000-0005-0000-0000-000035110000}"/>
    <cellStyle name="40% - Accent1 3 3 2 3" xfId="4802" xr:uid="{00000000-0005-0000-0000-000036110000}"/>
    <cellStyle name="40% - Accent1 3 3 2 3 2" xfId="4803" xr:uid="{00000000-0005-0000-0000-000037110000}"/>
    <cellStyle name="40% - Accent1 3 3 3" xfId="4804" xr:uid="{00000000-0005-0000-0000-000038110000}"/>
    <cellStyle name="40% - Accent1 3 3 3 2" xfId="4805" xr:uid="{00000000-0005-0000-0000-000039110000}"/>
    <cellStyle name="40% - Accent1 3 3 3 3" xfId="4806" xr:uid="{00000000-0005-0000-0000-00003A110000}"/>
    <cellStyle name="40% - Accent1 3 3 4" xfId="4807" xr:uid="{00000000-0005-0000-0000-00003B110000}"/>
    <cellStyle name="40% - Accent1 3 3 4 2" xfId="4808" xr:uid="{00000000-0005-0000-0000-00003C110000}"/>
    <cellStyle name="40% - Accent1 3 3 5" xfId="4809" xr:uid="{00000000-0005-0000-0000-00003D110000}"/>
    <cellStyle name="40% - Accent1 3 3 6" xfId="4810" xr:uid="{00000000-0005-0000-0000-00003E110000}"/>
    <cellStyle name="40% - Accent1 3 3 7" xfId="4811" xr:uid="{00000000-0005-0000-0000-00003F110000}"/>
    <cellStyle name="40% - Accent1 3 3 8" xfId="4812" xr:uid="{00000000-0005-0000-0000-000040110000}"/>
    <cellStyle name="40% - Accent1 3 4" xfId="4813" xr:uid="{00000000-0005-0000-0000-000041110000}"/>
    <cellStyle name="40% - Accent1 3 4 2" xfId="4814" xr:uid="{00000000-0005-0000-0000-000042110000}"/>
    <cellStyle name="40% - Accent1 3 4 2 2" xfId="4815" xr:uid="{00000000-0005-0000-0000-000043110000}"/>
    <cellStyle name="40% - Accent1 3 4 2 3" xfId="4816" xr:uid="{00000000-0005-0000-0000-000044110000}"/>
    <cellStyle name="40% - Accent1 3 4 3" xfId="4817" xr:uid="{00000000-0005-0000-0000-000045110000}"/>
    <cellStyle name="40% - Accent1 3 4 3 2" xfId="4818" xr:uid="{00000000-0005-0000-0000-000046110000}"/>
    <cellStyle name="40% - Accent1 3 4 3 3" xfId="4819" xr:uid="{00000000-0005-0000-0000-000047110000}"/>
    <cellStyle name="40% - Accent1 3 4 4" xfId="4820" xr:uid="{00000000-0005-0000-0000-000048110000}"/>
    <cellStyle name="40% - Accent1 3 4 4 2" xfId="4821" xr:uid="{00000000-0005-0000-0000-000049110000}"/>
    <cellStyle name="40% - Accent1 3 4 5" xfId="4822" xr:uid="{00000000-0005-0000-0000-00004A110000}"/>
    <cellStyle name="40% - Accent1 3 4 6" xfId="4823" xr:uid="{00000000-0005-0000-0000-00004B110000}"/>
    <cellStyle name="40% - Accent1 3 4 7" xfId="4824" xr:uid="{00000000-0005-0000-0000-00004C110000}"/>
    <cellStyle name="40% - Accent1 3 4 8" xfId="4825" xr:uid="{00000000-0005-0000-0000-00004D110000}"/>
    <cellStyle name="40% - Accent1 3 5" xfId="4826" xr:uid="{00000000-0005-0000-0000-00004E110000}"/>
    <cellStyle name="40% - Accent1 3 5 2" xfId="4827" xr:uid="{00000000-0005-0000-0000-00004F110000}"/>
    <cellStyle name="40% - Accent1 3 5 2 2" xfId="4828" xr:uid="{00000000-0005-0000-0000-000050110000}"/>
    <cellStyle name="40% - Accent1 3 5 2 3" xfId="4829" xr:uid="{00000000-0005-0000-0000-000051110000}"/>
    <cellStyle name="40% - Accent1 3 5 3" xfId="4830" xr:uid="{00000000-0005-0000-0000-000052110000}"/>
    <cellStyle name="40% - Accent1 3 5 3 2" xfId="4831" xr:uid="{00000000-0005-0000-0000-000053110000}"/>
    <cellStyle name="40% - Accent1 3 5 4" xfId="4832" xr:uid="{00000000-0005-0000-0000-000054110000}"/>
    <cellStyle name="40% - Accent1 3 5 5" xfId="4833" xr:uid="{00000000-0005-0000-0000-000055110000}"/>
    <cellStyle name="40% - Accent1 3 5 6" xfId="4834" xr:uid="{00000000-0005-0000-0000-000056110000}"/>
    <cellStyle name="40% - Accent1 3 5 7" xfId="4835" xr:uid="{00000000-0005-0000-0000-000057110000}"/>
    <cellStyle name="40% - Accent1 3 5 8" xfId="4836" xr:uid="{00000000-0005-0000-0000-000058110000}"/>
    <cellStyle name="40% - Accent1 3 6" xfId="4837" xr:uid="{00000000-0005-0000-0000-000059110000}"/>
    <cellStyle name="40% - Accent1 3 6 2" xfId="4838" xr:uid="{00000000-0005-0000-0000-00005A110000}"/>
    <cellStyle name="40% - Accent1 3 6 3" xfId="4839" xr:uid="{00000000-0005-0000-0000-00005B110000}"/>
    <cellStyle name="40% - Accent1 3 7" xfId="4840" xr:uid="{00000000-0005-0000-0000-00005C110000}"/>
    <cellStyle name="40% - Accent1 3 7 2" xfId="4841" xr:uid="{00000000-0005-0000-0000-00005D110000}"/>
    <cellStyle name="40% - Accent1 3 7 3" xfId="4842" xr:uid="{00000000-0005-0000-0000-00005E110000}"/>
    <cellStyle name="40% - Accent1 3 8" xfId="4843" xr:uid="{00000000-0005-0000-0000-00005F110000}"/>
    <cellStyle name="40% - Accent1 3 8 2" xfId="4844" xr:uid="{00000000-0005-0000-0000-000060110000}"/>
    <cellStyle name="40% - Accent1 3 8 3" xfId="4845" xr:uid="{00000000-0005-0000-0000-000061110000}"/>
    <cellStyle name="40% - Accent1 3 9" xfId="4846" xr:uid="{00000000-0005-0000-0000-000062110000}"/>
    <cellStyle name="40% - Accent1 3 9 2" xfId="4847" xr:uid="{00000000-0005-0000-0000-000063110000}"/>
    <cellStyle name="40% - Accent1 3 9 3" xfId="4848" xr:uid="{00000000-0005-0000-0000-000064110000}"/>
    <cellStyle name="40% - Accent1 4" xfId="4849" xr:uid="{00000000-0005-0000-0000-000065110000}"/>
    <cellStyle name="40% - Accent1 4 10" xfId="4850" xr:uid="{00000000-0005-0000-0000-000066110000}"/>
    <cellStyle name="40% - Accent1 4 11" xfId="4851" xr:uid="{00000000-0005-0000-0000-000067110000}"/>
    <cellStyle name="40% - Accent1 4 12" xfId="4852" xr:uid="{00000000-0005-0000-0000-000068110000}"/>
    <cellStyle name="40% - Accent1 4 13" xfId="4853" xr:uid="{00000000-0005-0000-0000-000069110000}"/>
    <cellStyle name="40% - Accent1 4 2" xfId="4854" xr:uid="{00000000-0005-0000-0000-00006A110000}"/>
    <cellStyle name="40% - Accent1 4 2 2" xfId="4855" xr:uid="{00000000-0005-0000-0000-00006B110000}"/>
    <cellStyle name="40% - Accent1 4 2 2 2" xfId="4856" xr:uid="{00000000-0005-0000-0000-00006C110000}"/>
    <cellStyle name="40% - Accent1 4 2 2 2 2" xfId="4857" xr:uid="{00000000-0005-0000-0000-00006D110000}"/>
    <cellStyle name="40% - Accent1 4 2 2 2 2 2" xfId="4858" xr:uid="{00000000-0005-0000-0000-00006E110000}"/>
    <cellStyle name="40% - Accent1 4 2 2 2 2 3" xfId="4859" xr:uid="{00000000-0005-0000-0000-00006F110000}"/>
    <cellStyle name="40% - Accent1 4 2 2 2 3" xfId="4860" xr:uid="{00000000-0005-0000-0000-000070110000}"/>
    <cellStyle name="40% - Accent1 4 2 2 2 3 2" xfId="4861" xr:uid="{00000000-0005-0000-0000-000071110000}"/>
    <cellStyle name="40% - Accent1 4 2 2 2 3 3" xfId="4862" xr:uid="{00000000-0005-0000-0000-000072110000}"/>
    <cellStyle name="40% - Accent1 4 2 2 2 4" xfId="4863" xr:uid="{00000000-0005-0000-0000-000073110000}"/>
    <cellStyle name="40% - Accent1 4 2 2 2 5" xfId="4864" xr:uid="{00000000-0005-0000-0000-000074110000}"/>
    <cellStyle name="40% - Accent1 4 2 2 2 6" xfId="4865" xr:uid="{00000000-0005-0000-0000-000075110000}"/>
    <cellStyle name="40% - Accent1 4 2 2 2 7" xfId="4866" xr:uid="{00000000-0005-0000-0000-000076110000}"/>
    <cellStyle name="40% - Accent1 4 2 2 2 8" xfId="4867" xr:uid="{00000000-0005-0000-0000-000077110000}"/>
    <cellStyle name="40% - Accent1 4 2 2 3" xfId="4868" xr:uid="{00000000-0005-0000-0000-000078110000}"/>
    <cellStyle name="40% - Accent1 4 2 2 3 2" xfId="4869" xr:uid="{00000000-0005-0000-0000-000079110000}"/>
    <cellStyle name="40% - Accent1 4 2 2 3 3" xfId="4870" xr:uid="{00000000-0005-0000-0000-00007A110000}"/>
    <cellStyle name="40% - Accent1 4 2 2 4" xfId="4871" xr:uid="{00000000-0005-0000-0000-00007B110000}"/>
    <cellStyle name="40% - Accent1 4 2 2 4 2" xfId="4872" xr:uid="{00000000-0005-0000-0000-00007C110000}"/>
    <cellStyle name="40% - Accent1 4 2 2 4 3" xfId="4873" xr:uid="{00000000-0005-0000-0000-00007D110000}"/>
    <cellStyle name="40% - Accent1 4 2 2 5" xfId="4874" xr:uid="{00000000-0005-0000-0000-00007E110000}"/>
    <cellStyle name="40% - Accent1 4 2 2 5 2" xfId="4875" xr:uid="{00000000-0005-0000-0000-00007F110000}"/>
    <cellStyle name="40% - Accent1 4 2 2 6" xfId="4876" xr:uid="{00000000-0005-0000-0000-000080110000}"/>
    <cellStyle name="40% - Accent1 4 2 2 7" xfId="4877" xr:uid="{00000000-0005-0000-0000-000081110000}"/>
    <cellStyle name="40% - Accent1 4 2 2 8" xfId="4878" xr:uid="{00000000-0005-0000-0000-000082110000}"/>
    <cellStyle name="40% - Accent1 4 2 2 9" xfId="4879" xr:uid="{00000000-0005-0000-0000-000083110000}"/>
    <cellStyle name="40% - Accent1 4 2 3" xfId="4880" xr:uid="{00000000-0005-0000-0000-000084110000}"/>
    <cellStyle name="40% - Accent1 4 2 3 2" xfId="4881" xr:uid="{00000000-0005-0000-0000-000085110000}"/>
    <cellStyle name="40% - Accent1 4 2 3 2 2" xfId="4882" xr:uid="{00000000-0005-0000-0000-000086110000}"/>
    <cellStyle name="40% - Accent1 4 2 3 2 3" xfId="4883" xr:uid="{00000000-0005-0000-0000-000087110000}"/>
    <cellStyle name="40% - Accent1 4 2 3 3" xfId="4884" xr:uid="{00000000-0005-0000-0000-000088110000}"/>
    <cellStyle name="40% - Accent1 4 2 3 3 2" xfId="4885" xr:uid="{00000000-0005-0000-0000-000089110000}"/>
    <cellStyle name="40% - Accent1 4 2 3 4" xfId="4886" xr:uid="{00000000-0005-0000-0000-00008A110000}"/>
    <cellStyle name="40% - Accent1 4 2 4" xfId="4887" xr:uid="{00000000-0005-0000-0000-00008B110000}"/>
    <cellStyle name="40% - Accent1 4 2 4 2" xfId="4888" xr:uid="{00000000-0005-0000-0000-00008C110000}"/>
    <cellStyle name="40% - Accent1 4 2 4 3" xfId="4889" xr:uid="{00000000-0005-0000-0000-00008D110000}"/>
    <cellStyle name="40% - Accent1 4 2 5" xfId="4890" xr:uid="{00000000-0005-0000-0000-00008E110000}"/>
    <cellStyle name="40% - Accent1 4 2 5 2" xfId="4891" xr:uid="{00000000-0005-0000-0000-00008F110000}"/>
    <cellStyle name="40% - Accent1 4 2 5 3" xfId="4892" xr:uid="{00000000-0005-0000-0000-000090110000}"/>
    <cellStyle name="40% - Accent1 4 2 6" xfId="4893" xr:uid="{00000000-0005-0000-0000-000091110000}"/>
    <cellStyle name="40% - Accent1 4 2 7" xfId="4894" xr:uid="{00000000-0005-0000-0000-000092110000}"/>
    <cellStyle name="40% - Accent1 4 2 8" xfId="4895" xr:uid="{00000000-0005-0000-0000-000093110000}"/>
    <cellStyle name="40% - Accent1 4 2 9" xfId="4896" xr:uid="{00000000-0005-0000-0000-000094110000}"/>
    <cellStyle name="40% - Accent1 4 3" xfId="4897" xr:uid="{00000000-0005-0000-0000-000095110000}"/>
    <cellStyle name="40% - Accent1 4 3 2" xfId="4898" xr:uid="{00000000-0005-0000-0000-000096110000}"/>
    <cellStyle name="40% - Accent1 4 3 2 2" xfId="4899" xr:uid="{00000000-0005-0000-0000-000097110000}"/>
    <cellStyle name="40% - Accent1 4 3 2 3" xfId="4900" xr:uid="{00000000-0005-0000-0000-000098110000}"/>
    <cellStyle name="40% - Accent1 4 3 3" xfId="4901" xr:uid="{00000000-0005-0000-0000-000099110000}"/>
    <cellStyle name="40% - Accent1 4 3 3 2" xfId="4902" xr:uid="{00000000-0005-0000-0000-00009A110000}"/>
    <cellStyle name="40% - Accent1 4 3 3 3" xfId="4903" xr:uid="{00000000-0005-0000-0000-00009B110000}"/>
    <cellStyle name="40% - Accent1 4 3 4" xfId="4904" xr:uid="{00000000-0005-0000-0000-00009C110000}"/>
    <cellStyle name="40% - Accent1 4 3 4 2" xfId="4905" xr:uid="{00000000-0005-0000-0000-00009D110000}"/>
    <cellStyle name="40% - Accent1 4 3 5" xfId="4906" xr:uid="{00000000-0005-0000-0000-00009E110000}"/>
    <cellStyle name="40% - Accent1 4 3 6" xfId="4907" xr:uid="{00000000-0005-0000-0000-00009F110000}"/>
    <cellStyle name="40% - Accent1 4 3 7" xfId="4908" xr:uid="{00000000-0005-0000-0000-0000A0110000}"/>
    <cellStyle name="40% - Accent1 4 3 8" xfId="4909" xr:uid="{00000000-0005-0000-0000-0000A1110000}"/>
    <cellStyle name="40% - Accent1 4 4" xfId="4910" xr:uid="{00000000-0005-0000-0000-0000A2110000}"/>
    <cellStyle name="40% - Accent1 4 4 2" xfId="4911" xr:uid="{00000000-0005-0000-0000-0000A3110000}"/>
    <cellStyle name="40% - Accent1 4 4 2 2" xfId="4912" xr:uid="{00000000-0005-0000-0000-0000A4110000}"/>
    <cellStyle name="40% - Accent1 4 4 2 3" xfId="4913" xr:uid="{00000000-0005-0000-0000-0000A5110000}"/>
    <cellStyle name="40% - Accent1 4 4 3" xfId="4914" xr:uid="{00000000-0005-0000-0000-0000A6110000}"/>
    <cellStyle name="40% - Accent1 4 4 3 2" xfId="4915" xr:uid="{00000000-0005-0000-0000-0000A7110000}"/>
    <cellStyle name="40% - Accent1 4 4 3 3" xfId="4916" xr:uid="{00000000-0005-0000-0000-0000A8110000}"/>
    <cellStyle name="40% - Accent1 4 4 4" xfId="4917" xr:uid="{00000000-0005-0000-0000-0000A9110000}"/>
    <cellStyle name="40% - Accent1 4 4 5" xfId="4918" xr:uid="{00000000-0005-0000-0000-0000AA110000}"/>
    <cellStyle name="40% - Accent1 4 4 6" xfId="4919" xr:uid="{00000000-0005-0000-0000-0000AB110000}"/>
    <cellStyle name="40% - Accent1 4 4 7" xfId="4920" xr:uid="{00000000-0005-0000-0000-0000AC110000}"/>
    <cellStyle name="40% - Accent1 4 4 8" xfId="4921" xr:uid="{00000000-0005-0000-0000-0000AD110000}"/>
    <cellStyle name="40% - Accent1 4 5" xfId="4922" xr:uid="{00000000-0005-0000-0000-0000AE110000}"/>
    <cellStyle name="40% - Accent1 4 5 2" xfId="4923" xr:uid="{00000000-0005-0000-0000-0000AF110000}"/>
    <cellStyle name="40% - Accent1 4 5 2 2" xfId="4924" xr:uid="{00000000-0005-0000-0000-0000B0110000}"/>
    <cellStyle name="40% - Accent1 4 5 2 3" xfId="4925" xr:uid="{00000000-0005-0000-0000-0000B1110000}"/>
    <cellStyle name="40% - Accent1 4 5 3" xfId="4926" xr:uid="{00000000-0005-0000-0000-0000B2110000}"/>
    <cellStyle name="40% - Accent1 4 5 3 2" xfId="4927" xr:uid="{00000000-0005-0000-0000-0000B3110000}"/>
    <cellStyle name="40% - Accent1 4 5 4" xfId="4928" xr:uid="{00000000-0005-0000-0000-0000B4110000}"/>
    <cellStyle name="40% - Accent1 4 6" xfId="4929" xr:uid="{00000000-0005-0000-0000-0000B5110000}"/>
    <cellStyle name="40% - Accent1 4 6 2" xfId="4930" xr:uid="{00000000-0005-0000-0000-0000B6110000}"/>
    <cellStyle name="40% - Accent1 4 6 3" xfId="4931" xr:uid="{00000000-0005-0000-0000-0000B7110000}"/>
    <cellStyle name="40% - Accent1 4 7" xfId="4932" xr:uid="{00000000-0005-0000-0000-0000B8110000}"/>
    <cellStyle name="40% - Accent1 4 7 2" xfId="4933" xr:uid="{00000000-0005-0000-0000-0000B9110000}"/>
    <cellStyle name="40% - Accent1 4 7 3" xfId="4934" xr:uid="{00000000-0005-0000-0000-0000BA110000}"/>
    <cellStyle name="40% - Accent1 4 8" xfId="4935" xr:uid="{00000000-0005-0000-0000-0000BB110000}"/>
    <cellStyle name="40% - Accent1 4 8 2" xfId="4936" xr:uid="{00000000-0005-0000-0000-0000BC110000}"/>
    <cellStyle name="40% - Accent1 4 8 3" xfId="4937" xr:uid="{00000000-0005-0000-0000-0000BD110000}"/>
    <cellStyle name="40% - Accent1 4 9" xfId="4938" xr:uid="{00000000-0005-0000-0000-0000BE110000}"/>
    <cellStyle name="40% - Accent1 5" xfId="4939" xr:uid="{00000000-0005-0000-0000-0000BF110000}"/>
    <cellStyle name="40% - Accent1 5 10" xfId="4940" xr:uid="{00000000-0005-0000-0000-0000C0110000}"/>
    <cellStyle name="40% - Accent1 5 11" xfId="4941" xr:uid="{00000000-0005-0000-0000-0000C1110000}"/>
    <cellStyle name="40% - Accent1 5 12" xfId="4942" xr:uid="{00000000-0005-0000-0000-0000C2110000}"/>
    <cellStyle name="40% - Accent1 5 2" xfId="4943" xr:uid="{00000000-0005-0000-0000-0000C3110000}"/>
    <cellStyle name="40% - Accent1 5 2 2" xfId="4944" xr:uid="{00000000-0005-0000-0000-0000C4110000}"/>
    <cellStyle name="40% - Accent1 5 2 2 2" xfId="4945" xr:uid="{00000000-0005-0000-0000-0000C5110000}"/>
    <cellStyle name="40% - Accent1 5 2 2 2 2" xfId="4946" xr:uid="{00000000-0005-0000-0000-0000C6110000}"/>
    <cellStyle name="40% - Accent1 5 2 2 2 2 2" xfId="4947" xr:uid="{00000000-0005-0000-0000-0000C7110000}"/>
    <cellStyle name="40% - Accent1 5 2 2 2 2 3" xfId="4948" xr:uid="{00000000-0005-0000-0000-0000C8110000}"/>
    <cellStyle name="40% - Accent1 5 2 2 2 3" xfId="4949" xr:uid="{00000000-0005-0000-0000-0000C9110000}"/>
    <cellStyle name="40% - Accent1 5 2 2 2 3 2" xfId="4950" xr:uid="{00000000-0005-0000-0000-0000CA110000}"/>
    <cellStyle name="40% - Accent1 5 2 2 2 3 3" xfId="4951" xr:uid="{00000000-0005-0000-0000-0000CB110000}"/>
    <cellStyle name="40% - Accent1 5 2 2 2 4" xfId="4952" xr:uid="{00000000-0005-0000-0000-0000CC110000}"/>
    <cellStyle name="40% - Accent1 5 2 2 2 5" xfId="4953" xr:uid="{00000000-0005-0000-0000-0000CD110000}"/>
    <cellStyle name="40% - Accent1 5 2 2 2 6" xfId="4954" xr:uid="{00000000-0005-0000-0000-0000CE110000}"/>
    <cellStyle name="40% - Accent1 5 2 2 2 7" xfId="4955" xr:uid="{00000000-0005-0000-0000-0000CF110000}"/>
    <cellStyle name="40% - Accent1 5 2 2 2 8" xfId="4956" xr:uid="{00000000-0005-0000-0000-0000D0110000}"/>
    <cellStyle name="40% - Accent1 5 2 2 3" xfId="4957" xr:uid="{00000000-0005-0000-0000-0000D1110000}"/>
    <cellStyle name="40% - Accent1 5 2 2 3 2" xfId="4958" xr:uid="{00000000-0005-0000-0000-0000D2110000}"/>
    <cellStyle name="40% - Accent1 5 2 2 3 3" xfId="4959" xr:uid="{00000000-0005-0000-0000-0000D3110000}"/>
    <cellStyle name="40% - Accent1 5 2 2 4" xfId="4960" xr:uid="{00000000-0005-0000-0000-0000D4110000}"/>
    <cellStyle name="40% - Accent1 5 2 2 4 2" xfId="4961" xr:uid="{00000000-0005-0000-0000-0000D5110000}"/>
    <cellStyle name="40% - Accent1 5 2 2 4 3" xfId="4962" xr:uid="{00000000-0005-0000-0000-0000D6110000}"/>
    <cellStyle name="40% - Accent1 5 2 2 5" xfId="4963" xr:uid="{00000000-0005-0000-0000-0000D7110000}"/>
    <cellStyle name="40% - Accent1 5 2 2 5 2" xfId="4964" xr:uid="{00000000-0005-0000-0000-0000D8110000}"/>
    <cellStyle name="40% - Accent1 5 2 2 6" xfId="4965" xr:uid="{00000000-0005-0000-0000-0000D9110000}"/>
    <cellStyle name="40% - Accent1 5 2 2 7" xfId="4966" xr:uid="{00000000-0005-0000-0000-0000DA110000}"/>
    <cellStyle name="40% - Accent1 5 2 2 8" xfId="4967" xr:uid="{00000000-0005-0000-0000-0000DB110000}"/>
    <cellStyle name="40% - Accent1 5 2 2 9" xfId="4968" xr:uid="{00000000-0005-0000-0000-0000DC110000}"/>
    <cellStyle name="40% - Accent1 5 2 3" xfId="4969" xr:uid="{00000000-0005-0000-0000-0000DD110000}"/>
    <cellStyle name="40% - Accent1 5 2 3 2" xfId="4970" xr:uid="{00000000-0005-0000-0000-0000DE110000}"/>
    <cellStyle name="40% - Accent1 5 2 3 2 2" xfId="4971" xr:uid="{00000000-0005-0000-0000-0000DF110000}"/>
    <cellStyle name="40% - Accent1 5 2 3 2 3" xfId="4972" xr:uid="{00000000-0005-0000-0000-0000E0110000}"/>
    <cellStyle name="40% - Accent1 5 2 3 3" xfId="4973" xr:uid="{00000000-0005-0000-0000-0000E1110000}"/>
    <cellStyle name="40% - Accent1 5 2 3 3 2" xfId="4974" xr:uid="{00000000-0005-0000-0000-0000E2110000}"/>
    <cellStyle name="40% - Accent1 5 2 3 4" xfId="4975" xr:uid="{00000000-0005-0000-0000-0000E3110000}"/>
    <cellStyle name="40% - Accent1 5 2 4" xfId="4976" xr:uid="{00000000-0005-0000-0000-0000E4110000}"/>
    <cellStyle name="40% - Accent1 5 2 5" xfId="4977" xr:uid="{00000000-0005-0000-0000-0000E5110000}"/>
    <cellStyle name="40% - Accent1 5 2_Dec monthly report" xfId="4978" xr:uid="{00000000-0005-0000-0000-0000E6110000}"/>
    <cellStyle name="40% - Accent1 5 3" xfId="4979" xr:uid="{00000000-0005-0000-0000-0000E7110000}"/>
    <cellStyle name="40% - Accent1 5 3 2" xfId="4980" xr:uid="{00000000-0005-0000-0000-0000E8110000}"/>
    <cellStyle name="40% - Accent1 5 3 2 2" xfId="4981" xr:uid="{00000000-0005-0000-0000-0000E9110000}"/>
    <cellStyle name="40% - Accent1 5 3 2 3" xfId="4982" xr:uid="{00000000-0005-0000-0000-0000EA110000}"/>
    <cellStyle name="40% - Accent1 5 3 3" xfId="4983" xr:uid="{00000000-0005-0000-0000-0000EB110000}"/>
    <cellStyle name="40% - Accent1 5 3 3 2" xfId="4984" xr:uid="{00000000-0005-0000-0000-0000EC110000}"/>
    <cellStyle name="40% - Accent1 5 3 3 3" xfId="4985" xr:uid="{00000000-0005-0000-0000-0000ED110000}"/>
    <cellStyle name="40% - Accent1 5 3 4" xfId="4986" xr:uid="{00000000-0005-0000-0000-0000EE110000}"/>
    <cellStyle name="40% - Accent1 5 3 4 2" xfId="4987" xr:uid="{00000000-0005-0000-0000-0000EF110000}"/>
    <cellStyle name="40% - Accent1 5 3 5" xfId="4988" xr:uid="{00000000-0005-0000-0000-0000F0110000}"/>
    <cellStyle name="40% - Accent1 5 3 6" xfId="4989" xr:uid="{00000000-0005-0000-0000-0000F1110000}"/>
    <cellStyle name="40% - Accent1 5 3 7" xfId="4990" xr:uid="{00000000-0005-0000-0000-0000F2110000}"/>
    <cellStyle name="40% - Accent1 5 3 8" xfId="4991" xr:uid="{00000000-0005-0000-0000-0000F3110000}"/>
    <cellStyle name="40% - Accent1 5 4" xfId="4992" xr:uid="{00000000-0005-0000-0000-0000F4110000}"/>
    <cellStyle name="40% - Accent1 5 4 2" xfId="4993" xr:uid="{00000000-0005-0000-0000-0000F5110000}"/>
    <cellStyle name="40% - Accent1 5 4 2 2" xfId="4994" xr:uid="{00000000-0005-0000-0000-0000F6110000}"/>
    <cellStyle name="40% - Accent1 5 4 2 3" xfId="4995" xr:uid="{00000000-0005-0000-0000-0000F7110000}"/>
    <cellStyle name="40% - Accent1 5 4 3" xfId="4996" xr:uid="{00000000-0005-0000-0000-0000F8110000}"/>
    <cellStyle name="40% - Accent1 5 4 3 2" xfId="4997" xr:uid="{00000000-0005-0000-0000-0000F9110000}"/>
    <cellStyle name="40% - Accent1 5 4 3 3" xfId="4998" xr:uid="{00000000-0005-0000-0000-0000FA110000}"/>
    <cellStyle name="40% - Accent1 5 4 4" xfId="4999" xr:uid="{00000000-0005-0000-0000-0000FB110000}"/>
    <cellStyle name="40% - Accent1 5 4 5" xfId="5000" xr:uid="{00000000-0005-0000-0000-0000FC110000}"/>
    <cellStyle name="40% - Accent1 5 4 6" xfId="5001" xr:uid="{00000000-0005-0000-0000-0000FD110000}"/>
    <cellStyle name="40% - Accent1 5 4 7" xfId="5002" xr:uid="{00000000-0005-0000-0000-0000FE110000}"/>
    <cellStyle name="40% - Accent1 5 4 8" xfId="5003" xr:uid="{00000000-0005-0000-0000-0000FF110000}"/>
    <cellStyle name="40% - Accent1 5 5" xfId="5004" xr:uid="{00000000-0005-0000-0000-000000120000}"/>
    <cellStyle name="40% - Accent1 5 5 2" xfId="5005" xr:uid="{00000000-0005-0000-0000-000001120000}"/>
    <cellStyle name="40% - Accent1 5 5 3" xfId="5006" xr:uid="{00000000-0005-0000-0000-000002120000}"/>
    <cellStyle name="40% - Accent1 5 6" xfId="5007" xr:uid="{00000000-0005-0000-0000-000003120000}"/>
    <cellStyle name="40% - Accent1 5 6 2" xfId="5008" xr:uid="{00000000-0005-0000-0000-000004120000}"/>
    <cellStyle name="40% - Accent1 5 6 3" xfId="5009" xr:uid="{00000000-0005-0000-0000-000005120000}"/>
    <cellStyle name="40% - Accent1 5 7" xfId="5010" xr:uid="{00000000-0005-0000-0000-000006120000}"/>
    <cellStyle name="40% - Accent1 5 7 2" xfId="5011" xr:uid="{00000000-0005-0000-0000-000007120000}"/>
    <cellStyle name="40% - Accent1 5 7 3" xfId="5012" xr:uid="{00000000-0005-0000-0000-000008120000}"/>
    <cellStyle name="40% - Accent1 5 8" xfId="5013" xr:uid="{00000000-0005-0000-0000-000009120000}"/>
    <cellStyle name="40% - Accent1 5 9" xfId="5014" xr:uid="{00000000-0005-0000-0000-00000A120000}"/>
    <cellStyle name="40% - Accent1 6" xfId="5015" xr:uid="{00000000-0005-0000-0000-00000B120000}"/>
    <cellStyle name="40% - Accent1 6 2" xfId="5016" xr:uid="{00000000-0005-0000-0000-00000C120000}"/>
    <cellStyle name="40% - Accent1 6 2 2" xfId="5017" xr:uid="{00000000-0005-0000-0000-00000D120000}"/>
    <cellStyle name="40% - Accent1 6 2 2 2" xfId="5018" xr:uid="{00000000-0005-0000-0000-00000E120000}"/>
    <cellStyle name="40% - Accent1 6 2 2 2 2" xfId="5019" xr:uid="{00000000-0005-0000-0000-00000F120000}"/>
    <cellStyle name="40% - Accent1 6 2 2 2 3" xfId="5020" xr:uid="{00000000-0005-0000-0000-000010120000}"/>
    <cellStyle name="40% - Accent1 6 2 2 3" xfId="5021" xr:uid="{00000000-0005-0000-0000-000011120000}"/>
    <cellStyle name="40% - Accent1 6 2 2 3 2" xfId="5022" xr:uid="{00000000-0005-0000-0000-000012120000}"/>
    <cellStyle name="40% - Accent1 6 2 2 3 3" xfId="5023" xr:uid="{00000000-0005-0000-0000-000013120000}"/>
    <cellStyle name="40% - Accent1 6 2 2 4" xfId="5024" xr:uid="{00000000-0005-0000-0000-000014120000}"/>
    <cellStyle name="40% - Accent1 6 2 2 5" xfId="5025" xr:uid="{00000000-0005-0000-0000-000015120000}"/>
    <cellStyle name="40% - Accent1 6 2 2 6" xfId="5026" xr:uid="{00000000-0005-0000-0000-000016120000}"/>
    <cellStyle name="40% - Accent1 6 2 2 7" xfId="5027" xr:uid="{00000000-0005-0000-0000-000017120000}"/>
    <cellStyle name="40% - Accent1 6 2 2 8" xfId="5028" xr:uid="{00000000-0005-0000-0000-000018120000}"/>
    <cellStyle name="40% - Accent1 6 2 3" xfId="5029" xr:uid="{00000000-0005-0000-0000-000019120000}"/>
    <cellStyle name="40% - Accent1 6 2 3 2" xfId="5030" xr:uid="{00000000-0005-0000-0000-00001A120000}"/>
    <cellStyle name="40% - Accent1 6 2 3 3" xfId="5031" xr:uid="{00000000-0005-0000-0000-00001B120000}"/>
    <cellStyle name="40% - Accent1 6 2 4" xfId="5032" xr:uid="{00000000-0005-0000-0000-00001C120000}"/>
    <cellStyle name="40% - Accent1 6 2 4 2" xfId="5033" xr:uid="{00000000-0005-0000-0000-00001D120000}"/>
    <cellStyle name="40% - Accent1 6 2 4 3" xfId="5034" xr:uid="{00000000-0005-0000-0000-00001E120000}"/>
    <cellStyle name="40% - Accent1 6 2 5" xfId="5035" xr:uid="{00000000-0005-0000-0000-00001F120000}"/>
    <cellStyle name="40% - Accent1 6 2 5 2" xfId="5036" xr:uid="{00000000-0005-0000-0000-000020120000}"/>
    <cellStyle name="40% - Accent1 6 2 6" xfId="5037" xr:uid="{00000000-0005-0000-0000-000021120000}"/>
    <cellStyle name="40% - Accent1 6 2 7" xfId="5038" xr:uid="{00000000-0005-0000-0000-000022120000}"/>
    <cellStyle name="40% - Accent1 6 2 8" xfId="5039" xr:uid="{00000000-0005-0000-0000-000023120000}"/>
    <cellStyle name="40% - Accent1 6 2 9" xfId="5040" xr:uid="{00000000-0005-0000-0000-000024120000}"/>
    <cellStyle name="40% - Accent1 6 3" xfId="5041" xr:uid="{00000000-0005-0000-0000-000025120000}"/>
    <cellStyle name="40% - Accent1 6 3 2" xfId="5042" xr:uid="{00000000-0005-0000-0000-000026120000}"/>
    <cellStyle name="40% - Accent1 6 3 2 2" xfId="5043" xr:uid="{00000000-0005-0000-0000-000027120000}"/>
    <cellStyle name="40% - Accent1 6 3 2 3" xfId="5044" xr:uid="{00000000-0005-0000-0000-000028120000}"/>
    <cellStyle name="40% - Accent1 6 3 3" xfId="5045" xr:uid="{00000000-0005-0000-0000-000029120000}"/>
    <cellStyle name="40% - Accent1 6 3 3 2" xfId="5046" xr:uid="{00000000-0005-0000-0000-00002A120000}"/>
    <cellStyle name="40% - Accent1 6 3 4" xfId="5047" xr:uid="{00000000-0005-0000-0000-00002B120000}"/>
    <cellStyle name="40% - Accent1 6 4" xfId="5048" xr:uid="{00000000-0005-0000-0000-00002C120000}"/>
    <cellStyle name="40% - Accent1 6 5" xfId="5049" xr:uid="{00000000-0005-0000-0000-00002D120000}"/>
    <cellStyle name="40% - Accent1 6_Dec monthly report" xfId="5050" xr:uid="{00000000-0005-0000-0000-00002E120000}"/>
    <cellStyle name="40% - Accent1 7" xfId="5051" xr:uid="{00000000-0005-0000-0000-00002F120000}"/>
    <cellStyle name="40% - Accent1 7 2" xfId="5052" xr:uid="{00000000-0005-0000-0000-000030120000}"/>
    <cellStyle name="40% - Accent1 7 3" xfId="5053" xr:uid="{00000000-0005-0000-0000-000031120000}"/>
    <cellStyle name="40% - Accent1 7 4" xfId="5054" xr:uid="{00000000-0005-0000-0000-000032120000}"/>
    <cellStyle name="40% - Accent1 8" xfId="5055" xr:uid="{00000000-0005-0000-0000-000033120000}"/>
    <cellStyle name="40% - Accent1 8 2" xfId="5056" xr:uid="{00000000-0005-0000-0000-000034120000}"/>
    <cellStyle name="40% - Accent1 8 2 2" xfId="5057" xr:uid="{00000000-0005-0000-0000-000035120000}"/>
    <cellStyle name="40% - Accent1 8 2 3" xfId="5058" xr:uid="{00000000-0005-0000-0000-000036120000}"/>
    <cellStyle name="40% - Accent1 8 2 3 2" xfId="5059" xr:uid="{00000000-0005-0000-0000-000037120000}"/>
    <cellStyle name="40% - Accent1 8 3" xfId="5060" xr:uid="{00000000-0005-0000-0000-000038120000}"/>
    <cellStyle name="40% - Accent1 8 3 2" xfId="5061" xr:uid="{00000000-0005-0000-0000-000039120000}"/>
    <cellStyle name="40% - Accent1 8 3 3" xfId="5062" xr:uid="{00000000-0005-0000-0000-00003A120000}"/>
    <cellStyle name="40% - Accent1 8 4" xfId="5063" xr:uid="{00000000-0005-0000-0000-00003B120000}"/>
    <cellStyle name="40% - Accent1 8 4 2" xfId="5064" xr:uid="{00000000-0005-0000-0000-00003C120000}"/>
    <cellStyle name="40% - Accent1 8 5" xfId="5065" xr:uid="{00000000-0005-0000-0000-00003D120000}"/>
    <cellStyle name="40% - Accent1 8 6" xfId="5066" xr:uid="{00000000-0005-0000-0000-00003E120000}"/>
    <cellStyle name="40% - Accent1 8 7" xfId="5067" xr:uid="{00000000-0005-0000-0000-00003F120000}"/>
    <cellStyle name="40% - Accent1 8 8" xfId="5068" xr:uid="{00000000-0005-0000-0000-000040120000}"/>
    <cellStyle name="40% - Accent1 9" xfId="5069" xr:uid="{00000000-0005-0000-0000-000041120000}"/>
    <cellStyle name="40% - Accent1 9 2" xfId="5070" xr:uid="{00000000-0005-0000-0000-000042120000}"/>
    <cellStyle name="40% - Accent1 9 2 2" xfId="5071" xr:uid="{00000000-0005-0000-0000-000043120000}"/>
    <cellStyle name="40% - Accent1 9 2 3" xfId="5072" xr:uid="{00000000-0005-0000-0000-000044120000}"/>
    <cellStyle name="40% - Accent1 9 3" xfId="5073" xr:uid="{00000000-0005-0000-0000-000045120000}"/>
    <cellStyle name="40% - Accent1 9 3 2" xfId="5074" xr:uid="{00000000-0005-0000-0000-000046120000}"/>
    <cellStyle name="40% - Accent1 9 3 3" xfId="5075" xr:uid="{00000000-0005-0000-0000-000047120000}"/>
    <cellStyle name="40% - Accent1 9 4" xfId="5076" xr:uid="{00000000-0005-0000-0000-000048120000}"/>
    <cellStyle name="40% - Accent1 9 4 2" xfId="5077" xr:uid="{00000000-0005-0000-0000-000049120000}"/>
    <cellStyle name="40% - Accent1 9 5" xfId="5078" xr:uid="{00000000-0005-0000-0000-00004A120000}"/>
    <cellStyle name="40% - Accent1 9 6" xfId="5079" xr:uid="{00000000-0005-0000-0000-00004B120000}"/>
    <cellStyle name="40% - Accent1 9 7" xfId="5080" xr:uid="{00000000-0005-0000-0000-00004C120000}"/>
    <cellStyle name="40% - Accent1 9 8" xfId="5081" xr:uid="{00000000-0005-0000-0000-00004D120000}"/>
    <cellStyle name="40% - Accent2 10" xfId="5082" xr:uid="{00000000-0005-0000-0000-00004E120000}"/>
    <cellStyle name="40% - Accent2 10 2" xfId="5083" xr:uid="{00000000-0005-0000-0000-00004F120000}"/>
    <cellStyle name="40% - Accent2 10 2 2" xfId="5084" xr:uid="{00000000-0005-0000-0000-000050120000}"/>
    <cellStyle name="40% - Accent2 10 2 3" xfId="5085" xr:uid="{00000000-0005-0000-0000-000051120000}"/>
    <cellStyle name="40% - Accent2 10 3" xfId="5086" xr:uid="{00000000-0005-0000-0000-000052120000}"/>
    <cellStyle name="40% - Accent2 10 4" xfId="5087" xr:uid="{00000000-0005-0000-0000-000053120000}"/>
    <cellStyle name="40% - Accent2 11" xfId="5088" xr:uid="{00000000-0005-0000-0000-000054120000}"/>
    <cellStyle name="40% - Accent2 11 2" xfId="5089" xr:uid="{00000000-0005-0000-0000-000055120000}"/>
    <cellStyle name="40% - Accent2 11 3" xfId="5090" xr:uid="{00000000-0005-0000-0000-000056120000}"/>
    <cellStyle name="40% - Accent2 12" xfId="5091" xr:uid="{00000000-0005-0000-0000-000057120000}"/>
    <cellStyle name="40% - Accent2 12 2" xfId="5092" xr:uid="{00000000-0005-0000-0000-000058120000}"/>
    <cellStyle name="40% - Accent2 12 3" xfId="5093" xr:uid="{00000000-0005-0000-0000-000059120000}"/>
    <cellStyle name="40% - Accent2 13" xfId="5094" xr:uid="{00000000-0005-0000-0000-00005A120000}"/>
    <cellStyle name="40% - Accent2 13 2" xfId="5095" xr:uid="{00000000-0005-0000-0000-00005B120000}"/>
    <cellStyle name="40% - Accent2 13 3" xfId="5096" xr:uid="{00000000-0005-0000-0000-00005C120000}"/>
    <cellStyle name="40% - Accent2 14" xfId="5097" xr:uid="{00000000-0005-0000-0000-00005D120000}"/>
    <cellStyle name="40% - Accent2 14 2" xfId="5098" xr:uid="{00000000-0005-0000-0000-00005E120000}"/>
    <cellStyle name="40% - Accent2 14 3" xfId="5099" xr:uid="{00000000-0005-0000-0000-00005F120000}"/>
    <cellStyle name="40% - Accent2 15" xfId="5100" xr:uid="{00000000-0005-0000-0000-000060120000}"/>
    <cellStyle name="40% - Accent2 15 2" xfId="5101" xr:uid="{00000000-0005-0000-0000-000061120000}"/>
    <cellStyle name="40% - Accent2 15 3" xfId="5102" xr:uid="{00000000-0005-0000-0000-000062120000}"/>
    <cellStyle name="40% - Accent2 16" xfId="5103" xr:uid="{00000000-0005-0000-0000-000063120000}"/>
    <cellStyle name="40% - Accent2 16 2" xfId="5104" xr:uid="{00000000-0005-0000-0000-000064120000}"/>
    <cellStyle name="40% - Accent2 16 3" xfId="5105" xr:uid="{00000000-0005-0000-0000-000065120000}"/>
    <cellStyle name="40% - Accent2 17" xfId="5106" xr:uid="{00000000-0005-0000-0000-000066120000}"/>
    <cellStyle name="40% - Accent2 17 2" xfId="5107" xr:uid="{00000000-0005-0000-0000-000067120000}"/>
    <cellStyle name="40% - Accent2 17 3" xfId="5108" xr:uid="{00000000-0005-0000-0000-000068120000}"/>
    <cellStyle name="40% - Accent2 18" xfId="5109" xr:uid="{00000000-0005-0000-0000-000069120000}"/>
    <cellStyle name="40% - Accent2 18 2" xfId="5110" xr:uid="{00000000-0005-0000-0000-00006A120000}"/>
    <cellStyle name="40% - Accent2 18 3" xfId="5111" xr:uid="{00000000-0005-0000-0000-00006B120000}"/>
    <cellStyle name="40% - Accent2 19" xfId="5112" xr:uid="{00000000-0005-0000-0000-00006C120000}"/>
    <cellStyle name="40% - Accent2 19 2" xfId="5113" xr:uid="{00000000-0005-0000-0000-00006D120000}"/>
    <cellStyle name="40% - Accent2 19 3" xfId="5114" xr:uid="{00000000-0005-0000-0000-00006E120000}"/>
    <cellStyle name="40% - Accent2 2" xfId="5115" xr:uid="{00000000-0005-0000-0000-00006F120000}"/>
    <cellStyle name="40% - Accent2 2 10" xfId="5116" xr:uid="{00000000-0005-0000-0000-000070120000}"/>
    <cellStyle name="40% - Accent2 2 10 2" xfId="5117" xr:uid="{00000000-0005-0000-0000-000071120000}"/>
    <cellStyle name="40% - Accent2 2 10 3" xfId="5118" xr:uid="{00000000-0005-0000-0000-000072120000}"/>
    <cellStyle name="40% - Accent2 2 11" xfId="5119" xr:uid="{00000000-0005-0000-0000-000073120000}"/>
    <cellStyle name="40% - Accent2 2 11 2" xfId="5120" xr:uid="{00000000-0005-0000-0000-000074120000}"/>
    <cellStyle name="40% - Accent2 2 11 3" xfId="5121" xr:uid="{00000000-0005-0000-0000-000075120000}"/>
    <cellStyle name="40% - Accent2 2 12" xfId="5122" xr:uid="{00000000-0005-0000-0000-000076120000}"/>
    <cellStyle name="40% - Accent2 2 12 2" xfId="5123" xr:uid="{00000000-0005-0000-0000-000077120000}"/>
    <cellStyle name="40% - Accent2 2 12 3" xfId="5124" xr:uid="{00000000-0005-0000-0000-000078120000}"/>
    <cellStyle name="40% - Accent2 2 13" xfId="5125" xr:uid="{00000000-0005-0000-0000-000079120000}"/>
    <cellStyle name="40% - Accent2 2 14" xfId="5126" xr:uid="{00000000-0005-0000-0000-00007A120000}"/>
    <cellStyle name="40% - Accent2 2 2" xfId="5127" xr:uid="{00000000-0005-0000-0000-00007B120000}"/>
    <cellStyle name="40% - Accent2 2 2 2" xfId="5128" xr:uid="{00000000-0005-0000-0000-00007C120000}"/>
    <cellStyle name="40% - Accent2 2 2 2 2" xfId="5129" xr:uid="{00000000-0005-0000-0000-00007D120000}"/>
    <cellStyle name="40% - Accent2 2 2 2 3" xfId="5130" xr:uid="{00000000-0005-0000-0000-00007E120000}"/>
    <cellStyle name="40% - Accent2 2 2 2 4" xfId="5131" xr:uid="{00000000-0005-0000-0000-00007F120000}"/>
    <cellStyle name="40% - Accent2 2 2 3" xfId="5132" xr:uid="{00000000-0005-0000-0000-000080120000}"/>
    <cellStyle name="40% - Accent2 2 2 3 2" xfId="5133" xr:uid="{00000000-0005-0000-0000-000081120000}"/>
    <cellStyle name="40% - Accent2 2 2 3 3" xfId="5134" xr:uid="{00000000-0005-0000-0000-000082120000}"/>
    <cellStyle name="40% - Accent2 2 2 4" xfId="5135" xr:uid="{00000000-0005-0000-0000-000083120000}"/>
    <cellStyle name="40% - Accent2 2 2 4 2" xfId="5136" xr:uid="{00000000-0005-0000-0000-000084120000}"/>
    <cellStyle name="40% - Accent2 2 2 4 3" xfId="5137" xr:uid="{00000000-0005-0000-0000-000085120000}"/>
    <cellStyle name="40% - Accent2 2 2 5" xfId="5138" xr:uid="{00000000-0005-0000-0000-000086120000}"/>
    <cellStyle name="40% - Accent2 2 2 6" xfId="5139" xr:uid="{00000000-0005-0000-0000-000087120000}"/>
    <cellStyle name="40% - Accent2 2 2 7" xfId="5140" xr:uid="{00000000-0005-0000-0000-000088120000}"/>
    <cellStyle name="40% - Accent2 2 2 8" xfId="5141" xr:uid="{00000000-0005-0000-0000-000089120000}"/>
    <cellStyle name="40% - Accent2 2 2_Dec monthly report" xfId="5142" xr:uid="{00000000-0005-0000-0000-00008A120000}"/>
    <cellStyle name="40% - Accent2 2 3" xfId="5143" xr:uid="{00000000-0005-0000-0000-00008B120000}"/>
    <cellStyle name="40% - Accent2 2 3 10" xfId="5144" xr:uid="{00000000-0005-0000-0000-00008C120000}"/>
    <cellStyle name="40% - Accent2 2 3 11" xfId="5145" xr:uid="{00000000-0005-0000-0000-00008D120000}"/>
    <cellStyle name="40% - Accent2 2 3 2" xfId="5146" xr:uid="{00000000-0005-0000-0000-00008E120000}"/>
    <cellStyle name="40% - Accent2 2 3 2 10" xfId="5147" xr:uid="{00000000-0005-0000-0000-00008F120000}"/>
    <cellStyle name="40% - Accent2 2 3 2 2" xfId="5148" xr:uid="{00000000-0005-0000-0000-000090120000}"/>
    <cellStyle name="40% - Accent2 2 3 2 2 2" xfId="5149" xr:uid="{00000000-0005-0000-0000-000091120000}"/>
    <cellStyle name="40% - Accent2 2 3 2 2 2 2" xfId="5150" xr:uid="{00000000-0005-0000-0000-000092120000}"/>
    <cellStyle name="40% - Accent2 2 3 2 2 2 3" xfId="5151" xr:uid="{00000000-0005-0000-0000-000093120000}"/>
    <cellStyle name="40% - Accent2 2 3 2 2 3" xfId="5152" xr:uid="{00000000-0005-0000-0000-000094120000}"/>
    <cellStyle name="40% - Accent2 2 3 2 2 3 2" xfId="5153" xr:uid="{00000000-0005-0000-0000-000095120000}"/>
    <cellStyle name="40% - Accent2 2 3 2 2 3 3" xfId="5154" xr:uid="{00000000-0005-0000-0000-000096120000}"/>
    <cellStyle name="40% - Accent2 2 3 2 2 4" xfId="5155" xr:uid="{00000000-0005-0000-0000-000097120000}"/>
    <cellStyle name="40% - Accent2 2 3 2 2 5" xfId="5156" xr:uid="{00000000-0005-0000-0000-000098120000}"/>
    <cellStyle name="40% - Accent2 2 3 2 2 6" xfId="5157" xr:uid="{00000000-0005-0000-0000-000099120000}"/>
    <cellStyle name="40% - Accent2 2 3 2 2 7" xfId="5158" xr:uid="{00000000-0005-0000-0000-00009A120000}"/>
    <cellStyle name="40% - Accent2 2 3 2 2 8" xfId="5159" xr:uid="{00000000-0005-0000-0000-00009B120000}"/>
    <cellStyle name="40% - Accent2 2 3 2 3" xfId="5160" xr:uid="{00000000-0005-0000-0000-00009C120000}"/>
    <cellStyle name="40% - Accent2 2 3 2 3 2" xfId="5161" xr:uid="{00000000-0005-0000-0000-00009D120000}"/>
    <cellStyle name="40% - Accent2 2 3 2 3 2 2" xfId="5162" xr:uid="{00000000-0005-0000-0000-00009E120000}"/>
    <cellStyle name="40% - Accent2 2 3 2 3 2 3" xfId="5163" xr:uid="{00000000-0005-0000-0000-00009F120000}"/>
    <cellStyle name="40% - Accent2 2 3 2 3 3" xfId="5164" xr:uid="{00000000-0005-0000-0000-0000A0120000}"/>
    <cellStyle name="40% - Accent2 2 3 2 3 4" xfId="5165" xr:uid="{00000000-0005-0000-0000-0000A1120000}"/>
    <cellStyle name="40% - Accent2 2 3 2 4" xfId="5166" xr:uid="{00000000-0005-0000-0000-0000A2120000}"/>
    <cellStyle name="40% - Accent2 2 3 2 4 2" xfId="5167" xr:uid="{00000000-0005-0000-0000-0000A3120000}"/>
    <cellStyle name="40% - Accent2 2 3 2 4 3" xfId="5168" xr:uid="{00000000-0005-0000-0000-0000A4120000}"/>
    <cellStyle name="40% - Accent2 2 3 2 5" xfId="5169" xr:uid="{00000000-0005-0000-0000-0000A5120000}"/>
    <cellStyle name="40% - Accent2 2 3 2 5 2" xfId="5170" xr:uid="{00000000-0005-0000-0000-0000A6120000}"/>
    <cellStyle name="40% - Accent2 2 3 2 5 3" xfId="5171" xr:uid="{00000000-0005-0000-0000-0000A7120000}"/>
    <cellStyle name="40% - Accent2 2 3 2 6" xfId="5172" xr:uid="{00000000-0005-0000-0000-0000A8120000}"/>
    <cellStyle name="40% - Accent2 2 3 2 7" xfId="5173" xr:uid="{00000000-0005-0000-0000-0000A9120000}"/>
    <cellStyle name="40% - Accent2 2 3 2 8" xfId="5174" xr:uid="{00000000-0005-0000-0000-0000AA120000}"/>
    <cellStyle name="40% - Accent2 2 3 2 9" xfId="5175" xr:uid="{00000000-0005-0000-0000-0000AB120000}"/>
    <cellStyle name="40% - Accent2 2 3 3" xfId="5176" xr:uid="{00000000-0005-0000-0000-0000AC120000}"/>
    <cellStyle name="40% - Accent2 2 3 3 2" xfId="5177" xr:uid="{00000000-0005-0000-0000-0000AD120000}"/>
    <cellStyle name="40% - Accent2 2 3 3 2 2" xfId="5178" xr:uid="{00000000-0005-0000-0000-0000AE120000}"/>
    <cellStyle name="40% - Accent2 2 3 3 2 3" xfId="5179" xr:uid="{00000000-0005-0000-0000-0000AF120000}"/>
    <cellStyle name="40% - Accent2 2 3 3 3" xfId="5180" xr:uid="{00000000-0005-0000-0000-0000B0120000}"/>
    <cellStyle name="40% - Accent2 2 3 3 3 2" xfId="5181" xr:uid="{00000000-0005-0000-0000-0000B1120000}"/>
    <cellStyle name="40% - Accent2 2 3 3 3 3" xfId="5182" xr:uid="{00000000-0005-0000-0000-0000B2120000}"/>
    <cellStyle name="40% - Accent2 2 3 3 4" xfId="5183" xr:uid="{00000000-0005-0000-0000-0000B3120000}"/>
    <cellStyle name="40% - Accent2 2 3 3 5" xfId="5184" xr:uid="{00000000-0005-0000-0000-0000B4120000}"/>
    <cellStyle name="40% - Accent2 2 3 3 6" xfId="5185" xr:uid="{00000000-0005-0000-0000-0000B5120000}"/>
    <cellStyle name="40% - Accent2 2 3 3 7" xfId="5186" xr:uid="{00000000-0005-0000-0000-0000B6120000}"/>
    <cellStyle name="40% - Accent2 2 3 3 8" xfId="5187" xr:uid="{00000000-0005-0000-0000-0000B7120000}"/>
    <cellStyle name="40% - Accent2 2 3 4" xfId="5188" xr:uid="{00000000-0005-0000-0000-0000B8120000}"/>
    <cellStyle name="40% - Accent2 2 3 4 2" xfId="5189" xr:uid="{00000000-0005-0000-0000-0000B9120000}"/>
    <cellStyle name="40% - Accent2 2 3 4 2 2" xfId="5190" xr:uid="{00000000-0005-0000-0000-0000BA120000}"/>
    <cellStyle name="40% - Accent2 2 3 4 2 3" xfId="5191" xr:uid="{00000000-0005-0000-0000-0000BB120000}"/>
    <cellStyle name="40% - Accent2 2 3 4 3" xfId="5192" xr:uid="{00000000-0005-0000-0000-0000BC120000}"/>
    <cellStyle name="40% - Accent2 2 3 4 4" xfId="5193" xr:uid="{00000000-0005-0000-0000-0000BD120000}"/>
    <cellStyle name="40% - Accent2 2 3 5" xfId="5194" xr:uid="{00000000-0005-0000-0000-0000BE120000}"/>
    <cellStyle name="40% - Accent2 2 3 5 2" xfId="5195" xr:uid="{00000000-0005-0000-0000-0000BF120000}"/>
    <cellStyle name="40% - Accent2 2 3 5 3" xfId="5196" xr:uid="{00000000-0005-0000-0000-0000C0120000}"/>
    <cellStyle name="40% - Accent2 2 3 6" xfId="5197" xr:uid="{00000000-0005-0000-0000-0000C1120000}"/>
    <cellStyle name="40% - Accent2 2 3 6 2" xfId="5198" xr:uid="{00000000-0005-0000-0000-0000C2120000}"/>
    <cellStyle name="40% - Accent2 2 3 6 3" xfId="5199" xr:uid="{00000000-0005-0000-0000-0000C3120000}"/>
    <cellStyle name="40% - Accent2 2 3 7" xfId="5200" xr:uid="{00000000-0005-0000-0000-0000C4120000}"/>
    <cellStyle name="40% - Accent2 2 3 8" xfId="5201" xr:uid="{00000000-0005-0000-0000-0000C5120000}"/>
    <cellStyle name="40% - Accent2 2 3 9" xfId="5202" xr:uid="{00000000-0005-0000-0000-0000C6120000}"/>
    <cellStyle name="40% - Accent2 2 4" xfId="5203" xr:uid="{00000000-0005-0000-0000-0000C7120000}"/>
    <cellStyle name="40% - Accent2 2 4 10" xfId="5204" xr:uid="{00000000-0005-0000-0000-0000C8120000}"/>
    <cellStyle name="40% - Accent2 2 4 11" xfId="5205" xr:uid="{00000000-0005-0000-0000-0000C9120000}"/>
    <cellStyle name="40% - Accent2 2 4 2" xfId="5206" xr:uid="{00000000-0005-0000-0000-0000CA120000}"/>
    <cellStyle name="40% - Accent2 2 4 2 10" xfId="5207" xr:uid="{00000000-0005-0000-0000-0000CB120000}"/>
    <cellStyle name="40% - Accent2 2 4 2 2" xfId="5208" xr:uid="{00000000-0005-0000-0000-0000CC120000}"/>
    <cellStyle name="40% - Accent2 2 4 2 2 2" xfId="5209" xr:uid="{00000000-0005-0000-0000-0000CD120000}"/>
    <cellStyle name="40% - Accent2 2 4 2 2 2 2" xfId="5210" xr:uid="{00000000-0005-0000-0000-0000CE120000}"/>
    <cellStyle name="40% - Accent2 2 4 2 2 2 3" xfId="5211" xr:uid="{00000000-0005-0000-0000-0000CF120000}"/>
    <cellStyle name="40% - Accent2 2 4 2 2 3" xfId="5212" xr:uid="{00000000-0005-0000-0000-0000D0120000}"/>
    <cellStyle name="40% - Accent2 2 4 2 2 3 2" xfId="5213" xr:uid="{00000000-0005-0000-0000-0000D1120000}"/>
    <cellStyle name="40% - Accent2 2 4 2 2 3 3" xfId="5214" xr:uid="{00000000-0005-0000-0000-0000D2120000}"/>
    <cellStyle name="40% - Accent2 2 4 2 2 4" xfId="5215" xr:uid="{00000000-0005-0000-0000-0000D3120000}"/>
    <cellStyle name="40% - Accent2 2 4 2 2 5" xfId="5216" xr:uid="{00000000-0005-0000-0000-0000D4120000}"/>
    <cellStyle name="40% - Accent2 2 4 2 2 6" xfId="5217" xr:uid="{00000000-0005-0000-0000-0000D5120000}"/>
    <cellStyle name="40% - Accent2 2 4 2 2 7" xfId="5218" xr:uid="{00000000-0005-0000-0000-0000D6120000}"/>
    <cellStyle name="40% - Accent2 2 4 2 2 8" xfId="5219" xr:uid="{00000000-0005-0000-0000-0000D7120000}"/>
    <cellStyle name="40% - Accent2 2 4 2 3" xfId="5220" xr:uid="{00000000-0005-0000-0000-0000D8120000}"/>
    <cellStyle name="40% - Accent2 2 4 2 3 2" xfId="5221" xr:uid="{00000000-0005-0000-0000-0000D9120000}"/>
    <cellStyle name="40% - Accent2 2 4 2 3 2 2" xfId="5222" xr:uid="{00000000-0005-0000-0000-0000DA120000}"/>
    <cellStyle name="40% - Accent2 2 4 2 3 2 3" xfId="5223" xr:uid="{00000000-0005-0000-0000-0000DB120000}"/>
    <cellStyle name="40% - Accent2 2 4 2 3 3" xfId="5224" xr:uid="{00000000-0005-0000-0000-0000DC120000}"/>
    <cellStyle name="40% - Accent2 2 4 2 3 4" xfId="5225" xr:uid="{00000000-0005-0000-0000-0000DD120000}"/>
    <cellStyle name="40% - Accent2 2 4 2 4" xfId="5226" xr:uid="{00000000-0005-0000-0000-0000DE120000}"/>
    <cellStyle name="40% - Accent2 2 4 2 4 2" xfId="5227" xr:uid="{00000000-0005-0000-0000-0000DF120000}"/>
    <cellStyle name="40% - Accent2 2 4 2 4 3" xfId="5228" xr:uid="{00000000-0005-0000-0000-0000E0120000}"/>
    <cellStyle name="40% - Accent2 2 4 2 5" xfId="5229" xr:uid="{00000000-0005-0000-0000-0000E1120000}"/>
    <cellStyle name="40% - Accent2 2 4 2 5 2" xfId="5230" xr:uid="{00000000-0005-0000-0000-0000E2120000}"/>
    <cellStyle name="40% - Accent2 2 4 2 5 3" xfId="5231" xr:uid="{00000000-0005-0000-0000-0000E3120000}"/>
    <cellStyle name="40% - Accent2 2 4 2 6" xfId="5232" xr:uid="{00000000-0005-0000-0000-0000E4120000}"/>
    <cellStyle name="40% - Accent2 2 4 2 7" xfId="5233" xr:uid="{00000000-0005-0000-0000-0000E5120000}"/>
    <cellStyle name="40% - Accent2 2 4 2 8" xfId="5234" xr:uid="{00000000-0005-0000-0000-0000E6120000}"/>
    <cellStyle name="40% - Accent2 2 4 2 9" xfId="5235" xr:uid="{00000000-0005-0000-0000-0000E7120000}"/>
    <cellStyle name="40% - Accent2 2 4 3" xfId="5236" xr:uid="{00000000-0005-0000-0000-0000E8120000}"/>
    <cellStyle name="40% - Accent2 2 4 3 2" xfId="5237" xr:uid="{00000000-0005-0000-0000-0000E9120000}"/>
    <cellStyle name="40% - Accent2 2 4 3 2 2" xfId="5238" xr:uid="{00000000-0005-0000-0000-0000EA120000}"/>
    <cellStyle name="40% - Accent2 2 4 3 2 3" xfId="5239" xr:uid="{00000000-0005-0000-0000-0000EB120000}"/>
    <cellStyle name="40% - Accent2 2 4 3 3" xfId="5240" xr:uid="{00000000-0005-0000-0000-0000EC120000}"/>
    <cellStyle name="40% - Accent2 2 4 3 3 2" xfId="5241" xr:uid="{00000000-0005-0000-0000-0000ED120000}"/>
    <cellStyle name="40% - Accent2 2 4 3 3 3" xfId="5242" xr:uid="{00000000-0005-0000-0000-0000EE120000}"/>
    <cellStyle name="40% - Accent2 2 4 3 4" xfId="5243" xr:uid="{00000000-0005-0000-0000-0000EF120000}"/>
    <cellStyle name="40% - Accent2 2 4 3 5" xfId="5244" xr:uid="{00000000-0005-0000-0000-0000F0120000}"/>
    <cellStyle name="40% - Accent2 2 4 3 6" xfId="5245" xr:uid="{00000000-0005-0000-0000-0000F1120000}"/>
    <cellStyle name="40% - Accent2 2 4 3 7" xfId="5246" xr:uid="{00000000-0005-0000-0000-0000F2120000}"/>
    <cellStyle name="40% - Accent2 2 4 3 8" xfId="5247" xr:uid="{00000000-0005-0000-0000-0000F3120000}"/>
    <cellStyle name="40% - Accent2 2 4 4" xfId="5248" xr:uid="{00000000-0005-0000-0000-0000F4120000}"/>
    <cellStyle name="40% - Accent2 2 4 4 2" xfId="5249" xr:uid="{00000000-0005-0000-0000-0000F5120000}"/>
    <cellStyle name="40% - Accent2 2 4 4 2 2" xfId="5250" xr:uid="{00000000-0005-0000-0000-0000F6120000}"/>
    <cellStyle name="40% - Accent2 2 4 4 2 3" xfId="5251" xr:uid="{00000000-0005-0000-0000-0000F7120000}"/>
    <cellStyle name="40% - Accent2 2 4 4 3" xfId="5252" xr:uid="{00000000-0005-0000-0000-0000F8120000}"/>
    <cellStyle name="40% - Accent2 2 4 4 4" xfId="5253" xr:uid="{00000000-0005-0000-0000-0000F9120000}"/>
    <cellStyle name="40% - Accent2 2 4 5" xfId="5254" xr:uid="{00000000-0005-0000-0000-0000FA120000}"/>
    <cellStyle name="40% - Accent2 2 4 5 2" xfId="5255" xr:uid="{00000000-0005-0000-0000-0000FB120000}"/>
    <cellStyle name="40% - Accent2 2 4 5 3" xfId="5256" xr:uid="{00000000-0005-0000-0000-0000FC120000}"/>
    <cellStyle name="40% - Accent2 2 4 6" xfId="5257" xr:uid="{00000000-0005-0000-0000-0000FD120000}"/>
    <cellStyle name="40% - Accent2 2 4 6 2" xfId="5258" xr:uid="{00000000-0005-0000-0000-0000FE120000}"/>
    <cellStyle name="40% - Accent2 2 4 6 3" xfId="5259" xr:uid="{00000000-0005-0000-0000-0000FF120000}"/>
    <cellStyle name="40% - Accent2 2 4 7" xfId="5260" xr:uid="{00000000-0005-0000-0000-000000130000}"/>
    <cellStyle name="40% - Accent2 2 4 8" xfId="5261" xr:uid="{00000000-0005-0000-0000-000001130000}"/>
    <cellStyle name="40% - Accent2 2 4 9" xfId="5262" xr:uid="{00000000-0005-0000-0000-000002130000}"/>
    <cellStyle name="40% - Accent2 2 5" xfId="5263" xr:uid="{00000000-0005-0000-0000-000003130000}"/>
    <cellStyle name="40% - Accent2 2 5 10" xfId="5264" xr:uid="{00000000-0005-0000-0000-000004130000}"/>
    <cellStyle name="40% - Accent2 2 5 11" xfId="5265" xr:uid="{00000000-0005-0000-0000-000005130000}"/>
    <cellStyle name="40% - Accent2 2 5 2" xfId="5266" xr:uid="{00000000-0005-0000-0000-000006130000}"/>
    <cellStyle name="40% - Accent2 2 5 2 2" xfId="5267" xr:uid="{00000000-0005-0000-0000-000007130000}"/>
    <cellStyle name="40% - Accent2 2 5 2 2 2" xfId="5268" xr:uid="{00000000-0005-0000-0000-000008130000}"/>
    <cellStyle name="40% - Accent2 2 5 2 2 2 2" xfId="5269" xr:uid="{00000000-0005-0000-0000-000009130000}"/>
    <cellStyle name="40% - Accent2 2 5 2 2 2 3" xfId="5270" xr:uid="{00000000-0005-0000-0000-00000A130000}"/>
    <cellStyle name="40% - Accent2 2 5 2 2 3" xfId="5271" xr:uid="{00000000-0005-0000-0000-00000B130000}"/>
    <cellStyle name="40% - Accent2 2 5 2 2 3 2" xfId="5272" xr:uid="{00000000-0005-0000-0000-00000C130000}"/>
    <cellStyle name="40% - Accent2 2 5 2 2 3 3" xfId="5273" xr:uid="{00000000-0005-0000-0000-00000D130000}"/>
    <cellStyle name="40% - Accent2 2 5 2 2 4" xfId="5274" xr:uid="{00000000-0005-0000-0000-00000E130000}"/>
    <cellStyle name="40% - Accent2 2 5 2 2 5" xfId="5275" xr:uid="{00000000-0005-0000-0000-00000F130000}"/>
    <cellStyle name="40% - Accent2 2 5 2 2 6" xfId="5276" xr:uid="{00000000-0005-0000-0000-000010130000}"/>
    <cellStyle name="40% - Accent2 2 5 2 2 7" xfId="5277" xr:uid="{00000000-0005-0000-0000-000011130000}"/>
    <cellStyle name="40% - Accent2 2 5 2 2 8" xfId="5278" xr:uid="{00000000-0005-0000-0000-000012130000}"/>
    <cellStyle name="40% - Accent2 2 5 2 3" xfId="5279" xr:uid="{00000000-0005-0000-0000-000013130000}"/>
    <cellStyle name="40% - Accent2 2 5 2 3 2" xfId="5280" xr:uid="{00000000-0005-0000-0000-000014130000}"/>
    <cellStyle name="40% - Accent2 2 5 2 3 2 2" xfId="5281" xr:uid="{00000000-0005-0000-0000-000015130000}"/>
    <cellStyle name="40% - Accent2 2 5 2 3 2 3" xfId="5282" xr:uid="{00000000-0005-0000-0000-000016130000}"/>
    <cellStyle name="40% - Accent2 2 5 2 3 3" xfId="5283" xr:uid="{00000000-0005-0000-0000-000017130000}"/>
    <cellStyle name="40% - Accent2 2 5 2 3 4" xfId="5284" xr:uid="{00000000-0005-0000-0000-000018130000}"/>
    <cellStyle name="40% - Accent2 2 5 2 4" xfId="5285" xr:uid="{00000000-0005-0000-0000-000019130000}"/>
    <cellStyle name="40% - Accent2 2 5 2 4 2" xfId="5286" xr:uid="{00000000-0005-0000-0000-00001A130000}"/>
    <cellStyle name="40% - Accent2 2 5 2 4 3" xfId="5287" xr:uid="{00000000-0005-0000-0000-00001B130000}"/>
    <cellStyle name="40% - Accent2 2 5 2 5" xfId="5288" xr:uid="{00000000-0005-0000-0000-00001C130000}"/>
    <cellStyle name="40% - Accent2 2 5 2 6" xfId="5289" xr:uid="{00000000-0005-0000-0000-00001D130000}"/>
    <cellStyle name="40% - Accent2 2 5 2 7" xfId="5290" xr:uid="{00000000-0005-0000-0000-00001E130000}"/>
    <cellStyle name="40% - Accent2 2 5 2 8" xfId="5291" xr:uid="{00000000-0005-0000-0000-00001F130000}"/>
    <cellStyle name="40% - Accent2 2 5 2 9" xfId="5292" xr:uid="{00000000-0005-0000-0000-000020130000}"/>
    <cellStyle name="40% - Accent2 2 5 3" xfId="5293" xr:uid="{00000000-0005-0000-0000-000021130000}"/>
    <cellStyle name="40% - Accent2 2 5 3 2" xfId="5294" xr:uid="{00000000-0005-0000-0000-000022130000}"/>
    <cellStyle name="40% - Accent2 2 5 3 2 2" xfId="5295" xr:uid="{00000000-0005-0000-0000-000023130000}"/>
    <cellStyle name="40% - Accent2 2 5 3 2 3" xfId="5296" xr:uid="{00000000-0005-0000-0000-000024130000}"/>
    <cellStyle name="40% - Accent2 2 5 3 3" xfId="5297" xr:uid="{00000000-0005-0000-0000-000025130000}"/>
    <cellStyle name="40% - Accent2 2 5 3 3 2" xfId="5298" xr:uid="{00000000-0005-0000-0000-000026130000}"/>
    <cellStyle name="40% - Accent2 2 5 3 3 3" xfId="5299" xr:uid="{00000000-0005-0000-0000-000027130000}"/>
    <cellStyle name="40% - Accent2 2 5 3 4" xfId="5300" xr:uid="{00000000-0005-0000-0000-000028130000}"/>
    <cellStyle name="40% - Accent2 2 5 3 5" xfId="5301" xr:uid="{00000000-0005-0000-0000-000029130000}"/>
    <cellStyle name="40% - Accent2 2 5 3 6" xfId="5302" xr:uid="{00000000-0005-0000-0000-00002A130000}"/>
    <cellStyle name="40% - Accent2 2 5 3 7" xfId="5303" xr:uid="{00000000-0005-0000-0000-00002B130000}"/>
    <cellStyle name="40% - Accent2 2 5 3 8" xfId="5304" xr:uid="{00000000-0005-0000-0000-00002C130000}"/>
    <cellStyle name="40% - Accent2 2 5 4" xfId="5305" xr:uid="{00000000-0005-0000-0000-00002D130000}"/>
    <cellStyle name="40% - Accent2 2 5 4 2" xfId="5306" xr:uid="{00000000-0005-0000-0000-00002E130000}"/>
    <cellStyle name="40% - Accent2 2 5 4 2 2" xfId="5307" xr:uid="{00000000-0005-0000-0000-00002F130000}"/>
    <cellStyle name="40% - Accent2 2 5 4 2 3" xfId="5308" xr:uid="{00000000-0005-0000-0000-000030130000}"/>
    <cellStyle name="40% - Accent2 2 5 4 3" xfId="5309" xr:uid="{00000000-0005-0000-0000-000031130000}"/>
    <cellStyle name="40% - Accent2 2 5 4 4" xfId="5310" xr:uid="{00000000-0005-0000-0000-000032130000}"/>
    <cellStyle name="40% - Accent2 2 5 5" xfId="5311" xr:uid="{00000000-0005-0000-0000-000033130000}"/>
    <cellStyle name="40% - Accent2 2 5 5 2" xfId="5312" xr:uid="{00000000-0005-0000-0000-000034130000}"/>
    <cellStyle name="40% - Accent2 2 5 5 3" xfId="5313" xr:uid="{00000000-0005-0000-0000-000035130000}"/>
    <cellStyle name="40% - Accent2 2 5 6" xfId="5314" xr:uid="{00000000-0005-0000-0000-000036130000}"/>
    <cellStyle name="40% - Accent2 2 5 6 2" xfId="5315" xr:uid="{00000000-0005-0000-0000-000037130000}"/>
    <cellStyle name="40% - Accent2 2 5 6 3" xfId="5316" xr:uid="{00000000-0005-0000-0000-000038130000}"/>
    <cellStyle name="40% - Accent2 2 5 7" xfId="5317" xr:uid="{00000000-0005-0000-0000-000039130000}"/>
    <cellStyle name="40% - Accent2 2 5 8" xfId="5318" xr:uid="{00000000-0005-0000-0000-00003A130000}"/>
    <cellStyle name="40% - Accent2 2 5 9" xfId="5319" xr:uid="{00000000-0005-0000-0000-00003B130000}"/>
    <cellStyle name="40% - Accent2 2 6" xfId="5320" xr:uid="{00000000-0005-0000-0000-00003C130000}"/>
    <cellStyle name="40% - Accent2 2 6 10" xfId="5321" xr:uid="{00000000-0005-0000-0000-00003D130000}"/>
    <cellStyle name="40% - Accent2 2 6 11" xfId="5322" xr:uid="{00000000-0005-0000-0000-00003E130000}"/>
    <cellStyle name="40% - Accent2 2 6 2" xfId="5323" xr:uid="{00000000-0005-0000-0000-00003F130000}"/>
    <cellStyle name="40% - Accent2 2 6 2 2" xfId="5324" xr:uid="{00000000-0005-0000-0000-000040130000}"/>
    <cellStyle name="40% - Accent2 2 6 2 2 2" xfId="5325" xr:uid="{00000000-0005-0000-0000-000041130000}"/>
    <cellStyle name="40% - Accent2 2 6 2 2 2 2" xfId="5326" xr:uid="{00000000-0005-0000-0000-000042130000}"/>
    <cellStyle name="40% - Accent2 2 6 2 2 2 3" xfId="5327" xr:uid="{00000000-0005-0000-0000-000043130000}"/>
    <cellStyle name="40% - Accent2 2 6 2 2 3" xfId="5328" xr:uid="{00000000-0005-0000-0000-000044130000}"/>
    <cellStyle name="40% - Accent2 2 6 2 2 3 2" xfId="5329" xr:uid="{00000000-0005-0000-0000-000045130000}"/>
    <cellStyle name="40% - Accent2 2 6 2 2 3 3" xfId="5330" xr:uid="{00000000-0005-0000-0000-000046130000}"/>
    <cellStyle name="40% - Accent2 2 6 2 2 4" xfId="5331" xr:uid="{00000000-0005-0000-0000-000047130000}"/>
    <cellStyle name="40% - Accent2 2 6 2 2 5" xfId="5332" xr:uid="{00000000-0005-0000-0000-000048130000}"/>
    <cellStyle name="40% - Accent2 2 6 2 2 6" xfId="5333" xr:uid="{00000000-0005-0000-0000-000049130000}"/>
    <cellStyle name="40% - Accent2 2 6 2 2 7" xfId="5334" xr:uid="{00000000-0005-0000-0000-00004A130000}"/>
    <cellStyle name="40% - Accent2 2 6 2 2 8" xfId="5335" xr:uid="{00000000-0005-0000-0000-00004B130000}"/>
    <cellStyle name="40% - Accent2 2 6 2 3" xfId="5336" xr:uid="{00000000-0005-0000-0000-00004C130000}"/>
    <cellStyle name="40% - Accent2 2 6 2 3 2" xfId="5337" xr:uid="{00000000-0005-0000-0000-00004D130000}"/>
    <cellStyle name="40% - Accent2 2 6 2 3 2 2" xfId="5338" xr:uid="{00000000-0005-0000-0000-00004E130000}"/>
    <cellStyle name="40% - Accent2 2 6 2 3 2 3" xfId="5339" xr:uid="{00000000-0005-0000-0000-00004F130000}"/>
    <cellStyle name="40% - Accent2 2 6 2 3 3" xfId="5340" xr:uid="{00000000-0005-0000-0000-000050130000}"/>
    <cellStyle name="40% - Accent2 2 6 2 3 4" xfId="5341" xr:uid="{00000000-0005-0000-0000-000051130000}"/>
    <cellStyle name="40% - Accent2 2 6 2 4" xfId="5342" xr:uid="{00000000-0005-0000-0000-000052130000}"/>
    <cellStyle name="40% - Accent2 2 6 2 4 2" xfId="5343" xr:uid="{00000000-0005-0000-0000-000053130000}"/>
    <cellStyle name="40% - Accent2 2 6 2 4 3" xfId="5344" xr:uid="{00000000-0005-0000-0000-000054130000}"/>
    <cellStyle name="40% - Accent2 2 6 2 5" xfId="5345" xr:uid="{00000000-0005-0000-0000-000055130000}"/>
    <cellStyle name="40% - Accent2 2 6 2 6" xfId="5346" xr:uid="{00000000-0005-0000-0000-000056130000}"/>
    <cellStyle name="40% - Accent2 2 6 2 7" xfId="5347" xr:uid="{00000000-0005-0000-0000-000057130000}"/>
    <cellStyle name="40% - Accent2 2 6 2 8" xfId="5348" xr:uid="{00000000-0005-0000-0000-000058130000}"/>
    <cellStyle name="40% - Accent2 2 6 2 9" xfId="5349" xr:uid="{00000000-0005-0000-0000-000059130000}"/>
    <cellStyle name="40% - Accent2 2 6 3" xfId="5350" xr:uid="{00000000-0005-0000-0000-00005A130000}"/>
    <cellStyle name="40% - Accent2 2 6 3 2" xfId="5351" xr:uid="{00000000-0005-0000-0000-00005B130000}"/>
    <cellStyle name="40% - Accent2 2 6 3 2 2" xfId="5352" xr:uid="{00000000-0005-0000-0000-00005C130000}"/>
    <cellStyle name="40% - Accent2 2 6 3 2 3" xfId="5353" xr:uid="{00000000-0005-0000-0000-00005D130000}"/>
    <cellStyle name="40% - Accent2 2 6 3 3" xfId="5354" xr:uid="{00000000-0005-0000-0000-00005E130000}"/>
    <cellStyle name="40% - Accent2 2 6 3 3 2" xfId="5355" xr:uid="{00000000-0005-0000-0000-00005F130000}"/>
    <cellStyle name="40% - Accent2 2 6 3 3 3" xfId="5356" xr:uid="{00000000-0005-0000-0000-000060130000}"/>
    <cellStyle name="40% - Accent2 2 6 3 4" xfId="5357" xr:uid="{00000000-0005-0000-0000-000061130000}"/>
    <cellStyle name="40% - Accent2 2 6 3 5" xfId="5358" xr:uid="{00000000-0005-0000-0000-000062130000}"/>
    <cellStyle name="40% - Accent2 2 6 3 6" xfId="5359" xr:uid="{00000000-0005-0000-0000-000063130000}"/>
    <cellStyle name="40% - Accent2 2 6 3 7" xfId="5360" xr:uid="{00000000-0005-0000-0000-000064130000}"/>
    <cellStyle name="40% - Accent2 2 6 3 8" xfId="5361" xr:uid="{00000000-0005-0000-0000-000065130000}"/>
    <cellStyle name="40% - Accent2 2 6 4" xfId="5362" xr:uid="{00000000-0005-0000-0000-000066130000}"/>
    <cellStyle name="40% - Accent2 2 6 4 2" xfId="5363" xr:uid="{00000000-0005-0000-0000-000067130000}"/>
    <cellStyle name="40% - Accent2 2 6 4 2 2" xfId="5364" xr:uid="{00000000-0005-0000-0000-000068130000}"/>
    <cellStyle name="40% - Accent2 2 6 4 2 3" xfId="5365" xr:uid="{00000000-0005-0000-0000-000069130000}"/>
    <cellStyle name="40% - Accent2 2 6 4 3" xfId="5366" xr:uid="{00000000-0005-0000-0000-00006A130000}"/>
    <cellStyle name="40% - Accent2 2 6 4 4" xfId="5367" xr:uid="{00000000-0005-0000-0000-00006B130000}"/>
    <cellStyle name="40% - Accent2 2 6 5" xfId="5368" xr:uid="{00000000-0005-0000-0000-00006C130000}"/>
    <cellStyle name="40% - Accent2 2 6 5 2" xfId="5369" xr:uid="{00000000-0005-0000-0000-00006D130000}"/>
    <cellStyle name="40% - Accent2 2 6 5 3" xfId="5370" xr:uid="{00000000-0005-0000-0000-00006E130000}"/>
    <cellStyle name="40% - Accent2 2 6 6" xfId="5371" xr:uid="{00000000-0005-0000-0000-00006F130000}"/>
    <cellStyle name="40% - Accent2 2 6 6 2" xfId="5372" xr:uid="{00000000-0005-0000-0000-000070130000}"/>
    <cellStyle name="40% - Accent2 2 6 6 3" xfId="5373" xr:uid="{00000000-0005-0000-0000-000071130000}"/>
    <cellStyle name="40% - Accent2 2 6 7" xfId="5374" xr:uid="{00000000-0005-0000-0000-000072130000}"/>
    <cellStyle name="40% - Accent2 2 6 8" xfId="5375" xr:uid="{00000000-0005-0000-0000-000073130000}"/>
    <cellStyle name="40% - Accent2 2 6 9" xfId="5376" xr:uid="{00000000-0005-0000-0000-000074130000}"/>
    <cellStyle name="40% - Accent2 2 7" xfId="5377" xr:uid="{00000000-0005-0000-0000-000075130000}"/>
    <cellStyle name="40% - Accent2 2 7 2" xfId="5378" xr:uid="{00000000-0005-0000-0000-000076130000}"/>
    <cellStyle name="40% - Accent2 2 7 2 2" xfId="5379" xr:uid="{00000000-0005-0000-0000-000077130000}"/>
    <cellStyle name="40% - Accent2 2 7 2 3" xfId="5380" xr:uid="{00000000-0005-0000-0000-000078130000}"/>
    <cellStyle name="40% - Accent2 2 7 3" xfId="5381" xr:uid="{00000000-0005-0000-0000-000079130000}"/>
    <cellStyle name="40% - Accent2 2 7 4" xfId="5382" xr:uid="{00000000-0005-0000-0000-00007A130000}"/>
    <cellStyle name="40% - Accent2 2 8" xfId="5383" xr:uid="{00000000-0005-0000-0000-00007B130000}"/>
    <cellStyle name="40% - Accent2 2 8 2" xfId="5384" xr:uid="{00000000-0005-0000-0000-00007C130000}"/>
    <cellStyle name="40% - Accent2 2 8 3" xfId="5385" xr:uid="{00000000-0005-0000-0000-00007D130000}"/>
    <cellStyle name="40% - Accent2 2 9" xfId="5386" xr:uid="{00000000-0005-0000-0000-00007E130000}"/>
    <cellStyle name="40% - Accent2 2 9 2" xfId="5387" xr:uid="{00000000-0005-0000-0000-00007F130000}"/>
    <cellStyle name="40% - Accent2 2 9 3" xfId="5388" xr:uid="{00000000-0005-0000-0000-000080130000}"/>
    <cellStyle name="40% - Accent2 2_Dec monthly report" xfId="5389" xr:uid="{00000000-0005-0000-0000-000081130000}"/>
    <cellStyle name="40% - Accent2 20" xfId="5390" xr:uid="{00000000-0005-0000-0000-000082130000}"/>
    <cellStyle name="40% - Accent2 20 2" xfId="5391" xr:uid="{00000000-0005-0000-0000-000083130000}"/>
    <cellStyle name="40% - Accent2 20 3" xfId="5392" xr:uid="{00000000-0005-0000-0000-000084130000}"/>
    <cellStyle name="40% - Accent2 21" xfId="5393" xr:uid="{00000000-0005-0000-0000-000085130000}"/>
    <cellStyle name="40% - Accent2 21 2" xfId="5394" xr:uid="{00000000-0005-0000-0000-000086130000}"/>
    <cellStyle name="40% - Accent2 21 3" xfId="5395" xr:uid="{00000000-0005-0000-0000-000087130000}"/>
    <cellStyle name="40% - Accent2 22" xfId="5396" xr:uid="{00000000-0005-0000-0000-000088130000}"/>
    <cellStyle name="40% - Accent2 23" xfId="5397" xr:uid="{00000000-0005-0000-0000-000089130000}"/>
    <cellStyle name="40% - Accent2 24" xfId="5398" xr:uid="{00000000-0005-0000-0000-00008A130000}"/>
    <cellStyle name="40% - Accent2 3" xfId="5399" xr:uid="{00000000-0005-0000-0000-00008B130000}"/>
    <cellStyle name="40% - Accent2 3 10" xfId="5400" xr:uid="{00000000-0005-0000-0000-00008C130000}"/>
    <cellStyle name="40% - Accent2 3 11" xfId="5401" xr:uid="{00000000-0005-0000-0000-00008D130000}"/>
    <cellStyle name="40% - Accent2 3 12" xfId="5402" xr:uid="{00000000-0005-0000-0000-00008E130000}"/>
    <cellStyle name="40% - Accent2 3 13" xfId="5403" xr:uid="{00000000-0005-0000-0000-00008F130000}"/>
    <cellStyle name="40% - Accent2 3 14" xfId="5404" xr:uid="{00000000-0005-0000-0000-000090130000}"/>
    <cellStyle name="40% - Accent2 3 2" xfId="5405" xr:uid="{00000000-0005-0000-0000-000091130000}"/>
    <cellStyle name="40% - Accent2 3 2 2" xfId="5406" xr:uid="{00000000-0005-0000-0000-000092130000}"/>
    <cellStyle name="40% - Accent2 3 2 2 10" xfId="5407" xr:uid="{00000000-0005-0000-0000-000093130000}"/>
    <cellStyle name="40% - Accent2 3 2 2 2" xfId="5408" xr:uid="{00000000-0005-0000-0000-000094130000}"/>
    <cellStyle name="40% - Accent2 3 2 2 2 2" xfId="5409" xr:uid="{00000000-0005-0000-0000-000095130000}"/>
    <cellStyle name="40% - Accent2 3 2 2 2 2 2" xfId="5410" xr:uid="{00000000-0005-0000-0000-000096130000}"/>
    <cellStyle name="40% - Accent2 3 2 2 2 2 3" xfId="5411" xr:uid="{00000000-0005-0000-0000-000097130000}"/>
    <cellStyle name="40% - Accent2 3 2 2 2 3" xfId="5412" xr:uid="{00000000-0005-0000-0000-000098130000}"/>
    <cellStyle name="40% - Accent2 3 2 2 2 3 2" xfId="5413" xr:uid="{00000000-0005-0000-0000-000099130000}"/>
    <cellStyle name="40% - Accent2 3 2 2 2 3 3" xfId="5414" xr:uid="{00000000-0005-0000-0000-00009A130000}"/>
    <cellStyle name="40% - Accent2 3 2 2 2 4" xfId="5415" xr:uid="{00000000-0005-0000-0000-00009B130000}"/>
    <cellStyle name="40% - Accent2 3 2 2 2 5" xfId="5416" xr:uid="{00000000-0005-0000-0000-00009C130000}"/>
    <cellStyle name="40% - Accent2 3 2 2 2 6" xfId="5417" xr:uid="{00000000-0005-0000-0000-00009D130000}"/>
    <cellStyle name="40% - Accent2 3 2 2 2 7" xfId="5418" xr:uid="{00000000-0005-0000-0000-00009E130000}"/>
    <cellStyle name="40% - Accent2 3 2 2 2 8" xfId="5419" xr:uid="{00000000-0005-0000-0000-00009F130000}"/>
    <cellStyle name="40% - Accent2 3 2 2 3" xfId="5420" xr:uid="{00000000-0005-0000-0000-0000A0130000}"/>
    <cellStyle name="40% - Accent2 3 2 2 3 2" xfId="5421" xr:uid="{00000000-0005-0000-0000-0000A1130000}"/>
    <cellStyle name="40% - Accent2 3 2 2 3 3" xfId="5422" xr:uid="{00000000-0005-0000-0000-0000A2130000}"/>
    <cellStyle name="40% - Accent2 3 2 2 4" xfId="5423" xr:uid="{00000000-0005-0000-0000-0000A3130000}"/>
    <cellStyle name="40% - Accent2 3 2 2 4 2" xfId="5424" xr:uid="{00000000-0005-0000-0000-0000A4130000}"/>
    <cellStyle name="40% - Accent2 3 2 2 4 3" xfId="5425" xr:uid="{00000000-0005-0000-0000-0000A5130000}"/>
    <cellStyle name="40% - Accent2 3 2 2 5" xfId="5426" xr:uid="{00000000-0005-0000-0000-0000A6130000}"/>
    <cellStyle name="40% - Accent2 3 2 2 5 2" xfId="5427" xr:uid="{00000000-0005-0000-0000-0000A7130000}"/>
    <cellStyle name="40% - Accent2 3 2 2 5 3" xfId="5428" xr:uid="{00000000-0005-0000-0000-0000A8130000}"/>
    <cellStyle name="40% - Accent2 3 2 2 6" xfId="5429" xr:uid="{00000000-0005-0000-0000-0000A9130000}"/>
    <cellStyle name="40% - Accent2 3 2 2 7" xfId="5430" xr:uid="{00000000-0005-0000-0000-0000AA130000}"/>
    <cellStyle name="40% - Accent2 3 2 2 8" xfId="5431" xr:uid="{00000000-0005-0000-0000-0000AB130000}"/>
    <cellStyle name="40% - Accent2 3 2 2 9" xfId="5432" xr:uid="{00000000-0005-0000-0000-0000AC130000}"/>
    <cellStyle name="40% - Accent2 3 2 3" xfId="5433" xr:uid="{00000000-0005-0000-0000-0000AD130000}"/>
    <cellStyle name="40% - Accent2 3 2 3 2" xfId="5434" xr:uid="{00000000-0005-0000-0000-0000AE130000}"/>
    <cellStyle name="40% - Accent2 3 2 3 2 2" xfId="5435" xr:uid="{00000000-0005-0000-0000-0000AF130000}"/>
    <cellStyle name="40% - Accent2 3 2 3 2 3" xfId="5436" xr:uid="{00000000-0005-0000-0000-0000B0130000}"/>
    <cellStyle name="40% - Accent2 3 2 3 3" xfId="5437" xr:uid="{00000000-0005-0000-0000-0000B1130000}"/>
    <cellStyle name="40% - Accent2 3 2 3 4" xfId="5438" xr:uid="{00000000-0005-0000-0000-0000B2130000}"/>
    <cellStyle name="40% - Accent2 3 2 4" xfId="5439" xr:uid="{00000000-0005-0000-0000-0000B3130000}"/>
    <cellStyle name="40% - Accent2 3 2 4 2" xfId="5440" xr:uid="{00000000-0005-0000-0000-0000B4130000}"/>
    <cellStyle name="40% - Accent2 3 2 4 3" xfId="5441" xr:uid="{00000000-0005-0000-0000-0000B5130000}"/>
    <cellStyle name="40% - Accent2 3 2 5" xfId="5442" xr:uid="{00000000-0005-0000-0000-0000B6130000}"/>
    <cellStyle name="40% - Accent2 3 2 5 2" xfId="5443" xr:uid="{00000000-0005-0000-0000-0000B7130000}"/>
    <cellStyle name="40% - Accent2 3 2 5 3" xfId="5444" xr:uid="{00000000-0005-0000-0000-0000B8130000}"/>
    <cellStyle name="40% - Accent2 3 2 6" xfId="5445" xr:uid="{00000000-0005-0000-0000-0000B9130000}"/>
    <cellStyle name="40% - Accent2 3 2 7" xfId="5446" xr:uid="{00000000-0005-0000-0000-0000BA130000}"/>
    <cellStyle name="40% - Accent2 3 2 8" xfId="5447" xr:uid="{00000000-0005-0000-0000-0000BB130000}"/>
    <cellStyle name="40% - Accent2 3 2 9" xfId="5448" xr:uid="{00000000-0005-0000-0000-0000BC130000}"/>
    <cellStyle name="40% - Accent2 3 3" xfId="5449" xr:uid="{00000000-0005-0000-0000-0000BD130000}"/>
    <cellStyle name="40% - Accent2 3 3 2" xfId="5450" xr:uid="{00000000-0005-0000-0000-0000BE130000}"/>
    <cellStyle name="40% - Accent2 3 3 2 2" xfId="5451" xr:uid="{00000000-0005-0000-0000-0000BF130000}"/>
    <cellStyle name="40% - Accent2 3 3 2 3" xfId="5452" xr:uid="{00000000-0005-0000-0000-0000C0130000}"/>
    <cellStyle name="40% - Accent2 3 3 3" xfId="5453" xr:uid="{00000000-0005-0000-0000-0000C1130000}"/>
    <cellStyle name="40% - Accent2 3 3 3 2" xfId="5454" xr:uid="{00000000-0005-0000-0000-0000C2130000}"/>
    <cellStyle name="40% - Accent2 3 3 3 3" xfId="5455" xr:uid="{00000000-0005-0000-0000-0000C3130000}"/>
    <cellStyle name="40% - Accent2 3 3 4" xfId="5456" xr:uid="{00000000-0005-0000-0000-0000C4130000}"/>
    <cellStyle name="40% - Accent2 3 3 5" xfId="5457" xr:uid="{00000000-0005-0000-0000-0000C5130000}"/>
    <cellStyle name="40% - Accent2 3 3 6" xfId="5458" xr:uid="{00000000-0005-0000-0000-0000C6130000}"/>
    <cellStyle name="40% - Accent2 3 3 7" xfId="5459" xr:uid="{00000000-0005-0000-0000-0000C7130000}"/>
    <cellStyle name="40% - Accent2 3 3 8" xfId="5460" xr:uid="{00000000-0005-0000-0000-0000C8130000}"/>
    <cellStyle name="40% - Accent2 3 4" xfId="5461" xr:uid="{00000000-0005-0000-0000-0000C9130000}"/>
    <cellStyle name="40% - Accent2 3 4 2" xfId="5462" xr:uid="{00000000-0005-0000-0000-0000CA130000}"/>
    <cellStyle name="40% - Accent2 3 4 2 2" xfId="5463" xr:uid="{00000000-0005-0000-0000-0000CB130000}"/>
    <cellStyle name="40% - Accent2 3 4 2 3" xfId="5464" xr:uid="{00000000-0005-0000-0000-0000CC130000}"/>
    <cellStyle name="40% - Accent2 3 4 3" xfId="5465" xr:uid="{00000000-0005-0000-0000-0000CD130000}"/>
    <cellStyle name="40% - Accent2 3 4 3 2" xfId="5466" xr:uid="{00000000-0005-0000-0000-0000CE130000}"/>
    <cellStyle name="40% - Accent2 3 4 3 3" xfId="5467" xr:uid="{00000000-0005-0000-0000-0000CF130000}"/>
    <cellStyle name="40% - Accent2 3 4 4" xfId="5468" xr:uid="{00000000-0005-0000-0000-0000D0130000}"/>
    <cellStyle name="40% - Accent2 3 4 5" xfId="5469" xr:uid="{00000000-0005-0000-0000-0000D1130000}"/>
    <cellStyle name="40% - Accent2 3 4 6" xfId="5470" xr:uid="{00000000-0005-0000-0000-0000D2130000}"/>
    <cellStyle name="40% - Accent2 3 4 7" xfId="5471" xr:uid="{00000000-0005-0000-0000-0000D3130000}"/>
    <cellStyle name="40% - Accent2 3 4 8" xfId="5472" xr:uid="{00000000-0005-0000-0000-0000D4130000}"/>
    <cellStyle name="40% - Accent2 3 5" xfId="5473" xr:uid="{00000000-0005-0000-0000-0000D5130000}"/>
    <cellStyle name="40% - Accent2 3 5 2" xfId="5474" xr:uid="{00000000-0005-0000-0000-0000D6130000}"/>
    <cellStyle name="40% - Accent2 3 5 2 2" xfId="5475" xr:uid="{00000000-0005-0000-0000-0000D7130000}"/>
    <cellStyle name="40% - Accent2 3 5 2 3" xfId="5476" xr:uid="{00000000-0005-0000-0000-0000D8130000}"/>
    <cellStyle name="40% - Accent2 3 5 3" xfId="5477" xr:uid="{00000000-0005-0000-0000-0000D9130000}"/>
    <cellStyle name="40% - Accent2 3 5 3 2" xfId="5478" xr:uid="{00000000-0005-0000-0000-0000DA130000}"/>
    <cellStyle name="40% - Accent2 3 5 4" xfId="5479" xr:uid="{00000000-0005-0000-0000-0000DB130000}"/>
    <cellStyle name="40% - Accent2 3 5 5" xfId="5480" xr:uid="{00000000-0005-0000-0000-0000DC130000}"/>
    <cellStyle name="40% - Accent2 3 5 6" xfId="5481" xr:uid="{00000000-0005-0000-0000-0000DD130000}"/>
    <cellStyle name="40% - Accent2 3 5 7" xfId="5482" xr:uid="{00000000-0005-0000-0000-0000DE130000}"/>
    <cellStyle name="40% - Accent2 3 5 8" xfId="5483" xr:uid="{00000000-0005-0000-0000-0000DF130000}"/>
    <cellStyle name="40% - Accent2 3 6" xfId="5484" xr:uid="{00000000-0005-0000-0000-0000E0130000}"/>
    <cellStyle name="40% - Accent2 3 6 2" xfId="5485" xr:uid="{00000000-0005-0000-0000-0000E1130000}"/>
    <cellStyle name="40% - Accent2 3 6 3" xfId="5486" xr:uid="{00000000-0005-0000-0000-0000E2130000}"/>
    <cellStyle name="40% - Accent2 3 7" xfId="5487" xr:uid="{00000000-0005-0000-0000-0000E3130000}"/>
    <cellStyle name="40% - Accent2 3 7 2" xfId="5488" xr:uid="{00000000-0005-0000-0000-0000E4130000}"/>
    <cellStyle name="40% - Accent2 3 7 3" xfId="5489" xr:uid="{00000000-0005-0000-0000-0000E5130000}"/>
    <cellStyle name="40% - Accent2 3 8" xfId="5490" xr:uid="{00000000-0005-0000-0000-0000E6130000}"/>
    <cellStyle name="40% - Accent2 3 8 2" xfId="5491" xr:uid="{00000000-0005-0000-0000-0000E7130000}"/>
    <cellStyle name="40% - Accent2 3 8 3" xfId="5492" xr:uid="{00000000-0005-0000-0000-0000E8130000}"/>
    <cellStyle name="40% - Accent2 3 9" xfId="5493" xr:uid="{00000000-0005-0000-0000-0000E9130000}"/>
    <cellStyle name="40% - Accent2 3 9 2" xfId="5494" xr:uid="{00000000-0005-0000-0000-0000EA130000}"/>
    <cellStyle name="40% - Accent2 3 9 3" xfId="5495" xr:uid="{00000000-0005-0000-0000-0000EB130000}"/>
    <cellStyle name="40% - Accent2 4" xfId="5496" xr:uid="{00000000-0005-0000-0000-0000EC130000}"/>
    <cellStyle name="40% - Accent2 4 10" xfId="5497" xr:uid="{00000000-0005-0000-0000-0000ED130000}"/>
    <cellStyle name="40% - Accent2 4 11" xfId="5498" xr:uid="{00000000-0005-0000-0000-0000EE130000}"/>
    <cellStyle name="40% - Accent2 4 12" xfId="5499" xr:uid="{00000000-0005-0000-0000-0000EF130000}"/>
    <cellStyle name="40% - Accent2 4 13" xfId="5500" xr:uid="{00000000-0005-0000-0000-0000F0130000}"/>
    <cellStyle name="40% - Accent2 4 2" xfId="5501" xr:uid="{00000000-0005-0000-0000-0000F1130000}"/>
    <cellStyle name="40% - Accent2 4 2 2" xfId="5502" xr:uid="{00000000-0005-0000-0000-0000F2130000}"/>
    <cellStyle name="40% - Accent2 4 2 2 2" xfId="5503" xr:uid="{00000000-0005-0000-0000-0000F3130000}"/>
    <cellStyle name="40% - Accent2 4 2 2 2 2" xfId="5504" xr:uid="{00000000-0005-0000-0000-0000F4130000}"/>
    <cellStyle name="40% - Accent2 4 2 2 2 2 2" xfId="5505" xr:uid="{00000000-0005-0000-0000-0000F5130000}"/>
    <cellStyle name="40% - Accent2 4 2 2 2 2 3" xfId="5506" xr:uid="{00000000-0005-0000-0000-0000F6130000}"/>
    <cellStyle name="40% - Accent2 4 2 2 2 3" xfId="5507" xr:uid="{00000000-0005-0000-0000-0000F7130000}"/>
    <cellStyle name="40% - Accent2 4 2 2 2 3 2" xfId="5508" xr:uid="{00000000-0005-0000-0000-0000F8130000}"/>
    <cellStyle name="40% - Accent2 4 2 2 2 3 3" xfId="5509" xr:uid="{00000000-0005-0000-0000-0000F9130000}"/>
    <cellStyle name="40% - Accent2 4 2 2 2 4" xfId="5510" xr:uid="{00000000-0005-0000-0000-0000FA130000}"/>
    <cellStyle name="40% - Accent2 4 2 2 2 5" xfId="5511" xr:uid="{00000000-0005-0000-0000-0000FB130000}"/>
    <cellStyle name="40% - Accent2 4 2 2 2 6" xfId="5512" xr:uid="{00000000-0005-0000-0000-0000FC130000}"/>
    <cellStyle name="40% - Accent2 4 2 2 2 7" xfId="5513" xr:uid="{00000000-0005-0000-0000-0000FD130000}"/>
    <cellStyle name="40% - Accent2 4 2 2 2 8" xfId="5514" xr:uid="{00000000-0005-0000-0000-0000FE130000}"/>
    <cellStyle name="40% - Accent2 4 2 2 3" xfId="5515" xr:uid="{00000000-0005-0000-0000-0000FF130000}"/>
    <cellStyle name="40% - Accent2 4 2 2 3 2" xfId="5516" xr:uid="{00000000-0005-0000-0000-000000140000}"/>
    <cellStyle name="40% - Accent2 4 2 2 3 3" xfId="5517" xr:uid="{00000000-0005-0000-0000-000001140000}"/>
    <cellStyle name="40% - Accent2 4 2 2 4" xfId="5518" xr:uid="{00000000-0005-0000-0000-000002140000}"/>
    <cellStyle name="40% - Accent2 4 2 2 4 2" xfId="5519" xr:uid="{00000000-0005-0000-0000-000003140000}"/>
    <cellStyle name="40% - Accent2 4 2 2 4 3" xfId="5520" xr:uid="{00000000-0005-0000-0000-000004140000}"/>
    <cellStyle name="40% - Accent2 4 2 2 5" xfId="5521" xr:uid="{00000000-0005-0000-0000-000005140000}"/>
    <cellStyle name="40% - Accent2 4 2 2 6" xfId="5522" xr:uid="{00000000-0005-0000-0000-000006140000}"/>
    <cellStyle name="40% - Accent2 4 2 2 7" xfId="5523" xr:uid="{00000000-0005-0000-0000-000007140000}"/>
    <cellStyle name="40% - Accent2 4 2 2 8" xfId="5524" xr:uid="{00000000-0005-0000-0000-000008140000}"/>
    <cellStyle name="40% - Accent2 4 2 2 9" xfId="5525" xr:uid="{00000000-0005-0000-0000-000009140000}"/>
    <cellStyle name="40% - Accent2 4 2 3" xfId="5526" xr:uid="{00000000-0005-0000-0000-00000A140000}"/>
    <cellStyle name="40% - Accent2 4 2 3 2" xfId="5527" xr:uid="{00000000-0005-0000-0000-00000B140000}"/>
    <cellStyle name="40% - Accent2 4 2 3 2 2" xfId="5528" xr:uid="{00000000-0005-0000-0000-00000C140000}"/>
    <cellStyle name="40% - Accent2 4 2 3 2 3" xfId="5529" xr:uid="{00000000-0005-0000-0000-00000D140000}"/>
    <cellStyle name="40% - Accent2 4 2 3 3" xfId="5530" xr:uid="{00000000-0005-0000-0000-00000E140000}"/>
    <cellStyle name="40% - Accent2 4 2 3 4" xfId="5531" xr:uid="{00000000-0005-0000-0000-00000F140000}"/>
    <cellStyle name="40% - Accent2 4 2 4" xfId="5532" xr:uid="{00000000-0005-0000-0000-000010140000}"/>
    <cellStyle name="40% - Accent2 4 2 4 2" xfId="5533" xr:uid="{00000000-0005-0000-0000-000011140000}"/>
    <cellStyle name="40% - Accent2 4 2 4 3" xfId="5534" xr:uid="{00000000-0005-0000-0000-000012140000}"/>
    <cellStyle name="40% - Accent2 4 2 5" xfId="5535" xr:uid="{00000000-0005-0000-0000-000013140000}"/>
    <cellStyle name="40% - Accent2 4 2 5 2" xfId="5536" xr:uid="{00000000-0005-0000-0000-000014140000}"/>
    <cellStyle name="40% - Accent2 4 2 5 3" xfId="5537" xr:uid="{00000000-0005-0000-0000-000015140000}"/>
    <cellStyle name="40% - Accent2 4 2 6" xfId="5538" xr:uid="{00000000-0005-0000-0000-000016140000}"/>
    <cellStyle name="40% - Accent2 4 2 7" xfId="5539" xr:uid="{00000000-0005-0000-0000-000017140000}"/>
    <cellStyle name="40% - Accent2 4 2 8" xfId="5540" xr:uid="{00000000-0005-0000-0000-000018140000}"/>
    <cellStyle name="40% - Accent2 4 2 9" xfId="5541" xr:uid="{00000000-0005-0000-0000-000019140000}"/>
    <cellStyle name="40% - Accent2 4 3" xfId="5542" xr:uid="{00000000-0005-0000-0000-00001A140000}"/>
    <cellStyle name="40% - Accent2 4 3 2" xfId="5543" xr:uid="{00000000-0005-0000-0000-00001B140000}"/>
    <cellStyle name="40% - Accent2 4 3 2 2" xfId="5544" xr:uid="{00000000-0005-0000-0000-00001C140000}"/>
    <cellStyle name="40% - Accent2 4 3 2 3" xfId="5545" xr:uid="{00000000-0005-0000-0000-00001D140000}"/>
    <cellStyle name="40% - Accent2 4 3 3" xfId="5546" xr:uid="{00000000-0005-0000-0000-00001E140000}"/>
    <cellStyle name="40% - Accent2 4 3 3 2" xfId="5547" xr:uid="{00000000-0005-0000-0000-00001F140000}"/>
    <cellStyle name="40% - Accent2 4 3 3 3" xfId="5548" xr:uid="{00000000-0005-0000-0000-000020140000}"/>
    <cellStyle name="40% - Accent2 4 3 4" xfId="5549" xr:uid="{00000000-0005-0000-0000-000021140000}"/>
    <cellStyle name="40% - Accent2 4 3 5" xfId="5550" xr:uid="{00000000-0005-0000-0000-000022140000}"/>
    <cellStyle name="40% - Accent2 4 3 6" xfId="5551" xr:uid="{00000000-0005-0000-0000-000023140000}"/>
    <cellStyle name="40% - Accent2 4 3 7" xfId="5552" xr:uid="{00000000-0005-0000-0000-000024140000}"/>
    <cellStyle name="40% - Accent2 4 3 8" xfId="5553" xr:uid="{00000000-0005-0000-0000-000025140000}"/>
    <cellStyle name="40% - Accent2 4 4" xfId="5554" xr:uid="{00000000-0005-0000-0000-000026140000}"/>
    <cellStyle name="40% - Accent2 4 4 2" xfId="5555" xr:uid="{00000000-0005-0000-0000-000027140000}"/>
    <cellStyle name="40% - Accent2 4 4 2 2" xfId="5556" xr:uid="{00000000-0005-0000-0000-000028140000}"/>
    <cellStyle name="40% - Accent2 4 4 2 3" xfId="5557" xr:uid="{00000000-0005-0000-0000-000029140000}"/>
    <cellStyle name="40% - Accent2 4 4 3" xfId="5558" xr:uid="{00000000-0005-0000-0000-00002A140000}"/>
    <cellStyle name="40% - Accent2 4 4 3 2" xfId="5559" xr:uid="{00000000-0005-0000-0000-00002B140000}"/>
    <cellStyle name="40% - Accent2 4 4 3 3" xfId="5560" xr:uid="{00000000-0005-0000-0000-00002C140000}"/>
    <cellStyle name="40% - Accent2 4 4 4" xfId="5561" xr:uid="{00000000-0005-0000-0000-00002D140000}"/>
    <cellStyle name="40% - Accent2 4 4 5" xfId="5562" xr:uid="{00000000-0005-0000-0000-00002E140000}"/>
    <cellStyle name="40% - Accent2 4 4 6" xfId="5563" xr:uid="{00000000-0005-0000-0000-00002F140000}"/>
    <cellStyle name="40% - Accent2 4 4 7" xfId="5564" xr:uid="{00000000-0005-0000-0000-000030140000}"/>
    <cellStyle name="40% - Accent2 4 4 8" xfId="5565" xr:uid="{00000000-0005-0000-0000-000031140000}"/>
    <cellStyle name="40% - Accent2 4 5" xfId="5566" xr:uid="{00000000-0005-0000-0000-000032140000}"/>
    <cellStyle name="40% - Accent2 4 5 2" xfId="5567" xr:uid="{00000000-0005-0000-0000-000033140000}"/>
    <cellStyle name="40% - Accent2 4 5 2 2" xfId="5568" xr:uid="{00000000-0005-0000-0000-000034140000}"/>
    <cellStyle name="40% - Accent2 4 5 2 3" xfId="5569" xr:uid="{00000000-0005-0000-0000-000035140000}"/>
    <cellStyle name="40% - Accent2 4 5 3" xfId="5570" xr:uid="{00000000-0005-0000-0000-000036140000}"/>
    <cellStyle name="40% - Accent2 4 5 4" xfId="5571" xr:uid="{00000000-0005-0000-0000-000037140000}"/>
    <cellStyle name="40% - Accent2 4 6" xfId="5572" xr:uid="{00000000-0005-0000-0000-000038140000}"/>
    <cellStyle name="40% - Accent2 4 6 2" xfId="5573" xr:uid="{00000000-0005-0000-0000-000039140000}"/>
    <cellStyle name="40% - Accent2 4 6 3" xfId="5574" xr:uid="{00000000-0005-0000-0000-00003A140000}"/>
    <cellStyle name="40% - Accent2 4 7" xfId="5575" xr:uid="{00000000-0005-0000-0000-00003B140000}"/>
    <cellStyle name="40% - Accent2 4 7 2" xfId="5576" xr:uid="{00000000-0005-0000-0000-00003C140000}"/>
    <cellStyle name="40% - Accent2 4 7 3" xfId="5577" xr:uid="{00000000-0005-0000-0000-00003D140000}"/>
    <cellStyle name="40% - Accent2 4 8" xfId="5578" xr:uid="{00000000-0005-0000-0000-00003E140000}"/>
    <cellStyle name="40% - Accent2 4 8 2" xfId="5579" xr:uid="{00000000-0005-0000-0000-00003F140000}"/>
    <cellStyle name="40% - Accent2 4 8 3" xfId="5580" xr:uid="{00000000-0005-0000-0000-000040140000}"/>
    <cellStyle name="40% - Accent2 4 9" xfId="5581" xr:uid="{00000000-0005-0000-0000-000041140000}"/>
    <cellStyle name="40% - Accent2 5" xfId="5582" xr:uid="{00000000-0005-0000-0000-000042140000}"/>
    <cellStyle name="40% - Accent2 5 10" xfId="5583" xr:uid="{00000000-0005-0000-0000-000043140000}"/>
    <cellStyle name="40% - Accent2 5 11" xfId="5584" xr:uid="{00000000-0005-0000-0000-000044140000}"/>
    <cellStyle name="40% - Accent2 5 12" xfId="5585" xr:uid="{00000000-0005-0000-0000-000045140000}"/>
    <cellStyle name="40% - Accent2 5 2" xfId="5586" xr:uid="{00000000-0005-0000-0000-000046140000}"/>
    <cellStyle name="40% - Accent2 5 2 2" xfId="5587" xr:uid="{00000000-0005-0000-0000-000047140000}"/>
    <cellStyle name="40% - Accent2 5 2 2 2" xfId="5588" xr:uid="{00000000-0005-0000-0000-000048140000}"/>
    <cellStyle name="40% - Accent2 5 2 2 2 2" xfId="5589" xr:uid="{00000000-0005-0000-0000-000049140000}"/>
    <cellStyle name="40% - Accent2 5 2 2 2 2 2" xfId="5590" xr:uid="{00000000-0005-0000-0000-00004A140000}"/>
    <cellStyle name="40% - Accent2 5 2 2 2 2 3" xfId="5591" xr:uid="{00000000-0005-0000-0000-00004B140000}"/>
    <cellStyle name="40% - Accent2 5 2 2 2 3" xfId="5592" xr:uid="{00000000-0005-0000-0000-00004C140000}"/>
    <cellStyle name="40% - Accent2 5 2 2 2 3 2" xfId="5593" xr:uid="{00000000-0005-0000-0000-00004D140000}"/>
    <cellStyle name="40% - Accent2 5 2 2 2 3 3" xfId="5594" xr:uid="{00000000-0005-0000-0000-00004E140000}"/>
    <cellStyle name="40% - Accent2 5 2 2 2 4" xfId="5595" xr:uid="{00000000-0005-0000-0000-00004F140000}"/>
    <cellStyle name="40% - Accent2 5 2 2 2 5" xfId="5596" xr:uid="{00000000-0005-0000-0000-000050140000}"/>
    <cellStyle name="40% - Accent2 5 2 2 2 6" xfId="5597" xr:uid="{00000000-0005-0000-0000-000051140000}"/>
    <cellStyle name="40% - Accent2 5 2 2 2 7" xfId="5598" xr:uid="{00000000-0005-0000-0000-000052140000}"/>
    <cellStyle name="40% - Accent2 5 2 2 2 8" xfId="5599" xr:uid="{00000000-0005-0000-0000-000053140000}"/>
    <cellStyle name="40% - Accent2 5 2 2 3" xfId="5600" xr:uid="{00000000-0005-0000-0000-000054140000}"/>
    <cellStyle name="40% - Accent2 5 2 2 3 2" xfId="5601" xr:uid="{00000000-0005-0000-0000-000055140000}"/>
    <cellStyle name="40% - Accent2 5 2 2 3 3" xfId="5602" xr:uid="{00000000-0005-0000-0000-000056140000}"/>
    <cellStyle name="40% - Accent2 5 2 2 4" xfId="5603" xr:uid="{00000000-0005-0000-0000-000057140000}"/>
    <cellStyle name="40% - Accent2 5 2 2 4 2" xfId="5604" xr:uid="{00000000-0005-0000-0000-000058140000}"/>
    <cellStyle name="40% - Accent2 5 2 2 4 3" xfId="5605" xr:uid="{00000000-0005-0000-0000-000059140000}"/>
    <cellStyle name="40% - Accent2 5 2 2 5" xfId="5606" xr:uid="{00000000-0005-0000-0000-00005A140000}"/>
    <cellStyle name="40% - Accent2 5 2 2 6" xfId="5607" xr:uid="{00000000-0005-0000-0000-00005B140000}"/>
    <cellStyle name="40% - Accent2 5 2 2 7" xfId="5608" xr:uid="{00000000-0005-0000-0000-00005C140000}"/>
    <cellStyle name="40% - Accent2 5 2 2 8" xfId="5609" xr:uid="{00000000-0005-0000-0000-00005D140000}"/>
    <cellStyle name="40% - Accent2 5 2 2 9" xfId="5610" xr:uid="{00000000-0005-0000-0000-00005E140000}"/>
    <cellStyle name="40% - Accent2 5 2 3" xfId="5611" xr:uid="{00000000-0005-0000-0000-00005F140000}"/>
    <cellStyle name="40% - Accent2 5 2 3 2" xfId="5612" xr:uid="{00000000-0005-0000-0000-000060140000}"/>
    <cellStyle name="40% - Accent2 5 2 3 2 2" xfId="5613" xr:uid="{00000000-0005-0000-0000-000061140000}"/>
    <cellStyle name="40% - Accent2 5 2 3 2 3" xfId="5614" xr:uid="{00000000-0005-0000-0000-000062140000}"/>
    <cellStyle name="40% - Accent2 5 2 3 3" xfId="5615" xr:uid="{00000000-0005-0000-0000-000063140000}"/>
    <cellStyle name="40% - Accent2 5 2 3 4" xfId="5616" xr:uid="{00000000-0005-0000-0000-000064140000}"/>
    <cellStyle name="40% - Accent2 5 2 4" xfId="5617" xr:uid="{00000000-0005-0000-0000-000065140000}"/>
    <cellStyle name="40% - Accent2 5 2 5" xfId="5618" xr:uid="{00000000-0005-0000-0000-000066140000}"/>
    <cellStyle name="40% - Accent2 5 2_Dec monthly report" xfId="5619" xr:uid="{00000000-0005-0000-0000-000067140000}"/>
    <cellStyle name="40% - Accent2 5 3" xfId="5620" xr:uid="{00000000-0005-0000-0000-000068140000}"/>
    <cellStyle name="40% - Accent2 5 3 2" xfId="5621" xr:uid="{00000000-0005-0000-0000-000069140000}"/>
    <cellStyle name="40% - Accent2 5 3 2 2" xfId="5622" xr:uid="{00000000-0005-0000-0000-00006A140000}"/>
    <cellStyle name="40% - Accent2 5 3 2 3" xfId="5623" xr:uid="{00000000-0005-0000-0000-00006B140000}"/>
    <cellStyle name="40% - Accent2 5 3 3" xfId="5624" xr:uid="{00000000-0005-0000-0000-00006C140000}"/>
    <cellStyle name="40% - Accent2 5 3 3 2" xfId="5625" xr:uid="{00000000-0005-0000-0000-00006D140000}"/>
    <cellStyle name="40% - Accent2 5 3 3 3" xfId="5626" xr:uid="{00000000-0005-0000-0000-00006E140000}"/>
    <cellStyle name="40% - Accent2 5 3 4" xfId="5627" xr:uid="{00000000-0005-0000-0000-00006F140000}"/>
    <cellStyle name="40% - Accent2 5 3 5" xfId="5628" xr:uid="{00000000-0005-0000-0000-000070140000}"/>
    <cellStyle name="40% - Accent2 5 3 6" xfId="5629" xr:uid="{00000000-0005-0000-0000-000071140000}"/>
    <cellStyle name="40% - Accent2 5 3 7" xfId="5630" xr:uid="{00000000-0005-0000-0000-000072140000}"/>
    <cellStyle name="40% - Accent2 5 3 8" xfId="5631" xr:uid="{00000000-0005-0000-0000-000073140000}"/>
    <cellStyle name="40% - Accent2 5 4" xfId="5632" xr:uid="{00000000-0005-0000-0000-000074140000}"/>
    <cellStyle name="40% - Accent2 5 4 2" xfId="5633" xr:uid="{00000000-0005-0000-0000-000075140000}"/>
    <cellStyle name="40% - Accent2 5 4 2 2" xfId="5634" xr:uid="{00000000-0005-0000-0000-000076140000}"/>
    <cellStyle name="40% - Accent2 5 4 2 3" xfId="5635" xr:uid="{00000000-0005-0000-0000-000077140000}"/>
    <cellStyle name="40% - Accent2 5 4 3" xfId="5636" xr:uid="{00000000-0005-0000-0000-000078140000}"/>
    <cellStyle name="40% - Accent2 5 4 3 2" xfId="5637" xr:uid="{00000000-0005-0000-0000-000079140000}"/>
    <cellStyle name="40% - Accent2 5 4 3 3" xfId="5638" xr:uid="{00000000-0005-0000-0000-00007A140000}"/>
    <cellStyle name="40% - Accent2 5 4 4" xfId="5639" xr:uid="{00000000-0005-0000-0000-00007B140000}"/>
    <cellStyle name="40% - Accent2 5 4 5" xfId="5640" xr:uid="{00000000-0005-0000-0000-00007C140000}"/>
    <cellStyle name="40% - Accent2 5 4 6" xfId="5641" xr:uid="{00000000-0005-0000-0000-00007D140000}"/>
    <cellStyle name="40% - Accent2 5 4 7" xfId="5642" xr:uid="{00000000-0005-0000-0000-00007E140000}"/>
    <cellStyle name="40% - Accent2 5 4 8" xfId="5643" xr:uid="{00000000-0005-0000-0000-00007F140000}"/>
    <cellStyle name="40% - Accent2 5 5" xfId="5644" xr:uid="{00000000-0005-0000-0000-000080140000}"/>
    <cellStyle name="40% - Accent2 5 5 2" xfId="5645" xr:uid="{00000000-0005-0000-0000-000081140000}"/>
    <cellStyle name="40% - Accent2 5 5 3" xfId="5646" xr:uid="{00000000-0005-0000-0000-000082140000}"/>
    <cellStyle name="40% - Accent2 5 6" xfId="5647" xr:uid="{00000000-0005-0000-0000-000083140000}"/>
    <cellStyle name="40% - Accent2 5 6 2" xfId="5648" xr:uid="{00000000-0005-0000-0000-000084140000}"/>
    <cellStyle name="40% - Accent2 5 6 3" xfId="5649" xr:uid="{00000000-0005-0000-0000-000085140000}"/>
    <cellStyle name="40% - Accent2 5 7" xfId="5650" xr:uid="{00000000-0005-0000-0000-000086140000}"/>
    <cellStyle name="40% - Accent2 5 7 2" xfId="5651" xr:uid="{00000000-0005-0000-0000-000087140000}"/>
    <cellStyle name="40% - Accent2 5 7 3" xfId="5652" xr:uid="{00000000-0005-0000-0000-000088140000}"/>
    <cellStyle name="40% - Accent2 5 8" xfId="5653" xr:uid="{00000000-0005-0000-0000-000089140000}"/>
    <cellStyle name="40% - Accent2 5 9" xfId="5654" xr:uid="{00000000-0005-0000-0000-00008A140000}"/>
    <cellStyle name="40% - Accent2 6" xfId="5655" xr:uid="{00000000-0005-0000-0000-00008B140000}"/>
    <cellStyle name="40% - Accent2 6 2" xfId="5656" xr:uid="{00000000-0005-0000-0000-00008C140000}"/>
    <cellStyle name="40% - Accent2 6 2 2" xfId="5657" xr:uid="{00000000-0005-0000-0000-00008D140000}"/>
    <cellStyle name="40% - Accent2 6 2 2 2" xfId="5658" xr:uid="{00000000-0005-0000-0000-00008E140000}"/>
    <cellStyle name="40% - Accent2 6 2 2 2 2" xfId="5659" xr:uid="{00000000-0005-0000-0000-00008F140000}"/>
    <cellStyle name="40% - Accent2 6 2 2 2 3" xfId="5660" xr:uid="{00000000-0005-0000-0000-000090140000}"/>
    <cellStyle name="40% - Accent2 6 2 2 3" xfId="5661" xr:uid="{00000000-0005-0000-0000-000091140000}"/>
    <cellStyle name="40% - Accent2 6 2 2 3 2" xfId="5662" xr:uid="{00000000-0005-0000-0000-000092140000}"/>
    <cellStyle name="40% - Accent2 6 2 2 3 3" xfId="5663" xr:uid="{00000000-0005-0000-0000-000093140000}"/>
    <cellStyle name="40% - Accent2 6 2 2 4" xfId="5664" xr:uid="{00000000-0005-0000-0000-000094140000}"/>
    <cellStyle name="40% - Accent2 6 2 2 5" xfId="5665" xr:uid="{00000000-0005-0000-0000-000095140000}"/>
    <cellStyle name="40% - Accent2 6 2 2 6" xfId="5666" xr:uid="{00000000-0005-0000-0000-000096140000}"/>
    <cellStyle name="40% - Accent2 6 2 2 7" xfId="5667" xr:uid="{00000000-0005-0000-0000-000097140000}"/>
    <cellStyle name="40% - Accent2 6 2 2 8" xfId="5668" xr:uid="{00000000-0005-0000-0000-000098140000}"/>
    <cellStyle name="40% - Accent2 6 2 3" xfId="5669" xr:uid="{00000000-0005-0000-0000-000099140000}"/>
    <cellStyle name="40% - Accent2 6 2 3 2" xfId="5670" xr:uid="{00000000-0005-0000-0000-00009A140000}"/>
    <cellStyle name="40% - Accent2 6 2 3 3" xfId="5671" xr:uid="{00000000-0005-0000-0000-00009B140000}"/>
    <cellStyle name="40% - Accent2 6 2 4" xfId="5672" xr:uid="{00000000-0005-0000-0000-00009C140000}"/>
    <cellStyle name="40% - Accent2 6 2 4 2" xfId="5673" xr:uid="{00000000-0005-0000-0000-00009D140000}"/>
    <cellStyle name="40% - Accent2 6 2 4 3" xfId="5674" xr:uid="{00000000-0005-0000-0000-00009E140000}"/>
    <cellStyle name="40% - Accent2 6 2 5" xfId="5675" xr:uid="{00000000-0005-0000-0000-00009F140000}"/>
    <cellStyle name="40% - Accent2 6 2 6" xfId="5676" xr:uid="{00000000-0005-0000-0000-0000A0140000}"/>
    <cellStyle name="40% - Accent2 6 2 7" xfId="5677" xr:uid="{00000000-0005-0000-0000-0000A1140000}"/>
    <cellStyle name="40% - Accent2 6 2 8" xfId="5678" xr:uid="{00000000-0005-0000-0000-0000A2140000}"/>
    <cellStyle name="40% - Accent2 6 2 9" xfId="5679" xr:uid="{00000000-0005-0000-0000-0000A3140000}"/>
    <cellStyle name="40% - Accent2 6 3" xfId="5680" xr:uid="{00000000-0005-0000-0000-0000A4140000}"/>
    <cellStyle name="40% - Accent2 6 3 2" xfId="5681" xr:uid="{00000000-0005-0000-0000-0000A5140000}"/>
    <cellStyle name="40% - Accent2 6 3 2 2" xfId="5682" xr:uid="{00000000-0005-0000-0000-0000A6140000}"/>
    <cellStyle name="40% - Accent2 6 3 2 3" xfId="5683" xr:uid="{00000000-0005-0000-0000-0000A7140000}"/>
    <cellStyle name="40% - Accent2 6 3 3" xfId="5684" xr:uid="{00000000-0005-0000-0000-0000A8140000}"/>
    <cellStyle name="40% - Accent2 6 3 4" xfId="5685" xr:uid="{00000000-0005-0000-0000-0000A9140000}"/>
    <cellStyle name="40% - Accent2 6 4" xfId="5686" xr:uid="{00000000-0005-0000-0000-0000AA140000}"/>
    <cellStyle name="40% - Accent2 6_Dec monthly report" xfId="5687" xr:uid="{00000000-0005-0000-0000-0000AB140000}"/>
    <cellStyle name="40% - Accent2 7" xfId="5688" xr:uid="{00000000-0005-0000-0000-0000AC140000}"/>
    <cellStyle name="40% - Accent2 7 2" xfId="5689" xr:uid="{00000000-0005-0000-0000-0000AD140000}"/>
    <cellStyle name="40% - Accent2 7 3" xfId="5690" xr:uid="{00000000-0005-0000-0000-0000AE140000}"/>
    <cellStyle name="40% - Accent2 7 4" xfId="5691" xr:uid="{00000000-0005-0000-0000-0000AF140000}"/>
    <cellStyle name="40% - Accent2 8" xfId="5692" xr:uid="{00000000-0005-0000-0000-0000B0140000}"/>
    <cellStyle name="40% - Accent2 8 2" xfId="5693" xr:uid="{00000000-0005-0000-0000-0000B1140000}"/>
    <cellStyle name="40% - Accent2 8 2 2" xfId="5694" xr:uid="{00000000-0005-0000-0000-0000B2140000}"/>
    <cellStyle name="40% - Accent2 8 2 3" xfId="5695" xr:uid="{00000000-0005-0000-0000-0000B3140000}"/>
    <cellStyle name="40% - Accent2 8 3" xfId="5696" xr:uid="{00000000-0005-0000-0000-0000B4140000}"/>
    <cellStyle name="40% - Accent2 8 3 2" xfId="5697" xr:uid="{00000000-0005-0000-0000-0000B5140000}"/>
    <cellStyle name="40% - Accent2 8 3 3" xfId="5698" xr:uid="{00000000-0005-0000-0000-0000B6140000}"/>
    <cellStyle name="40% - Accent2 8 4" xfId="5699" xr:uid="{00000000-0005-0000-0000-0000B7140000}"/>
    <cellStyle name="40% - Accent2 8 5" xfId="5700" xr:uid="{00000000-0005-0000-0000-0000B8140000}"/>
    <cellStyle name="40% - Accent2 8 6" xfId="5701" xr:uid="{00000000-0005-0000-0000-0000B9140000}"/>
    <cellStyle name="40% - Accent2 8 7" xfId="5702" xr:uid="{00000000-0005-0000-0000-0000BA140000}"/>
    <cellStyle name="40% - Accent2 8 8" xfId="5703" xr:uid="{00000000-0005-0000-0000-0000BB140000}"/>
    <cellStyle name="40% - Accent2 9" xfId="5704" xr:uid="{00000000-0005-0000-0000-0000BC140000}"/>
    <cellStyle name="40% - Accent2 9 2" xfId="5705" xr:uid="{00000000-0005-0000-0000-0000BD140000}"/>
    <cellStyle name="40% - Accent2 9 2 2" xfId="5706" xr:uid="{00000000-0005-0000-0000-0000BE140000}"/>
    <cellStyle name="40% - Accent2 9 2 3" xfId="5707" xr:uid="{00000000-0005-0000-0000-0000BF140000}"/>
    <cellStyle name="40% - Accent2 9 3" xfId="5708" xr:uid="{00000000-0005-0000-0000-0000C0140000}"/>
    <cellStyle name="40% - Accent2 9 3 2" xfId="5709" xr:uid="{00000000-0005-0000-0000-0000C1140000}"/>
    <cellStyle name="40% - Accent2 9 3 3" xfId="5710" xr:uid="{00000000-0005-0000-0000-0000C2140000}"/>
    <cellStyle name="40% - Accent2 9 4" xfId="5711" xr:uid="{00000000-0005-0000-0000-0000C3140000}"/>
    <cellStyle name="40% - Accent2 9 5" xfId="5712" xr:uid="{00000000-0005-0000-0000-0000C4140000}"/>
    <cellStyle name="40% - Accent2 9 6" xfId="5713" xr:uid="{00000000-0005-0000-0000-0000C5140000}"/>
    <cellStyle name="40% - Accent2 9 7" xfId="5714" xr:uid="{00000000-0005-0000-0000-0000C6140000}"/>
    <cellStyle name="40% - Accent2 9 8" xfId="5715" xr:uid="{00000000-0005-0000-0000-0000C7140000}"/>
    <cellStyle name="40% - Accent3 10" xfId="5716" xr:uid="{00000000-0005-0000-0000-0000C8140000}"/>
    <cellStyle name="40% - Accent3 10 2" xfId="5717" xr:uid="{00000000-0005-0000-0000-0000C9140000}"/>
    <cellStyle name="40% - Accent3 10 2 2" xfId="5718" xr:uid="{00000000-0005-0000-0000-0000CA140000}"/>
    <cellStyle name="40% - Accent3 10 2 3" xfId="5719" xr:uid="{00000000-0005-0000-0000-0000CB140000}"/>
    <cellStyle name="40% - Accent3 10 3" xfId="5720" xr:uid="{00000000-0005-0000-0000-0000CC140000}"/>
    <cellStyle name="40% - Accent3 10 4" xfId="5721" xr:uid="{00000000-0005-0000-0000-0000CD140000}"/>
    <cellStyle name="40% - Accent3 10 4 2" xfId="5722" xr:uid="{00000000-0005-0000-0000-0000CE140000}"/>
    <cellStyle name="40% - Accent3 10 5" xfId="5723" xr:uid="{00000000-0005-0000-0000-0000CF140000}"/>
    <cellStyle name="40% - Accent3 11" xfId="5724" xr:uid="{00000000-0005-0000-0000-0000D0140000}"/>
    <cellStyle name="40% - Accent3 11 2" xfId="5725" xr:uid="{00000000-0005-0000-0000-0000D1140000}"/>
    <cellStyle name="40% - Accent3 11 3" xfId="5726" xr:uid="{00000000-0005-0000-0000-0000D2140000}"/>
    <cellStyle name="40% - Accent3 11 3 2" xfId="5727" xr:uid="{00000000-0005-0000-0000-0000D3140000}"/>
    <cellStyle name="40% - Accent3 12" xfId="5728" xr:uid="{00000000-0005-0000-0000-0000D4140000}"/>
    <cellStyle name="40% - Accent3 12 2" xfId="5729" xr:uid="{00000000-0005-0000-0000-0000D5140000}"/>
    <cellStyle name="40% - Accent3 12 3" xfId="5730" xr:uid="{00000000-0005-0000-0000-0000D6140000}"/>
    <cellStyle name="40% - Accent3 13" xfId="5731" xr:uid="{00000000-0005-0000-0000-0000D7140000}"/>
    <cellStyle name="40% - Accent3 13 2" xfId="5732" xr:uid="{00000000-0005-0000-0000-0000D8140000}"/>
    <cellStyle name="40% - Accent3 13 3" xfId="5733" xr:uid="{00000000-0005-0000-0000-0000D9140000}"/>
    <cellStyle name="40% - Accent3 14" xfId="5734" xr:uid="{00000000-0005-0000-0000-0000DA140000}"/>
    <cellStyle name="40% - Accent3 14 2" xfId="5735" xr:uid="{00000000-0005-0000-0000-0000DB140000}"/>
    <cellStyle name="40% - Accent3 14 3" xfId="5736" xr:uid="{00000000-0005-0000-0000-0000DC140000}"/>
    <cellStyle name="40% - Accent3 15" xfId="5737" xr:uid="{00000000-0005-0000-0000-0000DD140000}"/>
    <cellStyle name="40% - Accent3 15 2" xfId="5738" xr:uid="{00000000-0005-0000-0000-0000DE140000}"/>
    <cellStyle name="40% - Accent3 15 3" xfId="5739" xr:uid="{00000000-0005-0000-0000-0000DF140000}"/>
    <cellStyle name="40% - Accent3 16" xfId="5740" xr:uid="{00000000-0005-0000-0000-0000E0140000}"/>
    <cellStyle name="40% - Accent3 16 2" xfId="5741" xr:uid="{00000000-0005-0000-0000-0000E1140000}"/>
    <cellStyle name="40% - Accent3 16 3" xfId="5742" xr:uid="{00000000-0005-0000-0000-0000E2140000}"/>
    <cellStyle name="40% - Accent3 17" xfId="5743" xr:uid="{00000000-0005-0000-0000-0000E3140000}"/>
    <cellStyle name="40% - Accent3 17 2" xfId="5744" xr:uid="{00000000-0005-0000-0000-0000E4140000}"/>
    <cellStyle name="40% - Accent3 17 3" xfId="5745" xr:uid="{00000000-0005-0000-0000-0000E5140000}"/>
    <cellStyle name="40% - Accent3 18" xfId="5746" xr:uid="{00000000-0005-0000-0000-0000E6140000}"/>
    <cellStyle name="40% - Accent3 18 2" xfId="5747" xr:uid="{00000000-0005-0000-0000-0000E7140000}"/>
    <cellStyle name="40% - Accent3 18 3" xfId="5748" xr:uid="{00000000-0005-0000-0000-0000E8140000}"/>
    <cellStyle name="40% - Accent3 19" xfId="5749" xr:uid="{00000000-0005-0000-0000-0000E9140000}"/>
    <cellStyle name="40% - Accent3 19 2" xfId="5750" xr:uid="{00000000-0005-0000-0000-0000EA140000}"/>
    <cellStyle name="40% - Accent3 19 3" xfId="5751" xr:uid="{00000000-0005-0000-0000-0000EB140000}"/>
    <cellStyle name="40% - Accent3 2" xfId="5752" xr:uid="{00000000-0005-0000-0000-0000EC140000}"/>
    <cellStyle name="40% - Accent3 2 10" xfId="5753" xr:uid="{00000000-0005-0000-0000-0000ED140000}"/>
    <cellStyle name="40% - Accent3 2 10 2" xfId="5754" xr:uid="{00000000-0005-0000-0000-0000EE140000}"/>
    <cellStyle name="40% - Accent3 2 10 3" xfId="5755" xr:uid="{00000000-0005-0000-0000-0000EF140000}"/>
    <cellStyle name="40% - Accent3 2 11" xfId="5756" xr:uid="{00000000-0005-0000-0000-0000F0140000}"/>
    <cellStyle name="40% - Accent3 2 11 2" xfId="5757" xr:uid="{00000000-0005-0000-0000-0000F1140000}"/>
    <cellStyle name="40% - Accent3 2 11 3" xfId="5758" xr:uid="{00000000-0005-0000-0000-0000F2140000}"/>
    <cellStyle name="40% - Accent3 2 12" xfId="5759" xr:uid="{00000000-0005-0000-0000-0000F3140000}"/>
    <cellStyle name="40% - Accent3 2 12 2" xfId="5760" xr:uid="{00000000-0005-0000-0000-0000F4140000}"/>
    <cellStyle name="40% - Accent3 2 12 3" xfId="5761" xr:uid="{00000000-0005-0000-0000-0000F5140000}"/>
    <cellStyle name="40% - Accent3 2 13" xfId="5762" xr:uid="{00000000-0005-0000-0000-0000F6140000}"/>
    <cellStyle name="40% - Accent3 2 14" xfId="5763" xr:uid="{00000000-0005-0000-0000-0000F7140000}"/>
    <cellStyle name="40% - Accent3 2 2" xfId="5764" xr:uid="{00000000-0005-0000-0000-0000F8140000}"/>
    <cellStyle name="40% - Accent3 2 2 2" xfId="5765" xr:uid="{00000000-0005-0000-0000-0000F9140000}"/>
    <cellStyle name="40% - Accent3 2 2 2 2" xfId="5766" xr:uid="{00000000-0005-0000-0000-0000FA140000}"/>
    <cellStyle name="40% - Accent3 2 2 2 3" xfId="5767" xr:uid="{00000000-0005-0000-0000-0000FB140000}"/>
    <cellStyle name="40% - Accent3 2 2 2 4" xfId="5768" xr:uid="{00000000-0005-0000-0000-0000FC140000}"/>
    <cellStyle name="40% - Accent3 2 2 3" xfId="5769" xr:uid="{00000000-0005-0000-0000-0000FD140000}"/>
    <cellStyle name="40% - Accent3 2 2 3 2" xfId="5770" xr:uid="{00000000-0005-0000-0000-0000FE140000}"/>
    <cellStyle name="40% - Accent3 2 2 3 3" xfId="5771" xr:uid="{00000000-0005-0000-0000-0000FF140000}"/>
    <cellStyle name="40% - Accent3 2 2 4" xfId="5772" xr:uid="{00000000-0005-0000-0000-000000150000}"/>
    <cellStyle name="40% - Accent3 2 2 4 2" xfId="5773" xr:uid="{00000000-0005-0000-0000-000001150000}"/>
    <cellStyle name="40% - Accent3 2 2 4 3" xfId="5774" xr:uid="{00000000-0005-0000-0000-000002150000}"/>
    <cellStyle name="40% - Accent3 2 2 5" xfId="5775" xr:uid="{00000000-0005-0000-0000-000003150000}"/>
    <cellStyle name="40% - Accent3 2 2 6" xfId="5776" xr:uid="{00000000-0005-0000-0000-000004150000}"/>
    <cellStyle name="40% - Accent3 2 2 7" xfId="5777" xr:uid="{00000000-0005-0000-0000-000005150000}"/>
    <cellStyle name="40% - Accent3 2 2 8" xfId="5778" xr:uid="{00000000-0005-0000-0000-000006150000}"/>
    <cellStyle name="40% - Accent3 2 2_Dec monthly report" xfId="5779" xr:uid="{00000000-0005-0000-0000-000007150000}"/>
    <cellStyle name="40% - Accent3 2 3" xfId="5780" xr:uid="{00000000-0005-0000-0000-000008150000}"/>
    <cellStyle name="40% - Accent3 2 3 10" xfId="5781" xr:uid="{00000000-0005-0000-0000-000009150000}"/>
    <cellStyle name="40% - Accent3 2 3 11" xfId="5782" xr:uid="{00000000-0005-0000-0000-00000A150000}"/>
    <cellStyle name="40% - Accent3 2 3 2" xfId="5783" xr:uid="{00000000-0005-0000-0000-00000B150000}"/>
    <cellStyle name="40% - Accent3 2 3 2 10" xfId="5784" xr:uid="{00000000-0005-0000-0000-00000C150000}"/>
    <cellStyle name="40% - Accent3 2 3 2 2" xfId="5785" xr:uid="{00000000-0005-0000-0000-00000D150000}"/>
    <cellStyle name="40% - Accent3 2 3 2 2 2" xfId="5786" xr:uid="{00000000-0005-0000-0000-00000E150000}"/>
    <cellStyle name="40% - Accent3 2 3 2 2 2 2" xfId="5787" xr:uid="{00000000-0005-0000-0000-00000F150000}"/>
    <cellStyle name="40% - Accent3 2 3 2 2 2 3" xfId="5788" xr:uid="{00000000-0005-0000-0000-000010150000}"/>
    <cellStyle name="40% - Accent3 2 3 2 2 3" xfId="5789" xr:uid="{00000000-0005-0000-0000-000011150000}"/>
    <cellStyle name="40% - Accent3 2 3 2 2 3 2" xfId="5790" xr:uid="{00000000-0005-0000-0000-000012150000}"/>
    <cellStyle name="40% - Accent3 2 3 2 2 3 3" xfId="5791" xr:uid="{00000000-0005-0000-0000-000013150000}"/>
    <cellStyle name="40% - Accent3 2 3 2 2 4" xfId="5792" xr:uid="{00000000-0005-0000-0000-000014150000}"/>
    <cellStyle name="40% - Accent3 2 3 2 2 5" xfId="5793" xr:uid="{00000000-0005-0000-0000-000015150000}"/>
    <cellStyle name="40% - Accent3 2 3 2 2 6" xfId="5794" xr:uid="{00000000-0005-0000-0000-000016150000}"/>
    <cellStyle name="40% - Accent3 2 3 2 2 7" xfId="5795" xr:uid="{00000000-0005-0000-0000-000017150000}"/>
    <cellStyle name="40% - Accent3 2 3 2 2 8" xfId="5796" xr:uid="{00000000-0005-0000-0000-000018150000}"/>
    <cellStyle name="40% - Accent3 2 3 2 3" xfId="5797" xr:uid="{00000000-0005-0000-0000-000019150000}"/>
    <cellStyle name="40% - Accent3 2 3 2 3 2" xfId="5798" xr:uid="{00000000-0005-0000-0000-00001A150000}"/>
    <cellStyle name="40% - Accent3 2 3 2 3 2 2" xfId="5799" xr:uid="{00000000-0005-0000-0000-00001B150000}"/>
    <cellStyle name="40% - Accent3 2 3 2 3 2 3" xfId="5800" xr:uid="{00000000-0005-0000-0000-00001C150000}"/>
    <cellStyle name="40% - Accent3 2 3 2 3 3" xfId="5801" xr:uid="{00000000-0005-0000-0000-00001D150000}"/>
    <cellStyle name="40% - Accent3 2 3 2 3 3 2" xfId="5802" xr:uid="{00000000-0005-0000-0000-00001E150000}"/>
    <cellStyle name="40% - Accent3 2 3 2 3 4" xfId="5803" xr:uid="{00000000-0005-0000-0000-00001F150000}"/>
    <cellStyle name="40% - Accent3 2 3 2 4" xfId="5804" xr:uid="{00000000-0005-0000-0000-000020150000}"/>
    <cellStyle name="40% - Accent3 2 3 2 4 2" xfId="5805" xr:uid="{00000000-0005-0000-0000-000021150000}"/>
    <cellStyle name="40% - Accent3 2 3 2 4 3" xfId="5806" xr:uid="{00000000-0005-0000-0000-000022150000}"/>
    <cellStyle name="40% - Accent3 2 3 2 5" xfId="5807" xr:uid="{00000000-0005-0000-0000-000023150000}"/>
    <cellStyle name="40% - Accent3 2 3 2 5 2" xfId="5808" xr:uid="{00000000-0005-0000-0000-000024150000}"/>
    <cellStyle name="40% - Accent3 2 3 2 5 3" xfId="5809" xr:uid="{00000000-0005-0000-0000-000025150000}"/>
    <cellStyle name="40% - Accent3 2 3 2 6" xfId="5810" xr:uid="{00000000-0005-0000-0000-000026150000}"/>
    <cellStyle name="40% - Accent3 2 3 2 6 2" xfId="5811" xr:uid="{00000000-0005-0000-0000-000027150000}"/>
    <cellStyle name="40% - Accent3 2 3 2 7" xfId="5812" xr:uid="{00000000-0005-0000-0000-000028150000}"/>
    <cellStyle name="40% - Accent3 2 3 2 8" xfId="5813" xr:uid="{00000000-0005-0000-0000-000029150000}"/>
    <cellStyle name="40% - Accent3 2 3 2 9" xfId="5814" xr:uid="{00000000-0005-0000-0000-00002A150000}"/>
    <cellStyle name="40% - Accent3 2 3 3" xfId="5815" xr:uid="{00000000-0005-0000-0000-00002B150000}"/>
    <cellStyle name="40% - Accent3 2 3 3 2" xfId="5816" xr:uid="{00000000-0005-0000-0000-00002C150000}"/>
    <cellStyle name="40% - Accent3 2 3 3 2 2" xfId="5817" xr:uid="{00000000-0005-0000-0000-00002D150000}"/>
    <cellStyle name="40% - Accent3 2 3 3 2 3" xfId="5818" xr:uid="{00000000-0005-0000-0000-00002E150000}"/>
    <cellStyle name="40% - Accent3 2 3 3 3" xfId="5819" xr:uid="{00000000-0005-0000-0000-00002F150000}"/>
    <cellStyle name="40% - Accent3 2 3 3 3 2" xfId="5820" xr:uid="{00000000-0005-0000-0000-000030150000}"/>
    <cellStyle name="40% - Accent3 2 3 3 3 3" xfId="5821" xr:uid="{00000000-0005-0000-0000-000031150000}"/>
    <cellStyle name="40% - Accent3 2 3 3 4" xfId="5822" xr:uid="{00000000-0005-0000-0000-000032150000}"/>
    <cellStyle name="40% - Accent3 2 3 3 5" xfId="5823" xr:uid="{00000000-0005-0000-0000-000033150000}"/>
    <cellStyle name="40% - Accent3 2 3 3 6" xfId="5824" xr:uid="{00000000-0005-0000-0000-000034150000}"/>
    <cellStyle name="40% - Accent3 2 3 3 7" xfId="5825" xr:uid="{00000000-0005-0000-0000-000035150000}"/>
    <cellStyle name="40% - Accent3 2 3 3 8" xfId="5826" xr:uid="{00000000-0005-0000-0000-000036150000}"/>
    <cellStyle name="40% - Accent3 2 3 4" xfId="5827" xr:uid="{00000000-0005-0000-0000-000037150000}"/>
    <cellStyle name="40% - Accent3 2 3 4 2" xfId="5828" xr:uid="{00000000-0005-0000-0000-000038150000}"/>
    <cellStyle name="40% - Accent3 2 3 4 2 2" xfId="5829" xr:uid="{00000000-0005-0000-0000-000039150000}"/>
    <cellStyle name="40% - Accent3 2 3 4 2 3" xfId="5830" xr:uid="{00000000-0005-0000-0000-00003A150000}"/>
    <cellStyle name="40% - Accent3 2 3 4 3" xfId="5831" xr:uid="{00000000-0005-0000-0000-00003B150000}"/>
    <cellStyle name="40% - Accent3 2 3 4 3 2" xfId="5832" xr:uid="{00000000-0005-0000-0000-00003C150000}"/>
    <cellStyle name="40% - Accent3 2 3 4 4" xfId="5833" xr:uid="{00000000-0005-0000-0000-00003D150000}"/>
    <cellStyle name="40% - Accent3 2 3 5" xfId="5834" xr:uid="{00000000-0005-0000-0000-00003E150000}"/>
    <cellStyle name="40% - Accent3 2 3 5 2" xfId="5835" xr:uid="{00000000-0005-0000-0000-00003F150000}"/>
    <cellStyle name="40% - Accent3 2 3 5 3" xfId="5836" xr:uid="{00000000-0005-0000-0000-000040150000}"/>
    <cellStyle name="40% - Accent3 2 3 6" xfId="5837" xr:uid="{00000000-0005-0000-0000-000041150000}"/>
    <cellStyle name="40% - Accent3 2 3 6 2" xfId="5838" xr:uid="{00000000-0005-0000-0000-000042150000}"/>
    <cellStyle name="40% - Accent3 2 3 6 3" xfId="5839" xr:uid="{00000000-0005-0000-0000-000043150000}"/>
    <cellStyle name="40% - Accent3 2 3 7" xfId="5840" xr:uid="{00000000-0005-0000-0000-000044150000}"/>
    <cellStyle name="40% - Accent3 2 3 7 2" xfId="5841" xr:uid="{00000000-0005-0000-0000-000045150000}"/>
    <cellStyle name="40% - Accent3 2 3 8" xfId="5842" xr:uid="{00000000-0005-0000-0000-000046150000}"/>
    <cellStyle name="40% - Accent3 2 3 9" xfId="5843" xr:uid="{00000000-0005-0000-0000-000047150000}"/>
    <cellStyle name="40% - Accent3 2 4" xfId="5844" xr:uid="{00000000-0005-0000-0000-000048150000}"/>
    <cellStyle name="40% - Accent3 2 4 10" xfId="5845" xr:uid="{00000000-0005-0000-0000-000049150000}"/>
    <cellStyle name="40% - Accent3 2 4 11" xfId="5846" xr:uid="{00000000-0005-0000-0000-00004A150000}"/>
    <cellStyle name="40% - Accent3 2 4 2" xfId="5847" xr:uid="{00000000-0005-0000-0000-00004B150000}"/>
    <cellStyle name="40% - Accent3 2 4 2 10" xfId="5848" xr:uid="{00000000-0005-0000-0000-00004C150000}"/>
    <cellStyle name="40% - Accent3 2 4 2 2" xfId="5849" xr:uid="{00000000-0005-0000-0000-00004D150000}"/>
    <cellStyle name="40% - Accent3 2 4 2 2 2" xfId="5850" xr:uid="{00000000-0005-0000-0000-00004E150000}"/>
    <cellStyle name="40% - Accent3 2 4 2 2 2 2" xfId="5851" xr:uid="{00000000-0005-0000-0000-00004F150000}"/>
    <cellStyle name="40% - Accent3 2 4 2 2 2 3" xfId="5852" xr:uid="{00000000-0005-0000-0000-000050150000}"/>
    <cellStyle name="40% - Accent3 2 4 2 2 3" xfId="5853" xr:uid="{00000000-0005-0000-0000-000051150000}"/>
    <cellStyle name="40% - Accent3 2 4 2 2 3 2" xfId="5854" xr:uid="{00000000-0005-0000-0000-000052150000}"/>
    <cellStyle name="40% - Accent3 2 4 2 2 3 3" xfId="5855" xr:uid="{00000000-0005-0000-0000-000053150000}"/>
    <cellStyle name="40% - Accent3 2 4 2 2 4" xfId="5856" xr:uid="{00000000-0005-0000-0000-000054150000}"/>
    <cellStyle name="40% - Accent3 2 4 2 2 5" xfId="5857" xr:uid="{00000000-0005-0000-0000-000055150000}"/>
    <cellStyle name="40% - Accent3 2 4 2 2 6" xfId="5858" xr:uid="{00000000-0005-0000-0000-000056150000}"/>
    <cellStyle name="40% - Accent3 2 4 2 2 7" xfId="5859" xr:uid="{00000000-0005-0000-0000-000057150000}"/>
    <cellStyle name="40% - Accent3 2 4 2 2 8" xfId="5860" xr:uid="{00000000-0005-0000-0000-000058150000}"/>
    <cellStyle name="40% - Accent3 2 4 2 3" xfId="5861" xr:uid="{00000000-0005-0000-0000-000059150000}"/>
    <cellStyle name="40% - Accent3 2 4 2 3 2" xfId="5862" xr:uid="{00000000-0005-0000-0000-00005A150000}"/>
    <cellStyle name="40% - Accent3 2 4 2 3 2 2" xfId="5863" xr:uid="{00000000-0005-0000-0000-00005B150000}"/>
    <cellStyle name="40% - Accent3 2 4 2 3 2 3" xfId="5864" xr:uid="{00000000-0005-0000-0000-00005C150000}"/>
    <cellStyle name="40% - Accent3 2 4 2 3 3" xfId="5865" xr:uid="{00000000-0005-0000-0000-00005D150000}"/>
    <cellStyle name="40% - Accent3 2 4 2 3 3 2" xfId="5866" xr:uid="{00000000-0005-0000-0000-00005E150000}"/>
    <cellStyle name="40% - Accent3 2 4 2 3 4" xfId="5867" xr:uid="{00000000-0005-0000-0000-00005F150000}"/>
    <cellStyle name="40% - Accent3 2 4 2 4" xfId="5868" xr:uid="{00000000-0005-0000-0000-000060150000}"/>
    <cellStyle name="40% - Accent3 2 4 2 4 2" xfId="5869" xr:uid="{00000000-0005-0000-0000-000061150000}"/>
    <cellStyle name="40% - Accent3 2 4 2 4 3" xfId="5870" xr:uid="{00000000-0005-0000-0000-000062150000}"/>
    <cellStyle name="40% - Accent3 2 4 2 5" xfId="5871" xr:uid="{00000000-0005-0000-0000-000063150000}"/>
    <cellStyle name="40% - Accent3 2 4 2 5 2" xfId="5872" xr:uid="{00000000-0005-0000-0000-000064150000}"/>
    <cellStyle name="40% - Accent3 2 4 2 5 3" xfId="5873" xr:uid="{00000000-0005-0000-0000-000065150000}"/>
    <cellStyle name="40% - Accent3 2 4 2 6" xfId="5874" xr:uid="{00000000-0005-0000-0000-000066150000}"/>
    <cellStyle name="40% - Accent3 2 4 2 6 2" xfId="5875" xr:uid="{00000000-0005-0000-0000-000067150000}"/>
    <cellStyle name="40% - Accent3 2 4 2 7" xfId="5876" xr:uid="{00000000-0005-0000-0000-000068150000}"/>
    <cellStyle name="40% - Accent3 2 4 2 8" xfId="5877" xr:uid="{00000000-0005-0000-0000-000069150000}"/>
    <cellStyle name="40% - Accent3 2 4 2 9" xfId="5878" xr:uid="{00000000-0005-0000-0000-00006A150000}"/>
    <cellStyle name="40% - Accent3 2 4 3" xfId="5879" xr:uid="{00000000-0005-0000-0000-00006B150000}"/>
    <cellStyle name="40% - Accent3 2 4 3 2" xfId="5880" xr:uid="{00000000-0005-0000-0000-00006C150000}"/>
    <cellStyle name="40% - Accent3 2 4 3 2 2" xfId="5881" xr:uid="{00000000-0005-0000-0000-00006D150000}"/>
    <cellStyle name="40% - Accent3 2 4 3 2 3" xfId="5882" xr:uid="{00000000-0005-0000-0000-00006E150000}"/>
    <cellStyle name="40% - Accent3 2 4 3 3" xfId="5883" xr:uid="{00000000-0005-0000-0000-00006F150000}"/>
    <cellStyle name="40% - Accent3 2 4 3 3 2" xfId="5884" xr:uid="{00000000-0005-0000-0000-000070150000}"/>
    <cellStyle name="40% - Accent3 2 4 3 3 3" xfId="5885" xr:uid="{00000000-0005-0000-0000-000071150000}"/>
    <cellStyle name="40% - Accent3 2 4 3 4" xfId="5886" xr:uid="{00000000-0005-0000-0000-000072150000}"/>
    <cellStyle name="40% - Accent3 2 4 3 5" xfId="5887" xr:uid="{00000000-0005-0000-0000-000073150000}"/>
    <cellStyle name="40% - Accent3 2 4 3 6" xfId="5888" xr:uid="{00000000-0005-0000-0000-000074150000}"/>
    <cellStyle name="40% - Accent3 2 4 3 7" xfId="5889" xr:uid="{00000000-0005-0000-0000-000075150000}"/>
    <cellStyle name="40% - Accent3 2 4 3 8" xfId="5890" xr:uid="{00000000-0005-0000-0000-000076150000}"/>
    <cellStyle name="40% - Accent3 2 4 4" xfId="5891" xr:uid="{00000000-0005-0000-0000-000077150000}"/>
    <cellStyle name="40% - Accent3 2 4 4 2" xfId="5892" xr:uid="{00000000-0005-0000-0000-000078150000}"/>
    <cellStyle name="40% - Accent3 2 4 4 2 2" xfId="5893" xr:uid="{00000000-0005-0000-0000-000079150000}"/>
    <cellStyle name="40% - Accent3 2 4 4 2 3" xfId="5894" xr:uid="{00000000-0005-0000-0000-00007A150000}"/>
    <cellStyle name="40% - Accent3 2 4 4 3" xfId="5895" xr:uid="{00000000-0005-0000-0000-00007B150000}"/>
    <cellStyle name="40% - Accent3 2 4 4 3 2" xfId="5896" xr:uid="{00000000-0005-0000-0000-00007C150000}"/>
    <cellStyle name="40% - Accent3 2 4 4 4" xfId="5897" xr:uid="{00000000-0005-0000-0000-00007D150000}"/>
    <cellStyle name="40% - Accent3 2 4 5" xfId="5898" xr:uid="{00000000-0005-0000-0000-00007E150000}"/>
    <cellStyle name="40% - Accent3 2 4 5 2" xfId="5899" xr:uid="{00000000-0005-0000-0000-00007F150000}"/>
    <cellStyle name="40% - Accent3 2 4 5 3" xfId="5900" xr:uid="{00000000-0005-0000-0000-000080150000}"/>
    <cellStyle name="40% - Accent3 2 4 6" xfId="5901" xr:uid="{00000000-0005-0000-0000-000081150000}"/>
    <cellStyle name="40% - Accent3 2 4 6 2" xfId="5902" xr:uid="{00000000-0005-0000-0000-000082150000}"/>
    <cellStyle name="40% - Accent3 2 4 6 3" xfId="5903" xr:uid="{00000000-0005-0000-0000-000083150000}"/>
    <cellStyle name="40% - Accent3 2 4 7" xfId="5904" xr:uid="{00000000-0005-0000-0000-000084150000}"/>
    <cellStyle name="40% - Accent3 2 4 7 2" xfId="5905" xr:uid="{00000000-0005-0000-0000-000085150000}"/>
    <cellStyle name="40% - Accent3 2 4 8" xfId="5906" xr:uid="{00000000-0005-0000-0000-000086150000}"/>
    <cellStyle name="40% - Accent3 2 4 9" xfId="5907" xr:uid="{00000000-0005-0000-0000-000087150000}"/>
    <cellStyle name="40% - Accent3 2 5" xfId="5908" xr:uid="{00000000-0005-0000-0000-000088150000}"/>
    <cellStyle name="40% - Accent3 2 5 10" xfId="5909" xr:uid="{00000000-0005-0000-0000-000089150000}"/>
    <cellStyle name="40% - Accent3 2 5 11" xfId="5910" xr:uid="{00000000-0005-0000-0000-00008A150000}"/>
    <cellStyle name="40% - Accent3 2 5 2" xfId="5911" xr:uid="{00000000-0005-0000-0000-00008B150000}"/>
    <cellStyle name="40% - Accent3 2 5 2 2" xfId="5912" xr:uid="{00000000-0005-0000-0000-00008C150000}"/>
    <cellStyle name="40% - Accent3 2 5 2 2 2" xfId="5913" xr:uid="{00000000-0005-0000-0000-00008D150000}"/>
    <cellStyle name="40% - Accent3 2 5 2 2 2 2" xfId="5914" xr:uid="{00000000-0005-0000-0000-00008E150000}"/>
    <cellStyle name="40% - Accent3 2 5 2 2 2 3" xfId="5915" xr:uid="{00000000-0005-0000-0000-00008F150000}"/>
    <cellStyle name="40% - Accent3 2 5 2 2 3" xfId="5916" xr:uid="{00000000-0005-0000-0000-000090150000}"/>
    <cellStyle name="40% - Accent3 2 5 2 2 3 2" xfId="5917" xr:uid="{00000000-0005-0000-0000-000091150000}"/>
    <cellStyle name="40% - Accent3 2 5 2 2 3 3" xfId="5918" xr:uid="{00000000-0005-0000-0000-000092150000}"/>
    <cellStyle name="40% - Accent3 2 5 2 2 4" xfId="5919" xr:uid="{00000000-0005-0000-0000-000093150000}"/>
    <cellStyle name="40% - Accent3 2 5 2 2 5" xfId="5920" xr:uid="{00000000-0005-0000-0000-000094150000}"/>
    <cellStyle name="40% - Accent3 2 5 2 2 6" xfId="5921" xr:uid="{00000000-0005-0000-0000-000095150000}"/>
    <cellStyle name="40% - Accent3 2 5 2 2 7" xfId="5922" xr:uid="{00000000-0005-0000-0000-000096150000}"/>
    <cellStyle name="40% - Accent3 2 5 2 2 8" xfId="5923" xr:uid="{00000000-0005-0000-0000-000097150000}"/>
    <cellStyle name="40% - Accent3 2 5 2 3" xfId="5924" xr:uid="{00000000-0005-0000-0000-000098150000}"/>
    <cellStyle name="40% - Accent3 2 5 2 3 2" xfId="5925" xr:uid="{00000000-0005-0000-0000-000099150000}"/>
    <cellStyle name="40% - Accent3 2 5 2 3 2 2" xfId="5926" xr:uid="{00000000-0005-0000-0000-00009A150000}"/>
    <cellStyle name="40% - Accent3 2 5 2 3 2 3" xfId="5927" xr:uid="{00000000-0005-0000-0000-00009B150000}"/>
    <cellStyle name="40% - Accent3 2 5 2 3 3" xfId="5928" xr:uid="{00000000-0005-0000-0000-00009C150000}"/>
    <cellStyle name="40% - Accent3 2 5 2 3 3 2" xfId="5929" xr:uid="{00000000-0005-0000-0000-00009D150000}"/>
    <cellStyle name="40% - Accent3 2 5 2 3 4" xfId="5930" xr:uid="{00000000-0005-0000-0000-00009E150000}"/>
    <cellStyle name="40% - Accent3 2 5 2 4" xfId="5931" xr:uid="{00000000-0005-0000-0000-00009F150000}"/>
    <cellStyle name="40% - Accent3 2 5 2 4 2" xfId="5932" xr:uid="{00000000-0005-0000-0000-0000A0150000}"/>
    <cellStyle name="40% - Accent3 2 5 2 4 3" xfId="5933" xr:uid="{00000000-0005-0000-0000-0000A1150000}"/>
    <cellStyle name="40% - Accent3 2 5 2 5" xfId="5934" xr:uid="{00000000-0005-0000-0000-0000A2150000}"/>
    <cellStyle name="40% - Accent3 2 5 2 6" xfId="5935" xr:uid="{00000000-0005-0000-0000-0000A3150000}"/>
    <cellStyle name="40% - Accent3 2 5 2 6 2" xfId="5936" xr:uid="{00000000-0005-0000-0000-0000A4150000}"/>
    <cellStyle name="40% - Accent3 2 5 2 7" xfId="5937" xr:uid="{00000000-0005-0000-0000-0000A5150000}"/>
    <cellStyle name="40% - Accent3 2 5 2 8" xfId="5938" xr:uid="{00000000-0005-0000-0000-0000A6150000}"/>
    <cellStyle name="40% - Accent3 2 5 2 9" xfId="5939" xr:uid="{00000000-0005-0000-0000-0000A7150000}"/>
    <cellStyle name="40% - Accent3 2 5 3" xfId="5940" xr:uid="{00000000-0005-0000-0000-0000A8150000}"/>
    <cellStyle name="40% - Accent3 2 5 3 2" xfId="5941" xr:uid="{00000000-0005-0000-0000-0000A9150000}"/>
    <cellStyle name="40% - Accent3 2 5 3 2 2" xfId="5942" xr:uid="{00000000-0005-0000-0000-0000AA150000}"/>
    <cellStyle name="40% - Accent3 2 5 3 2 3" xfId="5943" xr:uid="{00000000-0005-0000-0000-0000AB150000}"/>
    <cellStyle name="40% - Accent3 2 5 3 3" xfId="5944" xr:uid="{00000000-0005-0000-0000-0000AC150000}"/>
    <cellStyle name="40% - Accent3 2 5 3 3 2" xfId="5945" xr:uid="{00000000-0005-0000-0000-0000AD150000}"/>
    <cellStyle name="40% - Accent3 2 5 3 3 3" xfId="5946" xr:uid="{00000000-0005-0000-0000-0000AE150000}"/>
    <cellStyle name="40% - Accent3 2 5 3 4" xfId="5947" xr:uid="{00000000-0005-0000-0000-0000AF150000}"/>
    <cellStyle name="40% - Accent3 2 5 3 5" xfId="5948" xr:uid="{00000000-0005-0000-0000-0000B0150000}"/>
    <cellStyle name="40% - Accent3 2 5 3 6" xfId="5949" xr:uid="{00000000-0005-0000-0000-0000B1150000}"/>
    <cellStyle name="40% - Accent3 2 5 3 7" xfId="5950" xr:uid="{00000000-0005-0000-0000-0000B2150000}"/>
    <cellStyle name="40% - Accent3 2 5 3 8" xfId="5951" xr:uid="{00000000-0005-0000-0000-0000B3150000}"/>
    <cellStyle name="40% - Accent3 2 5 4" xfId="5952" xr:uid="{00000000-0005-0000-0000-0000B4150000}"/>
    <cellStyle name="40% - Accent3 2 5 4 2" xfId="5953" xr:uid="{00000000-0005-0000-0000-0000B5150000}"/>
    <cellStyle name="40% - Accent3 2 5 4 2 2" xfId="5954" xr:uid="{00000000-0005-0000-0000-0000B6150000}"/>
    <cellStyle name="40% - Accent3 2 5 4 2 3" xfId="5955" xr:uid="{00000000-0005-0000-0000-0000B7150000}"/>
    <cellStyle name="40% - Accent3 2 5 4 3" xfId="5956" xr:uid="{00000000-0005-0000-0000-0000B8150000}"/>
    <cellStyle name="40% - Accent3 2 5 4 3 2" xfId="5957" xr:uid="{00000000-0005-0000-0000-0000B9150000}"/>
    <cellStyle name="40% - Accent3 2 5 4 4" xfId="5958" xr:uid="{00000000-0005-0000-0000-0000BA150000}"/>
    <cellStyle name="40% - Accent3 2 5 5" xfId="5959" xr:uid="{00000000-0005-0000-0000-0000BB150000}"/>
    <cellStyle name="40% - Accent3 2 5 5 2" xfId="5960" xr:uid="{00000000-0005-0000-0000-0000BC150000}"/>
    <cellStyle name="40% - Accent3 2 5 5 3" xfId="5961" xr:uid="{00000000-0005-0000-0000-0000BD150000}"/>
    <cellStyle name="40% - Accent3 2 5 6" xfId="5962" xr:uid="{00000000-0005-0000-0000-0000BE150000}"/>
    <cellStyle name="40% - Accent3 2 5 6 2" xfId="5963" xr:uid="{00000000-0005-0000-0000-0000BF150000}"/>
    <cellStyle name="40% - Accent3 2 5 6 3" xfId="5964" xr:uid="{00000000-0005-0000-0000-0000C0150000}"/>
    <cellStyle name="40% - Accent3 2 5 7" xfId="5965" xr:uid="{00000000-0005-0000-0000-0000C1150000}"/>
    <cellStyle name="40% - Accent3 2 5 7 2" xfId="5966" xr:uid="{00000000-0005-0000-0000-0000C2150000}"/>
    <cellStyle name="40% - Accent3 2 5 8" xfId="5967" xr:uid="{00000000-0005-0000-0000-0000C3150000}"/>
    <cellStyle name="40% - Accent3 2 5 9" xfId="5968" xr:uid="{00000000-0005-0000-0000-0000C4150000}"/>
    <cellStyle name="40% - Accent3 2 6" xfId="5969" xr:uid="{00000000-0005-0000-0000-0000C5150000}"/>
    <cellStyle name="40% - Accent3 2 6 10" xfId="5970" xr:uid="{00000000-0005-0000-0000-0000C6150000}"/>
    <cellStyle name="40% - Accent3 2 6 11" xfId="5971" xr:uid="{00000000-0005-0000-0000-0000C7150000}"/>
    <cellStyle name="40% - Accent3 2 6 2" xfId="5972" xr:uid="{00000000-0005-0000-0000-0000C8150000}"/>
    <cellStyle name="40% - Accent3 2 6 2 2" xfId="5973" xr:uid="{00000000-0005-0000-0000-0000C9150000}"/>
    <cellStyle name="40% - Accent3 2 6 2 2 2" xfId="5974" xr:uid="{00000000-0005-0000-0000-0000CA150000}"/>
    <cellStyle name="40% - Accent3 2 6 2 2 2 2" xfId="5975" xr:uid="{00000000-0005-0000-0000-0000CB150000}"/>
    <cellStyle name="40% - Accent3 2 6 2 2 2 3" xfId="5976" xr:uid="{00000000-0005-0000-0000-0000CC150000}"/>
    <cellStyle name="40% - Accent3 2 6 2 2 3" xfId="5977" xr:uid="{00000000-0005-0000-0000-0000CD150000}"/>
    <cellStyle name="40% - Accent3 2 6 2 2 3 2" xfId="5978" xr:uid="{00000000-0005-0000-0000-0000CE150000}"/>
    <cellStyle name="40% - Accent3 2 6 2 2 3 3" xfId="5979" xr:uid="{00000000-0005-0000-0000-0000CF150000}"/>
    <cellStyle name="40% - Accent3 2 6 2 2 4" xfId="5980" xr:uid="{00000000-0005-0000-0000-0000D0150000}"/>
    <cellStyle name="40% - Accent3 2 6 2 2 5" xfId="5981" xr:uid="{00000000-0005-0000-0000-0000D1150000}"/>
    <cellStyle name="40% - Accent3 2 6 2 2 6" xfId="5982" xr:uid="{00000000-0005-0000-0000-0000D2150000}"/>
    <cellStyle name="40% - Accent3 2 6 2 2 7" xfId="5983" xr:uid="{00000000-0005-0000-0000-0000D3150000}"/>
    <cellStyle name="40% - Accent3 2 6 2 2 8" xfId="5984" xr:uid="{00000000-0005-0000-0000-0000D4150000}"/>
    <cellStyle name="40% - Accent3 2 6 2 3" xfId="5985" xr:uid="{00000000-0005-0000-0000-0000D5150000}"/>
    <cellStyle name="40% - Accent3 2 6 2 3 2" xfId="5986" xr:uid="{00000000-0005-0000-0000-0000D6150000}"/>
    <cellStyle name="40% - Accent3 2 6 2 3 2 2" xfId="5987" xr:uid="{00000000-0005-0000-0000-0000D7150000}"/>
    <cellStyle name="40% - Accent3 2 6 2 3 2 3" xfId="5988" xr:uid="{00000000-0005-0000-0000-0000D8150000}"/>
    <cellStyle name="40% - Accent3 2 6 2 3 3" xfId="5989" xr:uid="{00000000-0005-0000-0000-0000D9150000}"/>
    <cellStyle name="40% - Accent3 2 6 2 3 3 2" xfId="5990" xr:uid="{00000000-0005-0000-0000-0000DA150000}"/>
    <cellStyle name="40% - Accent3 2 6 2 3 4" xfId="5991" xr:uid="{00000000-0005-0000-0000-0000DB150000}"/>
    <cellStyle name="40% - Accent3 2 6 2 4" xfId="5992" xr:uid="{00000000-0005-0000-0000-0000DC150000}"/>
    <cellStyle name="40% - Accent3 2 6 2 4 2" xfId="5993" xr:uid="{00000000-0005-0000-0000-0000DD150000}"/>
    <cellStyle name="40% - Accent3 2 6 2 4 3" xfId="5994" xr:uid="{00000000-0005-0000-0000-0000DE150000}"/>
    <cellStyle name="40% - Accent3 2 6 2 5" xfId="5995" xr:uid="{00000000-0005-0000-0000-0000DF150000}"/>
    <cellStyle name="40% - Accent3 2 6 2 6" xfId="5996" xr:uid="{00000000-0005-0000-0000-0000E0150000}"/>
    <cellStyle name="40% - Accent3 2 6 2 6 2" xfId="5997" xr:uid="{00000000-0005-0000-0000-0000E1150000}"/>
    <cellStyle name="40% - Accent3 2 6 2 7" xfId="5998" xr:uid="{00000000-0005-0000-0000-0000E2150000}"/>
    <cellStyle name="40% - Accent3 2 6 2 8" xfId="5999" xr:uid="{00000000-0005-0000-0000-0000E3150000}"/>
    <cellStyle name="40% - Accent3 2 6 2 9" xfId="6000" xr:uid="{00000000-0005-0000-0000-0000E4150000}"/>
    <cellStyle name="40% - Accent3 2 6 3" xfId="6001" xr:uid="{00000000-0005-0000-0000-0000E5150000}"/>
    <cellStyle name="40% - Accent3 2 6 3 2" xfId="6002" xr:uid="{00000000-0005-0000-0000-0000E6150000}"/>
    <cellStyle name="40% - Accent3 2 6 3 2 2" xfId="6003" xr:uid="{00000000-0005-0000-0000-0000E7150000}"/>
    <cellStyle name="40% - Accent3 2 6 3 2 3" xfId="6004" xr:uid="{00000000-0005-0000-0000-0000E8150000}"/>
    <cellStyle name="40% - Accent3 2 6 3 3" xfId="6005" xr:uid="{00000000-0005-0000-0000-0000E9150000}"/>
    <cellStyle name="40% - Accent3 2 6 3 3 2" xfId="6006" xr:uid="{00000000-0005-0000-0000-0000EA150000}"/>
    <cellStyle name="40% - Accent3 2 6 3 3 3" xfId="6007" xr:uid="{00000000-0005-0000-0000-0000EB150000}"/>
    <cellStyle name="40% - Accent3 2 6 3 4" xfId="6008" xr:uid="{00000000-0005-0000-0000-0000EC150000}"/>
    <cellStyle name="40% - Accent3 2 6 3 5" xfId="6009" xr:uid="{00000000-0005-0000-0000-0000ED150000}"/>
    <cellStyle name="40% - Accent3 2 6 3 6" xfId="6010" xr:uid="{00000000-0005-0000-0000-0000EE150000}"/>
    <cellStyle name="40% - Accent3 2 6 3 7" xfId="6011" xr:uid="{00000000-0005-0000-0000-0000EF150000}"/>
    <cellStyle name="40% - Accent3 2 6 3 8" xfId="6012" xr:uid="{00000000-0005-0000-0000-0000F0150000}"/>
    <cellStyle name="40% - Accent3 2 6 4" xfId="6013" xr:uid="{00000000-0005-0000-0000-0000F1150000}"/>
    <cellStyle name="40% - Accent3 2 6 4 2" xfId="6014" xr:uid="{00000000-0005-0000-0000-0000F2150000}"/>
    <cellStyle name="40% - Accent3 2 6 4 2 2" xfId="6015" xr:uid="{00000000-0005-0000-0000-0000F3150000}"/>
    <cellStyle name="40% - Accent3 2 6 4 2 3" xfId="6016" xr:uid="{00000000-0005-0000-0000-0000F4150000}"/>
    <cellStyle name="40% - Accent3 2 6 4 3" xfId="6017" xr:uid="{00000000-0005-0000-0000-0000F5150000}"/>
    <cellStyle name="40% - Accent3 2 6 4 3 2" xfId="6018" xr:uid="{00000000-0005-0000-0000-0000F6150000}"/>
    <cellStyle name="40% - Accent3 2 6 4 4" xfId="6019" xr:uid="{00000000-0005-0000-0000-0000F7150000}"/>
    <cellStyle name="40% - Accent3 2 6 5" xfId="6020" xr:uid="{00000000-0005-0000-0000-0000F8150000}"/>
    <cellStyle name="40% - Accent3 2 6 5 2" xfId="6021" xr:uid="{00000000-0005-0000-0000-0000F9150000}"/>
    <cellStyle name="40% - Accent3 2 6 5 3" xfId="6022" xr:uid="{00000000-0005-0000-0000-0000FA150000}"/>
    <cellStyle name="40% - Accent3 2 6 6" xfId="6023" xr:uid="{00000000-0005-0000-0000-0000FB150000}"/>
    <cellStyle name="40% - Accent3 2 6 6 2" xfId="6024" xr:uid="{00000000-0005-0000-0000-0000FC150000}"/>
    <cellStyle name="40% - Accent3 2 6 6 3" xfId="6025" xr:uid="{00000000-0005-0000-0000-0000FD150000}"/>
    <cellStyle name="40% - Accent3 2 6 7" xfId="6026" xr:uid="{00000000-0005-0000-0000-0000FE150000}"/>
    <cellStyle name="40% - Accent3 2 6 7 2" xfId="6027" xr:uid="{00000000-0005-0000-0000-0000FF150000}"/>
    <cellStyle name="40% - Accent3 2 6 8" xfId="6028" xr:uid="{00000000-0005-0000-0000-000000160000}"/>
    <cellStyle name="40% - Accent3 2 6 9" xfId="6029" xr:uid="{00000000-0005-0000-0000-000001160000}"/>
    <cellStyle name="40% - Accent3 2 7" xfId="6030" xr:uid="{00000000-0005-0000-0000-000002160000}"/>
    <cellStyle name="40% - Accent3 2 7 2" xfId="6031" xr:uid="{00000000-0005-0000-0000-000003160000}"/>
    <cellStyle name="40% - Accent3 2 7 2 2" xfId="6032" xr:uid="{00000000-0005-0000-0000-000004160000}"/>
    <cellStyle name="40% - Accent3 2 7 2 3" xfId="6033" xr:uid="{00000000-0005-0000-0000-000005160000}"/>
    <cellStyle name="40% - Accent3 2 7 3" xfId="6034" xr:uid="{00000000-0005-0000-0000-000006160000}"/>
    <cellStyle name="40% - Accent3 2 7 3 2" xfId="6035" xr:uid="{00000000-0005-0000-0000-000007160000}"/>
    <cellStyle name="40% - Accent3 2 7 4" xfId="6036" xr:uid="{00000000-0005-0000-0000-000008160000}"/>
    <cellStyle name="40% - Accent3 2 8" xfId="6037" xr:uid="{00000000-0005-0000-0000-000009160000}"/>
    <cellStyle name="40% - Accent3 2 8 2" xfId="6038" xr:uid="{00000000-0005-0000-0000-00000A160000}"/>
    <cellStyle name="40% - Accent3 2 8 3" xfId="6039" xr:uid="{00000000-0005-0000-0000-00000B160000}"/>
    <cellStyle name="40% - Accent3 2 9" xfId="6040" xr:uid="{00000000-0005-0000-0000-00000C160000}"/>
    <cellStyle name="40% - Accent3 2 9 2" xfId="6041" xr:uid="{00000000-0005-0000-0000-00000D160000}"/>
    <cellStyle name="40% - Accent3 2 9 3" xfId="6042" xr:uid="{00000000-0005-0000-0000-00000E160000}"/>
    <cellStyle name="40% - Accent3 2_Dec monthly report" xfId="6043" xr:uid="{00000000-0005-0000-0000-00000F160000}"/>
    <cellStyle name="40% - Accent3 20" xfId="6044" xr:uid="{00000000-0005-0000-0000-000010160000}"/>
    <cellStyle name="40% - Accent3 20 2" xfId="6045" xr:uid="{00000000-0005-0000-0000-000011160000}"/>
    <cellStyle name="40% - Accent3 20 3" xfId="6046" xr:uid="{00000000-0005-0000-0000-000012160000}"/>
    <cellStyle name="40% - Accent3 21" xfId="6047" xr:uid="{00000000-0005-0000-0000-000013160000}"/>
    <cellStyle name="40% - Accent3 21 2" xfId="6048" xr:uid="{00000000-0005-0000-0000-000014160000}"/>
    <cellStyle name="40% - Accent3 21 3" xfId="6049" xr:uid="{00000000-0005-0000-0000-000015160000}"/>
    <cellStyle name="40% - Accent3 22" xfId="6050" xr:uid="{00000000-0005-0000-0000-000016160000}"/>
    <cellStyle name="40% - Accent3 23" xfId="6051" xr:uid="{00000000-0005-0000-0000-000017160000}"/>
    <cellStyle name="40% - Accent3 24" xfId="6052" xr:uid="{00000000-0005-0000-0000-000018160000}"/>
    <cellStyle name="40% - Accent3 3" xfId="6053" xr:uid="{00000000-0005-0000-0000-000019160000}"/>
    <cellStyle name="40% - Accent3 3 10" xfId="6054" xr:uid="{00000000-0005-0000-0000-00001A160000}"/>
    <cellStyle name="40% - Accent3 3 11" xfId="6055" xr:uid="{00000000-0005-0000-0000-00001B160000}"/>
    <cellStyle name="40% - Accent3 3 12" xfId="6056" xr:uid="{00000000-0005-0000-0000-00001C160000}"/>
    <cellStyle name="40% - Accent3 3 13" xfId="6057" xr:uid="{00000000-0005-0000-0000-00001D160000}"/>
    <cellStyle name="40% - Accent3 3 14" xfId="6058" xr:uid="{00000000-0005-0000-0000-00001E160000}"/>
    <cellStyle name="40% - Accent3 3 2" xfId="6059" xr:uid="{00000000-0005-0000-0000-00001F160000}"/>
    <cellStyle name="40% - Accent3 3 2 2" xfId="6060" xr:uid="{00000000-0005-0000-0000-000020160000}"/>
    <cellStyle name="40% - Accent3 3 2 2 10" xfId="6061" xr:uid="{00000000-0005-0000-0000-000021160000}"/>
    <cellStyle name="40% - Accent3 3 2 2 2" xfId="6062" xr:uid="{00000000-0005-0000-0000-000022160000}"/>
    <cellStyle name="40% - Accent3 3 2 2 2 2" xfId="6063" xr:uid="{00000000-0005-0000-0000-000023160000}"/>
    <cellStyle name="40% - Accent3 3 2 2 2 2 2" xfId="6064" xr:uid="{00000000-0005-0000-0000-000024160000}"/>
    <cellStyle name="40% - Accent3 3 2 2 2 2 3" xfId="6065" xr:uid="{00000000-0005-0000-0000-000025160000}"/>
    <cellStyle name="40% - Accent3 3 2 2 2 3" xfId="6066" xr:uid="{00000000-0005-0000-0000-000026160000}"/>
    <cellStyle name="40% - Accent3 3 2 2 2 3 2" xfId="6067" xr:uid="{00000000-0005-0000-0000-000027160000}"/>
    <cellStyle name="40% - Accent3 3 2 2 2 3 3" xfId="6068" xr:uid="{00000000-0005-0000-0000-000028160000}"/>
    <cellStyle name="40% - Accent3 3 2 2 2 4" xfId="6069" xr:uid="{00000000-0005-0000-0000-000029160000}"/>
    <cellStyle name="40% - Accent3 3 2 2 2 5" xfId="6070" xr:uid="{00000000-0005-0000-0000-00002A160000}"/>
    <cellStyle name="40% - Accent3 3 2 2 2 6" xfId="6071" xr:uid="{00000000-0005-0000-0000-00002B160000}"/>
    <cellStyle name="40% - Accent3 3 2 2 2 7" xfId="6072" xr:uid="{00000000-0005-0000-0000-00002C160000}"/>
    <cellStyle name="40% - Accent3 3 2 2 2 8" xfId="6073" xr:uid="{00000000-0005-0000-0000-00002D160000}"/>
    <cellStyle name="40% - Accent3 3 2 2 3" xfId="6074" xr:uid="{00000000-0005-0000-0000-00002E160000}"/>
    <cellStyle name="40% - Accent3 3 2 2 3 2" xfId="6075" xr:uid="{00000000-0005-0000-0000-00002F160000}"/>
    <cellStyle name="40% - Accent3 3 2 2 3 3" xfId="6076" xr:uid="{00000000-0005-0000-0000-000030160000}"/>
    <cellStyle name="40% - Accent3 3 2 2 4" xfId="6077" xr:uid="{00000000-0005-0000-0000-000031160000}"/>
    <cellStyle name="40% - Accent3 3 2 2 4 2" xfId="6078" xr:uid="{00000000-0005-0000-0000-000032160000}"/>
    <cellStyle name="40% - Accent3 3 2 2 4 3" xfId="6079" xr:uid="{00000000-0005-0000-0000-000033160000}"/>
    <cellStyle name="40% - Accent3 3 2 2 5" xfId="6080" xr:uid="{00000000-0005-0000-0000-000034160000}"/>
    <cellStyle name="40% - Accent3 3 2 2 5 2" xfId="6081" xr:uid="{00000000-0005-0000-0000-000035160000}"/>
    <cellStyle name="40% - Accent3 3 2 2 5 3" xfId="6082" xr:uid="{00000000-0005-0000-0000-000036160000}"/>
    <cellStyle name="40% - Accent3 3 2 2 6" xfId="6083" xr:uid="{00000000-0005-0000-0000-000037160000}"/>
    <cellStyle name="40% - Accent3 3 2 2 7" xfId="6084" xr:uid="{00000000-0005-0000-0000-000038160000}"/>
    <cellStyle name="40% - Accent3 3 2 2 8" xfId="6085" xr:uid="{00000000-0005-0000-0000-000039160000}"/>
    <cellStyle name="40% - Accent3 3 2 2 9" xfId="6086" xr:uid="{00000000-0005-0000-0000-00003A160000}"/>
    <cellStyle name="40% - Accent3 3 2 3" xfId="6087" xr:uid="{00000000-0005-0000-0000-00003B160000}"/>
    <cellStyle name="40% - Accent3 3 2 3 2" xfId="6088" xr:uid="{00000000-0005-0000-0000-00003C160000}"/>
    <cellStyle name="40% - Accent3 3 2 3 2 2" xfId="6089" xr:uid="{00000000-0005-0000-0000-00003D160000}"/>
    <cellStyle name="40% - Accent3 3 2 3 2 3" xfId="6090" xr:uid="{00000000-0005-0000-0000-00003E160000}"/>
    <cellStyle name="40% - Accent3 3 2 3 3" xfId="6091" xr:uid="{00000000-0005-0000-0000-00003F160000}"/>
    <cellStyle name="40% - Accent3 3 2 3 3 2" xfId="6092" xr:uid="{00000000-0005-0000-0000-000040160000}"/>
    <cellStyle name="40% - Accent3 3 2 3 4" xfId="6093" xr:uid="{00000000-0005-0000-0000-000041160000}"/>
    <cellStyle name="40% - Accent3 3 2 4" xfId="6094" xr:uid="{00000000-0005-0000-0000-000042160000}"/>
    <cellStyle name="40% - Accent3 3 2 4 2" xfId="6095" xr:uid="{00000000-0005-0000-0000-000043160000}"/>
    <cellStyle name="40% - Accent3 3 2 4 3" xfId="6096" xr:uid="{00000000-0005-0000-0000-000044160000}"/>
    <cellStyle name="40% - Accent3 3 2 5" xfId="6097" xr:uid="{00000000-0005-0000-0000-000045160000}"/>
    <cellStyle name="40% - Accent3 3 2 5 2" xfId="6098" xr:uid="{00000000-0005-0000-0000-000046160000}"/>
    <cellStyle name="40% - Accent3 3 2 5 3" xfId="6099" xr:uid="{00000000-0005-0000-0000-000047160000}"/>
    <cellStyle name="40% - Accent3 3 2 6" xfId="6100" xr:uid="{00000000-0005-0000-0000-000048160000}"/>
    <cellStyle name="40% - Accent3 3 2 7" xfId="6101" xr:uid="{00000000-0005-0000-0000-000049160000}"/>
    <cellStyle name="40% - Accent3 3 2 8" xfId="6102" xr:uid="{00000000-0005-0000-0000-00004A160000}"/>
    <cellStyle name="40% - Accent3 3 2 9" xfId="6103" xr:uid="{00000000-0005-0000-0000-00004B160000}"/>
    <cellStyle name="40% - Accent3 3 3" xfId="6104" xr:uid="{00000000-0005-0000-0000-00004C160000}"/>
    <cellStyle name="40% - Accent3 3 3 2" xfId="6105" xr:uid="{00000000-0005-0000-0000-00004D160000}"/>
    <cellStyle name="40% - Accent3 3 3 2 2" xfId="6106" xr:uid="{00000000-0005-0000-0000-00004E160000}"/>
    <cellStyle name="40% - Accent3 3 3 2 3" xfId="6107" xr:uid="{00000000-0005-0000-0000-00004F160000}"/>
    <cellStyle name="40% - Accent3 3 3 2 3 2" xfId="6108" xr:uid="{00000000-0005-0000-0000-000050160000}"/>
    <cellStyle name="40% - Accent3 3 3 3" xfId="6109" xr:uid="{00000000-0005-0000-0000-000051160000}"/>
    <cellStyle name="40% - Accent3 3 3 3 2" xfId="6110" xr:uid="{00000000-0005-0000-0000-000052160000}"/>
    <cellStyle name="40% - Accent3 3 3 3 3" xfId="6111" xr:uid="{00000000-0005-0000-0000-000053160000}"/>
    <cellStyle name="40% - Accent3 3 3 4" xfId="6112" xr:uid="{00000000-0005-0000-0000-000054160000}"/>
    <cellStyle name="40% - Accent3 3 3 4 2" xfId="6113" xr:uid="{00000000-0005-0000-0000-000055160000}"/>
    <cellStyle name="40% - Accent3 3 3 5" xfId="6114" xr:uid="{00000000-0005-0000-0000-000056160000}"/>
    <cellStyle name="40% - Accent3 3 3 6" xfId="6115" xr:uid="{00000000-0005-0000-0000-000057160000}"/>
    <cellStyle name="40% - Accent3 3 3 7" xfId="6116" xr:uid="{00000000-0005-0000-0000-000058160000}"/>
    <cellStyle name="40% - Accent3 3 3 8" xfId="6117" xr:uid="{00000000-0005-0000-0000-000059160000}"/>
    <cellStyle name="40% - Accent3 3 4" xfId="6118" xr:uid="{00000000-0005-0000-0000-00005A160000}"/>
    <cellStyle name="40% - Accent3 3 4 2" xfId="6119" xr:uid="{00000000-0005-0000-0000-00005B160000}"/>
    <cellStyle name="40% - Accent3 3 4 2 2" xfId="6120" xr:uid="{00000000-0005-0000-0000-00005C160000}"/>
    <cellStyle name="40% - Accent3 3 4 2 3" xfId="6121" xr:uid="{00000000-0005-0000-0000-00005D160000}"/>
    <cellStyle name="40% - Accent3 3 4 3" xfId="6122" xr:uid="{00000000-0005-0000-0000-00005E160000}"/>
    <cellStyle name="40% - Accent3 3 4 3 2" xfId="6123" xr:uid="{00000000-0005-0000-0000-00005F160000}"/>
    <cellStyle name="40% - Accent3 3 4 3 3" xfId="6124" xr:uid="{00000000-0005-0000-0000-000060160000}"/>
    <cellStyle name="40% - Accent3 3 4 4" xfId="6125" xr:uid="{00000000-0005-0000-0000-000061160000}"/>
    <cellStyle name="40% - Accent3 3 4 4 2" xfId="6126" xr:uid="{00000000-0005-0000-0000-000062160000}"/>
    <cellStyle name="40% - Accent3 3 4 5" xfId="6127" xr:uid="{00000000-0005-0000-0000-000063160000}"/>
    <cellStyle name="40% - Accent3 3 4 6" xfId="6128" xr:uid="{00000000-0005-0000-0000-000064160000}"/>
    <cellStyle name="40% - Accent3 3 4 7" xfId="6129" xr:uid="{00000000-0005-0000-0000-000065160000}"/>
    <cellStyle name="40% - Accent3 3 4 8" xfId="6130" xr:uid="{00000000-0005-0000-0000-000066160000}"/>
    <cellStyle name="40% - Accent3 3 5" xfId="6131" xr:uid="{00000000-0005-0000-0000-000067160000}"/>
    <cellStyle name="40% - Accent3 3 5 2" xfId="6132" xr:uid="{00000000-0005-0000-0000-000068160000}"/>
    <cellStyle name="40% - Accent3 3 5 2 2" xfId="6133" xr:uid="{00000000-0005-0000-0000-000069160000}"/>
    <cellStyle name="40% - Accent3 3 5 2 3" xfId="6134" xr:uid="{00000000-0005-0000-0000-00006A160000}"/>
    <cellStyle name="40% - Accent3 3 5 3" xfId="6135" xr:uid="{00000000-0005-0000-0000-00006B160000}"/>
    <cellStyle name="40% - Accent3 3 5 3 2" xfId="6136" xr:uid="{00000000-0005-0000-0000-00006C160000}"/>
    <cellStyle name="40% - Accent3 3 5 4" xfId="6137" xr:uid="{00000000-0005-0000-0000-00006D160000}"/>
    <cellStyle name="40% - Accent3 3 5 5" xfId="6138" xr:uid="{00000000-0005-0000-0000-00006E160000}"/>
    <cellStyle name="40% - Accent3 3 5 6" xfId="6139" xr:uid="{00000000-0005-0000-0000-00006F160000}"/>
    <cellStyle name="40% - Accent3 3 5 7" xfId="6140" xr:uid="{00000000-0005-0000-0000-000070160000}"/>
    <cellStyle name="40% - Accent3 3 5 8" xfId="6141" xr:uid="{00000000-0005-0000-0000-000071160000}"/>
    <cellStyle name="40% - Accent3 3 6" xfId="6142" xr:uid="{00000000-0005-0000-0000-000072160000}"/>
    <cellStyle name="40% - Accent3 3 6 2" xfId="6143" xr:uid="{00000000-0005-0000-0000-000073160000}"/>
    <cellStyle name="40% - Accent3 3 6 3" xfId="6144" xr:uid="{00000000-0005-0000-0000-000074160000}"/>
    <cellStyle name="40% - Accent3 3 7" xfId="6145" xr:uid="{00000000-0005-0000-0000-000075160000}"/>
    <cellStyle name="40% - Accent3 3 7 2" xfId="6146" xr:uid="{00000000-0005-0000-0000-000076160000}"/>
    <cellStyle name="40% - Accent3 3 7 3" xfId="6147" xr:uid="{00000000-0005-0000-0000-000077160000}"/>
    <cellStyle name="40% - Accent3 3 8" xfId="6148" xr:uid="{00000000-0005-0000-0000-000078160000}"/>
    <cellStyle name="40% - Accent3 3 8 2" xfId="6149" xr:uid="{00000000-0005-0000-0000-000079160000}"/>
    <cellStyle name="40% - Accent3 3 8 3" xfId="6150" xr:uid="{00000000-0005-0000-0000-00007A160000}"/>
    <cellStyle name="40% - Accent3 3 9" xfId="6151" xr:uid="{00000000-0005-0000-0000-00007B160000}"/>
    <cellStyle name="40% - Accent3 3 9 2" xfId="6152" xr:uid="{00000000-0005-0000-0000-00007C160000}"/>
    <cellStyle name="40% - Accent3 3 9 3" xfId="6153" xr:uid="{00000000-0005-0000-0000-00007D160000}"/>
    <cellStyle name="40% - Accent3 4" xfId="6154" xr:uid="{00000000-0005-0000-0000-00007E160000}"/>
    <cellStyle name="40% - Accent3 4 10" xfId="6155" xr:uid="{00000000-0005-0000-0000-00007F160000}"/>
    <cellStyle name="40% - Accent3 4 11" xfId="6156" xr:uid="{00000000-0005-0000-0000-000080160000}"/>
    <cellStyle name="40% - Accent3 4 12" xfId="6157" xr:uid="{00000000-0005-0000-0000-000081160000}"/>
    <cellStyle name="40% - Accent3 4 13" xfId="6158" xr:uid="{00000000-0005-0000-0000-000082160000}"/>
    <cellStyle name="40% - Accent3 4 2" xfId="6159" xr:uid="{00000000-0005-0000-0000-000083160000}"/>
    <cellStyle name="40% - Accent3 4 2 2" xfId="6160" xr:uid="{00000000-0005-0000-0000-000084160000}"/>
    <cellStyle name="40% - Accent3 4 2 2 2" xfId="6161" xr:uid="{00000000-0005-0000-0000-000085160000}"/>
    <cellStyle name="40% - Accent3 4 2 2 2 2" xfId="6162" xr:uid="{00000000-0005-0000-0000-000086160000}"/>
    <cellStyle name="40% - Accent3 4 2 2 2 2 2" xfId="6163" xr:uid="{00000000-0005-0000-0000-000087160000}"/>
    <cellStyle name="40% - Accent3 4 2 2 2 2 3" xfId="6164" xr:uid="{00000000-0005-0000-0000-000088160000}"/>
    <cellStyle name="40% - Accent3 4 2 2 2 3" xfId="6165" xr:uid="{00000000-0005-0000-0000-000089160000}"/>
    <cellStyle name="40% - Accent3 4 2 2 2 3 2" xfId="6166" xr:uid="{00000000-0005-0000-0000-00008A160000}"/>
    <cellStyle name="40% - Accent3 4 2 2 2 3 3" xfId="6167" xr:uid="{00000000-0005-0000-0000-00008B160000}"/>
    <cellStyle name="40% - Accent3 4 2 2 2 4" xfId="6168" xr:uid="{00000000-0005-0000-0000-00008C160000}"/>
    <cellStyle name="40% - Accent3 4 2 2 2 5" xfId="6169" xr:uid="{00000000-0005-0000-0000-00008D160000}"/>
    <cellStyle name="40% - Accent3 4 2 2 2 6" xfId="6170" xr:uid="{00000000-0005-0000-0000-00008E160000}"/>
    <cellStyle name="40% - Accent3 4 2 2 2 7" xfId="6171" xr:uid="{00000000-0005-0000-0000-00008F160000}"/>
    <cellStyle name="40% - Accent3 4 2 2 2 8" xfId="6172" xr:uid="{00000000-0005-0000-0000-000090160000}"/>
    <cellStyle name="40% - Accent3 4 2 2 3" xfId="6173" xr:uid="{00000000-0005-0000-0000-000091160000}"/>
    <cellStyle name="40% - Accent3 4 2 2 3 2" xfId="6174" xr:uid="{00000000-0005-0000-0000-000092160000}"/>
    <cellStyle name="40% - Accent3 4 2 2 3 3" xfId="6175" xr:uid="{00000000-0005-0000-0000-000093160000}"/>
    <cellStyle name="40% - Accent3 4 2 2 4" xfId="6176" xr:uid="{00000000-0005-0000-0000-000094160000}"/>
    <cellStyle name="40% - Accent3 4 2 2 4 2" xfId="6177" xr:uid="{00000000-0005-0000-0000-000095160000}"/>
    <cellStyle name="40% - Accent3 4 2 2 4 3" xfId="6178" xr:uid="{00000000-0005-0000-0000-000096160000}"/>
    <cellStyle name="40% - Accent3 4 2 2 5" xfId="6179" xr:uid="{00000000-0005-0000-0000-000097160000}"/>
    <cellStyle name="40% - Accent3 4 2 2 5 2" xfId="6180" xr:uid="{00000000-0005-0000-0000-000098160000}"/>
    <cellStyle name="40% - Accent3 4 2 2 6" xfId="6181" xr:uid="{00000000-0005-0000-0000-000099160000}"/>
    <cellStyle name="40% - Accent3 4 2 2 7" xfId="6182" xr:uid="{00000000-0005-0000-0000-00009A160000}"/>
    <cellStyle name="40% - Accent3 4 2 2 8" xfId="6183" xr:uid="{00000000-0005-0000-0000-00009B160000}"/>
    <cellStyle name="40% - Accent3 4 2 2 9" xfId="6184" xr:uid="{00000000-0005-0000-0000-00009C160000}"/>
    <cellStyle name="40% - Accent3 4 2 3" xfId="6185" xr:uid="{00000000-0005-0000-0000-00009D160000}"/>
    <cellStyle name="40% - Accent3 4 2 3 2" xfId="6186" xr:uid="{00000000-0005-0000-0000-00009E160000}"/>
    <cellStyle name="40% - Accent3 4 2 3 2 2" xfId="6187" xr:uid="{00000000-0005-0000-0000-00009F160000}"/>
    <cellStyle name="40% - Accent3 4 2 3 2 3" xfId="6188" xr:uid="{00000000-0005-0000-0000-0000A0160000}"/>
    <cellStyle name="40% - Accent3 4 2 3 3" xfId="6189" xr:uid="{00000000-0005-0000-0000-0000A1160000}"/>
    <cellStyle name="40% - Accent3 4 2 3 3 2" xfId="6190" xr:uid="{00000000-0005-0000-0000-0000A2160000}"/>
    <cellStyle name="40% - Accent3 4 2 3 4" xfId="6191" xr:uid="{00000000-0005-0000-0000-0000A3160000}"/>
    <cellStyle name="40% - Accent3 4 2 4" xfId="6192" xr:uid="{00000000-0005-0000-0000-0000A4160000}"/>
    <cellStyle name="40% - Accent3 4 2 4 2" xfId="6193" xr:uid="{00000000-0005-0000-0000-0000A5160000}"/>
    <cellStyle name="40% - Accent3 4 2 4 3" xfId="6194" xr:uid="{00000000-0005-0000-0000-0000A6160000}"/>
    <cellStyle name="40% - Accent3 4 2 5" xfId="6195" xr:uid="{00000000-0005-0000-0000-0000A7160000}"/>
    <cellStyle name="40% - Accent3 4 2 5 2" xfId="6196" xr:uid="{00000000-0005-0000-0000-0000A8160000}"/>
    <cellStyle name="40% - Accent3 4 2 5 3" xfId="6197" xr:uid="{00000000-0005-0000-0000-0000A9160000}"/>
    <cellStyle name="40% - Accent3 4 2 6" xfId="6198" xr:uid="{00000000-0005-0000-0000-0000AA160000}"/>
    <cellStyle name="40% - Accent3 4 2 7" xfId="6199" xr:uid="{00000000-0005-0000-0000-0000AB160000}"/>
    <cellStyle name="40% - Accent3 4 2 8" xfId="6200" xr:uid="{00000000-0005-0000-0000-0000AC160000}"/>
    <cellStyle name="40% - Accent3 4 2 9" xfId="6201" xr:uid="{00000000-0005-0000-0000-0000AD160000}"/>
    <cellStyle name="40% - Accent3 4 3" xfId="6202" xr:uid="{00000000-0005-0000-0000-0000AE160000}"/>
    <cellStyle name="40% - Accent3 4 3 2" xfId="6203" xr:uid="{00000000-0005-0000-0000-0000AF160000}"/>
    <cellStyle name="40% - Accent3 4 3 2 2" xfId="6204" xr:uid="{00000000-0005-0000-0000-0000B0160000}"/>
    <cellStyle name="40% - Accent3 4 3 2 3" xfId="6205" xr:uid="{00000000-0005-0000-0000-0000B1160000}"/>
    <cellStyle name="40% - Accent3 4 3 3" xfId="6206" xr:uid="{00000000-0005-0000-0000-0000B2160000}"/>
    <cellStyle name="40% - Accent3 4 3 3 2" xfId="6207" xr:uid="{00000000-0005-0000-0000-0000B3160000}"/>
    <cellStyle name="40% - Accent3 4 3 3 3" xfId="6208" xr:uid="{00000000-0005-0000-0000-0000B4160000}"/>
    <cellStyle name="40% - Accent3 4 3 4" xfId="6209" xr:uid="{00000000-0005-0000-0000-0000B5160000}"/>
    <cellStyle name="40% - Accent3 4 3 4 2" xfId="6210" xr:uid="{00000000-0005-0000-0000-0000B6160000}"/>
    <cellStyle name="40% - Accent3 4 3 5" xfId="6211" xr:uid="{00000000-0005-0000-0000-0000B7160000}"/>
    <cellStyle name="40% - Accent3 4 3 6" xfId="6212" xr:uid="{00000000-0005-0000-0000-0000B8160000}"/>
    <cellStyle name="40% - Accent3 4 3 7" xfId="6213" xr:uid="{00000000-0005-0000-0000-0000B9160000}"/>
    <cellStyle name="40% - Accent3 4 3 8" xfId="6214" xr:uid="{00000000-0005-0000-0000-0000BA160000}"/>
    <cellStyle name="40% - Accent3 4 4" xfId="6215" xr:uid="{00000000-0005-0000-0000-0000BB160000}"/>
    <cellStyle name="40% - Accent3 4 4 2" xfId="6216" xr:uid="{00000000-0005-0000-0000-0000BC160000}"/>
    <cellStyle name="40% - Accent3 4 4 2 2" xfId="6217" xr:uid="{00000000-0005-0000-0000-0000BD160000}"/>
    <cellStyle name="40% - Accent3 4 4 2 3" xfId="6218" xr:uid="{00000000-0005-0000-0000-0000BE160000}"/>
    <cellStyle name="40% - Accent3 4 4 3" xfId="6219" xr:uid="{00000000-0005-0000-0000-0000BF160000}"/>
    <cellStyle name="40% - Accent3 4 4 3 2" xfId="6220" xr:uid="{00000000-0005-0000-0000-0000C0160000}"/>
    <cellStyle name="40% - Accent3 4 4 3 3" xfId="6221" xr:uid="{00000000-0005-0000-0000-0000C1160000}"/>
    <cellStyle name="40% - Accent3 4 4 4" xfId="6222" xr:uid="{00000000-0005-0000-0000-0000C2160000}"/>
    <cellStyle name="40% - Accent3 4 4 5" xfId="6223" xr:uid="{00000000-0005-0000-0000-0000C3160000}"/>
    <cellStyle name="40% - Accent3 4 4 6" xfId="6224" xr:uid="{00000000-0005-0000-0000-0000C4160000}"/>
    <cellStyle name="40% - Accent3 4 4 7" xfId="6225" xr:uid="{00000000-0005-0000-0000-0000C5160000}"/>
    <cellStyle name="40% - Accent3 4 4 8" xfId="6226" xr:uid="{00000000-0005-0000-0000-0000C6160000}"/>
    <cellStyle name="40% - Accent3 4 5" xfId="6227" xr:uid="{00000000-0005-0000-0000-0000C7160000}"/>
    <cellStyle name="40% - Accent3 4 5 2" xfId="6228" xr:uid="{00000000-0005-0000-0000-0000C8160000}"/>
    <cellStyle name="40% - Accent3 4 5 2 2" xfId="6229" xr:uid="{00000000-0005-0000-0000-0000C9160000}"/>
    <cellStyle name="40% - Accent3 4 5 2 3" xfId="6230" xr:uid="{00000000-0005-0000-0000-0000CA160000}"/>
    <cellStyle name="40% - Accent3 4 5 3" xfId="6231" xr:uid="{00000000-0005-0000-0000-0000CB160000}"/>
    <cellStyle name="40% - Accent3 4 5 3 2" xfId="6232" xr:uid="{00000000-0005-0000-0000-0000CC160000}"/>
    <cellStyle name="40% - Accent3 4 5 4" xfId="6233" xr:uid="{00000000-0005-0000-0000-0000CD160000}"/>
    <cellStyle name="40% - Accent3 4 6" xfId="6234" xr:uid="{00000000-0005-0000-0000-0000CE160000}"/>
    <cellStyle name="40% - Accent3 4 6 2" xfId="6235" xr:uid="{00000000-0005-0000-0000-0000CF160000}"/>
    <cellStyle name="40% - Accent3 4 6 3" xfId="6236" xr:uid="{00000000-0005-0000-0000-0000D0160000}"/>
    <cellStyle name="40% - Accent3 4 7" xfId="6237" xr:uid="{00000000-0005-0000-0000-0000D1160000}"/>
    <cellStyle name="40% - Accent3 4 7 2" xfId="6238" xr:uid="{00000000-0005-0000-0000-0000D2160000}"/>
    <cellStyle name="40% - Accent3 4 7 3" xfId="6239" xr:uid="{00000000-0005-0000-0000-0000D3160000}"/>
    <cellStyle name="40% - Accent3 4 8" xfId="6240" xr:uid="{00000000-0005-0000-0000-0000D4160000}"/>
    <cellStyle name="40% - Accent3 4 8 2" xfId="6241" xr:uid="{00000000-0005-0000-0000-0000D5160000}"/>
    <cellStyle name="40% - Accent3 4 8 3" xfId="6242" xr:uid="{00000000-0005-0000-0000-0000D6160000}"/>
    <cellStyle name="40% - Accent3 4 9" xfId="6243" xr:uid="{00000000-0005-0000-0000-0000D7160000}"/>
    <cellStyle name="40% - Accent3 5" xfId="6244" xr:uid="{00000000-0005-0000-0000-0000D8160000}"/>
    <cellStyle name="40% - Accent3 5 10" xfId="6245" xr:uid="{00000000-0005-0000-0000-0000D9160000}"/>
    <cellStyle name="40% - Accent3 5 11" xfId="6246" xr:uid="{00000000-0005-0000-0000-0000DA160000}"/>
    <cellStyle name="40% - Accent3 5 12" xfId="6247" xr:uid="{00000000-0005-0000-0000-0000DB160000}"/>
    <cellStyle name="40% - Accent3 5 2" xfId="6248" xr:uid="{00000000-0005-0000-0000-0000DC160000}"/>
    <cellStyle name="40% - Accent3 5 2 2" xfId="6249" xr:uid="{00000000-0005-0000-0000-0000DD160000}"/>
    <cellStyle name="40% - Accent3 5 2 2 2" xfId="6250" xr:uid="{00000000-0005-0000-0000-0000DE160000}"/>
    <cellStyle name="40% - Accent3 5 2 2 2 2" xfId="6251" xr:uid="{00000000-0005-0000-0000-0000DF160000}"/>
    <cellStyle name="40% - Accent3 5 2 2 2 2 2" xfId="6252" xr:uid="{00000000-0005-0000-0000-0000E0160000}"/>
    <cellStyle name="40% - Accent3 5 2 2 2 2 3" xfId="6253" xr:uid="{00000000-0005-0000-0000-0000E1160000}"/>
    <cellStyle name="40% - Accent3 5 2 2 2 3" xfId="6254" xr:uid="{00000000-0005-0000-0000-0000E2160000}"/>
    <cellStyle name="40% - Accent3 5 2 2 2 3 2" xfId="6255" xr:uid="{00000000-0005-0000-0000-0000E3160000}"/>
    <cellStyle name="40% - Accent3 5 2 2 2 3 3" xfId="6256" xr:uid="{00000000-0005-0000-0000-0000E4160000}"/>
    <cellStyle name="40% - Accent3 5 2 2 2 4" xfId="6257" xr:uid="{00000000-0005-0000-0000-0000E5160000}"/>
    <cellStyle name="40% - Accent3 5 2 2 2 5" xfId="6258" xr:uid="{00000000-0005-0000-0000-0000E6160000}"/>
    <cellStyle name="40% - Accent3 5 2 2 2 6" xfId="6259" xr:uid="{00000000-0005-0000-0000-0000E7160000}"/>
    <cellStyle name="40% - Accent3 5 2 2 2 7" xfId="6260" xr:uid="{00000000-0005-0000-0000-0000E8160000}"/>
    <cellStyle name="40% - Accent3 5 2 2 2 8" xfId="6261" xr:uid="{00000000-0005-0000-0000-0000E9160000}"/>
    <cellStyle name="40% - Accent3 5 2 2 3" xfId="6262" xr:uid="{00000000-0005-0000-0000-0000EA160000}"/>
    <cellStyle name="40% - Accent3 5 2 2 3 2" xfId="6263" xr:uid="{00000000-0005-0000-0000-0000EB160000}"/>
    <cellStyle name="40% - Accent3 5 2 2 3 3" xfId="6264" xr:uid="{00000000-0005-0000-0000-0000EC160000}"/>
    <cellStyle name="40% - Accent3 5 2 2 4" xfId="6265" xr:uid="{00000000-0005-0000-0000-0000ED160000}"/>
    <cellStyle name="40% - Accent3 5 2 2 4 2" xfId="6266" xr:uid="{00000000-0005-0000-0000-0000EE160000}"/>
    <cellStyle name="40% - Accent3 5 2 2 4 3" xfId="6267" xr:uid="{00000000-0005-0000-0000-0000EF160000}"/>
    <cellStyle name="40% - Accent3 5 2 2 5" xfId="6268" xr:uid="{00000000-0005-0000-0000-0000F0160000}"/>
    <cellStyle name="40% - Accent3 5 2 2 5 2" xfId="6269" xr:uid="{00000000-0005-0000-0000-0000F1160000}"/>
    <cellStyle name="40% - Accent3 5 2 2 6" xfId="6270" xr:uid="{00000000-0005-0000-0000-0000F2160000}"/>
    <cellStyle name="40% - Accent3 5 2 2 7" xfId="6271" xr:uid="{00000000-0005-0000-0000-0000F3160000}"/>
    <cellStyle name="40% - Accent3 5 2 2 8" xfId="6272" xr:uid="{00000000-0005-0000-0000-0000F4160000}"/>
    <cellStyle name="40% - Accent3 5 2 2 9" xfId="6273" xr:uid="{00000000-0005-0000-0000-0000F5160000}"/>
    <cellStyle name="40% - Accent3 5 2 3" xfId="6274" xr:uid="{00000000-0005-0000-0000-0000F6160000}"/>
    <cellStyle name="40% - Accent3 5 2 3 2" xfId="6275" xr:uid="{00000000-0005-0000-0000-0000F7160000}"/>
    <cellStyle name="40% - Accent3 5 2 3 2 2" xfId="6276" xr:uid="{00000000-0005-0000-0000-0000F8160000}"/>
    <cellStyle name="40% - Accent3 5 2 3 2 3" xfId="6277" xr:uid="{00000000-0005-0000-0000-0000F9160000}"/>
    <cellStyle name="40% - Accent3 5 2 3 3" xfId="6278" xr:uid="{00000000-0005-0000-0000-0000FA160000}"/>
    <cellStyle name="40% - Accent3 5 2 3 3 2" xfId="6279" xr:uid="{00000000-0005-0000-0000-0000FB160000}"/>
    <cellStyle name="40% - Accent3 5 2 3 4" xfId="6280" xr:uid="{00000000-0005-0000-0000-0000FC160000}"/>
    <cellStyle name="40% - Accent3 5 2 4" xfId="6281" xr:uid="{00000000-0005-0000-0000-0000FD160000}"/>
    <cellStyle name="40% - Accent3 5 2 5" xfId="6282" xr:uid="{00000000-0005-0000-0000-0000FE160000}"/>
    <cellStyle name="40% - Accent3 5 2_Dec monthly report" xfId="6283" xr:uid="{00000000-0005-0000-0000-0000FF160000}"/>
    <cellStyle name="40% - Accent3 5 3" xfId="6284" xr:uid="{00000000-0005-0000-0000-000000170000}"/>
    <cellStyle name="40% - Accent3 5 3 2" xfId="6285" xr:uid="{00000000-0005-0000-0000-000001170000}"/>
    <cellStyle name="40% - Accent3 5 3 2 2" xfId="6286" xr:uid="{00000000-0005-0000-0000-000002170000}"/>
    <cellStyle name="40% - Accent3 5 3 2 3" xfId="6287" xr:uid="{00000000-0005-0000-0000-000003170000}"/>
    <cellStyle name="40% - Accent3 5 3 3" xfId="6288" xr:uid="{00000000-0005-0000-0000-000004170000}"/>
    <cellStyle name="40% - Accent3 5 3 3 2" xfId="6289" xr:uid="{00000000-0005-0000-0000-000005170000}"/>
    <cellStyle name="40% - Accent3 5 3 3 3" xfId="6290" xr:uid="{00000000-0005-0000-0000-000006170000}"/>
    <cellStyle name="40% - Accent3 5 3 4" xfId="6291" xr:uid="{00000000-0005-0000-0000-000007170000}"/>
    <cellStyle name="40% - Accent3 5 3 4 2" xfId="6292" xr:uid="{00000000-0005-0000-0000-000008170000}"/>
    <cellStyle name="40% - Accent3 5 3 5" xfId="6293" xr:uid="{00000000-0005-0000-0000-000009170000}"/>
    <cellStyle name="40% - Accent3 5 3 6" xfId="6294" xr:uid="{00000000-0005-0000-0000-00000A170000}"/>
    <cellStyle name="40% - Accent3 5 3 7" xfId="6295" xr:uid="{00000000-0005-0000-0000-00000B170000}"/>
    <cellStyle name="40% - Accent3 5 3 8" xfId="6296" xr:uid="{00000000-0005-0000-0000-00000C170000}"/>
    <cellStyle name="40% - Accent3 5 4" xfId="6297" xr:uid="{00000000-0005-0000-0000-00000D170000}"/>
    <cellStyle name="40% - Accent3 5 4 2" xfId="6298" xr:uid="{00000000-0005-0000-0000-00000E170000}"/>
    <cellStyle name="40% - Accent3 5 4 2 2" xfId="6299" xr:uid="{00000000-0005-0000-0000-00000F170000}"/>
    <cellStyle name="40% - Accent3 5 4 2 3" xfId="6300" xr:uid="{00000000-0005-0000-0000-000010170000}"/>
    <cellStyle name="40% - Accent3 5 4 3" xfId="6301" xr:uid="{00000000-0005-0000-0000-000011170000}"/>
    <cellStyle name="40% - Accent3 5 4 3 2" xfId="6302" xr:uid="{00000000-0005-0000-0000-000012170000}"/>
    <cellStyle name="40% - Accent3 5 4 3 3" xfId="6303" xr:uid="{00000000-0005-0000-0000-000013170000}"/>
    <cellStyle name="40% - Accent3 5 4 4" xfId="6304" xr:uid="{00000000-0005-0000-0000-000014170000}"/>
    <cellStyle name="40% - Accent3 5 4 5" xfId="6305" xr:uid="{00000000-0005-0000-0000-000015170000}"/>
    <cellStyle name="40% - Accent3 5 4 6" xfId="6306" xr:uid="{00000000-0005-0000-0000-000016170000}"/>
    <cellStyle name="40% - Accent3 5 4 7" xfId="6307" xr:uid="{00000000-0005-0000-0000-000017170000}"/>
    <cellStyle name="40% - Accent3 5 4 8" xfId="6308" xr:uid="{00000000-0005-0000-0000-000018170000}"/>
    <cellStyle name="40% - Accent3 5 5" xfId="6309" xr:uid="{00000000-0005-0000-0000-000019170000}"/>
    <cellStyle name="40% - Accent3 5 5 2" xfId="6310" xr:uid="{00000000-0005-0000-0000-00001A170000}"/>
    <cellStyle name="40% - Accent3 5 5 3" xfId="6311" xr:uid="{00000000-0005-0000-0000-00001B170000}"/>
    <cellStyle name="40% - Accent3 5 6" xfId="6312" xr:uid="{00000000-0005-0000-0000-00001C170000}"/>
    <cellStyle name="40% - Accent3 5 6 2" xfId="6313" xr:uid="{00000000-0005-0000-0000-00001D170000}"/>
    <cellStyle name="40% - Accent3 5 6 3" xfId="6314" xr:uid="{00000000-0005-0000-0000-00001E170000}"/>
    <cellStyle name="40% - Accent3 5 7" xfId="6315" xr:uid="{00000000-0005-0000-0000-00001F170000}"/>
    <cellStyle name="40% - Accent3 5 7 2" xfId="6316" xr:uid="{00000000-0005-0000-0000-000020170000}"/>
    <cellStyle name="40% - Accent3 5 7 3" xfId="6317" xr:uid="{00000000-0005-0000-0000-000021170000}"/>
    <cellStyle name="40% - Accent3 5 8" xfId="6318" xr:uid="{00000000-0005-0000-0000-000022170000}"/>
    <cellStyle name="40% - Accent3 5 9" xfId="6319" xr:uid="{00000000-0005-0000-0000-000023170000}"/>
    <cellStyle name="40% - Accent3 6" xfId="6320" xr:uid="{00000000-0005-0000-0000-000024170000}"/>
    <cellStyle name="40% - Accent3 6 2" xfId="6321" xr:uid="{00000000-0005-0000-0000-000025170000}"/>
    <cellStyle name="40% - Accent3 6 2 2" xfId="6322" xr:uid="{00000000-0005-0000-0000-000026170000}"/>
    <cellStyle name="40% - Accent3 6 2 2 2" xfId="6323" xr:uid="{00000000-0005-0000-0000-000027170000}"/>
    <cellStyle name="40% - Accent3 6 2 2 2 2" xfId="6324" xr:uid="{00000000-0005-0000-0000-000028170000}"/>
    <cellStyle name="40% - Accent3 6 2 2 2 3" xfId="6325" xr:uid="{00000000-0005-0000-0000-000029170000}"/>
    <cellStyle name="40% - Accent3 6 2 2 3" xfId="6326" xr:uid="{00000000-0005-0000-0000-00002A170000}"/>
    <cellStyle name="40% - Accent3 6 2 2 3 2" xfId="6327" xr:uid="{00000000-0005-0000-0000-00002B170000}"/>
    <cellStyle name="40% - Accent3 6 2 2 3 3" xfId="6328" xr:uid="{00000000-0005-0000-0000-00002C170000}"/>
    <cellStyle name="40% - Accent3 6 2 2 4" xfId="6329" xr:uid="{00000000-0005-0000-0000-00002D170000}"/>
    <cellStyle name="40% - Accent3 6 2 2 5" xfId="6330" xr:uid="{00000000-0005-0000-0000-00002E170000}"/>
    <cellStyle name="40% - Accent3 6 2 2 6" xfId="6331" xr:uid="{00000000-0005-0000-0000-00002F170000}"/>
    <cellStyle name="40% - Accent3 6 2 2 7" xfId="6332" xr:uid="{00000000-0005-0000-0000-000030170000}"/>
    <cellStyle name="40% - Accent3 6 2 2 8" xfId="6333" xr:uid="{00000000-0005-0000-0000-000031170000}"/>
    <cellStyle name="40% - Accent3 6 2 3" xfId="6334" xr:uid="{00000000-0005-0000-0000-000032170000}"/>
    <cellStyle name="40% - Accent3 6 2 3 2" xfId="6335" xr:uid="{00000000-0005-0000-0000-000033170000}"/>
    <cellStyle name="40% - Accent3 6 2 3 3" xfId="6336" xr:uid="{00000000-0005-0000-0000-000034170000}"/>
    <cellStyle name="40% - Accent3 6 2 4" xfId="6337" xr:uid="{00000000-0005-0000-0000-000035170000}"/>
    <cellStyle name="40% - Accent3 6 2 4 2" xfId="6338" xr:uid="{00000000-0005-0000-0000-000036170000}"/>
    <cellStyle name="40% - Accent3 6 2 4 3" xfId="6339" xr:uid="{00000000-0005-0000-0000-000037170000}"/>
    <cellStyle name="40% - Accent3 6 2 5" xfId="6340" xr:uid="{00000000-0005-0000-0000-000038170000}"/>
    <cellStyle name="40% - Accent3 6 2 5 2" xfId="6341" xr:uid="{00000000-0005-0000-0000-000039170000}"/>
    <cellStyle name="40% - Accent3 6 2 6" xfId="6342" xr:uid="{00000000-0005-0000-0000-00003A170000}"/>
    <cellStyle name="40% - Accent3 6 2 7" xfId="6343" xr:uid="{00000000-0005-0000-0000-00003B170000}"/>
    <cellStyle name="40% - Accent3 6 2 8" xfId="6344" xr:uid="{00000000-0005-0000-0000-00003C170000}"/>
    <cellStyle name="40% - Accent3 6 2 9" xfId="6345" xr:uid="{00000000-0005-0000-0000-00003D170000}"/>
    <cellStyle name="40% - Accent3 6 3" xfId="6346" xr:uid="{00000000-0005-0000-0000-00003E170000}"/>
    <cellStyle name="40% - Accent3 6 3 2" xfId="6347" xr:uid="{00000000-0005-0000-0000-00003F170000}"/>
    <cellStyle name="40% - Accent3 6 3 2 2" xfId="6348" xr:uid="{00000000-0005-0000-0000-000040170000}"/>
    <cellStyle name="40% - Accent3 6 3 2 3" xfId="6349" xr:uid="{00000000-0005-0000-0000-000041170000}"/>
    <cellStyle name="40% - Accent3 6 3 3" xfId="6350" xr:uid="{00000000-0005-0000-0000-000042170000}"/>
    <cellStyle name="40% - Accent3 6 3 3 2" xfId="6351" xr:uid="{00000000-0005-0000-0000-000043170000}"/>
    <cellStyle name="40% - Accent3 6 3 4" xfId="6352" xr:uid="{00000000-0005-0000-0000-000044170000}"/>
    <cellStyle name="40% - Accent3 6 4" xfId="6353" xr:uid="{00000000-0005-0000-0000-000045170000}"/>
    <cellStyle name="40% - Accent3 6 5" xfId="6354" xr:uid="{00000000-0005-0000-0000-000046170000}"/>
    <cellStyle name="40% - Accent3 6_Dec monthly report" xfId="6355" xr:uid="{00000000-0005-0000-0000-000047170000}"/>
    <cellStyle name="40% - Accent3 7" xfId="6356" xr:uid="{00000000-0005-0000-0000-000048170000}"/>
    <cellStyle name="40% - Accent3 7 2" xfId="6357" xr:uid="{00000000-0005-0000-0000-000049170000}"/>
    <cellStyle name="40% - Accent3 7 3" xfId="6358" xr:uid="{00000000-0005-0000-0000-00004A170000}"/>
    <cellStyle name="40% - Accent3 7 4" xfId="6359" xr:uid="{00000000-0005-0000-0000-00004B170000}"/>
    <cellStyle name="40% - Accent3 8" xfId="6360" xr:uid="{00000000-0005-0000-0000-00004C170000}"/>
    <cellStyle name="40% - Accent3 8 2" xfId="6361" xr:uid="{00000000-0005-0000-0000-00004D170000}"/>
    <cellStyle name="40% - Accent3 8 2 2" xfId="6362" xr:uid="{00000000-0005-0000-0000-00004E170000}"/>
    <cellStyle name="40% - Accent3 8 2 3" xfId="6363" xr:uid="{00000000-0005-0000-0000-00004F170000}"/>
    <cellStyle name="40% - Accent3 8 2 3 2" xfId="6364" xr:uid="{00000000-0005-0000-0000-000050170000}"/>
    <cellStyle name="40% - Accent3 8 3" xfId="6365" xr:uid="{00000000-0005-0000-0000-000051170000}"/>
    <cellStyle name="40% - Accent3 8 3 2" xfId="6366" xr:uid="{00000000-0005-0000-0000-000052170000}"/>
    <cellStyle name="40% - Accent3 8 3 3" xfId="6367" xr:uid="{00000000-0005-0000-0000-000053170000}"/>
    <cellStyle name="40% - Accent3 8 4" xfId="6368" xr:uid="{00000000-0005-0000-0000-000054170000}"/>
    <cellStyle name="40% - Accent3 8 4 2" xfId="6369" xr:uid="{00000000-0005-0000-0000-000055170000}"/>
    <cellStyle name="40% - Accent3 8 5" xfId="6370" xr:uid="{00000000-0005-0000-0000-000056170000}"/>
    <cellStyle name="40% - Accent3 8 6" xfId="6371" xr:uid="{00000000-0005-0000-0000-000057170000}"/>
    <cellStyle name="40% - Accent3 8 7" xfId="6372" xr:uid="{00000000-0005-0000-0000-000058170000}"/>
    <cellStyle name="40% - Accent3 8 8" xfId="6373" xr:uid="{00000000-0005-0000-0000-000059170000}"/>
    <cellStyle name="40% - Accent3 9" xfId="6374" xr:uid="{00000000-0005-0000-0000-00005A170000}"/>
    <cellStyle name="40% - Accent3 9 2" xfId="6375" xr:uid="{00000000-0005-0000-0000-00005B170000}"/>
    <cellStyle name="40% - Accent3 9 2 2" xfId="6376" xr:uid="{00000000-0005-0000-0000-00005C170000}"/>
    <cellStyle name="40% - Accent3 9 2 3" xfId="6377" xr:uid="{00000000-0005-0000-0000-00005D170000}"/>
    <cellStyle name="40% - Accent3 9 3" xfId="6378" xr:uid="{00000000-0005-0000-0000-00005E170000}"/>
    <cellStyle name="40% - Accent3 9 3 2" xfId="6379" xr:uid="{00000000-0005-0000-0000-00005F170000}"/>
    <cellStyle name="40% - Accent3 9 3 3" xfId="6380" xr:uid="{00000000-0005-0000-0000-000060170000}"/>
    <cellStyle name="40% - Accent3 9 4" xfId="6381" xr:uid="{00000000-0005-0000-0000-000061170000}"/>
    <cellStyle name="40% - Accent3 9 4 2" xfId="6382" xr:uid="{00000000-0005-0000-0000-000062170000}"/>
    <cellStyle name="40% - Accent3 9 5" xfId="6383" xr:uid="{00000000-0005-0000-0000-000063170000}"/>
    <cellStyle name="40% - Accent3 9 6" xfId="6384" xr:uid="{00000000-0005-0000-0000-000064170000}"/>
    <cellStyle name="40% - Accent3 9 7" xfId="6385" xr:uid="{00000000-0005-0000-0000-000065170000}"/>
    <cellStyle name="40% - Accent3 9 8" xfId="6386" xr:uid="{00000000-0005-0000-0000-000066170000}"/>
    <cellStyle name="40% - Accent4 10" xfId="6387" xr:uid="{00000000-0005-0000-0000-000067170000}"/>
    <cellStyle name="40% - Accent4 10 2" xfId="6388" xr:uid="{00000000-0005-0000-0000-000068170000}"/>
    <cellStyle name="40% - Accent4 10 2 2" xfId="6389" xr:uid="{00000000-0005-0000-0000-000069170000}"/>
    <cellStyle name="40% - Accent4 10 2 3" xfId="6390" xr:uid="{00000000-0005-0000-0000-00006A170000}"/>
    <cellStyle name="40% - Accent4 10 3" xfId="6391" xr:uid="{00000000-0005-0000-0000-00006B170000}"/>
    <cellStyle name="40% - Accent4 10 4" xfId="6392" xr:uid="{00000000-0005-0000-0000-00006C170000}"/>
    <cellStyle name="40% - Accent4 10 4 2" xfId="6393" xr:uid="{00000000-0005-0000-0000-00006D170000}"/>
    <cellStyle name="40% - Accent4 10 5" xfId="6394" xr:uid="{00000000-0005-0000-0000-00006E170000}"/>
    <cellStyle name="40% - Accent4 11" xfId="6395" xr:uid="{00000000-0005-0000-0000-00006F170000}"/>
    <cellStyle name="40% - Accent4 11 2" xfId="6396" xr:uid="{00000000-0005-0000-0000-000070170000}"/>
    <cellStyle name="40% - Accent4 11 3" xfId="6397" xr:uid="{00000000-0005-0000-0000-000071170000}"/>
    <cellStyle name="40% - Accent4 11 3 2" xfId="6398" xr:uid="{00000000-0005-0000-0000-000072170000}"/>
    <cellStyle name="40% - Accent4 12" xfId="6399" xr:uid="{00000000-0005-0000-0000-000073170000}"/>
    <cellStyle name="40% - Accent4 12 2" xfId="6400" xr:uid="{00000000-0005-0000-0000-000074170000}"/>
    <cellStyle name="40% - Accent4 12 3" xfId="6401" xr:uid="{00000000-0005-0000-0000-000075170000}"/>
    <cellStyle name="40% - Accent4 13" xfId="6402" xr:uid="{00000000-0005-0000-0000-000076170000}"/>
    <cellStyle name="40% - Accent4 13 2" xfId="6403" xr:uid="{00000000-0005-0000-0000-000077170000}"/>
    <cellStyle name="40% - Accent4 13 3" xfId="6404" xr:uid="{00000000-0005-0000-0000-000078170000}"/>
    <cellStyle name="40% - Accent4 14" xfId="6405" xr:uid="{00000000-0005-0000-0000-000079170000}"/>
    <cellStyle name="40% - Accent4 14 2" xfId="6406" xr:uid="{00000000-0005-0000-0000-00007A170000}"/>
    <cellStyle name="40% - Accent4 14 3" xfId="6407" xr:uid="{00000000-0005-0000-0000-00007B170000}"/>
    <cellStyle name="40% - Accent4 15" xfId="6408" xr:uid="{00000000-0005-0000-0000-00007C170000}"/>
    <cellStyle name="40% - Accent4 15 2" xfId="6409" xr:uid="{00000000-0005-0000-0000-00007D170000}"/>
    <cellStyle name="40% - Accent4 15 3" xfId="6410" xr:uid="{00000000-0005-0000-0000-00007E170000}"/>
    <cellStyle name="40% - Accent4 16" xfId="6411" xr:uid="{00000000-0005-0000-0000-00007F170000}"/>
    <cellStyle name="40% - Accent4 16 2" xfId="6412" xr:uid="{00000000-0005-0000-0000-000080170000}"/>
    <cellStyle name="40% - Accent4 16 3" xfId="6413" xr:uid="{00000000-0005-0000-0000-000081170000}"/>
    <cellStyle name="40% - Accent4 17" xfId="6414" xr:uid="{00000000-0005-0000-0000-000082170000}"/>
    <cellStyle name="40% - Accent4 17 2" xfId="6415" xr:uid="{00000000-0005-0000-0000-000083170000}"/>
    <cellStyle name="40% - Accent4 17 3" xfId="6416" xr:uid="{00000000-0005-0000-0000-000084170000}"/>
    <cellStyle name="40% - Accent4 18" xfId="6417" xr:uid="{00000000-0005-0000-0000-000085170000}"/>
    <cellStyle name="40% - Accent4 18 2" xfId="6418" xr:uid="{00000000-0005-0000-0000-000086170000}"/>
    <cellStyle name="40% - Accent4 18 3" xfId="6419" xr:uid="{00000000-0005-0000-0000-000087170000}"/>
    <cellStyle name="40% - Accent4 19" xfId="6420" xr:uid="{00000000-0005-0000-0000-000088170000}"/>
    <cellStyle name="40% - Accent4 19 2" xfId="6421" xr:uid="{00000000-0005-0000-0000-000089170000}"/>
    <cellStyle name="40% - Accent4 19 3" xfId="6422" xr:uid="{00000000-0005-0000-0000-00008A170000}"/>
    <cellStyle name="40% - Accent4 2" xfId="6423" xr:uid="{00000000-0005-0000-0000-00008B170000}"/>
    <cellStyle name="40% - Accent4 2 10" xfId="6424" xr:uid="{00000000-0005-0000-0000-00008C170000}"/>
    <cellStyle name="40% - Accent4 2 10 2" xfId="6425" xr:uid="{00000000-0005-0000-0000-00008D170000}"/>
    <cellStyle name="40% - Accent4 2 10 3" xfId="6426" xr:uid="{00000000-0005-0000-0000-00008E170000}"/>
    <cellStyle name="40% - Accent4 2 11" xfId="6427" xr:uid="{00000000-0005-0000-0000-00008F170000}"/>
    <cellStyle name="40% - Accent4 2 11 2" xfId="6428" xr:uid="{00000000-0005-0000-0000-000090170000}"/>
    <cellStyle name="40% - Accent4 2 11 3" xfId="6429" xr:uid="{00000000-0005-0000-0000-000091170000}"/>
    <cellStyle name="40% - Accent4 2 12" xfId="6430" xr:uid="{00000000-0005-0000-0000-000092170000}"/>
    <cellStyle name="40% - Accent4 2 12 2" xfId="6431" xr:uid="{00000000-0005-0000-0000-000093170000}"/>
    <cellStyle name="40% - Accent4 2 12 3" xfId="6432" xr:uid="{00000000-0005-0000-0000-000094170000}"/>
    <cellStyle name="40% - Accent4 2 13" xfId="6433" xr:uid="{00000000-0005-0000-0000-000095170000}"/>
    <cellStyle name="40% - Accent4 2 14" xfId="6434" xr:uid="{00000000-0005-0000-0000-000096170000}"/>
    <cellStyle name="40% - Accent4 2 2" xfId="6435" xr:uid="{00000000-0005-0000-0000-000097170000}"/>
    <cellStyle name="40% - Accent4 2 2 2" xfId="6436" xr:uid="{00000000-0005-0000-0000-000098170000}"/>
    <cellStyle name="40% - Accent4 2 2 2 2" xfId="6437" xr:uid="{00000000-0005-0000-0000-000099170000}"/>
    <cellStyle name="40% - Accent4 2 2 2 3" xfId="6438" xr:uid="{00000000-0005-0000-0000-00009A170000}"/>
    <cellStyle name="40% - Accent4 2 2 2 4" xfId="6439" xr:uid="{00000000-0005-0000-0000-00009B170000}"/>
    <cellStyle name="40% - Accent4 2 2 3" xfId="6440" xr:uid="{00000000-0005-0000-0000-00009C170000}"/>
    <cellStyle name="40% - Accent4 2 2 3 2" xfId="6441" xr:uid="{00000000-0005-0000-0000-00009D170000}"/>
    <cellStyle name="40% - Accent4 2 2 3 3" xfId="6442" xr:uid="{00000000-0005-0000-0000-00009E170000}"/>
    <cellStyle name="40% - Accent4 2 2 4" xfId="6443" xr:uid="{00000000-0005-0000-0000-00009F170000}"/>
    <cellStyle name="40% - Accent4 2 2 4 2" xfId="6444" xr:uid="{00000000-0005-0000-0000-0000A0170000}"/>
    <cellStyle name="40% - Accent4 2 2 4 3" xfId="6445" xr:uid="{00000000-0005-0000-0000-0000A1170000}"/>
    <cellStyle name="40% - Accent4 2 2 5" xfId="6446" xr:uid="{00000000-0005-0000-0000-0000A2170000}"/>
    <cellStyle name="40% - Accent4 2 2 6" xfId="6447" xr:uid="{00000000-0005-0000-0000-0000A3170000}"/>
    <cellStyle name="40% - Accent4 2 2 7" xfId="6448" xr:uid="{00000000-0005-0000-0000-0000A4170000}"/>
    <cellStyle name="40% - Accent4 2 2 8" xfId="6449" xr:uid="{00000000-0005-0000-0000-0000A5170000}"/>
    <cellStyle name="40% - Accent4 2 2_Dec monthly report" xfId="6450" xr:uid="{00000000-0005-0000-0000-0000A6170000}"/>
    <cellStyle name="40% - Accent4 2 3" xfId="6451" xr:uid="{00000000-0005-0000-0000-0000A7170000}"/>
    <cellStyle name="40% - Accent4 2 3 10" xfId="6452" xr:uid="{00000000-0005-0000-0000-0000A8170000}"/>
    <cellStyle name="40% - Accent4 2 3 11" xfId="6453" xr:uid="{00000000-0005-0000-0000-0000A9170000}"/>
    <cellStyle name="40% - Accent4 2 3 2" xfId="6454" xr:uid="{00000000-0005-0000-0000-0000AA170000}"/>
    <cellStyle name="40% - Accent4 2 3 2 10" xfId="6455" xr:uid="{00000000-0005-0000-0000-0000AB170000}"/>
    <cellStyle name="40% - Accent4 2 3 2 2" xfId="6456" xr:uid="{00000000-0005-0000-0000-0000AC170000}"/>
    <cellStyle name="40% - Accent4 2 3 2 2 2" xfId="6457" xr:uid="{00000000-0005-0000-0000-0000AD170000}"/>
    <cellStyle name="40% - Accent4 2 3 2 2 2 2" xfId="6458" xr:uid="{00000000-0005-0000-0000-0000AE170000}"/>
    <cellStyle name="40% - Accent4 2 3 2 2 2 3" xfId="6459" xr:uid="{00000000-0005-0000-0000-0000AF170000}"/>
    <cellStyle name="40% - Accent4 2 3 2 2 3" xfId="6460" xr:uid="{00000000-0005-0000-0000-0000B0170000}"/>
    <cellStyle name="40% - Accent4 2 3 2 2 3 2" xfId="6461" xr:uid="{00000000-0005-0000-0000-0000B1170000}"/>
    <cellStyle name="40% - Accent4 2 3 2 2 3 3" xfId="6462" xr:uid="{00000000-0005-0000-0000-0000B2170000}"/>
    <cellStyle name="40% - Accent4 2 3 2 2 4" xfId="6463" xr:uid="{00000000-0005-0000-0000-0000B3170000}"/>
    <cellStyle name="40% - Accent4 2 3 2 2 5" xfId="6464" xr:uid="{00000000-0005-0000-0000-0000B4170000}"/>
    <cellStyle name="40% - Accent4 2 3 2 2 6" xfId="6465" xr:uid="{00000000-0005-0000-0000-0000B5170000}"/>
    <cellStyle name="40% - Accent4 2 3 2 2 7" xfId="6466" xr:uid="{00000000-0005-0000-0000-0000B6170000}"/>
    <cellStyle name="40% - Accent4 2 3 2 2 8" xfId="6467" xr:uid="{00000000-0005-0000-0000-0000B7170000}"/>
    <cellStyle name="40% - Accent4 2 3 2 3" xfId="6468" xr:uid="{00000000-0005-0000-0000-0000B8170000}"/>
    <cellStyle name="40% - Accent4 2 3 2 3 2" xfId="6469" xr:uid="{00000000-0005-0000-0000-0000B9170000}"/>
    <cellStyle name="40% - Accent4 2 3 2 3 2 2" xfId="6470" xr:uid="{00000000-0005-0000-0000-0000BA170000}"/>
    <cellStyle name="40% - Accent4 2 3 2 3 2 3" xfId="6471" xr:uid="{00000000-0005-0000-0000-0000BB170000}"/>
    <cellStyle name="40% - Accent4 2 3 2 3 3" xfId="6472" xr:uid="{00000000-0005-0000-0000-0000BC170000}"/>
    <cellStyle name="40% - Accent4 2 3 2 3 3 2" xfId="6473" xr:uid="{00000000-0005-0000-0000-0000BD170000}"/>
    <cellStyle name="40% - Accent4 2 3 2 3 4" xfId="6474" xr:uid="{00000000-0005-0000-0000-0000BE170000}"/>
    <cellStyle name="40% - Accent4 2 3 2 4" xfId="6475" xr:uid="{00000000-0005-0000-0000-0000BF170000}"/>
    <cellStyle name="40% - Accent4 2 3 2 4 2" xfId="6476" xr:uid="{00000000-0005-0000-0000-0000C0170000}"/>
    <cellStyle name="40% - Accent4 2 3 2 4 3" xfId="6477" xr:uid="{00000000-0005-0000-0000-0000C1170000}"/>
    <cellStyle name="40% - Accent4 2 3 2 5" xfId="6478" xr:uid="{00000000-0005-0000-0000-0000C2170000}"/>
    <cellStyle name="40% - Accent4 2 3 2 5 2" xfId="6479" xr:uid="{00000000-0005-0000-0000-0000C3170000}"/>
    <cellStyle name="40% - Accent4 2 3 2 5 3" xfId="6480" xr:uid="{00000000-0005-0000-0000-0000C4170000}"/>
    <cellStyle name="40% - Accent4 2 3 2 6" xfId="6481" xr:uid="{00000000-0005-0000-0000-0000C5170000}"/>
    <cellStyle name="40% - Accent4 2 3 2 6 2" xfId="6482" xr:uid="{00000000-0005-0000-0000-0000C6170000}"/>
    <cellStyle name="40% - Accent4 2 3 2 7" xfId="6483" xr:uid="{00000000-0005-0000-0000-0000C7170000}"/>
    <cellStyle name="40% - Accent4 2 3 2 8" xfId="6484" xr:uid="{00000000-0005-0000-0000-0000C8170000}"/>
    <cellStyle name="40% - Accent4 2 3 2 9" xfId="6485" xr:uid="{00000000-0005-0000-0000-0000C9170000}"/>
    <cellStyle name="40% - Accent4 2 3 3" xfId="6486" xr:uid="{00000000-0005-0000-0000-0000CA170000}"/>
    <cellStyle name="40% - Accent4 2 3 3 2" xfId="6487" xr:uid="{00000000-0005-0000-0000-0000CB170000}"/>
    <cellStyle name="40% - Accent4 2 3 3 2 2" xfId="6488" xr:uid="{00000000-0005-0000-0000-0000CC170000}"/>
    <cellStyle name="40% - Accent4 2 3 3 2 3" xfId="6489" xr:uid="{00000000-0005-0000-0000-0000CD170000}"/>
    <cellStyle name="40% - Accent4 2 3 3 3" xfId="6490" xr:uid="{00000000-0005-0000-0000-0000CE170000}"/>
    <cellStyle name="40% - Accent4 2 3 3 3 2" xfId="6491" xr:uid="{00000000-0005-0000-0000-0000CF170000}"/>
    <cellStyle name="40% - Accent4 2 3 3 3 3" xfId="6492" xr:uid="{00000000-0005-0000-0000-0000D0170000}"/>
    <cellStyle name="40% - Accent4 2 3 3 4" xfId="6493" xr:uid="{00000000-0005-0000-0000-0000D1170000}"/>
    <cellStyle name="40% - Accent4 2 3 3 5" xfId="6494" xr:uid="{00000000-0005-0000-0000-0000D2170000}"/>
    <cellStyle name="40% - Accent4 2 3 3 6" xfId="6495" xr:uid="{00000000-0005-0000-0000-0000D3170000}"/>
    <cellStyle name="40% - Accent4 2 3 3 7" xfId="6496" xr:uid="{00000000-0005-0000-0000-0000D4170000}"/>
    <cellStyle name="40% - Accent4 2 3 3 8" xfId="6497" xr:uid="{00000000-0005-0000-0000-0000D5170000}"/>
    <cellStyle name="40% - Accent4 2 3 4" xfId="6498" xr:uid="{00000000-0005-0000-0000-0000D6170000}"/>
    <cellStyle name="40% - Accent4 2 3 4 2" xfId="6499" xr:uid="{00000000-0005-0000-0000-0000D7170000}"/>
    <cellStyle name="40% - Accent4 2 3 4 2 2" xfId="6500" xr:uid="{00000000-0005-0000-0000-0000D8170000}"/>
    <cellStyle name="40% - Accent4 2 3 4 2 3" xfId="6501" xr:uid="{00000000-0005-0000-0000-0000D9170000}"/>
    <cellStyle name="40% - Accent4 2 3 4 3" xfId="6502" xr:uid="{00000000-0005-0000-0000-0000DA170000}"/>
    <cellStyle name="40% - Accent4 2 3 4 3 2" xfId="6503" xr:uid="{00000000-0005-0000-0000-0000DB170000}"/>
    <cellStyle name="40% - Accent4 2 3 4 4" xfId="6504" xr:uid="{00000000-0005-0000-0000-0000DC170000}"/>
    <cellStyle name="40% - Accent4 2 3 5" xfId="6505" xr:uid="{00000000-0005-0000-0000-0000DD170000}"/>
    <cellStyle name="40% - Accent4 2 3 5 2" xfId="6506" xr:uid="{00000000-0005-0000-0000-0000DE170000}"/>
    <cellStyle name="40% - Accent4 2 3 5 3" xfId="6507" xr:uid="{00000000-0005-0000-0000-0000DF170000}"/>
    <cellStyle name="40% - Accent4 2 3 6" xfId="6508" xr:uid="{00000000-0005-0000-0000-0000E0170000}"/>
    <cellStyle name="40% - Accent4 2 3 6 2" xfId="6509" xr:uid="{00000000-0005-0000-0000-0000E1170000}"/>
    <cellStyle name="40% - Accent4 2 3 6 3" xfId="6510" xr:uid="{00000000-0005-0000-0000-0000E2170000}"/>
    <cellStyle name="40% - Accent4 2 3 7" xfId="6511" xr:uid="{00000000-0005-0000-0000-0000E3170000}"/>
    <cellStyle name="40% - Accent4 2 3 7 2" xfId="6512" xr:uid="{00000000-0005-0000-0000-0000E4170000}"/>
    <cellStyle name="40% - Accent4 2 3 8" xfId="6513" xr:uid="{00000000-0005-0000-0000-0000E5170000}"/>
    <cellStyle name="40% - Accent4 2 3 9" xfId="6514" xr:uid="{00000000-0005-0000-0000-0000E6170000}"/>
    <cellStyle name="40% - Accent4 2 4" xfId="6515" xr:uid="{00000000-0005-0000-0000-0000E7170000}"/>
    <cellStyle name="40% - Accent4 2 4 10" xfId="6516" xr:uid="{00000000-0005-0000-0000-0000E8170000}"/>
    <cellStyle name="40% - Accent4 2 4 11" xfId="6517" xr:uid="{00000000-0005-0000-0000-0000E9170000}"/>
    <cellStyle name="40% - Accent4 2 4 2" xfId="6518" xr:uid="{00000000-0005-0000-0000-0000EA170000}"/>
    <cellStyle name="40% - Accent4 2 4 2 10" xfId="6519" xr:uid="{00000000-0005-0000-0000-0000EB170000}"/>
    <cellStyle name="40% - Accent4 2 4 2 2" xfId="6520" xr:uid="{00000000-0005-0000-0000-0000EC170000}"/>
    <cellStyle name="40% - Accent4 2 4 2 2 2" xfId="6521" xr:uid="{00000000-0005-0000-0000-0000ED170000}"/>
    <cellStyle name="40% - Accent4 2 4 2 2 2 2" xfId="6522" xr:uid="{00000000-0005-0000-0000-0000EE170000}"/>
    <cellStyle name="40% - Accent4 2 4 2 2 2 3" xfId="6523" xr:uid="{00000000-0005-0000-0000-0000EF170000}"/>
    <cellStyle name="40% - Accent4 2 4 2 2 3" xfId="6524" xr:uid="{00000000-0005-0000-0000-0000F0170000}"/>
    <cellStyle name="40% - Accent4 2 4 2 2 3 2" xfId="6525" xr:uid="{00000000-0005-0000-0000-0000F1170000}"/>
    <cellStyle name="40% - Accent4 2 4 2 2 3 3" xfId="6526" xr:uid="{00000000-0005-0000-0000-0000F2170000}"/>
    <cellStyle name="40% - Accent4 2 4 2 2 4" xfId="6527" xr:uid="{00000000-0005-0000-0000-0000F3170000}"/>
    <cellStyle name="40% - Accent4 2 4 2 2 5" xfId="6528" xr:uid="{00000000-0005-0000-0000-0000F4170000}"/>
    <cellStyle name="40% - Accent4 2 4 2 2 6" xfId="6529" xr:uid="{00000000-0005-0000-0000-0000F5170000}"/>
    <cellStyle name="40% - Accent4 2 4 2 2 7" xfId="6530" xr:uid="{00000000-0005-0000-0000-0000F6170000}"/>
    <cellStyle name="40% - Accent4 2 4 2 2 8" xfId="6531" xr:uid="{00000000-0005-0000-0000-0000F7170000}"/>
    <cellStyle name="40% - Accent4 2 4 2 3" xfId="6532" xr:uid="{00000000-0005-0000-0000-0000F8170000}"/>
    <cellStyle name="40% - Accent4 2 4 2 3 2" xfId="6533" xr:uid="{00000000-0005-0000-0000-0000F9170000}"/>
    <cellStyle name="40% - Accent4 2 4 2 3 2 2" xfId="6534" xr:uid="{00000000-0005-0000-0000-0000FA170000}"/>
    <cellStyle name="40% - Accent4 2 4 2 3 2 3" xfId="6535" xr:uid="{00000000-0005-0000-0000-0000FB170000}"/>
    <cellStyle name="40% - Accent4 2 4 2 3 3" xfId="6536" xr:uid="{00000000-0005-0000-0000-0000FC170000}"/>
    <cellStyle name="40% - Accent4 2 4 2 3 3 2" xfId="6537" xr:uid="{00000000-0005-0000-0000-0000FD170000}"/>
    <cellStyle name="40% - Accent4 2 4 2 3 4" xfId="6538" xr:uid="{00000000-0005-0000-0000-0000FE170000}"/>
    <cellStyle name="40% - Accent4 2 4 2 4" xfId="6539" xr:uid="{00000000-0005-0000-0000-0000FF170000}"/>
    <cellStyle name="40% - Accent4 2 4 2 4 2" xfId="6540" xr:uid="{00000000-0005-0000-0000-000000180000}"/>
    <cellStyle name="40% - Accent4 2 4 2 4 3" xfId="6541" xr:uid="{00000000-0005-0000-0000-000001180000}"/>
    <cellStyle name="40% - Accent4 2 4 2 5" xfId="6542" xr:uid="{00000000-0005-0000-0000-000002180000}"/>
    <cellStyle name="40% - Accent4 2 4 2 5 2" xfId="6543" xr:uid="{00000000-0005-0000-0000-000003180000}"/>
    <cellStyle name="40% - Accent4 2 4 2 5 3" xfId="6544" xr:uid="{00000000-0005-0000-0000-000004180000}"/>
    <cellStyle name="40% - Accent4 2 4 2 6" xfId="6545" xr:uid="{00000000-0005-0000-0000-000005180000}"/>
    <cellStyle name="40% - Accent4 2 4 2 6 2" xfId="6546" xr:uid="{00000000-0005-0000-0000-000006180000}"/>
    <cellStyle name="40% - Accent4 2 4 2 7" xfId="6547" xr:uid="{00000000-0005-0000-0000-000007180000}"/>
    <cellStyle name="40% - Accent4 2 4 2 8" xfId="6548" xr:uid="{00000000-0005-0000-0000-000008180000}"/>
    <cellStyle name="40% - Accent4 2 4 2 9" xfId="6549" xr:uid="{00000000-0005-0000-0000-000009180000}"/>
    <cellStyle name="40% - Accent4 2 4 3" xfId="6550" xr:uid="{00000000-0005-0000-0000-00000A180000}"/>
    <cellStyle name="40% - Accent4 2 4 3 2" xfId="6551" xr:uid="{00000000-0005-0000-0000-00000B180000}"/>
    <cellStyle name="40% - Accent4 2 4 3 2 2" xfId="6552" xr:uid="{00000000-0005-0000-0000-00000C180000}"/>
    <cellStyle name="40% - Accent4 2 4 3 2 3" xfId="6553" xr:uid="{00000000-0005-0000-0000-00000D180000}"/>
    <cellStyle name="40% - Accent4 2 4 3 3" xfId="6554" xr:uid="{00000000-0005-0000-0000-00000E180000}"/>
    <cellStyle name="40% - Accent4 2 4 3 3 2" xfId="6555" xr:uid="{00000000-0005-0000-0000-00000F180000}"/>
    <cellStyle name="40% - Accent4 2 4 3 3 3" xfId="6556" xr:uid="{00000000-0005-0000-0000-000010180000}"/>
    <cellStyle name="40% - Accent4 2 4 3 4" xfId="6557" xr:uid="{00000000-0005-0000-0000-000011180000}"/>
    <cellStyle name="40% - Accent4 2 4 3 5" xfId="6558" xr:uid="{00000000-0005-0000-0000-000012180000}"/>
    <cellStyle name="40% - Accent4 2 4 3 6" xfId="6559" xr:uid="{00000000-0005-0000-0000-000013180000}"/>
    <cellStyle name="40% - Accent4 2 4 3 7" xfId="6560" xr:uid="{00000000-0005-0000-0000-000014180000}"/>
    <cellStyle name="40% - Accent4 2 4 3 8" xfId="6561" xr:uid="{00000000-0005-0000-0000-000015180000}"/>
    <cellStyle name="40% - Accent4 2 4 4" xfId="6562" xr:uid="{00000000-0005-0000-0000-000016180000}"/>
    <cellStyle name="40% - Accent4 2 4 4 2" xfId="6563" xr:uid="{00000000-0005-0000-0000-000017180000}"/>
    <cellStyle name="40% - Accent4 2 4 4 2 2" xfId="6564" xr:uid="{00000000-0005-0000-0000-000018180000}"/>
    <cellStyle name="40% - Accent4 2 4 4 2 3" xfId="6565" xr:uid="{00000000-0005-0000-0000-000019180000}"/>
    <cellStyle name="40% - Accent4 2 4 4 3" xfId="6566" xr:uid="{00000000-0005-0000-0000-00001A180000}"/>
    <cellStyle name="40% - Accent4 2 4 4 3 2" xfId="6567" xr:uid="{00000000-0005-0000-0000-00001B180000}"/>
    <cellStyle name="40% - Accent4 2 4 4 4" xfId="6568" xr:uid="{00000000-0005-0000-0000-00001C180000}"/>
    <cellStyle name="40% - Accent4 2 4 5" xfId="6569" xr:uid="{00000000-0005-0000-0000-00001D180000}"/>
    <cellStyle name="40% - Accent4 2 4 5 2" xfId="6570" xr:uid="{00000000-0005-0000-0000-00001E180000}"/>
    <cellStyle name="40% - Accent4 2 4 5 3" xfId="6571" xr:uid="{00000000-0005-0000-0000-00001F180000}"/>
    <cellStyle name="40% - Accent4 2 4 6" xfId="6572" xr:uid="{00000000-0005-0000-0000-000020180000}"/>
    <cellStyle name="40% - Accent4 2 4 6 2" xfId="6573" xr:uid="{00000000-0005-0000-0000-000021180000}"/>
    <cellStyle name="40% - Accent4 2 4 6 3" xfId="6574" xr:uid="{00000000-0005-0000-0000-000022180000}"/>
    <cellStyle name="40% - Accent4 2 4 7" xfId="6575" xr:uid="{00000000-0005-0000-0000-000023180000}"/>
    <cellStyle name="40% - Accent4 2 4 7 2" xfId="6576" xr:uid="{00000000-0005-0000-0000-000024180000}"/>
    <cellStyle name="40% - Accent4 2 4 8" xfId="6577" xr:uid="{00000000-0005-0000-0000-000025180000}"/>
    <cellStyle name="40% - Accent4 2 4 9" xfId="6578" xr:uid="{00000000-0005-0000-0000-000026180000}"/>
    <cellStyle name="40% - Accent4 2 5" xfId="6579" xr:uid="{00000000-0005-0000-0000-000027180000}"/>
    <cellStyle name="40% - Accent4 2 5 10" xfId="6580" xr:uid="{00000000-0005-0000-0000-000028180000}"/>
    <cellStyle name="40% - Accent4 2 5 11" xfId="6581" xr:uid="{00000000-0005-0000-0000-000029180000}"/>
    <cellStyle name="40% - Accent4 2 5 2" xfId="6582" xr:uid="{00000000-0005-0000-0000-00002A180000}"/>
    <cellStyle name="40% - Accent4 2 5 2 2" xfId="6583" xr:uid="{00000000-0005-0000-0000-00002B180000}"/>
    <cellStyle name="40% - Accent4 2 5 2 2 2" xfId="6584" xr:uid="{00000000-0005-0000-0000-00002C180000}"/>
    <cellStyle name="40% - Accent4 2 5 2 2 2 2" xfId="6585" xr:uid="{00000000-0005-0000-0000-00002D180000}"/>
    <cellStyle name="40% - Accent4 2 5 2 2 2 3" xfId="6586" xr:uid="{00000000-0005-0000-0000-00002E180000}"/>
    <cellStyle name="40% - Accent4 2 5 2 2 3" xfId="6587" xr:uid="{00000000-0005-0000-0000-00002F180000}"/>
    <cellStyle name="40% - Accent4 2 5 2 2 3 2" xfId="6588" xr:uid="{00000000-0005-0000-0000-000030180000}"/>
    <cellStyle name="40% - Accent4 2 5 2 2 3 3" xfId="6589" xr:uid="{00000000-0005-0000-0000-000031180000}"/>
    <cellStyle name="40% - Accent4 2 5 2 2 4" xfId="6590" xr:uid="{00000000-0005-0000-0000-000032180000}"/>
    <cellStyle name="40% - Accent4 2 5 2 2 5" xfId="6591" xr:uid="{00000000-0005-0000-0000-000033180000}"/>
    <cellStyle name="40% - Accent4 2 5 2 2 6" xfId="6592" xr:uid="{00000000-0005-0000-0000-000034180000}"/>
    <cellStyle name="40% - Accent4 2 5 2 2 7" xfId="6593" xr:uid="{00000000-0005-0000-0000-000035180000}"/>
    <cellStyle name="40% - Accent4 2 5 2 2 8" xfId="6594" xr:uid="{00000000-0005-0000-0000-000036180000}"/>
    <cellStyle name="40% - Accent4 2 5 2 3" xfId="6595" xr:uid="{00000000-0005-0000-0000-000037180000}"/>
    <cellStyle name="40% - Accent4 2 5 2 3 2" xfId="6596" xr:uid="{00000000-0005-0000-0000-000038180000}"/>
    <cellStyle name="40% - Accent4 2 5 2 3 2 2" xfId="6597" xr:uid="{00000000-0005-0000-0000-000039180000}"/>
    <cellStyle name="40% - Accent4 2 5 2 3 2 3" xfId="6598" xr:uid="{00000000-0005-0000-0000-00003A180000}"/>
    <cellStyle name="40% - Accent4 2 5 2 3 3" xfId="6599" xr:uid="{00000000-0005-0000-0000-00003B180000}"/>
    <cellStyle name="40% - Accent4 2 5 2 3 3 2" xfId="6600" xr:uid="{00000000-0005-0000-0000-00003C180000}"/>
    <cellStyle name="40% - Accent4 2 5 2 3 4" xfId="6601" xr:uid="{00000000-0005-0000-0000-00003D180000}"/>
    <cellStyle name="40% - Accent4 2 5 2 4" xfId="6602" xr:uid="{00000000-0005-0000-0000-00003E180000}"/>
    <cellStyle name="40% - Accent4 2 5 2 4 2" xfId="6603" xr:uid="{00000000-0005-0000-0000-00003F180000}"/>
    <cellStyle name="40% - Accent4 2 5 2 4 3" xfId="6604" xr:uid="{00000000-0005-0000-0000-000040180000}"/>
    <cellStyle name="40% - Accent4 2 5 2 5" xfId="6605" xr:uid="{00000000-0005-0000-0000-000041180000}"/>
    <cellStyle name="40% - Accent4 2 5 2 6" xfId="6606" xr:uid="{00000000-0005-0000-0000-000042180000}"/>
    <cellStyle name="40% - Accent4 2 5 2 6 2" xfId="6607" xr:uid="{00000000-0005-0000-0000-000043180000}"/>
    <cellStyle name="40% - Accent4 2 5 2 7" xfId="6608" xr:uid="{00000000-0005-0000-0000-000044180000}"/>
    <cellStyle name="40% - Accent4 2 5 2 8" xfId="6609" xr:uid="{00000000-0005-0000-0000-000045180000}"/>
    <cellStyle name="40% - Accent4 2 5 2 9" xfId="6610" xr:uid="{00000000-0005-0000-0000-000046180000}"/>
    <cellStyle name="40% - Accent4 2 5 3" xfId="6611" xr:uid="{00000000-0005-0000-0000-000047180000}"/>
    <cellStyle name="40% - Accent4 2 5 3 2" xfId="6612" xr:uid="{00000000-0005-0000-0000-000048180000}"/>
    <cellStyle name="40% - Accent4 2 5 3 2 2" xfId="6613" xr:uid="{00000000-0005-0000-0000-000049180000}"/>
    <cellStyle name="40% - Accent4 2 5 3 2 3" xfId="6614" xr:uid="{00000000-0005-0000-0000-00004A180000}"/>
    <cellStyle name="40% - Accent4 2 5 3 3" xfId="6615" xr:uid="{00000000-0005-0000-0000-00004B180000}"/>
    <cellStyle name="40% - Accent4 2 5 3 3 2" xfId="6616" xr:uid="{00000000-0005-0000-0000-00004C180000}"/>
    <cellStyle name="40% - Accent4 2 5 3 3 3" xfId="6617" xr:uid="{00000000-0005-0000-0000-00004D180000}"/>
    <cellStyle name="40% - Accent4 2 5 3 4" xfId="6618" xr:uid="{00000000-0005-0000-0000-00004E180000}"/>
    <cellStyle name="40% - Accent4 2 5 3 5" xfId="6619" xr:uid="{00000000-0005-0000-0000-00004F180000}"/>
    <cellStyle name="40% - Accent4 2 5 3 6" xfId="6620" xr:uid="{00000000-0005-0000-0000-000050180000}"/>
    <cellStyle name="40% - Accent4 2 5 3 7" xfId="6621" xr:uid="{00000000-0005-0000-0000-000051180000}"/>
    <cellStyle name="40% - Accent4 2 5 3 8" xfId="6622" xr:uid="{00000000-0005-0000-0000-000052180000}"/>
    <cellStyle name="40% - Accent4 2 5 4" xfId="6623" xr:uid="{00000000-0005-0000-0000-000053180000}"/>
    <cellStyle name="40% - Accent4 2 5 4 2" xfId="6624" xr:uid="{00000000-0005-0000-0000-000054180000}"/>
    <cellStyle name="40% - Accent4 2 5 4 2 2" xfId="6625" xr:uid="{00000000-0005-0000-0000-000055180000}"/>
    <cellStyle name="40% - Accent4 2 5 4 2 3" xfId="6626" xr:uid="{00000000-0005-0000-0000-000056180000}"/>
    <cellStyle name="40% - Accent4 2 5 4 3" xfId="6627" xr:uid="{00000000-0005-0000-0000-000057180000}"/>
    <cellStyle name="40% - Accent4 2 5 4 3 2" xfId="6628" xr:uid="{00000000-0005-0000-0000-000058180000}"/>
    <cellStyle name="40% - Accent4 2 5 4 4" xfId="6629" xr:uid="{00000000-0005-0000-0000-000059180000}"/>
    <cellStyle name="40% - Accent4 2 5 5" xfId="6630" xr:uid="{00000000-0005-0000-0000-00005A180000}"/>
    <cellStyle name="40% - Accent4 2 5 5 2" xfId="6631" xr:uid="{00000000-0005-0000-0000-00005B180000}"/>
    <cellStyle name="40% - Accent4 2 5 5 3" xfId="6632" xr:uid="{00000000-0005-0000-0000-00005C180000}"/>
    <cellStyle name="40% - Accent4 2 5 6" xfId="6633" xr:uid="{00000000-0005-0000-0000-00005D180000}"/>
    <cellStyle name="40% - Accent4 2 5 6 2" xfId="6634" xr:uid="{00000000-0005-0000-0000-00005E180000}"/>
    <cellStyle name="40% - Accent4 2 5 6 3" xfId="6635" xr:uid="{00000000-0005-0000-0000-00005F180000}"/>
    <cellStyle name="40% - Accent4 2 5 7" xfId="6636" xr:uid="{00000000-0005-0000-0000-000060180000}"/>
    <cellStyle name="40% - Accent4 2 5 7 2" xfId="6637" xr:uid="{00000000-0005-0000-0000-000061180000}"/>
    <cellStyle name="40% - Accent4 2 5 8" xfId="6638" xr:uid="{00000000-0005-0000-0000-000062180000}"/>
    <cellStyle name="40% - Accent4 2 5 9" xfId="6639" xr:uid="{00000000-0005-0000-0000-000063180000}"/>
    <cellStyle name="40% - Accent4 2 6" xfId="6640" xr:uid="{00000000-0005-0000-0000-000064180000}"/>
    <cellStyle name="40% - Accent4 2 6 10" xfId="6641" xr:uid="{00000000-0005-0000-0000-000065180000}"/>
    <cellStyle name="40% - Accent4 2 6 11" xfId="6642" xr:uid="{00000000-0005-0000-0000-000066180000}"/>
    <cellStyle name="40% - Accent4 2 6 2" xfId="6643" xr:uid="{00000000-0005-0000-0000-000067180000}"/>
    <cellStyle name="40% - Accent4 2 6 2 2" xfId="6644" xr:uid="{00000000-0005-0000-0000-000068180000}"/>
    <cellStyle name="40% - Accent4 2 6 2 2 2" xfId="6645" xr:uid="{00000000-0005-0000-0000-000069180000}"/>
    <cellStyle name="40% - Accent4 2 6 2 2 2 2" xfId="6646" xr:uid="{00000000-0005-0000-0000-00006A180000}"/>
    <cellStyle name="40% - Accent4 2 6 2 2 2 3" xfId="6647" xr:uid="{00000000-0005-0000-0000-00006B180000}"/>
    <cellStyle name="40% - Accent4 2 6 2 2 3" xfId="6648" xr:uid="{00000000-0005-0000-0000-00006C180000}"/>
    <cellStyle name="40% - Accent4 2 6 2 2 3 2" xfId="6649" xr:uid="{00000000-0005-0000-0000-00006D180000}"/>
    <cellStyle name="40% - Accent4 2 6 2 2 3 3" xfId="6650" xr:uid="{00000000-0005-0000-0000-00006E180000}"/>
    <cellStyle name="40% - Accent4 2 6 2 2 4" xfId="6651" xr:uid="{00000000-0005-0000-0000-00006F180000}"/>
    <cellStyle name="40% - Accent4 2 6 2 2 5" xfId="6652" xr:uid="{00000000-0005-0000-0000-000070180000}"/>
    <cellStyle name="40% - Accent4 2 6 2 2 6" xfId="6653" xr:uid="{00000000-0005-0000-0000-000071180000}"/>
    <cellStyle name="40% - Accent4 2 6 2 2 7" xfId="6654" xr:uid="{00000000-0005-0000-0000-000072180000}"/>
    <cellStyle name="40% - Accent4 2 6 2 2 8" xfId="6655" xr:uid="{00000000-0005-0000-0000-000073180000}"/>
    <cellStyle name="40% - Accent4 2 6 2 3" xfId="6656" xr:uid="{00000000-0005-0000-0000-000074180000}"/>
    <cellStyle name="40% - Accent4 2 6 2 3 2" xfId="6657" xr:uid="{00000000-0005-0000-0000-000075180000}"/>
    <cellStyle name="40% - Accent4 2 6 2 3 2 2" xfId="6658" xr:uid="{00000000-0005-0000-0000-000076180000}"/>
    <cellStyle name="40% - Accent4 2 6 2 3 2 3" xfId="6659" xr:uid="{00000000-0005-0000-0000-000077180000}"/>
    <cellStyle name="40% - Accent4 2 6 2 3 3" xfId="6660" xr:uid="{00000000-0005-0000-0000-000078180000}"/>
    <cellStyle name="40% - Accent4 2 6 2 3 3 2" xfId="6661" xr:uid="{00000000-0005-0000-0000-000079180000}"/>
    <cellStyle name="40% - Accent4 2 6 2 3 4" xfId="6662" xr:uid="{00000000-0005-0000-0000-00007A180000}"/>
    <cellStyle name="40% - Accent4 2 6 2 4" xfId="6663" xr:uid="{00000000-0005-0000-0000-00007B180000}"/>
    <cellStyle name="40% - Accent4 2 6 2 4 2" xfId="6664" xr:uid="{00000000-0005-0000-0000-00007C180000}"/>
    <cellStyle name="40% - Accent4 2 6 2 4 3" xfId="6665" xr:uid="{00000000-0005-0000-0000-00007D180000}"/>
    <cellStyle name="40% - Accent4 2 6 2 5" xfId="6666" xr:uid="{00000000-0005-0000-0000-00007E180000}"/>
    <cellStyle name="40% - Accent4 2 6 2 6" xfId="6667" xr:uid="{00000000-0005-0000-0000-00007F180000}"/>
    <cellStyle name="40% - Accent4 2 6 2 6 2" xfId="6668" xr:uid="{00000000-0005-0000-0000-000080180000}"/>
    <cellStyle name="40% - Accent4 2 6 2 7" xfId="6669" xr:uid="{00000000-0005-0000-0000-000081180000}"/>
    <cellStyle name="40% - Accent4 2 6 2 8" xfId="6670" xr:uid="{00000000-0005-0000-0000-000082180000}"/>
    <cellStyle name="40% - Accent4 2 6 2 9" xfId="6671" xr:uid="{00000000-0005-0000-0000-000083180000}"/>
    <cellStyle name="40% - Accent4 2 6 3" xfId="6672" xr:uid="{00000000-0005-0000-0000-000084180000}"/>
    <cellStyle name="40% - Accent4 2 6 3 2" xfId="6673" xr:uid="{00000000-0005-0000-0000-000085180000}"/>
    <cellStyle name="40% - Accent4 2 6 3 2 2" xfId="6674" xr:uid="{00000000-0005-0000-0000-000086180000}"/>
    <cellStyle name="40% - Accent4 2 6 3 2 3" xfId="6675" xr:uid="{00000000-0005-0000-0000-000087180000}"/>
    <cellStyle name="40% - Accent4 2 6 3 3" xfId="6676" xr:uid="{00000000-0005-0000-0000-000088180000}"/>
    <cellStyle name="40% - Accent4 2 6 3 3 2" xfId="6677" xr:uid="{00000000-0005-0000-0000-000089180000}"/>
    <cellStyle name="40% - Accent4 2 6 3 3 3" xfId="6678" xr:uid="{00000000-0005-0000-0000-00008A180000}"/>
    <cellStyle name="40% - Accent4 2 6 3 4" xfId="6679" xr:uid="{00000000-0005-0000-0000-00008B180000}"/>
    <cellStyle name="40% - Accent4 2 6 3 5" xfId="6680" xr:uid="{00000000-0005-0000-0000-00008C180000}"/>
    <cellStyle name="40% - Accent4 2 6 3 6" xfId="6681" xr:uid="{00000000-0005-0000-0000-00008D180000}"/>
    <cellStyle name="40% - Accent4 2 6 3 7" xfId="6682" xr:uid="{00000000-0005-0000-0000-00008E180000}"/>
    <cellStyle name="40% - Accent4 2 6 3 8" xfId="6683" xr:uid="{00000000-0005-0000-0000-00008F180000}"/>
    <cellStyle name="40% - Accent4 2 6 4" xfId="6684" xr:uid="{00000000-0005-0000-0000-000090180000}"/>
    <cellStyle name="40% - Accent4 2 6 4 2" xfId="6685" xr:uid="{00000000-0005-0000-0000-000091180000}"/>
    <cellStyle name="40% - Accent4 2 6 4 2 2" xfId="6686" xr:uid="{00000000-0005-0000-0000-000092180000}"/>
    <cellStyle name="40% - Accent4 2 6 4 2 3" xfId="6687" xr:uid="{00000000-0005-0000-0000-000093180000}"/>
    <cellStyle name="40% - Accent4 2 6 4 3" xfId="6688" xr:uid="{00000000-0005-0000-0000-000094180000}"/>
    <cellStyle name="40% - Accent4 2 6 4 3 2" xfId="6689" xr:uid="{00000000-0005-0000-0000-000095180000}"/>
    <cellStyle name="40% - Accent4 2 6 4 4" xfId="6690" xr:uid="{00000000-0005-0000-0000-000096180000}"/>
    <cellStyle name="40% - Accent4 2 6 5" xfId="6691" xr:uid="{00000000-0005-0000-0000-000097180000}"/>
    <cellStyle name="40% - Accent4 2 6 5 2" xfId="6692" xr:uid="{00000000-0005-0000-0000-000098180000}"/>
    <cellStyle name="40% - Accent4 2 6 5 3" xfId="6693" xr:uid="{00000000-0005-0000-0000-000099180000}"/>
    <cellStyle name="40% - Accent4 2 6 6" xfId="6694" xr:uid="{00000000-0005-0000-0000-00009A180000}"/>
    <cellStyle name="40% - Accent4 2 6 6 2" xfId="6695" xr:uid="{00000000-0005-0000-0000-00009B180000}"/>
    <cellStyle name="40% - Accent4 2 6 6 3" xfId="6696" xr:uid="{00000000-0005-0000-0000-00009C180000}"/>
    <cellStyle name="40% - Accent4 2 6 7" xfId="6697" xr:uid="{00000000-0005-0000-0000-00009D180000}"/>
    <cellStyle name="40% - Accent4 2 6 7 2" xfId="6698" xr:uid="{00000000-0005-0000-0000-00009E180000}"/>
    <cellStyle name="40% - Accent4 2 6 8" xfId="6699" xr:uid="{00000000-0005-0000-0000-00009F180000}"/>
    <cellStyle name="40% - Accent4 2 6 9" xfId="6700" xr:uid="{00000000-0005-0000-0000-0000A0180000}"/>
    <cellStyle name="40% - Accent4 2 7" xfId="6701" xr:uid="{00000000-0005-0000-0000-0000A1180000}"/>
    <cellStyle name="40% - Accent4 2 7 2" xfId="6702" xr:uid="{00000000-0005-0000-0000-0000A2180000}"/>
    <cellStyle name="40% - Accent4 2 7 2 2" xfId="6703" xr:uid="{00000000-0005-0000-0000-0000A3180000}"/>
    <cellStyle name="40% - Accent4 2 7 2 3" xfId="6704" xr:uid="{00000000-0005-0000-0000-0000A4180000}"/>
    <cellStyle name="40% - Accent4 2 7 3" xfId="6705" xr:uid="{00000000-0005-0000-0000-0000A5180000}"/>
    <cellStyle name="40% - Accent4 2 7 3 2" xfId="6706" xr:uid="{00000000-0005-0000-0000-0000A6180000}"/>
    <cellStyle name="40% - Accent4 2 7 4" xfId="6707" xr:uid="{00000000-0005-0000-0000-0000A7180000}"/>
    <cellStyle name="40% - Accent4 2 8" xfId="6708" xr:uid="{00000000-0005-0000-0000-0000A8180000}"/>
    <cellStyle name="40% - Accent4 2 8 2" xfId="6709" xr:uid="{00000000-0005-0000-0000-0000A9180000}"/>
    <cellStyle name="40% - Accent4 2 8 3" xfId="6710" xr:uid="{00000000-0005-0000-0000-0000AA180000}"/>
    <cellStyle name="40% - Accent4 2 9" xfId="6711" xr:uid="{00000000-0005-0000-0000-0000AB180000}"/>
    <cellStyle name="40% - Accent4 2 9 2" xfId="6712" xr:uid="{00000000-0005-0000-0000-0000AC180000}"/>
    <cellStyle name="40% - Accent4 2 9 3" xfId="6713" xr:uid="{00000000-0005-0000-0000-0000AD180000}"/>
    <cellStyle name="40% - Accent4 2_Dec monthly report" xfId="6714" xr:uid="{00000000-0005-0000-0000-0000AE180000}"/>
    <cellStyle name="40% - Accent4 20" xfId="6715" xr:uid="{00000000-0005-0000-0000-0000AF180000}"/>
    <cellStyle name="40% - Accent4 20 2" xfId="6716" xr:uid="{00000000-0005-0000-0000-0000B0180000}"/>
    <cellStyle name="40% - Accent4 20 3" xfId="6717" xr:uid="{00000000-0005-0000-0000-0000B1180000}"/>
    <cellStyle name="40% - Accent4 21" xfId="6718" xr:uid="{00000000-0005-0000-0000-0000B2180000}"/>
    <cellStyle name="40% - Accent4 21 2" xfId="6719" xr:uid="{00000000-0005-0000-0000-0000B3180000}"/>
    <cellStyle name="40% - Accent4 21 3" xfId="6720" xr:uid="{00000000-0005-0000-0000-0000B4180000}"/>
    <cellStyle name="40% - Accent4 22" xfId="6721" xr:uid="{00000000-0005-0000-0000-0000B5180000}"/>
    <cellStyle name="40% - Accent4 23" xfId="6722" xr:uid="{00000000-0005-0000-0000-0000B6180000}"/>
    <cellStyle name="40% - Accent4 24" xfId="6723" xr:uid="{00000000-0005-0000-0000-0000B7180000}"/>
    <cellStyle name="40% - Accent4 3" xfId="6724" xr:uid="{00000000-0005-0000-0000-0000B8180000}"/>
    <cellStyle name="40% - Accent4 3 10" xfId="6725" xr:uid="{00000000-0005-0000-0000-0000B9180000}"/>
    <cellStyle name="40% - Accent4 3 11" xfId="6726" xr:uid="{00000000-0005-0000-0000-0000BA180000}"/>
    <cellStyle name="40% - Accent4 3 12" xfId="6727" xr:uid="{00000000-0005-0000-0000-0000BB180000}"/>
    <cellStyle name="40% - Accent4 3 13" xfId="6728" xr:uid="{00000000-0005-0000-0000-0000BC180000}"/>
    <cellStyle name="40% - Accent4 3 14" xfId="6729" xr:uid="{00000000-0005-0000-0000-0000BD180000}"/>
    <cellStyle name="40% - Accent4 3 2" xfId="6730" xr:uid="{00000000-0005-0000-0000-0000BE180000}"/>
    <cellStyle name="40% - Accent4 3 2 2" xfId="6731" xr:uid="{00000000-0005-0000-0000-0000BF180000}"/>
    <cellStyle name="40% - Accent4 3 2 2 10" xfId="6732" xr:uid="{00000000-0005-0000-0000-0000C0180000}"/>
    <cellStyle name="40% - Accent4 3 2 2 2" xfId="6733" xr:uid="{00000000-0005-0000-0000-0000C1180000}"/>
    <cellStyle name="40% - Accent4 3 2 2 2 2" xfId="6734" xr:uid="{00000000-0005-0000-0000-0000C2180000}"/>
    <cellStyle name="40% - Accent4 3 2 2 2 2 2" xfId="6735" xr:uid="{00000000-0005-0000-0000-0000C3180000}"/>
    <cellStyle name="40% - Accent4 3 2 2 2 2 3" xfId="6736" xr:uid="{00000000-0005-0000-0000-0000C4180000}"/>
    <cellStyle name="40% - Accent4 3 2 2 2 3" xfId="6737" xr:uid="{00000000-0005-0000-0000-0000C5180000}"/>
    <cellStyle name="40% - Accent4 3 2 2 2 3 2" xfId="6738" xr:uid="{00000000-0005-0000-0000-0000C6180000}"/>
    <cellStyle name="40% - Accent4 3 2 2 2 3 3" xfId="6739" xr:uid="{00000000-0005-0000-0000-0000C7180000}"/>
    <cellStyle name="40% - Accent4 3 2 2 2 4" xfId="6740" xr:uid="{00000000-0005-0000-0000-0000C8180000}"/>
    <cellStyle name="40% - Accent4 3 2 2 2 5" xfId="6741" xr:uid="{00000000-0005-0000-0000-0000C9180000}"/>
    <cellStyle name="40% - Accent4 3 2 2 2 6" xfId="6742" xr:uid="{00000000-0005-0000-0000-0000CA180000}"/>
    <cellStyle name="40% - Accent4 3 2 2 2 7" xfId="6743" xr:uid="{00000000-0005-0000-0000-0000CB180000}"/>
    <cellStyle name="40% - Accent4 3 2 2 2 8" xfId="6744" xr:uid="{00000000-0005-0000-0000-0000CC180000}"/>
    <cellStyle name="40% - Accent4 3 2 2 3" xfId="6745" xr:uid="{00000000-0005-0000-0000-0000CD180000}"/>
    <cellStyle name="40% - Accent4 3 2 2 3 2" xfId="6746" xr:uid="{00000000-0005-0000-0000-0000CE180000}"/>
    <cellStyle name="40% - Accent4 3 2 2 3 3" xfId="6747" xr:uid="{00000000-0005-0000-0000-0000CF180000}"/>
    <cellStyle name="40% - Accent4 3 2 2 4" xfId="6748" xr:uid="{00000000-0005-0000-0000-0000D0180000}"/>
    <cellStyle name="40% - Accent4 3 2 2 4 2" xfId="6749" xr:uid="{00000000-0005-0000-0000-0000D1180000}"/>
    <cellStyle name="40% - Accent4 3 2 2 4 3" xfId="6750" xr:uid="{00000000-0005-0000-0000-0000D2180000}"/>
    <cellStyle name="40% - Accent4 3 2 2 5" xfId="6751" xr:uid="{00000000-0005-0000-0000-0000D3180000}"/>
    <cellStyle name="40% - Accent4 3 2 2 5 2" xfId="6752" xr:uid="{00000000-0005-0000-0000-0000D4180000}"/>
    <cellStyle name="40% - Accent4 3 2 2 5 3" xfId="6753" xr:uid="{00000000-0005-0000-0000-0000D5180000}"/>
    <cellStyle name="40% - Accent4 3 2 2 6" xfId="6754" xr:uid="{00000000-0005-0000-0000-0000D6180000}"/>
    <cellStyle name="40% - Accent4 3 2 2 7" xfId="6755" xr:uid="{00000000-0005-0000-0000-0000D7180000}"/>
    <cellStyle name="40% - Accent4 3 2 2 8" xfId="6756" xr:uid="{00000000-0005-0000-0000-0000D8180000}"/>
    <cellStyle name="40% - Accent4 3 2 2 9" xfId="6757" xr:uid="{00000000-0005-0000-0000-0000D9180000}"/>
    <cellStyle name="40% - Accent4 3 2 3" xfId="6758" xr:uid="{00000000-0005-0000-0000-0000DA180000}"/>
    <cellStyle name="40% - Accent4 3 2 3 2" xfId="6759" xr:uid="{00000000-0005-0000-0000-0000DB180000}"/>
    <cellStyle name="40% - Accent4 3 2 3 2 2" xfId="6760" xr:uid="{00000000-0005-0000-0000-0000DC180000}"/>
    <cellStyle name="40% - Accent4 3 2 3 2 3" xfId="6761" xr:uid="{00000000-0005-0000-0000-0000DD180000}"/>
    <cellStyle name="40% - Accent4 3 2 3 3" xfId="6762" xr:uid="{00000000-0005-0000-0000-0000DE180000}"/>
    <cellStyle name="40% - Accent4 3 2 3 3 2" xfId="6763" xr:uid="{00000000-0005-0000-0000-0000DF180000}"/>
    <cellStyle name="40% - Accent4 3 2 3 4" xfId="6764" xr:uid="{00000000-0005-0000-0000-0000E0180000}"/>
    <cellStyle name="40% - Accent4 3 2 4" xfId="6765" xr:uid="{00000000-0005-0000-0000-0000E1180000}"/>
    <cellStyle name="40% - Accent4 3 2 4 2" xfId="6766" xr:uid="{00000000-0005-0000-0000-0000E2180000}"/>
    <cellStyle name="40% - Accent4 3 2 4 3" xfId="6767" xr:uid="{00000000-0005-0000-0000-0000E3180000}"/>
    <cellStyle name="40% - Accent4 3 2 5" xfId="6768" xr:uid="{00000000-0005-0000-0000-0000E4180000}"/>
    <cellStyle name="40% - Accent4 3 2 5 2" xfId="6769" xr:uid="{00000000-0005-0000-0000-0000E5180000}"/>
    <cellStyle name="40% - Accent4 3 2 5 3" xfId="6770" xr:uid="{00000000-0005-0000-0000-0000E6180000}"/>
    <cellStyle name="40% - Accent4 3 2 6" xfId="6771" xr:uid="{00000000-0005-0000-0000-0000E7180000}"/>
    <cellStyle name="40% - Accent4 3 2 7" xfId="6772" xr:uid="{00000000-0005-0000-0000-0000E8180000}"/>
    <cellStyle name="40% - Accent4 3 2 8" xfId="6773" xr:uid="{00000000-0005-0000-0000-0000E9180000}"/>
    <cellStyle name="40% - Accent4 3 2 9" xfId="6774" xr:uid="{00000000-0005-0000-0000-0000EA180000}"/>
    <cellStyle name="40% - Accent4 3 3" xfId="6775" xr:uid="{00000000-0005-0000-0000-0000EB180000}"/>
    <cellStyle name="40% - Accent4 3 3 2" xfId="6776" xr:uid="{00000000-0005-0000-0000-0000EC180000}"/>
    <cellStyle name="40% - Accent4 3 3 2 2" xfId="6777" xr:uid="{00000000-0005-0000-0000-0000ED180000}"/>
    <cellStyle name="40% - Accent4 3 3 2 3" xfId="6778" xr:uid="{00000000-0005-0000-0000-0000EE180000}"/>
    <cellStyle name="40% - Accent4 3 3 2 3 2" xfId="6779" xr:uid="{00000000-0005-0000-0000-0000EF180000}"/>
    <cellStyle name="40% - Accent4 3 3 3" xfId="6780" xr:uid="{00000000-0005-0000-0000-0000F0180000}"/>
    <cellStyle name="40% - Accent4 3 3 3 2" xfId="6781" xr:uid="{00000000-0005-0000-0000-0000F1180000}"/>
    <cellStyle name="40% - Accent4 3 3 3 3" xfId="6782" xr:uid="{00000000-0005-0000-0000-0000F2180000}"/>
    <cellStyle name="40% - Accent4 3 3 4" xfId="6783" xr:uid="{00000000-0005-0000-0000-0000F3180000}"/>
    <cellStyle name="40% - Accent4 3 3 4 2" xfId="6784" xr:uid="{00000000-0005-0000-0000-0000F4180000}"/>
    <cellStyle name="40% - Accent4 3 3 5" xfId="6785" xr:uid="{00000000-0005-0000-0000-0000F5180000}"/>
    <cellStyle name="40% - Accent4 3 3 6" xfId="6786" xr:uid="{00000000-0005-0000-0000-0000F6180000}"/>
    <cellStyle name="40% - Accent4 3 3 7" xfId="6787" xr:uid="{00000000-0005-0000-0000-0000F7180000}"/>
    <cellStyle name="40% - Accent4 3 3 8" xfId="6788" xr:uid="{00000000-0005-0000-0000-0000F8180000}"/>
    <cellStyle name="40% - Accent4 3 4" xfId="6789" xr:uid="{00000000-0005-0000-0000-0000F9180000}"/>
    <cellStyle name="40% - Accent4 3 4 2" xfId="6790" xr:uid="{00000000-0005-0000-0000-0000FA180000}"/>
    <cellStyle name="40% - Accent4 3 4 2 2" xfId="6791" xr:uid="{00000000-0005-0000-0000-0000FB180000}"/>
    <cellStyle name="40% - Accent4 3 4 2 3" xfId="6792" xr:uid="{00000000-0005-0000-0000-0000FC180000}"/>
    <cellStyle name="40% - Accent4 3 4 3" xfId="6793" xr:uid="{00000000-0005-0000-0000-0000FD180000}"/>
    <cellStyle name="40% - Accent4 3 4 3 2" xfId="6794" xr:uid="{00000000-0005-0000-0000-0000FE180000}"/>
    <cellStyle name="40% - Accent4 3 4 3 3" xfId="6795" xr:uid="{00000000-0005-0000-0000-0000FF180000}"/>
    <cellStyle name="40% - Accent4 3 4 4" xfId="6796" xr:uid="{00000000-0005-0000-0000-000000190000}"/>
    <cellStyle name="40% - Accent4 3 4 4 2" xfId="6797" xr:uid="{00000000-0005-0000-0000-000001190000}"/>
    <cellStyle name="40% - Accent4 3 4 5" xfId="6798" xr:uid="{00000000-0005-0000-0000-000002190000}"/>
    <cellStyle name="40% - Accent4 3 4 6" xfId="6799" xr:uid="{00000000-0005-0000-0000-000003190000}"/>
    <cellStyle name="40% - Accent4 3 4 7" xfId="6800" xr:uid="{00000000-0005-0000-0000-000004190000}"/>
    <cellStyle name="40% - Accent4 3 4 8" xfId="6801" xr:uid="{00000000-0005-0000-0000-000005190000}"/>
    <cellStyle name="40% - Accent4 3 5" xfId="6802" xr:uid="{00000000-0005-0000-0000-000006190000}"/>
    <cellStyle name="40% - Accent4 3 5 2" xfId="6803" xr:uid="{00000000-0005-0000-0000-000007190000}"/>
    <cellStyle name="40% - Accent4 3 5 2 2" xfId="6804" xr:uid="{00000000-0005-0000-0000-000008190000}"/>
    <cellStyle name="40% - Accent4 3 5 2 3" xfId="6805" xr:uid="{00000000-0005-0000-0000-000009190000}"/>
    <cellStyle name="40% - Accent4 3 5 3" xfId="6806" xr:uid="{00000000-0005-0000-0000-00000A190000}"/>
    <cellStyle name="40% - Accent4 3 5 3 2" xfId="6807" xr:uid="{00000000-0005-0000-0000-00000B190000}"/>
    <cellStyle name="40% - Accent4 3 5 4" xfId="6808" xr:uid="{00000000-0005-0000-0000-00000C190000}"/>
    <cellStyle name="40% - Accent4 3 5 5" xfId="6809" xr:uid="{00000000-0005-0000-0000-00000D190000}"/>
    <cellStyle name="40% - Accent4 3 5 6" xfId="6810" xr:uid="{00000000-0005-0000-0000-00000E190000}"/>
    <cellStyle name="40% - Accent4 3 5 7" xfId="6811" xr:uid="{00000000-0005-0000-0000-00000F190000}"/>
    <cellStyle name="40% - Accent4 3 5 8" xfId="6812" xr:uid="{00000000-0005-0000-0000-000010190000}"/>
    <cellStyle name="40% - Accent4 3 6" xfId="6813" xr:uid="{00000000-0005-0000-0000-000011190000}"/>
    <cellStyle name="40% - Accent4 3 6 2" xfId="6814" xr:uid="{00000000-0005-0000-0000-000012190000}"/>
    <cellStyle name="40% - Accent4 3 6 3" xfId="6815" xr:uid="{00000000-0005-0000-0000-000013190000}"/>
    <cellStyle name="40% - Accent4 3 7" xfId="6816" xr:uid="{00000000-0005-0000-0000-000014190000}"/>
    <cellStyle name="40% - Accent4 3 7 2" xfId="6817" xr:uid="{00000000-0005-0000-0000-000015190000}"/>
    <cellStyle name="40% - Accent4 3 7 3" xfId="6818" xr:uid="{00000000-0005-0000-0000-000016190000}"/>
    <cellStyle name="40% - Accent4 3 8" xfId="6819" xr:uid="{00000000-0005-0000-0000-000017190000}"/>
    <cellStyle name="40% - Accent4 3 8 2" xfId="6820" xr:uid="{00000000-0005-0000-0000-000018190000}"/>
    <cellStyle name="40% - Accent4 3 8 3" xfId="6821" xr:uid="{00000000-0005-0000-0000-000019190000}"/>
    <cellStyle name="40% - Accent4 3 9" xfId="6822" xr:uid="{00000000-0005-0000-0000-00001A190000}"/>
    <cellStyle name="40% - Accent4 3 9 2" xfId="6823" xr:uid="{00000000-0005-0000-0000-00001B190000}"/>
    <cellStyle name="40% - Accent4 3 9 3" xfId="6824" xr:uid="{00000000-0005-0000-0000-00001C190000}"/>
    <cellStyle name="40% - Accent4 4" xfId="6825" xr:uid="{00000000-0005-0000-0000-00001D190000}"/>
    <cellStyle name="40% - Accent4 4 10" xfId="6826" xr:uid="{00000000-0005-0000-0000-00001E190000}"/>
    <cellStyle name="40% - Accent4 4 11" xfId="6827" xr:uid="{00000000-0005-0000-0000-00001F190000}"/>
    <cellStyle name="40% - Accent4 4 12" xfId="6828" xr:uid="{00000000-0005-0000-0000-000020190000}"/>
    <cellStyle name="40% - Accent4 4 13" xfId="6829" xr:uid="{00000000-0005-0000-0000-000021190000}"/>
    <cellStyle name="40% - Accent4 4 2" xfId="6830" xr:uid="{00000000-0005-0000-0000-000022190000}"/>
    <cellStyle name="40% - Accent4 4 2 2" xfId="6831" xr:uid="{00000000-0005-0000-0000-000023190000}"/>
    <cellStyle name="40% - Accent4 4 2 2 2" xfId="6832" xr:uid="{00000000-0005-0000-0000-000024190000}"/>
    <cellStyle name="40% - Accent4 4 2 2 2 2" xfId="6833" xr:uid="{00000000-0005-0000-0000-000025190000}"/>
    <cellStyle name="40% - Accent4 4 2 2 2 2 2" xfId="6834" xr:uid="{00000000-0005-0000-0000-000026190000}"/>
    <cellStyle name="40% - Accent4 4 2 2 2 2 3" xfId="6835" xr:uid="{00000000-0005-0000-0000-000027190000}"/>
    <cellStyle name="40% - Accent4 4 2 2 2 3" xfId="6836" xr:uid="{00000000-0005-0000-0000-000028190000}"/>
    <cellStyle name="40% - Accent4 4 2 2 2 3 2" xfId="6837" xr:uid="{00000000-0005-0000-0000-000029190000}"/>
    <cellStyle name="40% - Accent4 4 2 2 2 3 3" xfId="6838" xr:uid="{00000000-0005-0000-0000-00002A190000}"/>
    <cellStyle name="40% - Accent4 4 2 2 2 4" xfId="6839" xr:uid="{00000000-0005-0000-0000-00002B190000}"/>
    <cellStyle name="40% - Accent4 4 2 2 2 5" xfId="6840" xr:uid="{00000000-0005-0000-0000-00002C190000}"/>
    <cellStyle name="40% - Accent4 4 2 2 2 6" xfId="6841" xr:uid="{00000000-0005-0000-0000-00002D190000}"/>
    <cellStyle name="40% - Accent4 4 2 2 2 7" xfId="6842" xr:uid="{00000000-0005-0000-0000-00002E190000}"/>
    <cellStyle name="40% - Accent4 4 2 2 2 8" xfId="6843" xr:uid="{00000000-0005-0000-0000-00002F190000}"/>
    <cellStyle name="40% - Accent4 4 2 2 3" xfId="6844" xr:uid="{00000000-0005-0000-0000-000030190000}"/>
    <cellStyle name="40% - Accent4 4 2 2 3 2" xfId="6845" xr:uid="{00000000-0005-0000-0000-000031190000}"/>
    <cellStyle name="40% - Accent4 4 2 2 3 3" xfId="6846" xr:uid="{00000000-0005-0000-0000-000032190000}"/>
    <cellStyle name="40% - Accent4 4 2 2 4" xfId="6847" xr:uid="{00000000-0005-0000-0000-000033190000}"/>
    <cellStyle name="40% - Accent4 4 2 2 4 2" xfId="6848" xr:uid="{00000000-0005-0000-0000-000034190000}"/>
    <cellStyle name="40% - Accent4 4 2 2 4 3" xfId="6849" xr:uid="{00000000-0005-0000-0000-000035190000}"/>
    <cellStyle name="40% - Accent4 4 2 2 5" xfId="6850" xr:uid="{00000000-0005-0000-0000-000036190000}"/>
    <cellStyle name="40% - Accent4 4 2 2 5 2" xfId="6851" xr:uid="{00000000-0005-0000-0000-000037190000}"/>
    <cellStyle name="40% - Accent4 4 2 2 6" xfId="6852" xr:uid="{00000000-0005-0000-0000-000038190000}"/>
    <cellStyle name="40% - Accent4 4 2 2 7" xfId="6853" xr:uid="{00000000-0005-0000-0000-000039190000}"/>
    <cellStyle name="40% - Accent4 4 2 2 8" xfId="6854" xr:uid="{00000000-0005-0000-0000-00003A190000}"/>
    <cellStyle name="40% - Accent4 4 2 2 9" xfId="6855" xr:uid="{00000000-0005-0000-0000-00003B190000}"/>
    <cellStyle name="40% - Accent4 4 2 3" xfId="6856" xr:uid="{00000000-0005-0000-0000-00003C190000}"/>
    <cellStyle name="40% - Accent4 4 2 3 2" xfId="6857" xr:uid="{00000000-0005-0000-0000-00003D190000}"/>
    <cellStyle name="40% - Accent4 4 2 3 2 2" xfId="6858" xr:uid="{00000000-0005-0000-0000-00003E190000}"/>
    <cellStyle name="40% - Accent4 4 2 3 2 3" xfId="6859" xr:uid="{00000000-0005-0000-0000-00003F190000}"/>
    <cellStyle name="40% - Accent4 4 2 3 3" xfId="6860" xr:uid="{00000000-0005-0000-0000-000040190000}"/>
    <cellStyle name="40% - Accent4 4 2 3 3 2" xfId="6861" xr:uid="{00000000-0005-0000-0000-000041190000}"/>
    <cellStyle name="40% - Accent4 4 2 3 4" xfId="6862" xr:uid="{00000000-0005-0000-0000-000042190000}"/>
    <cellStyle name="40% - Accent4 4 2 4" xfId="6863" xr:uid="{00000000-0005-0000-0000-000043190000}"/>
    <cellStyle name="40% - Accent4 4 2 4 2" xfId="6864" xr:uid="{00000000-0005-0000-0000-000044190000}"/>
    <cellStyle name="40% - Accent4 4 2 4 3" xfId="6865" xr:uid="{00000000-0005-0000-0000-000045190000}"/>
    <cellStyle name="40% - Accent4 4 2 5" xfId="6866" xr:uid="{00000000-0005-0000-0000-000046190000}"/>
    <cellStyle name="40% - Accent4 4 2 5 2" xfId="6867" xr:uid="{00000000-0005-0000-0000-000047190000}"/>
    <cellStyle name="40% - Accent4 4 2 5 3" xfId="6868" xr:uid="{00000000-0005-0000-0000-000048190000}"/>
    <cellStyle name="40% - Accent4 4 2 6" xfId="6869" xr:uid="{00000000-0005-0000-0000-000049190000}"/>
    <cellStyle name="40% - Accent4 4 2 7" xfId="6870" xr:uid="{00000000-0005-0000-0000-00004A190000}"/>
    <cellStyle name="40% - Accent4 4 2 8" xfId="6871" xr:uid="{00000000-0005-0000-0000-00004B190000}"/>
    <cellStyle name="40% - Accent4 4 2 9" xfId="6872" xr:uid="{00000000-0005-0000-0000-00004C190000}"/>
    <cellStyle name="40% - Accent4 4 3" xfId="6873" xr:uid="{00000000-0005-0000-0000-00004D190000}"/>
    <cellStyle name="40% - Accent4 4 3 2" xfId="6874" xr:uid="{00000000-0005-0000-0000-00004E190000}"/>
    <cellStyle name="40% - Accent4 4 3 2 2" xfId="6875" xr:uid="{00000000-0005-0000-0000-00004F190000}"/>
    <cellStyle name="40% - Accent4 4 3 2 3" xfId="6876" xr:uid="{00000000-0005-0000-0000-000050190000}"/>
    <cellStyle name="40% - Accent4 4 3 3" xfId="6877" xr:uid="{00000000-0005-0000-0000-000051190000}"/>
    <cellStyle name="40% - Accent4 4 3 3 2" xfId="6878" xr:uid="{00000000-0005-0000-0000-000052190000}"/>
    <cellStyle name="40% - Accent4 4 3 3 3" xfId="6879" xr:uid="{00000000-0005-0000-0000-000053190000}"/>
    <cellStyle name="40% - Accent4 4 3 4" xfId="6880" xr:uid="{00000000-0005-0000-0000-000054190000}"/>
    <cellStyle name="40% - Accent4 4 3 4 2" xfId="6881" xr:uid="{00000000-0005-0000-0000-000055190000}"/>
    <cellStyle name="40% - Accent4 4 3 5" xfId="6882" xr:uid="{00000000-0005-0000-0000-000056190000}"/>
    <cellStyle name="40% - Accent4 4 3 6" xfId="6883" xr:uid="{00000000-0005-0000-0000-000057190000}"/>
    <cellStyle name="40% - Accent4 4 3 7" xfId="6884" xr:uid="{00000000-0005-0000-0000-000058190000}"/>
    <cellStyle name="40% - Accent4 4 3 8" xfId="6885" xr:uid="{00000000-0005-0000-0000-000059190000}"/>
    <cellStyle name="40% - Accent4 4 4" xfId="6886" xr:uid="{00000000-0005-0000-0000-00005A190000}"/>
    <cellStyle name="40% - Accent4 4 4 2" xfId="6887" xr:uid="{00000000-0005-0000-0000-00005B190000}"/>
    <cellStyle name="40% - Accent4 4 4 2 2" xfId="6888" xr:uid="{00000000-0005-0000-0000-00005C190000}"/>
    <cellStyle name="40% - Accent4 4 4 2 3" xfId="6889" xr:uid="{00000000-0005-0000-0000-00005D190000}"/>
    <cellStyle name="40% - Accent4 4 4 3" xfId="6890" xr:uid="{00000000-0005-0000-0000-00005E190000}"/>
    <cellStyle name="40% - Accent4 4 4 3 2" xfId="6891" xr:uid="{00000000-0005-0000-0000-00005F190000}"/>
    <cellStyle name="40% - Accent4 4 4 3 3" xfId="6892" xr:uid="{00000000-0005-0000-0000-000060190000}"/>
    <cellStyle name="40% - Accent4 4 4 4" xfId="6893" xr:uid="{00000000-0005-0000-0000-000061190000}"/>
    <cellStyle name="40% - Accent4 4 4 5" xfId="6894" xr:uid="{00000000-0005-0000-0000-000062190000}"/>
    <cellStyle name="40% - Accent4 4 4 6" xfId="6895" xr:uid="{00000000-0005-0000-0000-000063190000}"/>
    <cellStyle name="40% - Accent4 4 4 7" xfId="6896" xr:uid="{00000000-0005-0000-0000-000064190000}"/>
    <cellStyle name="40% - Accent4 4 4 8" xfId="6897" xr:uid="{00000000-0005-0000-0000-000065190000}"/>
    <cellStyle name="40% - Accent4 4 5" xfId="6898" xr:uid="{00000000-0005-0000-0000-000066190000}"/>
    <cellStyle name="40% - Accent4 4 5 2" xfId="6899" xr:uid="{00000000-0005-0000-0000-000067190000}"/>
    <cellStyle name="40% - Accent4 4 5 2 2" xfId="6900" xr:uid="{00000000-0005-0000-0000-000068190000}"/>
    <cellStyle name="40% - Accent4 4 5 2 3" xfId="6901" xr:uid="{00000000-0005-0000-0000-000069190000}"/>
    <cellStyle name="40% - Accent4 4 5 3" xfId="6902" xr:uid="{00000000-0005-0000-0000-00006A190000}"/>
    <cellStyle name="40% - Accent4 4 5 3 2" xfId="6903" xr:uid="{00000000-0005-0000-0000-00006B190000}"/>
    <cellStyle name="40% - Accent4 4 5 4" xfId="6904" xr:uid="{00000000-0005-0000-0000-00006C190000}"/>
    <cellStyle name="40% - Accent4 4 6" xfId="6905" xr:uid="{00000000-0005-0000-0000-00006D190000}"/>
    <cellStyle name="40% - Accent4 4 6 2" xfId="6906" xr:uid="{00000000-0005-0000-0000-00006E190000}"/>
    <cellStyle name="40% - Accent4 4 6 3" xfId="6907" xr:uid="{00000000-0005-0000-0000-00006F190000}"/>
    <cellStyle name="40% - Accent4 4 7" xfId="6908" xr:uid="{00000000-0005-0000-0000-000070190000}"/>
    <cellStyle name="40% - Accent4 4 7 2" xfId="6909" xr:uid="{00000000-0005-0000-0000-000071190000}"/>
    <cellStyle name="40% - Accent4 4 7 3" xfId="6910" xr:uid="{00000000-0005-0000-0000-000072190000}"/>
    <cellStyle name="40% - Accent4 4 8" xfId="6911" xr:uid="{00000000-0005-0000-0000-000073190000}"/>
    <cellStyle name="40% - Accent4 4 8 2" xfId="6912" xr:uid="{00000000-0005-0000-0000-000074190000}"/>
    <cellStyle name="40% - Accent4 4 8 3" xfId="6913" xr:uid="{00000000-0005-0000-0000-000075190000}"/>
    <cellStyle name="40% - Accent4 4 9" xfId="6914" xr:uid="{00000000-0005-0000-0000-000076190000}"/>
    <cellStyle name="40% - Accent4 5" xfId="6915" xr:uid="{00000000-0005-0000-0000-000077190000}"/>
    <cellStyle name="40% - Accent4 5 10" xfId="6916" xr:uid="{00000000-0005-0000-0000-000078190000}"/>
    <cellStyle name="40% - Accent4 5 11" xfId="6917" xr:uid="{00000000-0005-0000-0000-000079190000}"/>
    <cellStyle name="40% - Accent4 5 12" xfId="6918" xr:uid="{00000000-0005-0000-0000-00007A190000}"/>
    <cellStyle name="40% - Accent4 5 2" xfId="6919" xr:uid="{00000000-0005-0000-0000-00007B190000}"/>
    <cellStyle name="40% - Accent4 5 2 2" xfId="6920" xr:uid="{00000000-0005-0000-0000-00007C190000}"/>
    <cellStyle name="40% - Accent4 5 2 2 2" xfId="6921" xr:uid="{00000000-0005-0000-0000-00007D190000}"/>
    <cellStyle name="40% - Accent4 5 2 2 2 2" xfId="6922" xr:uid="{00000000-0005-0000-0000-00007E190000}"/>
    <cellStyle name="40% - Accent4 5 2 2 2 2 2" xfId="6923" xr:uid="{00000000-0005-0000-0000-00007F190000}"/>
    <cellStyle name="40% - Accent4 5 2 2 2 2 3" xfId="6924" xr:uid="{00000000-0005-0000-0000-000080190000}"/>
    <cellStyle name="40% - Accent4 5 2 2 2 3" xfId="6925" xr:uid="{00000000-0005-0000-0000-000081190000}"/>
    <cellStyle name="40% - Accent4 5 2 2 2 3 2" xfId="6926" xr:uid="{00000000-0005-0000-0000-000082190000}"/>
    <cellStyle name="40% - Accent4 5 2 2 2 3 3" xfId="6927" xr:uid="{00000000-0005-0000-0000-000083190000}"/>
    <cellStyle name="40% - Accent4 5 2 2 2 4" xfId="6928" xr:uid="{00000000-0005-0000-0000-000084190000}"/>
    <cellStyle name="40% - Accent4 5 2 2 2 5" xfId="6929" xr:uid="{00000000-0005-0000-0000-000085190000}"/>
    <cellStyle name="40% - Accent4 5 2 2 2 6" xfId="6930" xr:uid="{00000000-0005-0000-0000-000086190000}"/>
    <cellStyle name="40% - Accent4 5 2 2 2 7" xfId="6931" xr:uid="{00000000-0005-0000-0000-000087190000}"/>
    <cellStyle name="40% - Accent4 5 2 2 2 8" xfId="6932" xr:uid="{00000000-0005-0000-0000-000088190000}"/>
    <cellStyle name="40% - Accent4 5 2 2 3" xfId="6933" xr:uid="{00000000-0005-0000-0000-000089190000}"/>
    <cellStyle name="40% - Accent4 5 2 2 3 2" xfId="6934" xr:uid="{00000000-0005-0000-0000-00008A190000}"/>
    <cellStyle name="40% - Accent4 5 2 2 3 3" xfId="6935" xr:uid="{00000000-0005-0000-0000-00008B190000}"/>
    <cellStyle name="40% - Accent4 5 2 2 4" xfId="6936" xr:uid="{00000000-0005-0000-0000-00008C190000}"/>
    <cellStyle name="40% - Accent4 5 2 2 4 2" xfId="6937" xr:uid="{00000000-0005-0000-0000-00008D190000}"/>
    <cellStyle name="40% - Accent4 5 2 2 4 3" xfId="6938" xr:uid="{00000000-0005-0000-0000-00008E190000}"/>
    <cellStyle name="40% - Accent4 5 2 2 5" xfId="6939" xr:uid="{00000000-0005-0000-0000-00008F190000}"/>
    <cellStyle name="40% - Accent4 5 2 2 5 2" xfId="6940" xr:uid="{00000000-0005-0000-0000-000090190000}"/>
    <cellStyle name="40% - Accent4 5 2 2 6" xfId="6941" xr:uid="{00000000-0005-0000-0000-000091190000}"/>
    <cellStyle name="40% - Accent4 5 2 2 7" xfId="6942" xr:uid="{00000000-0005-0000-0000-000092190000}"/>
    <cellStyle name="40% - Accent4 5 2 2 8" xfId="6943" xr:uid="{00000000-0005-0000-0000-000093190000}"/>
    <cellStyle name="40% - Accent4 5 2 2 9" xfId="6944" xr:uid="{00000000-0005-0000-0000-000094190000}"/>
    <cellStyle name="40% - Accent4 5 2 3" xfId="6945" xr:uid="{00000000-0005-0000-0000-000095190000}"/>
    <cellStyle name="40% - Accent4 5 2 3 2" xfId="6946" xr:uid="{00000000-0005-0000-0000-000096190000}"/>
    <cellStyle name="40% - Accent4 5 2 3 2 2" xfId="6947" xr:uid="{00000000-0005-0000-0000-000097190000}"/>
    <cellStyle name="40% - Accent4 5 2 3 2 3" xfId="6948" xr:uid="{00000000-0005-0000-0000-000098190000}"/>
    <cellStyle name="40% - Accent4 5 2 3 3" xfId="6949" xr:uid="{00000000-0005-0000-0000-000099190000}"/>
    <cellStyle name="40% - Accent4 5 2 3 3 2" xfId="6950" xr:uid="{00000000-0005-0000-0000-00009A190000}"/>
    <cellStyle name="40% - Accent4 5 2 3 4" xfId="6951" xr:uid="{00000000-0005-0000-0000-00009B190000}"/>
    <cellStyle name="40% - Accent4 5 2 4" xfId="6952" xr:uid="{00000000-0005-0000-0000-00009C190000}"/>
    <cellStyle name="40% - Accent4 5 2 5" xfId="6953" xr:uid="{00000000-0005-0000-0000-00009D190000}"/>
    <cellStyle name="40% - Accent4 5 2_Dec monthly report" xfId="6954" xr:uid="{00000000-0005-0000-0000-00009E190000}"/>
    <cellStyle name="40% - Accent4 5 3" xfId="6955" xr:uid="{00000000-0005-0000-0000-00009F190000}"/>
    <cellStyle name="40% - Accent4 5 3 2" xfId="6956" xr:uid="{00000000-0005-0000-0000-0000A0190000}"/>
    <cellStyle name="40% - Accent4 5 3 2 2" xfId="6957" xr:uid="{00000000-0005-0000-0000-0000A1190000}"/>
    <cellStyle name="40% - Accent4 5 3 2 3" xfId="6958" xr:uid="{00000000-0005-0000-0000-0000A2190000}"/>
    <cellStyle name="40% - Accent4 5 3 3" xfId="6959" xr:uid="{00000000-0005-0000-0000-0000A3190000}"/>
    <cellStyle name="40% - Accent4 5 3 3 2" xfId="6960" xr:uid="{00000000-0005-0000-0000-0000A4190000}"/>
    <cellStyle name="40% - Accent4 5 3 3 3" xfId="6961" xr:uid="{00000000-0005-0000-0000-0000A5190000}"/>
    <cellStyle name="40% - Accent4 5 3 4" xfId="6962" xr:uid="{00000000-0005-0000-0000-0000A6190000}"/>
    <cellStyle name="40% - Accent4 5 3 4 2" xfId="6963" xr:uid="{00000000-0005-0000-0000-0000A7190000}"/>
    <cellStyle name="40% - Accent4 5 3 5" xfId="6964" xr:uid="{00000000-0005-0000-0000-0000A8190000}"/>
    <cellStyle name="40% - Accent4 5 3 6" xfId="6965" xr:uid="{00000000-0005-0000-0000-0000A9190000}"/>
    <cellStyle name="40% - Accent4 5 3 7" xfId="6966" xr:uid="{00000000-0005-0000-0000-0000AA190000}"/>
    <cellStyle name="40% - Accent4 5 3 8" xfId="6967" xr:uid="{00000000-0005-0000-0000-0000AB190000}"/>
    <cellStyle name="40% - Accent4 5 4" xfId="6968" xr:uid="{00000000-0005-0000-0000-0000AC190000}"/>
    <cellStyle name="40% - Accent4 5 4 2" xfId="6969" xr:uid="{00000000-0005-0000-0000-0000AD190000}"/>
    <cellStyle name="40% - Accent4 5 4 2 2" xfId="6970" xr:uid="{00000000-0005-0000-0000-0000AE190000}"/>
    <cellStyle name="40% - Accent4 5 4 2 3" xfId="6971" xr:uid="{00000000-0005-0000-0000-0000AF190000}"/>
    <cellStyle name="40% - Accent4 5 4 3" xfId="6972" xr:uid="{00000000-0005-0000-0000-0000B0190000}"/>
    <cellStyle name="40% - Accent4 5 4 3 2" xfId="6973" xr:uid="{00000000-0005-0000-0000-0000B1190000}"/>
    <cellStyle name="40% - Accent4 5 4 3 3" xfId="6974" xr:uid="{00000000-0005-0000-0000-0000B2190000}"/>
    <cellStyle name="40% - Accent4 5 4 4" xfId="6975" xr:uid="{00000000-0005-0000-0000-0000B3190000}"/>
    <cellStyle name="40% - Accent4 5 4 5" xfId="6976" xr:uid="{00000000-0005-0000-0000-0000B4190000}"/>
    <cellStyle name="40% - Accent4 5 4 6" xfId="6977" xr:uid="{00000000-0005-0000-0000-0000B5190000}"/>
    <cellStyle name="40% - Accent4 5 4 7" xfId="6978" xr:uid="{00000000-0005-0000-0000-0000B6190000}"/>
    <cellStyle name="40% - Accent4 5 4 8" xfId="6979" xr:uid="{00000000-0005-0000-0000-0000B7190000}"/>
    <cellStyle name="40% - Accent4 5 5" xfId="6980" xr:uid="{00000000-0005-0000-0000-0000B8190000}"/>
    <cellStyle name="40% - Accent4 5 5 2" xfId="6981" xr:uid="{00000000-0005-0000-0000-0000B9190000}"/>
    <cellStyle name="40% - Accent4 5 5 3" xfId="6982" xr:uid="{00000000-0005-0000-0000-0000BA190000}"/>
    <cellStyle name="40% - Accent4 5 6" xfId="6983" xr:uid="{00000000-0005-0000-0000-0000BB190000}"/>
    <cellStyle name="40% - Accent4 5 6 2" xfId="6984" xr:uid="{00000000-0005-0000-0000-0000BC190000}"/>
    <cellStyle name="40% - Accent4 5 6 3" xfId="6985" xr:uid="{00000000-0005-0000-0000-0000BD190000}"/>
    <cellStyle name="40% - Accent4 5 7" xfId="6986" xr:uid="{00000000-0005-0000-0000-0000BE190000}"/>
    <cellStyle name="40% - Accent4 5 7 2" xfId="6987" xr:uid="{00000000-0005-0000-0000-0000BF190000}"/>
    <cellStyle name="40% - Accent4 5 7 3" xfId="6988" xr:uid="{00000000-0005-0000-0000-0000C0190000}"/>
    <cellStyle name="40% - Accent4 5 8" xfId="6989" xr:uid="{00000000-0005-0000-0000-0000C1190000}"/>
    <cellStyle name="40% - Accent4 5 9" xfId="6990" xr:uid="{00000000-0005-0000-0000-0000C2190000}"/>
    <cellStyle name="40% - Accent4 6" xfId="6991" xr:uid="{00000000-0005-0000-0000-0000C3190000}"/>
    <cellStyle name="40% - Accent4 6 2" xfId="6992" xr:uid="{00000000-0005-0000-0000-0000C4190000}"/>
    <cellStyle name="40% - Accent4 6 2 2" xfId="6993" xr:uid="{00000000-0005-0000-0000-0000C5190000}"/>
    <cellStyle name="40% - Accent4 6 2 2 2" xfId="6994" xr:uid="{00000000-0005-0000-0000-0000C6190000}"/>
    <cellStyle name="40% - Accent4 6 2 2 2 2" xfId="6995" xr:uid="{00000000-0005-0000-0000-0000C7190000}"/>
    <cellStyle name="40% - Accent4 6 2 2 2 3" xfId="6996" xr:uid="{00000000-0005-0000-0000-0000C8190000}"/>
    <cellStyle name="40% - Accent4 6 2 2 3" xfId="6997" xr:uid="{00000000-0005-0000-0000-0000C9190000}"/>
    <cellStyle name="40% - Accent4 6 2 2 3 2" xfId="6998" xr:uid="{00000000-0005-0000-0000-0000CA190000}"/>
    <cellStyle name="40% - Accent4 6 2 2 3 3" xfId="6999" xr:uid="{00000000-0005-0000-0000-0000CB190000}"/>
    <cellStyle name="40% - Accent4 6 2 2 4" xfId="7000" xr:uid="{00000000-0005-0000-0000-0000CC190000}"/>
    <cellStyle name="40% - Accent4 6 2 2 5" xfId="7001" xr:uid="{00000000-0005-0000-0000-0000CD190000}"/>
    <cellStyle name="40% - Accent4 6 2 2 6" xfId="7002" xr:uid="{00000000-0005-0000-0000-0000CE190000}"/>
    <cellStyle name="40% - Accent4 6 2 2 7" xfId="7003" xr:uid="{00000000-0005-0000-0000-0000CF190000}"/>
    <cellStyle name="40% - Accent4 6 2 2 8" xfId="7004" xr:uid="{00000000-0005-0000-0000-0000D0190000}"/>
    <cellStyle name="40% - Accent4 6 2 3" xfId="7005" xr:uid="{00000000-0005-0000-0000-0000D1190000}"/>
    <cellStyle name="40% - Accent4 6 2 3 2" xfId="7006" xr:uid="{00000000-0005-0000-0000-0000D2190000}"/>
    <cellStyle name="40% - Accent4 6 2 3 3" xfId="7007" xr:uid="{00000000-0005-0000-0000-0000D3190000}"/>
    <cellStyle name="40% - Accent4 6 2 4" xfId="7008" xr:uid="{00000000-0005-0000-0000-0000D4190000}"/>
    <cellStyle name="40% - Accent4 6 2 4 2" xfId="7009" xr:uid="{00000000-0005-0000-0000-0000D5190000}"/>
    <cellStyle name="40% - Accent4 6 2 4 3" xfId="7010" xr:uid="{00000000-0005-0000-0000-0000D6190000}"/>
    <cellStyle name="40% - Accent4 6 2 5" xfId="7011" xr:uid="{00000000-0005-0000-0000-0000D7190000}"/>
    <cellStyle name="40% - Accent4 6 2 5 2" xfId="7012" xr:uid="{00000000-0005-0000-0000-0000D8190000}"/>
    <cellStyle name="40% - Accent4 6 2 6" xfId="7013" xr:uid="{00000000-0005-0000-0000-0000D9190000}"/>
    <cellStyle name="40% - Accent4 6 2 7" xfId="7014" xr:uid="{00000000-0005-0000-0000-0000DA190000}"/>
    <cellStyle name="40% - Accent4 6 2 8" xfId="7015" xr:uid="{00000000-0005-0000-0000-0000DB190000}"/>
    <cellStyle name="40% - Accent4 6 2 9" xfId="7016" xr:uid="{00000000-0005-0000-0000-0000DC190000}"/>
    <cellStyle name="40% - Accent4 6 3" xfId="7017" xr:uid="{00000000-0005-0000-0000-0000DD190000}"/>
    <cellStyle name="40% - Accent4 6 3 2" xfId="7018" xr:uid="{00000000-0005-0000-0000-0000DE190000}"/>
    <cellStyle name="40% - Accent4 6 3 2 2" xfId="7019" xr:uid="{00000000-0005-0000-0000-0000DF190000}"/>
    <cellStyle name="40% - Accent4 6 3 2 3" xfId="7020" xr:uid="{00000000-0005-0000-0000-0000E0190000}"/>
    <cellStyle name="40% - Accent4 6 3 3" xfId="7021" xr:uid="{00000000-0005-0000-0000-0000E1190000}"/>
    <cellStyle name="40% - Accent4 6 3 3 2" xfId="7022" xr:uid="{00000000-0005-0000-0000-0000E2190000}"/>
    <cellStyle name="40% - Accent4 6 3 4" xfId="7023" xr:uid="{00000000-0005-0000-0000-0000E3190000}"/>
    <cellStyle name="40% - Accent4 6 4" xfId="7024" xr:uid="{00000000-0005-0000-0000-0000E4190000}"/>
    <cellStyle name="40% - Accent4 6 5" xfId="7025" xr:uid="{00000000-0005-0000-0000-0000E5190000}"/>
    <cellStyle name="40% - Accent4 6_Dec monthly report" xfId="7026" xr:uid="{00000000-0005-0000-0000-0000E6190000}"/>
    <cellStyle name="40% - Accent4 7" xfId="7027" xr:uid="{00000000-0005-0000-0000-0000E7190000}"/>
    <cellStyle name="40% - Accent4 7 2" xfId="7028" xr:uid="{00000000-0005-0000-0000-0000E8190000}"/>
    <cellStyle name="40% - Accent4 7 3" xfId="7029" xr:uid="{00000000-0005-0000-0000-0000E9190000}"/>
    <cellStyle name="40% - Accent4 7 4" xfId="7030" xr:uid="{00000000-0005-0000-0000-0000EA190000}"/>
    <cellStyle name="40% - Accent4 8" xfId="7031" xr:uid="{00000000-0005-0000-0000-0000EB190000}"/>
    <cellStyle name="40% - Accent4 8 2" xfId="7032" xr:uid="{00000000-0005-0000-0000-0000EC190000}"/>
    <cellStyle name="40% - Accent4 8 2 2" xfId="7033" xr:uid="{00000000-0005-0000-0000-0000ED190000}"/>
    <cellStyle name="40% - Accent4 8 2 3" xfId="7034" xr:uid="{00000000-0005-0000-0000-0000EE190000}"/>
    <cellStyle name="40% - Accent4 8 2 3 2" xfId="7035" xr:uid="{00000000-0005-0000-0000-0000EF190000}"/>
    <cellStyle name="40% - Accent4 8 3" xfId="7036" xr:uid="{00000000-0005-0000-0000-0000F0190000}"/>
    <cellStyle name="40% - Accent4 8 3 2" xfId="7037" xr:uid="{00000000-0005-0000-0000-0000F1190000}"/>
    <cellStyle name="40% - Accent4 8 3 3" xfId="7038" xr:uid="{00000000-0005-0000-0000-0000F2190000}"/>
    <cellStyle name="40% - Accent4 8 4" xfId="7039" xr:uid="{00000000-0005-0000-0000-0000F3190000}"/>
    <cellStyle name="40% - Accent4 8 4 2" xfId="7040" xr:uid="{00000000-0005-0000-0000-0000F4190000}"/>
    <cellStyle name="40% - Accent4 8 5" xfId="7041" xr:uid="{00000000-0005-0000-0000-0000F5190000}"/>
    <cellStyle name="40% - Accent4 8 6" xfId="7042" xr:uid="{00000000-0005-0000-0000-0000F6190000}"/>
    <cellStyle name="40% - Accent4 8 7" xfId="7043" xr:uid="{00000000-0005-0000-0000-0000F7190000}"/>
    <cellStyle name="40% - Accent4 8 8" xfId="7044" xr:uid="{00000000-0005-0000-0000-0000F8190000}"/>
    <cellStyle name="40% - Accent4 9" xfId="7045" xr:uid="{00000000-0005-0000-0000-0000F9190000}"/>
    <cellStyle name="40% - Accent4 9 2" xfId="7046" xr:uid="{00000000-0005-0000-0000-0000FA190000}"/>
    <cellStyle name="40% - Accent4 9 2 2" xfId="7047" xr:uid="{00000000-0005-0000-0000-0000FB190000}"/>
    <cellStyle name="40% - Accent4 9 2 3" xfId="7048" xr:uid="{00000000-0005-0000-0000-0000FC190000}"/>
    <cellStyle name="40% - Accent4 9 3" xfId="7049" xr:uid="{00000000-0005-0000-0000-0000FD190000}"/>
    <cellStyle name="40% - Accent4 9 3 2" xfId="7050" xr:uid="{00000000-0005-0000-0000-0000FE190000}"/>
    <cellStyle name="40% - Accent4 9 3 3" xfId="7051" xr:uid="{00000000-0005-0000-0000-0000FF190000}"/>
    <cellStyle name="40% - Accent4 9 4" xfId="7052" xr:uid="{00000000-0005-0000-0000-0000001A0000}"/>
    <cellStyle name="40% - Accent4 9 4 2" xfId="7053" xr:uid="{00000000-0005-0000-0000-0000011A0000}"/>
    <cellStyle name="40% - Accent4 9 5" xfId="7054" xr:uid="{00000000-0005-0000-0000-0000021A0000}"/>
    <cellStyle name="40% - Accent4 9 6" xfId="7055" xr:uid="{00000000-0005-0000-0000-0000031A0000}"/>
    <cellStyle name="40% - Accent4 9 7" xfId="7056" xr:uid="{00000000-0005-0000-0000-0000041A0000}"/>
    <cellStyle name="40% - Accent4 9 8" xfId="7057" xr:uid="{00000000-0005-0000-0000-0000051A0000}"/>
    <cellStyle name="40% - Accent5 10" xfId="7058" xr:uid="{00000000-0005-0000-0000-0000061A0000}"/>
    <cellStyle name="40% - Accent5 10 2" xfId="7059" xr:uid="{00000000-0005-0000-0000-0000071A0000}"/>
    <cellStyle name="40% - Accent5 10 2 2" xfId="7060" xr:uid="{00000000-0005-0000-0000-0000081A0000}"/>
    <cellStyle name="40% - Accent5 10 2 3" xfId="7061" xr:uid="{00000000-0005-0000-0000-0000091A0000}"/>
    <cellStyle name="40% - Accent5 10 3" xfId="7062" xr:uid="{00000000-0005-0000-0000-00000A1A0000}"/>
    <cellStyle name="40% - Accent5 10 4" xfId="7063" xr:uid="{00000000-0005-0000-0000-00000B1A0000}"/>
    <cellStyle name="40% - Accent5 10 4 2" xfId="7064" xr:uid="{00000000-0005-0000-0000-00000C1A0000}"/>
    <cellStyle name="40% - Accent5 10 5" xfId="7065" xr:uid="{00000000-0005-0000-0000-00000D1A0000}"/>
    <cellStyle name="40% - Accent5 11" xfId="7066" xr:uid="{00000000-0005-0000-0000-00000E1A0000}"/>
    <cellStyle name="40% - Accent5 11 2" xfId="7067" xr:uid="{00000000-0005-0000-0000-00000F1A0000}"/>
    <cellStyle name="40% - Accent5 11 3" xfId="7068" xr:uid="{00000000-0005-0000-0000-0000101A0000}"/>
    <cellStyle name="40% - Accent5 11 3 2" xfId="7069" xr:uid="{00000000-0005-0000-0000-0000111A0000}"/>
    <cellStyle name="40% - Accent5 12" xfId="7070" xr:uid="{00000000-0005-0000-0000-0000121A0000}"/>
    <cellStyle name="40% - Accent5 12 2" xfId="7071" xr:uid="{00000000-0005-0000-0000-0000131A0000}"/>
    <cellStyle name="40% - Accent5 12 3" xfId="7072" xr:uid="{00000000-0005-0000-0000-0000141A0000}"/>
    <cellStyle name="40% - Accent5 13" xfId="7073" xr:uid="{00000000-0005-0000-0000-0000151A0000}"/>
    <cellStyle name="40% - Accent5 13 2" xfId="7074" xr:uid="{00000000-0005-0000-0000-0000161A0000}"/>
    <cellStyle name="40% - Accent5 13 3" xfId="7075" xr:uid="{00000000-0005-0000-0000-0000171A0000}"/>
    <cellStyle name="40% - Accent5 14" xfId="7076" xr:uid="{00000000-0005-0000-0000-0000181A0000}"/>
    <cellStyle name="40% - Accent5 14 2" xfId="7077" xr:uid="{00000000-0005-0000-0000-0000191A0000}"/>
    <cellStyle name="40% - Accent5 14 3" xfId="7078" xr:uid="{00000000-0005-0000-0000-00001A1A0000}"/>
    <cellStyle name="40% - Accent5 15" xfId="7079" xr:uid="{00000000-0005-0000-0000-00001B1A0000}"/>
    <cellStyle name="40% - Accent5 15 2" xfId="7080" xr:uid="{00000000-0005-0000-0000-00001C1A0000}"/>
    <cellStyle name="40% - Accent5 15 3" xfId="7081" xr:uid="{00000000-0005-0000-0000-00001D1A0000}"/>
    <cellStyle name="40% - Accent5 16" xfId="7082" xr:uid="{00000000-0005-0000-0000-00001E1A0000}"/>
    <cellStyle name="40% - Accent5 16 2" xfId="7083" xr:uid="{00000000-0005-0000-0000-00001F1A0000}"/>
    <cellStyle name="40% - Accent5 16 3" xfId="7084" xr:uid="{00000000-0005-0000-0000-0000201A0000}"/>
    <cellStyle name="40% - Accent5 17" xfId="7085" xr:uid="{00000000-0005-0000-0000-0000211A0000}"/>
    <cellStyle name="40% - Accent5 17 2" xfId="7086" xr:uid="{00000000-0005-0000-0000-0000221A0000}"/>
    <cellStyle name="40% - Accent5 17 3" xfId="7087" xr:uid="{00000000-0005-0000-0000-0000231A0000}"/>
    <cellStyle name="40% - Accent5 18" xfId="7088" xr:uid="{00000000-0005-0000-0000-0000241A0000}"/>
    <cellStyle name="40% - Accent5 18 2" xfId="7089" xr:uid="{00000000-0005-0000-0000-0000251A0000}"/>
    <cellStyle name="40% - Accent5 18 3" xfId="7090" xr:uid="{00000000-0005-0000-0000-0000261A0000}"/>
    <cellStyle name="40% - Accent5 19" xfId="7091" xr:uid="{00000000-0005-0000-0000-0000271A0000}"/>
    <cellStyle name="40% - Accent5 19 2" xfId="7092" xr:uid="{00000000-0005-0000-0000-0000281A0000}"/>
    <cellStyle name="40% - Accent5 19 3" xfId="7093" xr:uid="{00000000-0005-0000-0000-0000291A0000}"/>
    <cellStyle name="40% - Accent5 2" xfId="7094" xr:uid="{00000000-0005-0000-0000-00002A1A0000}"/>
    <cellStyle name="40% - Accent5 2 10" xfId="7095" xr:uid="{00000000-0005-0000-0000-00002B1A0000}"/>
    <cellStyle name="40% - Accent5 2 10 2" xfId="7096" xr:uid="{00000000-0005-0000-0000-00002C1A0000}"/>
    <cellStyle name="40% - Accent5 2 10 3" xfId="7097" xr:uid="{00000000-0005-0000-0000-00002D1A0000}"/>
    <cellStyle name="40% - Accent5 2 11" xfId="7098" xr:uid="{00000000-0005-0000-0000-00002E1A0000}"/>
    <cellStyle name="40% - Accent5 2 11 2" xfId="7099" xr:uid="{00000000-0005-0000-0000-00002F1A0000}"/>
    <cellStyle name="40% - Accent5 2 11 3" xfId="7100" xr:uid="{00000000-0005-0000-0000-0000301A0000}"/>
    <cellStyle name="40% - Accent5 2 12" xfId="7101" xr:uid="{00000000-0005-0000-0000-0000311A0000}"/>
    <cellStyle name="40% - Accent5 2 12 2" xfId="7102" xr:uid="{00000000-0005-0000-0000-0000321A0000}"/>
    <cellStyle name="40% - Accent5 2 12 3" xfId="7103" xr:uid="{00000000-0005-0000-0000-0000331A0000}"/>
    <cellStyle name="40% - Accent5 2 13" xfId="7104" xr:uid="{00000000-0005-0000-0000-0000341A0000}"/>
    <cellStyle name="40% - Accent5 2 14" xfId="7105" xr:uid="{00000000-0005-0000-0000-0000351A0000}"/>
    <cellStyle name="40% - Accent5 2 2" xfId="7106" xr:uid="{00000000-0005-0000-0000-0000361A0000}"/>
    <cellStyle name="40% - Accent5 2 2 2" xfId="7107" xr:uid="{00000000-0005-0000-0000-0000371A0000}"/>
    <cellStyle name="40% - Accent5 2 2 2 2" xfId="7108" xr:uid="{00000000-0005-0000-0000-0000381A0000}"/>
    <cellStyle name="40% - Accent5 2 2 2 3" xfId="7109" xr:uid="{00000000-0005-0000-0000-0000391A0000}"/>
    <cellStyle name="40% - Accent5 2 2 2 4" xfId="7110" xr:uid="{00000000-0005-0000-0000-00003A1A0000}"/>
    <cellStyle name="40% - Accent5 2 2 3" xfId="7111" xr:uid="{00000000-0005-0000-0000-00003B1A0000}"/>
    <cellStyle name="40% - Accent5 2 2 3 2" xfId="7112" xr:uid="{00000000-0005-0000-0000-00003C1A0000}"/>
    <cellStyle name="40% - Accent5 2 2 3 3" xfId="7113" xr:uid="{00000000-0005-0000-0000-00003D1A0000}"/>
    <cellStyle name="40% - Accent5 2 2 4" xfId="7114" xr:uid="{00000000-0005-0000-0000-00003E1A0000}"/>
    <cellStyle name="40% - Accent5 2 2 4 2" xfId="7115" xr:uid="{00000000-0005-0000-0000-00003F1A0000}"/>
    <cellStyle name="40% - Accent5 2 2 4 3" xfId="7116" xr:uid="{00000000-0005-0000-0000-0000401A0000}"/>
    <cellStyle name="40% - Accent5 2 2 5" xfId="7117" xr:uid="{00000000-0005-0000-0000-0000411A0000}"/>
    <cellStyle name="40% - Accent5 2 2 6" xfId="7118" xr:uid="{00000000-0005-0000-0000-0000421A0000}"/>
    <cellStyle name="40% - Accent5 2 2 7" xfId="7119" xr:uid="{00000000-0005-0000-0000-0000431A0000}"/>
    <cellStyle name="40% - Accent5 2 2 8" xfId="7120" xr:uid="{00000000-0005-0000-0000-0000441A0000}"/>
    <cellStyle name="40% - Accent5 2 2_Dec monthly report" xfId="7121" xr:uid="{00000000-0005-0000-0000-0000451A0000}"/>
    <cellStyle name="40% - Accent5 2 3" xfId="7122" xr:uid="{00000000-0005-0000-0000-0000461A0000}"/>
    <cellStyle name="40% - Accent5 2 3 10" xfId="7123" xr:uid="{00000000-0005-0000-0000-0000471A0000}"/>
    <cellStyle name="40% - Accent5 2 3 11" xfId="7124" xr:uid="{00000000-0005-0000-0000-0000481A0000}"/>
    <cellStyle name="40% - Accent5 2 3 2" xfId="7125" xr:uid="{00000000-0005-0000-0000-0000491A0000}"/>
    <cellStyle name="40% - Accent5 2 3 2 10" xfId="7126" xr:uid="{00000000-0005-0000-0000-00004A1A0000}"/>
    <cellStyle name="40% - Accent5 2 3 2 2" xfId="7127" xr:uid="{00000000-0005-0000-0000-00004B1A0000}"/>
    <cellStyle name="40% - Accent5 2 3 2 2 2" xfId="7128" xr:uid="{00000000-0005-0000-0000-00004C1A0000}"/>
    <cellStyle name="40% - Accent5 2 3 2 2 2 2" xfId="7129" xr:uid="{00000000-0005-0000-0000-00004D1A0000}"/>
    <cellStyle name="40% - Accent5 2 3 2 2 2 3" xfId="7130" xr:uid="{00000000-0005-0000-0000-00004E1A0000}"/>
    <cellStyle name="40% - Accent5 2 3 2 2 3" xfId="7131" xr:uid="{00000000-0005-0000-0000-00004F1A0000}"/>
    <cellStyle name="40% - Accent5 2 3 2 2 3 2" xfId="7132" xr:uid="{00000000-0005-0000-0000-0000501A0000}"/>
    <cellStyle name="40% - Accent5 2 3 2 2 3 3" xfId="7133" xr:uid="{00000000-0005-0000-0000-0000511A0000}"/>
    <cellStyle name="40% - Accent5 2 3 2 2 4" xfId="7134" xr:uid="{00000000-0005-0000-0000-0000521A0000}"/>
    <cellStyle name="40% - Accent5 2 3 2 2 5" xfId="7135" xr:uid="{00000000-0005-0000-0000-0000531A0000}"/>
    <cellStyle name="40% - Accent5 2 3 2 2 6" xfId="7136" xr:uid="{00000000-0005-0000-0000-0000541A0000}"/>
    <cellStyle name="40% - Accent5 2 3 2 2 7" xfId="7137" xr:uid="{00000000-0005-0000-0000-0000551A0000}"/>
    <cellStyle name="40% - Accent5 2 3 2 2 8" xfId="7138" xr:uid="{00000000-0005-0000-0000-0000561A0000}"/>
    <cellStyle name="40% - Accent5 2 3 2 3" xfId="7139" xr:uid="{00000000-0005-0000-0000-0000571A0000}"/>
    <cellStyle name="40% - Accent5 2 3 2 3 2" xfId="7140" xr:uid="{00000000-0005-0000-0000-0000581A0000}"/>
    <cellStyle name="40% - Accent5 2 3 2 3 2 2" xfId="7141" xr:uid="{00000000-0005-0000-0000-0000591A0000}"/>
    <cellStyle name="40% - Accent5 2 3 2 3 2 3" xfId="7142" xr:uid="{00000000-0005-0000-0000-00005A1A0000}"/>
    <cellStyle name="40% - Accent5 2 3 2 3 3" xfId="7143" xr:uid="{00000000-0005-0000-0000-00005B1A0000}"/>
    <cellStyle name="40% - Accent5 2 3 2 3 3 2" xfId="7144" xr:uid="{00000000-0005-0000-0000-00005C1A0000}"/>
    <cellStyle name="40% - Accent5 2 3 2 3 4" xfId="7145" xr:uid="{00000000-0005-0000-0000-00005D1A0000}"/>
    <cellStyle name="40% - Accent5 2 3 2 4" xfId="7146" xr:uid="{00000000-0005-0000-0000-00005E1A0000}"/>
    <cellStyle name="40% - Accent5 2 3 2 4 2" xfId="7147" xr:uid="{00000000-0005-0000-0000-00005F1A0000}"/>
    <cellStyle name="40% - Accent5 2 3 2 4 3" xfId="7148" xr:uid="{00000000-0005-0000-0000-0000601A0000}"/>
    <cellStyle name="40% - Accent5 2 3 2 5" xfId="7149" xr:uid="{00000000-0005-0000-0000-0000611A0000}"/>
    <cellStyle name="40% - Accent5 2 3 2 5 2" xfId="7150" xr:uid="{00000000-0005-0000-0000-0000621A0000}"/>
    <cellStyle name="40% - Accent5 2 3 2 5 3" xfId="7151" xr:uid="{00000000-0005-0000-0000-0000631A0000}"/>
    <cellStyle name="40% - Accent5 2 3 2 6" xfId="7152" xr:uid="{00000000-0005-0000-0000-0000641A0000}"/>
    <cellStyle name="40% - Accent5 2 3 2 6 2" xfId="7153" xr:uid="{00000000-0005-0000-0000-0000651A0000}"/>
    <cellStyle name="40% - Accent5 2 3 2 7" xfId="7154" xr:uid="{00000000-0005-0000-0000-0000661A0000}"/>
    <cellStyle name="40% - Accent5 2 3 2 8" xfId="7155" xr:uid="{00000000-0005-0000-0000-0000671A0000}"/>
    <cellStyle name="40% - Accent5 2 3 2 9" xfId="7156" xr:uid="{00000000-0005-0000-0000-0000681A0000}"/>
    <cellStyle name="40% - Accent5 2 3 3" xfId="7157" xr:uid="{00000000-0005-0000-0000-0000691A0000}"/>
    <cellStyle name="40% - Accent5 2 3 3 2" xfId="7158" xr:uid="{00000000-0005-0000-0000-00006A1A0000}"/>
    <cellStyle name="40% - Accent5 2 3 3 2 2" xfId="7159" xr:uid="{00000000-0005-0000-0000-00006B1A0000}"/>
    <cellStyle name="40% - Accent5 2 3 3 2 3" xfId="7160" xr:uid="{00000000-0005-0000-0000-00006C1A0000}"/>
    <cellStyle name="40% - Accent5 2 3 3 3" xfId="7161" xr:uid="{00000000-0005-0000-0000-00006D1A0000}"/>
    <cellStyle name="40% - Accent5 2 3 3 3 2" xfId="7162" xr:uid="{00000000-0005-0000-0000-00006E1A0000}"/>
    <cellStyle name="40% - Accent5 2 3 3 3 3" xfId="7163" xr:uid="{00000000-0005-0000-0000-00006F1A0000}"/>
    <cellStyle name="40% - Accent5 2 3 3 4" xfId="7164" xr:uid="{00000000-0005-0000-0000-0000701A0000}"/>
    <cellStyle name="40% - Accent5 2 3 3 5" xfId="7165" xr:uid="{00000000-0005-0000-0000-0000711A0000}"/>
    <cellStyle name="40% - Accent5 2 3 3 6" xfId="7166" xr:uid="{00000000-0005-0000-0000-0000721A0000}"/>
    <cellStyle name="40% - Accent5 2 3 3 7" xfId="7167" xr:uid="{00000000-0005-0000-0000-0000731A0000}"/>
    <cellStyle name="40% - Accent5 2 3 3 8" xfId="7168" xr:uid="{00000000-0005-0000-0000-0000741A0000}"/>
    <cellStyle name="40% - Accent5 2 3 4" xfId="7169" xr:uid="{00000000-0005-0000-0000-0000751A0000}"/>
    <cellStyle name="40% - Accent5 2 3 4 2" xfId="7170" xr:uid="{00000000-0005-0000-0000-0000761A0000}"/>
    <cellStyle name="40% - Accent5 2 3 4 2 2" xfId="7171" xr:uid="{00000000-0005-0000-0000-0000771A0000}"/>
    <cellStyle name="40% - Accent5 2 3 4 2 3" xfId="7172" xr:uid="{00000000-0005-0000-0000-0000781A0000}"/>
    <cellStyle name="40% - Accent5 2 3 4 3" xfId="7173" xr:uid="{00000000-0005-0000-0000-0000791A0000}"/>
    <cellStyle name="40% - Accent5 2 3 4 3 2" xfId="7174" xr:uid="{00000000-0005-0000-0000-00007A1A0000}"/>
    <cellStyle name="40% - Accent5 2 3 4 4" xfId="7175" xr:uid="{00000000-0005-0000-0000-00007B1A0000}"/>
    <cellStyle name="40% - Accent5 2 3 5" xfId="7176" xr:uid="{00000000-0005-0000-0000-00007C1A0000}"/>
    <cellStyle name="40% - Accent5 2 3 5 2" xfId="7177" xr:uid="{00000000-0005-0000-0000-00007D1A0000}"/>
    <cellStyle name="40% - Accent5 2 3 5 3" xfId="7178" xr:uid="{00000000-0005-0000-0000-00007E1A0000}"/>
    <cellStyle name="40% - Accent5 2 3 6" xfId="7179" xr:uid="{00000000-0005-0000-0000-00007F1A0000}"/>
    <cellStyle name="40% - Accent5 2 3 6 2" xfId="7180" xr:uid="{00000000-0005-0000-0000-0000801A0000}"/>
    <cellStyle name="40% - Accent5 2 3 6 3" xfId="7181" xr:uid="{00000000-0005-0000-0000-0000811A0000}"/>
    <cellStyle name="40% - Accent5 2 3 7" xfId="7182" xr:uid="{00000000-0005-0000-0000-0000821A0000}"/>
    <cellStyle name="40% - Accent5 2 3 7 2" xfId="7183" xr:uid="{00000000-0005-0000-0000-0000831A0000}"/>
    <cellStyle name="40% - Accent5 2 3 8" xfId="7184" xr:uid="{00000000-0005-0000-0000-0000841A0000}"/>
    <cellStyle name="40% - Accent5 2 3 9" xfId="7185" xr:uid="{00000000-0005-0000-0000-0000851A0000}"/>
    <cellStyle name="40% - Accent5 2 4" xfId="7186" xr:uid="{00000000-0005-0000-0000-0000861A0000}"/>
    <cellStyle name="40% - Accent5 2 4 10" xfId="7187" xr:uid="{00000000-0005-0000-0000-0000871A0000}"/>
    <cellStyle name="40% - Accent5 2 4 11" xfId="7188" xr:uid="{00000000-0005-0000-0000-0000881A0000}"/>
    <cellStyle name="40% - Accent5 2 4 2" xfId="7189" xr:uid="{00000000-0005-0000-0000-0000891A0000}"/>
    <cellStyle name="40% - Accent5 2 4 2 10" xfId="7190" xr:uid="{00000000-0005-0000-0000-00008A1A0000}"/>
    <cellStyle name="40% - Accent5 2 4 2 2" xfId="7191" xr:uid="{00000000-0005-0000-0000-00008B1A0000}"/>
    <cellStyle name="40% - Accent5 2 4 2 2 2" xfId="7192" xr:uid="{00000000-0005-0000-0000-00008C1A0000}"/>
    <cellStyle name="40% - Accent5 2 4 2 2 2 2" xfId="7193" xr:uid="{00000000-0005-0000-0000-00008D1A0000}"/>
    <cellStyle name="40% - Accent5 2 4 2 2 2 3" xfId="7194" xr:uid="{00000000-0005-0000-0000-00008E1A0000}"/>
    <cellStyle name="40% - Accent5 2 4 2 2 3" xfId="7195" xr:uid="{00000000-0005-0000-0000-00008F1A0000}"/>
    <cellStyle name="40% - Accent5 2 4 2 2 3 2" xfId="7196" xr:uid="{00000000-0005-0000-0000-0000901A0000}"/>
    <cellStyle name="40% - Accent5 2 4 2 2 3 3" xfId="7197" xr:uid="{00000000-0005-0000-0000-0000911A0000}"/>
    <cellStyle name="40% - Accent5 2 4 2 2 4" xfId="7198" xr:uid="{00000000-0005-0000-0000-0000921A0000}"/>
    <cellStyle name="40% - Accent5 2 4 2 2 5" xfId="7199" xr:uid="{00000000-0005-0000-0000-0000931A0000}"/>
    <cellStyle name="40% - Accent5 2 4 2 2 6" xfId="7200" xr:uid="{00000000-0005-0000-0000-0000941A0000}"/>
    <cellStyle name="40% - Accent5 2 4 2 2 7" xfId="7201" xr:uid="{00000000-0005-0000-0000-0000951A0000}"/>
    <cellStyle name="40% - Accent5 2 4 2 2 8" xfId="7202" xr:uid="{00000000-0005-0000-0000-0000961A0000}"/>
    <cellStyle name="40% - Accent5 2 4 2 3" xfId="7203" xr:uid="{00000000-0005-0000-0000-0000971A0000}"/>
    <cellStyle name="40% - Accent5 2 4 2 3 2" xfId="7204" xr:uid="{00000000-0005-0000-0000-0000981A0000}"/>
    <cellStyle name="40% - Accent5 2 4 2 3 2 2" xfId="7205" xr:uid="{00000000-0005-0000-0000-0000991A0000}"/>
    <cellStyle name="40% - Accent5 2 4 2 3 2 3" xfId="7206" xr:uid="{00000000-0005-0000-0000-00009A1A0000}"/>
    <cellStyle name="40% - Accent5 2 4 2 3 3" xfId="7207" xr:uid="{00000000-0005-0000-0000-00009B1A0000}"/>
    <cellStyle name="40% - Accent5 2 4 2 3 3 2" xfId="7208" xr:uid="{00000000-0005-0000-0000-00009C1A0000}"/>
    <cellStyle name="40% - Accent5 2 4 2 3 4" xfId="7209" xr:uid="{00000000-0005-0000-0000-00009D1A0000}"/>
    <cellStyle name="40% - Accent5 2 4 2 4" xfId="7210" xr:uid="{00000000-0005-0000-0000-00009E1A0000}"/>
    <cellStyle name="40% - Accent5 2 4 2 4 2" xfId="7211" xr:uid="{00000000-0005-0000-0000-00009F1A0000}"/>
    <cellStyle name="40% - Accent5 2 4 2 4 3" xfId="7212" xr:uid="{00000000-0005-0000-0000-0000A01A0000}"/>
    <cellStyle name="40% - Accent5 2 4 2 5" xfId="7213" xr:uid="{00000000-0005-0000-0000-0000A11A0000}"/>
    <cellStyle name="40% - Accent5 2 4 2 5 2" xfId="7214" xr:uid="{00000000-0005-0000-0000-0000A21A0000}"/>
    <cellStyle name="40% - Accent5 2 4 2 5 3" xfId="7215" xr:uid="{00000000-0005-0000-0000-0000A31A0000}"/>
    <cellStyle name="40% - Accent5 2 4 2 6" xfId="7216" xr:uid="{00000000-0005-0000-0000-0000A41A0000}"/>
    <cellStyle name="40% - Accent5 2 4 2 6 2" xfId="7217" xr:uid="{00000000-0005-0000-0000-0000A51A0000}"/>
    <cellStyle name="40% - Accent5 2 4 2 7" xfId="7218" xr:uid="{00000000-0005-0000-0000-0000A61A0000}"/>
    <cellStyle name="40% - Accent5 2 4 2 8" xfId="7219" xr:uid="{00000000-0005-0000-0000-0000A71A0000}"/>
    <cellStyle name="40% - Accent5 2 4 2 9" xfId="7220" xr:uid="{00000000-0005-0000-0000-0000A81A0000}"/>
    <cellStyle name="40% - Accent5 2 4 3" xfId="7221" xr:uid="{00000000-0005-0000-0000-0000A91A0000}"/>
    <cellStyle name="40% - Accent5 2 4 3 2" xfId="7222" xr:uid="{00000000-0005-0000-0000-0000AA1A0000}"/>
    <cellStyle name="40% - Accent5 2 4 3 2 2" xfId="7223" xr:uid="{00000000-0005-0000-0000-0000AB1A0000}"/>
    <cellStyle name="40% - Accent5 2 4 3 2 3" xfId="7224" xr:uid="{00000000-0005-0000-0000-0000AC1A0000}"/>
    <cellStyle name="40% - Accent5 2 4 3 3" xfId="7225" xr:uid="{00000000-0005-0000-0000-0000AD1A0000}"/>
    <cellStyle name="40% - Accent5 2 4 3 3 2" xfId="7226" xr:uid="{00000000-0005-0000-0000-0000AE1A0000}"/>
    <cellStyle name="40% - Accent5 2 4 3 3 3" xfId="7227" xr:uid="{00000000-0005-0000-0000-0000AF1A0000}"/>
    <cellStyle name="40% - Accent5 2 4 3 4" xfId="7228" xr:uid="{00000000-0005-0000-0000-0000B01A0000}"/>
    <cellStyle name="40% - Accent5 2 4 3 5" xfId="7229" xr:uid="{00000000-0005-0000-0000-0000B11A0000}"/>
    <cellStyle name="40% - Accent5 2 4 3 6" xfId="7230" xr:uid="{00000000-0005-0000-0000-0000B21A0000}"/>
    <cellStyle name="40% - Accent5 2 4 3 7" xfId="7231" xr:uid="{00000000-0005-0000-0000-0000B31A0000}"/>
    <cellStyle name="40% - Accent5 2 4 3 8" xfId="7232" xr:uid="{00000000-0005-0000-0000-0000B41A0000}"/>
    <cellStyle name="40% - Accent5 2 4 4" xfId="7233" xr:uid="{00000000-0005-0000-0000-0000B51A0000}"/>
    <cellStyle name="40% - Accent5 2 4 4 2" xfId="7234" xr:uid="{00000000-0005-0000-0000-0000B61A0000}"/>
    <cellStyle name="40% - Accent5 2 4 4 2 2" xfId="7235" xr:uid="{00000000-0005-0000-0000-0000B71A0000}"/>
    <cellStyle name="40% - Accent5 2 4 4 2 3" xfId="7236" xr:uid="{00000000-0005-0000-0000-0000B81A0000}"/>
    <cellStyle name="40% - Accent5 2 4 4 3" xfId="7237" xr:uid="{00000000-0005-0000-0000-0000B91A0000}"/>
    <cellStyle name="40% - Accent5 2 4 4 3 2" xfId="7238" xr:uid="{00000000-0005-0000-0000-0000BA1A0000}"/>
    <cellStyle name="40% - Accent5 2 4 4 4" xfId="7239" xr:uid="{00000000-0005-0000-0000-0000BB1A0000}"/>
    <cellStyle name="40% - Accent5 2 4 5" xfId="7240" xr:uid="{00000000-0005-0000-0000-0000BC1A0000}"/>
    <cellStyle name="40% - Accent5 2 4 5 2" xfId="7241" xr:uid="{00000000-0005-0000-0000-0000BD1A0000}"/>
    <cellStyle name="40% - Accent5 2 4 5 3" xfId="7242" xr:uid="{00000000-0005-0000-0000-0000BE1A0000}"/>
    <cellStyle name="40% - Accent5 2 4 6" xfId="7243" xr:uid="{00000000-0005-0000-0000-0000BF1A0000}"/>
    <cellStyle name="40% - Accent5 2 4 6 2" xfId="7244" xr:uid="{00000000-0005-0000-0000-0000C01A0000}"/>
    <cellStyle name="40% - Accent5 2 4 6 3" xfId="7245" xr:uid="{00000000-0005-0000-0000-0000C11A0000}"/>
    <cellStyle name="40% - Accent5 2 4 7" xfId="7246" xr:uid="{00000000-0005-0000-0000-0000C21A0000}"/>
    <cellStyle name="40% - Accent5 2 4 7 2" xfId="7247" xr:uid="{00000000-0005-0000-0000-0000C31A0000}"/>
    <cellStyle name="40% - Accent5 2 4 8" xfId="7248" xr:uid="{00000000-0005-0000-0000-0000C41A0000}"/>
    <cellStyle name="40% - Accent5 2 4 9" xfId="7249" xr:uid="{00000000-0005-0000-0000-0000C51A0000}"/>
    <cellStyle name="40% - Accent5 2 5" xfId="7250" xr:uid="{00000000-0005-0000-0000-0000C61A0000}"/>
    <cellStyle name="40% - Accent5 2 5 10" xfId="7251" xr:uid="{00000000-0005-0000-0000-0000C71A0000}"/>
    <cellStyle name="40% - Accent5 2 5 11" xfId="7252" xr:uid="{00000000-0005-0000-0000-0000C81A0000}"/>
    <cellStyle name="40% - Accent5 2 5 2" xfId="7253" xr:uid="{00000000-0005-0000-0000-0000C91A0000}"/>
    <cellStyle name="40% - Accent5 2 5 2 2" xfId="7254" xr:uid="{00000000-0005-0000-0000-0000CA1A0000}"/>
    <cellStyle name="40% - Accent5 2 5 2 2 2" xfId="7255" xr:uid="{00000000-0005-0000-0000-0000CB1A0000}"/>
    <cellStyle name="40% - Accent5 2 5 2 2 2 2" xfId="7256" xr:uid="{00000000-0005-0000-0000-0000CC1A0000}"/>
    <cellStyle name="40% - Accent5 2 5 2 2 2 3" xfId="7257" xr:uid="{00000000-0005-0000-0000-0000CD1A0000}"/>
    <cellStyle name="40% - Accent5 2 5 2 2 3" xfId="7258" xr:uid="{00000000-0005-0000-0000-0000CE1A0000}"/>
    <cellStyle name="40% - Accent5 2 5 2 2 3 2" xfId="7259" xr:uid="{00000000-0005-0000-0000-0000CF1A0000}"/>
    <cellStyle name="40% - Accent5 2 5 2 2 3 3" xfId="7260" xr:uid="{00000000-0005-0000-0000-0000D01A0000}"/>
    <cellStyle name="40% - Accent5 2 5 2 2 4" xfId="7261" xr:uid="{00000000-0005-0000-0000-0000D11A0000}"/>
    <cellStyle name="40% - Accent5 2 5 2 2 5" xfId="7262" xr:uid="{00000000-0005-0000-0000-0000D21A0000}"/>
    <cellStyle name="40% - Accent5 2 5 2 2 6" xfId="7263" xr:uid="{00000000-0005-0000-0000-0000D31A0000}"/>
    <cellStyle name="40% - Accent5 2 5 2 2 7" xfId="7264" xr:uid="{00000000-0005-0000-0000-0000D41A0000}"/>
    <cellStyle name="40% - Accent5 2 5 2 2 8" xfId="7265" xr:uid="{00000000-0005-0000-0000-0000D51A0000}"/>
    <cellStyle name="40% - Accent5 2 5 2 3" xfId="7266" xr:uid="{00000000-0005-0000-0000-0000D61A0000}"/>
    <cellStyle name="40% - Accent5 2 5 2 3 2" xfId="7267" xr:uid="{00000000-0005-0000-0000-0000D71A0000}"/>
    <cellStyle name="40% - Accent5 2 5 2 3 2 2" xfId="7268" xr:uid="{00000000-0005-0000-0000-0000D81A0000}"/>
    <cellStyle name="40% - Accent5 2 5 2 3 2 3" xfId="7269" xr:uid="{00000000-0005-0000-0000-0000D91A0000}"/>
    <cellStyle name="40% - Accent5 2 5 2 3 3" xfId="7270" xr:uid="{00000000-0005-0000-0000-0000DA1A0000}"/>
    <cellStyle name="40% - Accent5 2 5 2 3 3 2" xfId="7271" xr:uid="{00000000-0005-0000-0000-0000DB1A0000}"/>
    <cellStyle name="40% - Accent5 2 5 2 3 4" xfId="7272" xr:uid="{00000000-0005-0000-0000-0000DC1A0000}"/>
    <cellStyle name="40% - Accent5 2 5 2 4" xfId="7273" xr:uid="{00000000-0005-0000-0000-0000DD1A0000}"/>
    <cellStyle name="40% - Accent5 2 5 2 4 2" xfId="7274" xr:uid="{00000000-0005-0000-0000-0000DE1A0000}"/>
    <cellStyle name="40% - Accent5 2 5 2 4 3" xfId="7275" xr:uid="{00000000-0005-0000-0000-0000DF1A0000}"/>
    <cellStyle name="40% - Accent5 2 5 2 5" xfId="7276" xr:uid="{00000000-0005-0000-0000-0000E01A0000}"/>
    <cellStyle name="40% - Accent5 2 5 2 6" xfId="7277" xr:uid="{00000000-0005-0000-0000-0000E11A0000}"/>
    <cellStyle name="40% - Accent5 2 5 2 6 2" xfId="7278" xr:uid="{00000000-0005-0000-0000-0000E21A0000}"/>
    <cellStyle name="40% - Accent5 2 5 2 7" xfId="7279" xr:uid="{00000000-0005-0000-0000-0000E31A0000}"/>
    <cellStyle name="40% - Accent5 2 5 2 8" xfId="7280" xr:uid="{00000000-0005-0000-0000-0000E41A0000}"/>
    <cellStyle name="40% - Accent5 2 5 2 9" xfId="7281" xr:uid="{00000000-0005-0000-0000-0000E51A0000}"/>
    <cellStyle name="40% - Accent5 2 5 3" xfId="7282" xr:uid="{00000000-0005-0000-0000-0000E61A0000}"/>
    <cellStyle name="40% - Accent5 2 5 3 2" xfId="7283" xr:uid="{00000000-0005-0000-0000-0000E71A0000}"/>
    <cellStyle name="40% - Accent5 2 5 3 2 2" xfId="7284" xr:uid="{00000000-0005-0000-0000-0000E81A0000}"/>
    <cellStyle name="40% - Accent5 2 5 3 2 3" xfId="7285" xr:uid="{00000000-0005-0000-0000-0000E91A0000}"/>
    <cellStyle name="40% - Accent5 2 5 3 3" xfId="7286" xr:uid="{00000000-0005-0000-0000-0000EA1A0000}"/>
    <cellStyle name="40% - Accent5 2 5 3 3 2" xfId="7287" xr:uid="{00000000-0005-0000-0000-0000EB1A0000}"/>
    <cellStyle name="40% - Accent5 2 5 3 3 3" xfId="7288" xr:uid="{00000000-0005-0000-0000-0000EC1A0000}"/>
    <cellStyle name="40% - Accent5 2 5 3 4" xfId="7289" xr:uid="{00000000-0005-0000-0000-0000ED1A0000}"/>
    <cellStyle name="40% - Accent5 2 5 3 5" xfId="7290" xr:uid="{00000000-0005-0000-0000-0000EE1A0000}"/>
    <cellStyle name="40% - Accent5 2 5 3 6" xfId="7291" xr:uid="{00000000-0005-0000-0000-0000EF1A0000}"/>
    <cellStyle name="40% - Accent5 2 5 3 7" xfId="7292" xr:uid="{00000000-0005-0000-0000-0000F01A0000}"/>
    <cellStyle name="40% - Accent5 2 5 3 8" xfId="7293" xr:uid="{00000000-0005-0000-0000-0000F11A0000}"/>
    <cellStyle name="40% - Accent5 2 5 4" xfId="7294" xr:uid="{00000000-0005-0000-0000-0000F21A0000}"/>
    <cellStyle name="40% - Accent5 2 5 4 2" xfId="7295" xr:uid="{00000000-0005-0000-0000-0000F31A0000}"/>
    <cellStyle name="40% - Accent5 2 5 4 2 2" xfId="7296" xr:uid="{00000000-0005-0000-0000-0000F41A0000}"/>
    <cellStyle name="40% - Accent5 2 5 4 2 3" xfId="7297" xr:uid="{00000000-0005-0000-0000-0000F51A0000}"/>
    <cellStyle name="40% - Accent5 2 5 4 3" xfId="7298" xr:uid="{00000000-0005-0000-0000-0000F61A0000}"/>
    <cellStyle name="40% - Accent5 2 5 4 3 2" xfId="7299" xr:uid="{00000000-0005-0000-0000-0000F71A0000}"/>
    <cellStyle name="40% - Accent5 2 5 4 4" xfId="7300" xr:uid="{00000000-0005-0000-0000-0000F81A0000}"/>
    <cellStyle name="40% - Accent5 2 5 5" xfId="7301" xr:uid="{00000000-0005-0000-0000-0000F91A0000}"/>
    <cellStyle name="40% - Accent5 2 5 5 2" xfId="7302" xr:uid="{00000000-0005-0000-0000-0000FA1A0000}"/>
    <cellStyle name="40% - Accent5 2 5 5 3" xfId="7303" xr:uid="{00000000-0005-0000-0000-0000FB1A0000}"/>
    <cellStyle name="40% - Accent5 2 5 6" xfId="7304" xr:uid="{00000000-0005-0000-0000-0000FC1A0000}"/>
    <cellStyle name="40% - Accent5 2 5 6 2" xfId="7305" xr:uid="{00000000-0005-0000-0000-0000FD1A0000}"/>
    <cellStyle name="40% - Accent5 2 5 6 3" xfId="7306" xr:uid="{00000000-0005-0000-0000-0000FE1A0000}"/>
    <cellStyle name="40% - Accent5 2 5 7" xfId="7307" xr:uid="{00000000-0005-0000-0000-0000FF1A0000}"/>
    <cellStyle name="40% - Accent5 2 5 7 2" xfId="7308" xr:uid="{00000000-0005-0000-0000-0000001B0000}"/>
    <cellStyle name="40% - Accent5 2 5 8" xfId="7309" xr:uid="{00000000-0005-0000-0000-0000011B0000}"/>
    <cellStyle name="40% - Accent5 2 5 9" xfId="7310" xr:uid="{00000000-0005-0000-0000-0000021B0000}"/>
    <cellStyle name="40% - Accent5 2 6" xfId="7311" xr:uid="{00000000-0005-0000-0000-0000031B0000}"/>
    <cellStyle name="40% - Accent5 2 6 10" xfId="7312" xr:uid="{00000000-0005-0000-0000-0000041B0000}"/>
    <cellStyle name="40% - Accent5 2 6 11" xfId="7313" xr:uid="{00000000-0005-0000-0000-0000051B0000}"/>
    <cellStyle name="40% - Accent5 2 6 2" xfId="7314" xr:uid="{00000000-0005-0000-0000-0000061B0000}"/>
    <cellStyle name="40% - Accent5 2 6 2 2" xfId="7315" xr:uid="{00000000-0005-0000-0000-0000071B0000}"/>
    <cellStyle name="40% - Accent5 2 6 2 2 2" xfId="7316" xr:uid="{00000000-0005-0000-0000-0000081B0000}"/>
    <cellStyle name="40% - Accent5 2 6 2 2 2 2" xfId="7317" xr:uid="{00000000-0005-0000-0000-0000091B0000}"/>
    <cellStyle name="40% - Accent5 2 6 2 2 2 3" xfId="7318" xr:uid="{00000000-0005-0000-0000-00000A1B0000}"/>
    <cellStyle name="40% - Accent5 2 6 2 2 3" xfId="7319" xr:uid="{00000000-0005-0000-0000-00000B1B0000}"/>
    <cellStyle name="40% - Accent5 2 6 2 2 3 2" xfId="7320" xr:uid="{00000000-0005-0000-0000-00000C1B0000}"/>
    <cellStyle name="40% - Accent5 2 6 2 2 3 3" xfId="7321" xr:uid="{00000000-0005-0000-0000-00000D1B0000}"/>
    <cellStyle name="40% - Accent5 2 6 2 2 4" xfId="7322" xr:uid="{00000000-0005-0000-0000-00000E1B0000}"/>
    <cellStyle name="40% - Accent5 2 6 2 2 5" xfId="7323" xr:uid="{00000000-0005-0000-0000-00000F1B0000}"/>
    <cellStyle name="40% - Accent5 2 6 2 2 6" xfId="7324" xr:uid="{00000000-0005-0000-0000-0000101B0000}"/>
    <cellStyle name="40% - Accent5 2 6 2 2 7" xfId="7325" xr:uid="{00000000-0005-0000-0000-0000111B0000}"/>
    <cellStyle name="40% - Accent5 2 6 2 2 8" xfId="7326" xr:uid="{00000000-0005-0000-0000-0000121B0000}"/>
    <cellStyle name="40% - Accent5 2 6 2 3" xfId="7327" xr:uid="{00000000-0005-0000-0000-0000131B0000}"/>
    <cellStyle name="40% - Accent5 2 6 2 3 2" xfId="7328" xr:uid="{00000000-0005-0000-0000-0000141B0000}"/>
    <cellStyle name="40% - Accent5 2 6 2 3 2 2" xfId="7329" xr:uid="{00000000-0005-0000-0000-0000151B0000}"/>
    <cellStyle name="40% - Accent5 2 6 2 3 2 3" xfId="7330" xr:uid="{00000000-0005-0000-0000-0000161B0000}"/>
    <cellStyle name="40% - Accent5 2 6 2 3 3" xfId="7331" xr:uid="{00000000-0005-0000-0000-0000171B0000}"/>
    <cellStyle name="40% - Accent5 2 6 2 3 3 2" xfId="7332" xr:uid="{00000000-0005-0000-0000-0000181B0000}"/>
    <cellStyle name="40% - Accent5 2 6 2 3 4" xfId="7333" xr:uid="{00000000-0005-0000-0000-0000191B0000}"/>
    <cellStyle name="40% - Accent5 2 6 2 4" xfId="7334" xr:uid="{00000000-0005-0000-0000-00001A1B0000}"/>
    <cellStyle name="40% - Accent5 2 6 2 4 2" xfId="7335" xr:uid="{00000000-0005-0000-0000-00001B1B0000}"/>
    <cellStyle name="40% - Accent5 2 6 2 4 3" xfId="7336" xr:uid="{00000000-0005-0000-0000-00001C1B0000}"/>
    <cellStyle name="40% - Accent5 2 6 2 5" xfId="7337" xr:uid="{00000000-0005-0000-0000-00001D1B0000}"/>
    <cellStyle name="40% - Accent5 2 6 2 6" xfId="7338" xr:uid="{00000000-0005-0000-0000-00001E1B0000}"/>
    <cellStyle name="40% - Accent5 2 6 2 6 2" xfId="7339" xr:uid="{00000000-0005-0000-0000-00001F1B0000}"/>
    <cellStyle name="40% - Accent5 2 6 2 7" xfId="7340" xr:uid="{00000000-0005-0000-0000-0000201B0000}"/>
    <cellStyle name="40% - Accent5 2 6 2 8" xfId="7341" xr:uid="{00000000-0005-0000-0000-0000211B0000}"/>
    <cellStyle name="40% - Accent5 2 6 2 9" xfId="7342" xr:uid="{00000000-0005-0000-0000-0000221B0000}"/>
    <cellStyle name="40% - Accent5 2 6 3" xfId="7343" xr:uid="{00000000-0005-0000-0000-0000231B0000}"/>
    <cellStyle name="40% - Accent5 2 6 3 2" xfId="7344" xr:uid="{00000000-0005-0000-0000-0000241B0000}"/>
    <cellStyle name="40% - Accent5 2 6 3 2 2" xfId="7345" xr:uid="{00000000-0005-0000-0000-0000251B0000}"/>
    <cellStyle name="40% - Accent5 2 6 3 2 3" xfId="7346" xr:uid="{00000000-0005-0000-0000-0000261B0000}"/>
    <cellStyle name="40% - Accent5 2 6 3 3" xfId="7347" xr:uid="{00000000-0005-0000-0000-0000271B0000}"/>
    <cellStyle name="40% - Accent5 2 6 3 3 2" xfId="7348" xr:uid="{00000000-0005-0000-0000-0000281B0000}"/>
    <cellStyle name="40% - Accent5 2 6 3 3 3" xfId="7349" xr:uid="{00000000-0005-0000-0000-0000291B0000}"/>
    <cellStyle name="40% - Accent5 2 6 3 4" xfId="7350" xr:uid="{00000000-0005-0000-0000-00002A1B0000}"/>
    <cellStyle name="40% - Accent5 2 6 3 5" xfId="7351" xr:uid="{00000000-0005-0000-0000-00002B1B0000}"/>
    <cellStyle name="40% - Accent5 2 6 3 6" xfId="7352" xr:uid="{00000000-0005-0000-0000-00002C1B0000}"/>
    <cellStyle name="40% - Accent5 2 6 3 7" xfId="7353" xr:uid="{00000000-0005-0000-0000-00002D1B0000}"/>
    <cellStyle name="40% - Accent5 2 6 3 8" xfId="7354" xr:uid="{00000000-0005-0000-0000-00002E1B0000}"/>
    <cellStyle name="40% - Accent5 2 6 4" xfId="7355" xr:uid="{00000000-0005-0000-0000-00002F1B0000}"/>
    <cellStyle name="40% - Accent5 2 6 4 2" xfId="7356" xr:uid="{00000000-0005-0000-0000-0000301B0000}"/>
    <cellStyle name="40% - Accent5 2 6 4 2 2" xfId="7357" xr:uid="{00000000-0005-0000-0000-0000311B0000}"/>
    <cellStyle name="40% - Accent5 2 6 4 2 3" xfId="7358" xr:uid="{00000000-0005-0000-0000-0000321B0000}"/>
    <cellStyle name="40% - Accent5 2 6 4 3" xfId="7359" xr:uid="{00000000-0005-0000-0000-0000331B0000}"/>
    <cellStyle name="40% - Accent5 2 6 4 3 2" xfId="7360" xr:uid="{00000000-0005-0000-0000-0000341B0000}"/>
    <cellStyle name="40% - Accent5 2 6 4 4" xfId="7361" xr:uid="{00000000-0005-0000-0000-0000351B0000}"/>
    <cellStyle name="40% - Accent5 2 6 5" xfId="7362" xr:uid="{00000000-0005-0000-0000-0000361B0000}"/>
    <cellStyle name="40% - Accent5 2 6 5 2" xfId="7363" xr:uid="{00000000-0005-0000-0000-0000371B0000}"/>
    <cellStyle name="40% - Accent5 2 6 5 3" xfId="7364" xr:uid="{00000000-0005-0000-0000-0000381B0000}"/>
    <cellStyle name="40% - Accent5 2 6 6" xfId="7365" xr:uid="{00000000-0005-0000-0000-0000391B0000}"/>
    <cellStyle name="40% - Accent5 2 6 6 2" xfId="7366" xr:uid="{00000000-0005-0000-0000-00003A1B0000}"/>
    <cellStyle name="40% - Accent5 2 6 6 3" xfId="7367" xr:uid="{00000000-0005-0000-0000-00003B1B0000}"/>
    <cellStyle name="40% - Accent5 2 6 7" xfId="7368" xr:uid="{00000000-0005-0000-0000-00003C1B0000}"/>
    <cellStyle name="40% - Accent5 2 6 7 2" xfId="7369" xr:uid="{00000000-0005-0000-0000-00003D1B0000}"/>
    <cellStyle name="40% - Accent5 2 6 8" xfId="7370" xr:uid="{00000000-0005-0000-0000-00003E1B0000}"/>
    <cellStyle name="40% - Accent5 2 6 9" xfId="7371" xr:uid="{00000000-0005-0000-0000-00003F1B0000}"/>
    <cellStyle name="40% - Accent5 2 7" xfId="7372" xr:uid="{00000000-0005-0000-0000-0000401B0000}"/>
    <cellStyle name="40% - Accent5 2 7 2" xfId="7373" xr:uid="{00000000-0005-0000-0000-0000411B0000}"/>
    <cellStyle name="40% - Accent5 2 7 2 2" xfId="7374" xr:uid="{00000000-0005-0000-0000-0000421B0000}"/>
    <cellStyle name="40% - Accent5 2 7 2 3" xfId="7375" xr:uid="{00000000-0005-0000-0000-0000431B0000}"/>
    <cellStyle name="40% - Accent5 2 7 3" xfId="7376" xr:uid="{00000000-0005-0000-0000-0000441B0000}"/>
    <cellStyle name="40% - Accent5 2 7 3 2" xfId="7377" xr:uid="{00000000-0005-0000-0000-0000451B0000}"/>
    <cellStyle name="40% - Accent5 2 7 4" xfId="7378" xr:uid="{00000000-0005-0000-0000-0000461B0000}"/>
    <cellStyle name="40% - Accent5 2 8" xfId="7379" xr:uid="{00000000-0005-0000-0000-0000471B0000}"/>
    <cellStyle name="40% - Accent5 2 8 2" xfId="7380" xr:uid="{00000000-0005-0000-0000-0000481B0000}"/>
    <cellStyle name="40% - Accent5 2 8 3" xfId="7381" xr:uid="{00000000-0005-0000-0000-0000491B0000}"/>
    <cellStyle name="40% - Accent5 2 9" xfId="7382" xr:uid="{00000000-0005-0000-0000-00004A1B0000}"/>
    <cellStyle name="40% - Accent5 2 9 2" xfId="7383" xr:uid="{00000000-0005-0000-0000-00004B1B0000}"/>
    <cellStyle name="40% - Accent5 2 9 3" xfId="7384" xr:uid="{00000000-0005-0000-0000-00004C1B0000}"/>
    <cellStyle name="40% - Accent5 2_Dec monthly report" xfId="7385" xr:uid="{00000000-0005-0000-0000-00004D1B0000}"/>
    <cellStyle name="40% - Accent5 20" xfId="7386" xr:uid="{00000000-0005-0000-0000-00004E1B0000}"/>
    <cellStyle name="40% - Accent5 20 2" xfId="7387" xr:uid="{00000000-0005-0000-0000-00004F1B0000}"/>
    <cellStyle name="40% - Accent5 20 3" xfId="7388" xr:uid="{00000000-0005-0000-0000-0000501B0000}"/>
    <cellStyle name="40% - Accent5 21" xfId="7389" xr:uid="{00000000-0005-0000-0000-0000511B0000}"/>
    <cellStyle name="40% - Accent5 21 2" xfId="7390" xr:uid="{00000000-0005-0000-0000-0000521B0000}"/>
    <cellStyle name="40% - Accent5 21 3" xfId="7391" xr:uid="{00000000-0005-0000-0000-0000531B0000}"/>
    <cellStyle name="40% - Accent5 22" xfId="7392" xr:uid="{00000000-0005-0000-0000-0000541B0000}"/>
    <cellStyle name="40% - Accent5 23" xfId="7393" xr:uid="{00000000-0005-0000-0000-0000551B0000}"/>
    <cellStyle name="40% - Accent5 24" xfId="7394" xr:uid="{00000000-0005-0000-0000-0000561B0000}"/>
    <cellStyle name="40% - Accent5 3" xfId="7395" xr:uid="{00000000-0005-0000-0000-0000571B0000}"/>
    <cellStyle name="40% - Accent5 3 10" xfId="7396" xr:uid="{00000000-0005-0000-0000-0000581B0000}"/>
    <cellStyle name="40% - Accent5 3 11" xfId="7397" xr:uid="{00000000-0005-0000-0000-0000591B0000}"/>
    <cellStyle name="40% - Accent5 3 12" xfId="7398" xr:uid="{00000000-0005-0000-0000-00005A1B0000}"/>
    <cellStyle name="40% - Accent5 3 13" xfId="7399" xr:uid="{00000000-0005-0000-0000-00005B1B0000}"/>
    <cellStyle name="40% - Accent5 3 14" xfId="7400" xr:uid="{00000000-0005-0000-0000-00005C1B0000}"/>
    <cellStyle name="40% - Accent5 3 2" xfId="7401" xr:uid="{00000000-0005-0000-0000-00005D1B0000}"/>
    <cellStyle name="40% - Accent5 3 2 2" xfId="7402" xr:uid="{00000000-0005-0000-0000-00005E1B0000}"/>
    <cellStyle name="40% - Accent5 3 2 2 10" xfId="7403" xr:uid="{00000000-0005-0000-0000-00005F1B0000}"/>
    <cellStyle name="40% - Accent5 3 2 2 2" xfId="7404" xr:uid="{00000000-0005-0000-0000-0000601B0000}"/>
    <cellStyle name="40% - Accent5 3 2 2 2 2" xfId="7405" xr:uid="{00000000-0005-0000-0000-0000611B0000}"/>
    <cellStyle name="40% - Accent5 3 2 2 2 2 2" xfId="7406" xr:uid="{00000000-0005-0000-0000-0000621B0000}"/>
    <cellStyle name="40% - Accent5 3 2 2 2 2 3" xfId="7407" xr:uid="{00000000-0005-0000-0000-0000631B0000}"/>
    <cellStyle name="40% - Accent5 3 2 2 2 3" xfId="7408" xr:uid="{00000000-0005-0000-0000-0000641B0000}"/>
    <cellStyle name="40% - Accent5 3 2 2 2 3 2" xfId="7409" xr:uid="{00000000-0005-0000-0000-0000651B0000}"/>
    <cellStyle name="40% - Accent5 3 2 2 2 3 3" xfId="7410" xr:uid="{00000000-0005-0000-0000-0000661B0000}"/>
    <cellStyle name="40% - Accent5 3 2 2 2 4" xfId="7411" xr:uid="{00000000-0005-0000-0000-0000671B0000}"/>
    <cellStyle name="40% - Accent5 3 2 2 2 5" xfId="7412" xr:uid="{00000000-0005-0000-0000-0000681B0000}"/>
    <cellStyle name="40% - Accent5 3 2 2 2 6" xfId="7413" xr:uid="{00000000-0005-0000-0000-0000691B0000}"/>
    <cellStyle name="40% - Accent5 3 2 2 2 7" xfId="7414" xr:uid="{00000000-0005-0000-0000-00006A1B0000}"/>
    <cellStyle name="40% - Accent5 3 2 2 2 8" xfId="7415" xr:uid="{00000000-0005-0000-0000-00006B1B0000}"/>
    <cellStyle name="40% - Accent5 3 2 2 3" xfId="7416" xr:uid="{00000000-0005-0000-0000-00006C1B0000}"/>
    <cellStyle name="40% - Accent5 3 2 2 3 2" xfId="7417" xr:uid="{00000000-0005-0000-0000-00006D1B0000}"/>
    <cellStyle name="40% - Accent5 3 2 2 3 3" xfId="7418" xr:uid="{00000000-0005-0000-0000-00006E1B0000}"/>
    <cellStyle name="40% - Accent5 3 2 2 4" xfId="7419" xr:uid="{00000000-0005-0000-0000-00006F1B0000}"/>
    <cellStyle name="40% - Accent5 3 2 2 4 2" xfId="7420" xr:uid="{00000000-0005-0000-0000-0000701B0000}"/>
    <cellStyle name="40% - Accent5 3 2 2 4 3" xfId="7421" xr:uid="{00000000-0005-0000-0000-0000711B0000}"/>
    <cellStyle name="40% - Accent5 3 2 2 5" xfId="7422" xr:uid="{00000000-0005-0000-0000-0000721B0000}"/>
    <cellStyle name="40% - Accent5 3 2 2 5 2" xfId="7423" xr:uid="{00000000-0005-0000-0000-0000731B0000}"/>
    <cellStyle name="40% - Accent5 3 2 2 5 3" xfId="7424" xr:uid="{00000000-0005-0000-0000-0000741B0000}"/>
    <cellStyle name="40% - Accent5 3 2 2 6" xfId="7425" xr:uid="{00000000-0005-0000-0000-0000751B0000}"/>
    <cellStyle name="40% - Accent5 3 2 2 7" xfId="7426" xr:uid="{00000000-0005-0000-0000-0000761B0000}"/>
    <cellStyle name="40% - Accent5 3 2 2 8" xfId="7427" xr:uid="{00000000-0005-0000-0000-0000771B0000}"/>
    <cellStyle name="40% - Accent5 3 2 2 9" xfId="7428" xr:uid="{00000000-0005-0000-0000-0000781B0000}"/>
    <cellStyle name="40% - Accent5 3 2 3" xfId="7429" xr:uid="{00000000-0005-0000-0000-0000791B0000}"/>
    <cellStyle name="40% - Accent5 3 2 3 2" xfId="7430" xr:uid="{00000000-0005-0000-0000-00007A1B0000}"/>
    <cellStyle name="40% - Accent5 3 2 3 2 2" xfId="7431" xr:uid="{00000000-0005-0000-0000-00007B1B0000}"/>
    <cellStyle name="40% - Accent5 3 2 3 2 3" xfId="7432" xr:uid="{00000000-0005-0000-0000-00007C1B0000}"/>
    <cellStyle name="40% - Accent5 3 2 3 3" xfId="7433" xr:uid="{00000000-0005-0000-0000-00007D1B0000}"/>
    <cellStyle name="40% - Accent5 3 2 3 3 2" xfId="7434" xr:uid="{00000000-0005-0000-0000-00007E1B0000}"/>
    <cellStyle name="40% - Accent5 3 2 3 4" xfId="7435" xr:uid="{00000000-0005-0000-0000-00007F1B0000}"/>
    <cellStyle name="40% - Accent5 3 2 4" xfId="7436" xr:uid="{00000000-0005-0000-0000-0000801B0000}"/>
    <cellStyle name="40% - Accent5 3 2 4 2" xfId="7437" xr:uid="{00000000-0005-0000-0000-0000811B0000}"/>
    <cellStyle name="40% - Accent5 3 2 4 3" xfId="7438" xr:uid="{00000000-0005-0000-0000-0000821B0000}"/>
    <cellStyle name="40% - Accent5 3 2 5" xfId="7439" xr:uid="{00000000-0005-0000-0000-0000831B0000}"/>
    <cellStyle name="40% - Accent5 3 2 5 2" xfId="7440" xr:uid="{00000000-0005-0000-0000-0000841B0000}"/>
    <cellStyle name="40% - Accent5 3 2 5 3" xfId="7441" xr:uid="{00000000-0005-0000-0000-0000851B0000}"/>
    <cellStyle name="40% - Accent5 3 2 6" xfId="7442" xr:uid="{00000000-0005-0000-0000-0000861B0000}"/>
    <cellStyle name="40% - Accent5 3 2 7" xfId="7443" xr:uid="{00000000-0005-0000-0000-0000871B0000}"/>
    <cellStyle name="40% - Accent5 3 2 8" xfId="7444" xr:uid="{00000000-0005-0000-0000-0000881B0000}"/>
    <cellStyle name="40% - Accent5 3 2 9" xfId="7445" xr:uid="{00000000-0005-0000-0000-0000891B0000}"/>
    <cellStyle name="40% - Accent5 3 3" xfId="7446" xr:uid="{00000000-0005-0000-0000-00008A1B0000}"/>
    <cellStyle name="40% - Accent5 3 3 2" xfId="7447" xr:uid="{00000000-0005-0000-0000-00008B1B0000}"/>
    <cellStyle name="40% - Accent5 3 3 2 2" xfId="7448" xr:uid="{00000000-0005-0000-0000-00008C1B0000}"/>
    <cellStyle name="40% - Accent5 3 3 2 3" xfId="7449" xr:uid="{00000000-0005-0000-0000-00008D1B0000}"/>
    <cellStyle name="40% - Accent5 3 3 2 3 2" xfId="7450" xr:uid="{00000000-0005-0000-0000-00008E1B0000}"/>
    <cellStyle name="40% - Accent5 3 3 3" xfId="7451" xr:uid="{00000000-0005-0000-0000-00008F1B0000}"/>
    <cellStyle name="40% - Accent5 3 3 3 2" xfId="7452" xr:uid="{00000000-0005-0000-0000-0000901B0000}"/>
    <cellStyle name="40% - Accent5 3 3 3 3" xfId="7453" xr:uid="{00000000-0005-0000-0000-0000911B0000}"/>
    <cellStyle name="40% - Accent5 3 3 4" xfId="7454" xr:uid="{00000000-0005-0000-0000-0000921B0000}"/>
    <cellStyle name="40% - Accent5 3 3 4 2" xfId="7455" xr:uid="{00000000-0005-0000-0000-0000931B0000}"/>
    <cellStyle name="40% - Accent5 3 3 5" xfId="7456" xr:uid="{00000000-0005-0000-0000-0000941B0000}"/>
    <cellStyle name="40% - Accent5 3 3 6" xfId="7457" xr:uid="{00000000-0005-0000-0000-0000951B0000}"/>
    <cellStyle name="40% - Accent5 3 3 7" xfId="7458" xr:uid="{00000000-0005-0000-0000-0000961B0000}"/>
    <cellStyle name="40% - Accent5 3 3 8" xfId="7459" xr:uid="{00000000-0005-0000-0000-0000971B0000}"/>
    <cellStyle name="40% - Accent5 3 4" xfId="7460" xr:uid="{00000000-0005-0000-0000-0000981B0000}"/>
    <cellStyle name="40% - Accent5 3 4 2" xfId="7461" xr:uid="{00000000-0005-0000-0000-0000991B0000}"/>
    <cellStyle name="40% - Accent5 3 4 2 2" xfId="7462" xr:uid="{00000000-0005-0000-0000-00009A1B0000}"/>
    <cellStyle name="40% - Accent5 3 4 2 3" xfId="7463" xr:uid="{00000000-0005-0000-0000-00009B1B0000}"/>
    <cellStyle name="40% - Accent5 3 4 3" xfId="7464" xr:uid="{00000000-0005-0000-0000-00009C1B0000}"/>
    <cellStyle name="40% - Accent5 3 4 3 2" xfId="7465" xr:uid="{00000000-0005-0000-0000-00009D1B0000}"/>
    <cellStyle name="40% - Accent5 3 4 3 3" xfId="7466" xr:uid="{00000000-0005-0000-0000-00009E1B0000}"/>
    <cellStyle name="40% - Accent5 3 4 4" xfId="7467" xr:uid="{00000000-0005-0000-0000-00009F1B0000}"/>
    <cellStyle name="40% - Accent5 3 4 4 2" xfId="7468" xr:uid="{00000000-0005-0000-0000-0000A01B0000}"/>
    <cellStyle name="40% - Accent5 3 4 5" xfId="7469" xr:uid="{00000000-0005-0000-0000-0000A11B0000}"/>
    <cellStyle name="40% - Accent5 3 4 6" xfId="7470" xr:uid="{00000000-0005-0000-0000-0000A21B0000}"/>
    <cellStyle name="40% - Accent5 3 4 7" xfId="7471" xr:uid="{00000000-0005-0000-0000-0000A31B0000}"/>
    <cellStyle name="40% - Accent5 3 4 8" xfId="7472" xr:uid="{00000000-0005-0000-0000-0000A41B0000}"/>
    <cellStyle name="40% - Accent5 3 5" xfId="7473" xr:uid="{00000000-0005-0000-0000-0000A51B0000}"/>
    <cellStyle name="40% - Accent5 3 5 2" xfId="7474" xr:uid="{00000000-0005-0000-0000-0000A61B0000}"/>
    <cellStyle name="40% - Accent5 3 5 2 2" xfId="7475" xr:uid="{00000000-0005-0000-0000-0000A71B0000}"/>
    <cellStyle name="40% - Accent5 3 5 2 3" xfId="7476" xr:uid="{00000000-0005-0000-0000-0000A81B0000}"/>
    <cellStyle name="40% - Accent5 3 5 3" xfId="7477" xr:uid="{00000000-0005-0000-0000-0000A91B0000}"/>
    <cellStyle name="40% - Accent5 3 5 3 2" xfId="7478" xr:uid="{00000000-0005-0000-0000-0000AA1B0000}"/>
    <cellStyle name="40% - Accent5 3 5 4" xfId="7479" xr:uid="{00000000-0005-0000-0000-0000AB1B0000}"/>
    <cellStyle name="40% - Accent5 3 5 5" xfId="7480" xr:uid="{00000000-0005-0000-0000-0000AC1B0000}"/>
    <cellStyle name="40% - Accent5 3 5 6" xfId="7481" xr:uid="{00000000-0005-0000-0000-0000AD1B0000}"/>
    <cellStyle name="40% - Accent5 3 5 7" xfId="7482" xr:uid="{00000000-0005-0000-0000-0000AE1B0000}"/>
    <cellStyle name="40% - Accent5 3 5 8" xfId="7483" xr:uid="{00000000-0005-0000-0000-0000AF1B0000}"/>
    <cellStyle name="40% - Accent5 3 6" xfId="7484" xr:uid="{00000000-0005-0000-0000-0000B01B0000}"/>
    <cellStyle name="40% - Accent5 3 6 2" xfId="7485" xr:uid="{00000000-0005-0000-0000-0000B11B0000}"/>
    <cellStyle name="40% - Accent5 3 6 3" xfId="7486" xr:uid="{00000000-0005-0000-0000-0000B21B0000}"/>
    <cellStyle name="40% - Accent5 3 7" xfId="7487" xr:uid="{00000000-0005-0000-0000-0000B31B0000}"/>
    <cellStyle name="40% - Accent5 3 7 2" xfId="7488" xr:uid="{00000000-0005-0000-0000-0000B41B0000}"/>
    <cellStyle name="40% - Accent5 3 7 3" xfId="7489" xr:uid="{00000000-0005-0000-0000-0000B51B0000}"/>
    <cellStyle name="40% - Accent5 3 8" xfId="7490" xr:uid="{00000000-0005-0000-0000-0000B61B0000}"/>
    <cellStyle name="40% - Accent5 3 8 2" xfId="7491" xr:uid="{00000000-0005-0000-0000-0000B71B0000}"/>
    <cellStyle name="40% - Accent5 3 8 3" xfId="7492" xr:uid="{00000000-0005-0000-0000-0000B81B0000}"/>
    <cellStyle name="40% - Accent5 3 9" xfId="7493" xr:uid="{00000000-0005-0000-0000-0000B91B0000}"/>
    <cellStyle name="40% - Accent5 3 9 2" xfId="7494" xr:uid="{00000000-0005-0000-0000-0000BA1B0000}"/>
    <cellStyle name="40% - Accent5 3 9 3" xfId="7495" xr:uid="{00000000-0005-0000-0000-0000BB1B0000}"/>
    <cellStyle name="40% - Accent5 4" xfId="7496" xr:uid="{00000000-0005-0000-0000-0000BC1B0000}"/>
    <cellStyle name="40% - Accent5 4 10" xfId="7497" xr:uid="{00000000-0005-0000-0000-0000BD1B0000}"/>
    <cellStyle name="40% - Accent5 4 11" xfId="7498" xr:uid="{00000000-0005-0000-0000-0000BE1B0000}"/>
    <cellStyle name="40% - Accent5 4 12" xfId="7499" xr:uid="{00000000-0005-0000-0000-0000BF1B0000}"/>
    <cellStyle name="40% - Accent5 4 13" xfId="7500" xr:uid="{00000000-0005-0000-0000-0000C01B0000}"/>
    <cellStyle name="40% - Accent5 4 2" xfId="7501" xr:uid="{00000000-0005-0000-0000-0000C11B0000}"/>
    <cellStyle name="40% - Accent5 4 2 2" xfId="7502" xr:uid="{00000000-0005-0000-0000-0000C21B0000}"/>
    <cellStyle name="40% - Accent5 4 2 2 2" xfId="7503" xr:uid="{00000000-0005-0000-0000-0000C31B0000}"/>
    <cellStyle name="40% - Accent5 4 2 2 2 2" xfId="7504" xr:uid="{00000000-0005-0000-0000-0000C41B0000}"/>
    <cellStyle name="40% - Accent5 4 2 2 2 2 2" xfId="7505" xr:uid="{00000000-0005-0000-0000-0000C51B0000}"/>
    <cellStyle name="40% - Accent5 4 2 2 2 2 3" xfId="7506" xr:uid="{00000000-0005-0000-0000-0000C61B0000}"/>
    <cellStyle name="40% - Accent5 4 2 2 2 3" xfId="7507" xr:uid="{00000000-0005-0000-0000-0000C71B0000}"/>
    <cellStyle name="40% - Accent5 4 2 2 2 3 2" xfId="7508" xr:uid="{00000000-0005-0000-0000-0000C81B0000}"/>
    <cellStyle name="40% - Accent5 4 2 2 2 3 3" xfId="7509" xr:uid="{00000000-0005-0000-0000-0000C91B0000}"/>
    <cellStyle name="40% - Accent5 4 2 2 2 4" xfId="7510" xr:uid="{00000000-0005-0000-0000-0000CA1B0000}"/>
    <cellStyle name="40% - Accent5 4 2 2 2 5" xfId="7511" xr:uid="{00000000-0005-0000-0000-0000CB1B0000}"/>
    <cellStyle name="40% - Accent5 4 2 2 2 6" xfId="7512" xr:uid="{00000000-0005-0000-0000-0000CC1B0000}"/>
    <cellStyle name="40% - Accent5 4 2 2 2 7" xfId="7513" xr:uid="{00000000-0005-0000-0000-0000CD1B0000}"/>
    <cellStyle name="40% - Accent5 4 2 2 2 8" xfId="7514" xr:uid="{00000000-0005-0000-0000-0000CE1B0000}"/>
    <cellStyle name="40% - Accent5 4 2 2 3" xfId="7515" xr:uid="{00000000-0005-0000-0000-0000CF1B0000}"/>
    <cellStyle name="40% - Accent5 4 2 2 3 2" xfId="7516" xr:uid="{00000000-0005-0000-0000-0000D01B0000}"/>
    <cellStyle name="40% - Accent5 4 2 2 3 3" xfId="7517" xr:uid="{00000000-0005-0000-0000-0000D11B0000}"/>
    <cellStyle name="40% - Accent5 4 2 2 4" xfId="7518" xr:uid="{00000000-0005-0000-0000-0000D21B0000}"/>
    <cellStyle name="40% - Accent5 4 2 2 4 2" xfId="7519" xr:uid="{00000000-0005-0000-0000-0000D31B0000}"/>
    <cellStyle name="40% - Accent5 4 2 2 4 3" xfId="7520" xr:uid="{00000000-0005-0000-0000-0000D41B0000}"/>
    <cellStyle name="40% - Accent5 4 2 2 5" xfId="7521" xr:uid="{00000000-0005-0000-0000-0000D51B0000}"/>
    <cellStyle name="40% - Accent5 4 2 2 5 2" xfId="7522" xr:uid="{00000000-0005-0000-0000-0000D61B0000}"/>
    <cellStyle name="40% - Accent5 4 2 2 6" xfId="7523" xr:uid="{00000000-0005-0000-0000-0000D71B0000}"/>
    <cellStyle name="40% - Accent5 4 2 2 7" xfId="7524" xr:uid="{00000000-0005-0000-0000-0000D81B0000}"/>
    <cellStyle name="40% - Accent5 4 2 2 8" xfId="7525" xr:uid="{00000000-0005-0000-0000-0000D91B0000}"/>
    <cellStyle name="40% - Accent5 4 2 2 9" xfId="7526" xr:uid="{00000000-0005-0000-0000-0000DA1B0000}"/>
    <cellStyle name="40% - Accent5 4 2 3" xfId="7527" xr:uid="{00000000-0005-0000-0000-0000DB1B0000}"/>
    <cellStyle name="40% - Accent5 4 2 3 2" xfId="7528" xr:uid="{00000000-0005-0000-0000-0000DC1B0000}"/>
    <cellStyle name="40% - Accent5 4 2 3 2 2" xfId="7529" xr:uid="{00000000-0005-0000-0000-0000DD1B0000}"/>
    <cellStyle name="40% - Accent5 4 2 3 2 3" xfId="7530" xr:uid="{00000000-0005-0000-0000-0000DE1B0000}"/>
    <cellStyle name="40% - Accent5 4 2 3 3" xfId="7531" xr:uid="{00000000-0005-0000-0000-0000DF1B0000}"/>
    <cellStyle name="40% - Accent5 4 2 3 3 2" xfId="7532" xr:uid="{00000000-0005-0000-0000-0000E01B0000}"/>
    <cellStyle name="40% - Accent5 4 2 3 4" xfId="7533" xr:uid="{00000000-0005-0000-0000-0000E11B0000}"/>
    <cellStyle name="40% - Accent5 4 2 4" xfId="7534" xr:uid="{00000000-0005-0000-0000-0000E21B0000}"/>
    <cellStyle name="40% - Accent5 4 2 4 2" xfId="7535" xr:uid="{00000000-0005-0000-0000-0000E31B0000}"/>
    <cellStyle name="40% - Accent5 4 2 4 3" xfId="7536" xr:uid="{00000000-0005-0000-0000-0000E41B0000}"/>
    <cellStyle name="40% - Accent5 4 2 5" xfId="7537" xr:uid="{00000000-0005-0000-0000-0000E51B0000}"/>
    <cellStyle name="40% - Accent5 4 2 5 2" xfId="7538" xr:uid="{00000000-0005-0000-0000-0000E61B0000}"/>
    <cellStyle name="40% - Accent5 4 2 5 3" xfId="7539" xr:uid="{00000000-0005-0000-0000-0000E71B0000}"/>
    <cellStyle name="40% - Accent5 4 2 6" xfId="7540" xr:uid="{00000000-0005-0000-0000-0000E81B0000}"/>
    <cellStyle name="40% - Accent5 4 2 7" xfId="7541" xr:uid="{00000000-0005-0000-0000-0000E91B0000}"/>
    <cellStyle name="40% - Accent5 4 2 8" xfId="7542" xr:uid="{00000000-0005-0000-0000-0000EA1B0000}"/>
    <cellStyle name="40% - Accent5 4 2 9" xfId="7543" xr:uid="{00000000-0005-0000-0000-0000EB1B0000}"/>
    <cellStyle name="40% - Accent5 4 3" xfId="7544" xr:uid="{00000000-0005-0000-0000-0000EC1B0000}"/>
    <cellStyle name="40% - Accent5 4 3 2" xfId="7545" xr:uid="{00000000-0005-0000-0000-0000ED1B0000}"/>
    <cellStyle name="40% - Accent5 4 3 2 2" xfId="7546" xr:uid="{00000000-0005-0000-0000-0000EE1B0000}"/>
    <cellStyle name="40% - Accent5 4 3 2 3" xfId="7547" xr:uid="{00000000-0005-0000-0000-0000EF1B0000}"/>
    <cellStyle name="40% - Accent5 4 3 3" xfId="7548" xr:uid="{00000000-0005-0000-0000-0000F01B0000}"/>
    <cellStyle name="40% - Accent5 4 3 3 2" xfId="7549" xr:uid="{00000000-0005-0000-0000-0000F11B0000}"/>
    <cellStyle name="40% - Accent5 4 3 3 3" xfId="7550" xr:uid="{00000000-0005-0000-0000-0000F21B0000}"/>
    <cellStyle name="40% - Accent5 4 3 4" xfId="7551" xr:uid="{00000000-0005-0000-0000-0000F31B0000}"/>
    <cellStyle name="40% - Accent5 4 3 4 2" xfId="7552" xr:uid="{00000000-0005-0000-0000-0000F41B0000}"/>
    <cellStyle name="40% - Accent5 4 3 5" xfId="7553" xr:uid="{00000000-0005-0000-0000-0000F51B0000}"/>
    <cellStyle name="40% - Accent5 4 3 6" xfId="7554" xr:uid="{00000000-0005-0000-0000-0000F61B0000}"/>
    <cellStyle name="40% - Accent5 4 3 7" xfId="7555" xr:uid="{00000000-0005-0000-0000-0000F71B0000}"/>
    <cellStyle name="40% - Accent5 4 3 8" xfId="7556" xr:uid="{00000000-0005-0000-0000-0000F81B0000}"/>
    <cellStyle name="40% - Accent5 4 4" xfId="7557" xr:uid="{00000000-0005-0000-0000-0000F91B0000}"/>
    <cellStyle name="40% - Accent5 4 4 2" xfId="7558" xr:uid="{00000000-0005-0000-0000-0000FA1B0000}"/>
    <cellStyle name="40% - Accent5 4 4 2 2" xfId="7559" xr:uid="{00000000-0005-0000-0000-0000FB1B0000}"/>
    <cellStyle name="40% - Accent5 4 4 2 3" xfId="7560" xr:uid="{00000000-0005-0000-0000-0000FC1B0000}"/>
    <cellStyle name="40% - Accent5 4 4 3" xfId="7561" xr:uid="{00000000-0005-0000-0000-0000FD1B0000}"/>
    <cellStyle name="40% - Accent5 4 4 3 2" xfId="7562" xr:uid="{00000000-0005-0000-0000-0000FE1B0000}"/>
    <cellStyle name="40% - Accent5 4 4 3 3" xfId="7563" xr:uid="{00000000-0005-0000-0000-0000FF1B0000}"/>
    <cellStyle name="40% - Accent5 4 4 4" xfId="7564" xr:uid="{00000000-0005-0000-0000-0000001C0000}"/>
    <cellStyle name="40% - Accent5 4 4 5" xfId="7565" xr:uid="{00000000-0005-0000-0000-0000011C0000}"/>
    <cellStyle name="40% - Accent5 4 4 6" xfId="7566" xr:uid="{00000000-0005-0000-0000-0000021C0000}"/>
    <cellStyle name="40% - Accent5 4 4 7" xfId="7567" xr:uid="{00000000-0005-0000-0000-0000031C0000}"/>
    <cellStyle name="40% - Accent5 4 4 8" xfId="7568" xr:uid="{00000000-0005-0000-0000-0000041C0000}"/>
    <cellStyle name="40% - Accent5 4 5" xfId="7569" xr:uid="{00000000-0005-0000-0000-0000051C0000}"/>
    <cellStyle name="40% - Accent5 4 5 2" xfId="7570" xr:uid="{00000000-0005-0000-0000-0000061C0000}"/>
    <cellStyle name="40% - Accent5 4 5 2 2" xfId="7571" xr:uid="{00000000-0005-0000-0000-0000071C0000}"/>
    <cellStyle name="40% - Accent5 4 5 2 3" xfId="7572" xr:uid="{00000000-0005-0000-0000-0000081C0000}"/>
    <cellStyle name="40% - Accent5 4 5 3" xfId="7573" xr:uid="{00000000-0005-0000-0000-0000091C0000}"/>
    <cellStyle name="40% - Accent5 4 5 3 2" xfId="7574" xr:uid="{00000000-0005-0000-0000-00000A1C0000}"/>
    <cellStyle name="40% - Accent5 4 5 4" xfId="7575" xr:uid="{00000000-0005-0000-0000-00000B1C0000}"/>
    <cellStyle name="40% - Accent5 4 6" xfId="7576" xr:uid="{00000000-0005-0000-0000-00000C1C0000}"/>
    <cellStyle name="40% - Accent5 4 6 2" xfId="7577" xr:uid="{00000000-0005-0000-0000-00000D1C0000}"/>
    <cellStyle name="40% - Accent5 4 6 3" xfId="7578" xr:uid="{00000000-0005-0000-0000-00000E1C0000}"/>
    <cellStyle name="40% - Accent5 4 7" xfId="7579" xr:uid="{00000000-0005-0000-0000-00000F1C0000}"/>
    <cellStyle name="40% - Accent5 4 7 2" xfId="7580" xr:uid="{00000000-0005-0000-0000-0000101C0000}"/>
    <cellStyle name="40% - Accent5 4 7 3" xfId="7581" xr:uid="{00000000-0005-0000-0000-0000111C0000}"/>
    <cellStyle name="40% - Accent5 4 8" xfId="7582" xr:uid="{00000000-0005-0000-0000-0000121C0000}"/>
    <cellStyle name="40% - Accent5 4 8 2" xfId="7583" xr:uid="{00000000-0005-0000-0000-0000131C0000}"/>
    <cellStyle name="40% - Accent5 4 8 3" xfId="7584" xr:uid="{00000000-0005-0000-0000-0000141C0000}"/>
    <cellStyle name="40% - Accent5 4 9" xfId="7585" xr:uid="{00000000-0005-0000-0000-0000151C0000}"/>
    <cellStyle name="40% - Accent5 5" xfId="7586" xr:uid="{00000000-0005-0000-0000-0000161C0000}"/>
    <cellStyle name="40% - Accent5 5 10" xfId="7587" xr:uid="{00000000-0005-0000-0000-0000171C0000}"/>
    <cellStyle name="40% - Accent5 5 11" xfId="7588" xr:uid="{00000000-0005-0000-0000-0000181C0000}"/>
    <cellStyle name="40% - Accent5 5 12" xfId="7589" xr:uid="{00000000-0005-0000-0000-0000191C0000}"/>
    <cellStyle name="40% - Accent5 5 2" xfId="7590" xr:uid="{00000000-0005-0000-0000-00001A1C0000}"/>
    <cellStyle name="40% - Accent5 5 2 2" xfId="7591" xr:uid="{00000000-0005-0000-0000-00001B1C0000}"/>
    <cellStyle name="40% - Accent5 5 2 2 2" xfId="7592" xr:uid="{00000000-0005-0000-0000-00001C1C0000}"/>
    <cellStyle name="40% - Accent5 5 2 2 2 2" xfId="7593" xr:uid="{00000000-0005-0000-0000-00001D1C0000}"/>
    <cellStyle name="40% - Accent5 5 2 2 2 2 2" xfId="7594" xr:uid="{00000000-0005-0000-0000-00001E1C0000}"/>
    <cellStyle name="40% - Accent5 5 2 2 2 2 3" xfId="7595" xr:uid="{00000000-0005-0000-0000-00001F1C0000}"/>
    <cellStyle name="40% - Accent5 5 2 2 2 3" xfId="7596" xr:uid="{00000000-0005-0000-0000-0000201C0000}"/>
    <cellStyle name="40% - Accent5 5 2 2 2 3 2" xfId="7597" xr:uid="{00000000-0005-0000-0000-0000211C0000}"/>
    <cellStyle name="40% - Accent5 5 2 2 2 3 3" xfId="7598" xr:uid="{00000000-0005-0000-0000-0000221C0000}"/>
    <cellStyle name="40% - Accent5 5 2 2 2 4" xfId="7599" xr:uid="{00000000-0005-0000-0000-0000231C0000}"/>
    <cellStyle name="40% - Accent5 5 2 2 2 5" xfId="7600" xr:uid="{00000000-0005-0000-0000-0000241C0000}"/>
    <cellStyle name="40% - Accent5 5 2 2 2 6" xfId="7601" xr:uid="{00000000-0005-0000-0000-0000251C0000}"/>
    <cellStyle name="40% - Accent5 5 2 2 2 7" xfId="7602" xr:uid="{00000000-0005-0000-0000-0000261C0000}"/>
    <cellStyle name="40% - Accent5 5 2 2 2 8" xfId="7603" xr:uid="{00000000-0005-0000-0000-0000271C0000}"/>
    <cellStyle name="40% - Accent5 5 2 2 3" xfId="7604" xr:uid="{00000000-0005-0000-0000-0000281C0000}"/>
    <cellStyle name="40% - Accent5 5 2 2 3 2" xfId="7605" xr:uid="{00000000-0005-0000-0000-0000291C0000}"/>
    <cellStyle name="40% - Accent5 5 2 2 3 3" xfId="7606" xr:uid="{00000000-0005-0000-0000-00002A1C0000}"/>
    <cellStyle name="40% - Accent5 5 2 2 4" xfId="7607" xr:uid="{00000000-0005-0000-0000-00002B1C0000}"/>
    <cellStyle name="40% - Accent5 5 2 2 4 2" xfId="7608" xr:uid="{00000000-0005-0000-0000-00002C1C0000}"/>
    <cellStyle name="40% - Accent5 5 2 2 4 3" xfId="7609" xr:uid="{00000000-0005-0000-0000-00002D1C0000}"/>
    <cellStyle name="40% - Accent5 5 2 2 5" xfId="7610" xr:uid="{00000000-0005-0000-0000-00002E1C0000}"/>
    <cellStyle name="40% - Accent5 5 2 2 5 2" xfId="7611" xr:uid="{00000000-0005-0000-0000-00002F1C0000}"/>
    <cellStyle name="40% - Accent5 5 2 2 6" xfId="7612" xr:uid="{00000000-0005-0000-0000-0000301C0000}"/>
    <cellStyle name="40% - Accent5 5 2 2 7" xfId="7613" xr:uid="{00000000-0005-0000-0000-0000311C0000}"/>
    <cellStyle name="40% - Accent5 5 2 2 8" xfId="7614" xr:uid="{00000000-0005-0000-0000-0000321C0000}"/>
    <cellStyle name="40% - Accent5 5 2 2 9" xfId="7615" xr:uid="{00000000-0005-0000-0000-0000331C0000}"/>
    <cellStyle name="40% - Accent5 5 2 3" xfId="7616" xr:uid="{00000000-0005-0000-0000-0000341C0000}"/>
    <cellStyle name="40% - Accent5 5 2 3 2" xfId="7617" xr:uid="{00000000-0005-0000-0000-0000351C0000}"/>
    <cellStyle name="40% - Accent5 5 2 3 2 2" xfId="7618" xr:uid="{00000000-0005-0000-0000-0000361C0000}"/>
    <cellStyle name="40% - Accent5 5 2 3 2 3" xfId="7619" xr:uid="{00000000-0005-0000-0000-0000371C0000}"/>
    <cellStyle name="40% - Accent5 5 2 3 3" xfId="7620" xr:uid="{00000000-0005-0000-0000-0000381C0000}"/>
    <cellStyle name="40% - Accent5 5 2 3 3 2" xfId="7621" xr:uid="{00000000-0005-0000-0000-0000391C0000}"/>
    <cellStyle name="40% - Accent5 5 2 3 4" xfId="7622" xr:uid="{00000000-0005-0000-0000-00003A1C0000}"/>
    <cellStyle name="40% - Accent5 5 2 4" xfId="7623" xr:uid="{00000000-0005-0000-0000-00003B1C0000}"/>
    <cellStyle name="40% - Accent5 5 2 5" xfId="7624" xr:uid="{00000000-0005-0000-0000-00003C1C0000}"/>
    <cellStyle name="40% - Accent5 5 2_Dec monthly report" xfId="7625" xr:uid="{00000000-0005-0000-0000-00003D1C0000}"/>
    <cellStyle name="40% - Accent5 5 3" xfId="7626" xr:uid="{00000000-0005-0000-0000-00003E1C0000}"/>
    <cellStyle name="40% - Accent5 5 3 2" xfId="7627" xr:uid="{00000000-0005-0000-0000-00003F1C0000}"/>
    <cellStyle name="40% - Accent5 5 3 2 2" xfId="7628" xr:uid="{00000000-0005-0000-0000-0000401C0000}"/>
    <cellStyle name="40% - Accent5 5 3 2 3" xfId="7629" xr:uid="{00000000-0005-0000-0000-0000411C0000}"/>
    <cellStyle name="40% - Accent5 5 3 3" xfId="7630" xr:uid="{00000000-0005-0000-0000-0000421C0000}"/>
    <cellStyle name="40% - Accent5 5 3 3 2" xfId="7631" xr:uid="{00000000-0005-0000-0000-0000431C0000}"/>
    <cellStyle name="40% - Accent5 5 3 3 3" xfId="7632" xr:uid="{00000000-0005-0000-0000-0000441C0000}"/>
    <cellStyle name="40% - Accent5 5 3 4" xfId="7633" xr:uid="{00000000-0005-0000-0000-0000451C0000}"/>
    <cellStyle name="40% - Accent5 5 3 4 2" xfId="7634" xr:uid="{00000000-0005-0000-0000-0000461C0000}"/>
    <cellStyle name="40% - Accent5 5 3 5" xfId="7635" xr:uid="{00000000-0005-0000-0000-0000471C0000}"/>
    <cellStyle name="40% - Accent5 5 3 6" xfId="7636" xr:uid="{00000000-0005-0000-0000-0000481C0000}"/>
    <cellStyle name="40% - Accent5 5 3 7" xfId="7637" xr:uid="{00000000-0005-0000-0000-0000491C0000}"/>
    <cellStyle name="40% - Accent5 5 3 8" xfId="7638" xr:uid="{00000000-0005-0000-0000-00004A1C0000}"/>
    <cellStyle name="40% - Accent5 5 4" xfId="7639" xr:uid="{00000000-0005-0000-0000-00004B1C0000}"/>
    <cellStyle name="40% - Accent5 5 4 2" xfId="7640" xr:uid="{00000000-0005-0000-0000-00004C1C0000}"/>
    <cellStyle name="40% - Accent5 5 4 2 2" xfId="7641" xr:uid="{00000000-0005-0000-0000-00004D1C0000}"/>
    <cellStyle name="40% - Accent5 5 4 2 3" xfId="7642" xr:uid="{00000000-0005-0000-0000-00004E1C0000}"/>
    <cellStyle name="40% - Accent5 5 4 3" xfId="7643" xr:uid="{00000000-0005-0000-0000-00004F1C0000}"/>
    <cellStyle name="40% - Accent5 5 4 3 2" xfId="7644" xr:uid="{00000000-0005-0000-0000-0000501C0000}"/>
    <cellStyle name="40% - Accent5 5 4 3 3" xfId="7645" xr:uid="{00000000-0005-0000-0000-0000511C0000}"/>
    <cellStyle name="40% - Accent5 5 4 4" xfId="7646" xr:uid="{00000000-0005-0000-0000-0000521C0000}"/>
    <cellStyle name="40% - Accent5 5 4 5" xfId="7647" xr:uid="{00000000-0005-0000-0000-0000531C0000}"/>
    <cellStyle name="40% - Accent5 5 4 6" xfId="7648" xr:uid="{00000000-0005-0000-0000-0000541C0000}"/>
    <cellStyle name="40% - Accent5 5 4 7" xfId="7649" xr:uid="{00000000-0005-0000-0000-0000551C0000}"/>
    <cellStyle name="40% - Accent5 5 4 8" xfId="7650" xr:uid="{00000000-0005-0000-0000-0000561C0000}"/>
    <cellStyle name="40% - Accent5 5 5" xfId="7651" xr:uid="{00000000-0005-0000-0000-0000571C0000}"/>
    <cellStyle name="40% - Accent5 5 5 2" xfId="7652" xr:uid="{00000000-0005-0000-0000-0000581C0000}"/>
    <cellStyle name="40% - Accent5 5 5 3" xfId="7653" xr:uid="{00000000-0005-0000-0000-0000591C0000}"/>
    <cellStyle name="40% - Accent5 5 6" xfId="7654" xr:uid="{00000000-0005-0000-0000-00005A1C0000}"/>
    <cellStyle name="40% - Accent5 5 6 2" xfId="7655" xr:uid="{00000000-0005-0000-0000-00005B1C0000}"/>
    <cellStyle name="40% - Accent5 5 6 3" xfId="7656" xr:uid="{00000000-0005-0000-0000-00005C1C0000}"/>
    <cellStyle name="40% - Accent5 5 7" xfId="7657" xr:uid="{00000000-0005-0000-0000-00005D1C0000}"/>
    <cellStyle name="40% - Accent5 5 7 2" xfId="7658" xr:uid="{00000000-0005-0000-0000-00005E1C0000}"/>
    <cellStyle name="40% - Accent5 5 7 3" xfId="7659" xr:uid="{00000000-0005-0000-0000-00005F1C0000}"/>
    <cellStyle name="40% - Accent5 5 8" xfId="7660" xr:uid="{00000000-0005-0000-0000-0000601C0000}"/>
    <cellStyle name="40% - Accent5 5 9" xfId="7661" xr:uid="{00000000-0005-0000-0000-0000611C0000}"/>
    <cellStyle name="40% - Accent5 6" xfId="7662" xr:uid="{00000000-0005-0000-0000-0000621C0000}"/>
    <cellStyle name="40% - Accent5 6 2" xfId="7663" xr:uid="{00000000-0005-0000-0000-0000631C0000}"/>
    <cellStyle name="40% - Accent5 6 2 2" xfId="7664" xr:uid="{00000000-0005-0000-0000-0000641C0000}"/>
    <cellStyle name="40% - Accent5 6 2 2 2" xfId="7665" xr:uid="{00000000-0005-0000-0000-0000651C0000}"/>
    <cellStyle name="40% - Accent5 6 2 2 2 2" xfId="7666" xr:uid="{00000000-0005-0000-0000-0000661C0000}"/>
    <cellStyle name="40% - Accent5 6 2 2 2 3" xfId="7667" xr:uid="{00000000-0005-0000-0000-0000671C0000}"/>
    <cellStyle name="40% - Accent5 6 2 2 3" xfId="7668" xr:uid="{00000000-0005-0000-0000-0000681C0000}"/>
    <cellStyle name="40% - Accent5 6 2 2 3 2" xfId="7669" xr:uid="{00000000-0005-0000-0000-0000691C0000}"/>
    <cellStyle name="40% - Accent5 6 2 2 3 3" xfId="7670" xr:uid="{00000000-0005-0000-0000-00006A1C0000}"/>
    <cellStyle name="40% - Accent5 6 2 2 4" xfId="7671" xr:uid="{00000000-0005-0000-0000-00006B1C0000}"/>
    <cellStyle name="40% - Accent5 6 2 2 5" xfId="7672" xr:uid="{00000000-0005-0000-0000-00006C1C0000}"/>
    <cellStyle name="40% - Accent5 6 2 2 6" xfId="7673" xr:uid="{00000000-0005-0000-0000-00006D1C0000}"/>
    <cellStyle name="40% - Accent5 6 2 2 7" xfId="7674" xr:uid="{00000000-0005-0000-0000-00006E1C0000}"/>
    <cellStyle name="40% - Accent5 6 2 2 8" xfId="7675" xr:uid="{00000000-0005-0000-0000-00006F1C0000}"/>
    <cellStyle name="40% - Accent5 6 2 3" xfId="7676" xr:uid="{00000000-0005-0000-0000-0000701C0000}"/>
    <cellStyle name="40% - Accent5 6 2 3 2" xfId="7677" xr:uid="{00000000-0005-0000-0000-0000711C0000}"/>
    <cellStyle name="40% - Accent5 6 2 3 3" xfId="7678" xr:uid="{00000000-0005-0000-0000-0000721C0000}"/>
    <cellStyle name="40% - Accent5 6 2 4" xfId="7679" xr:uid="{00000000-0005-0000-0000-0000731C0000}"/>
    <cellStyle name="40% - Accent5 6 2 4 2" xfId="7680" xr:uid="{00000000-0005-0000-0000-0000741C0000}"/>
    <cellStyle name="40% - Accent5 6 2 4 3" xfId="7681" xr:uid="{00000000-0005-0000-0000-0000751C0000}"/>
    <cellStyle name="40% - Accent5 6 2 5" xfId="7682" xr:uid="{00000000-0005-0000-0000-0000761C0000}"/>
    <cellStyle name="40% - Accent5 6 2 5 2" xfId="7683" xr:uid="{00000000-0005-0000-0000-0000771C0000}"/>
    <cellStyle name="40% - Accent5 6 2 6" xfId="7684" xr:uid="{00000000-0005-0000-0000-0000781C0000}"/>
    <cellStyle name="40% - Accent5 6 2 7" xfId="7685" xr:uid="{00000000-0005-0000-0000-0000791C0000}"/>
    <cellStyle name="40% - Accent5 6 2 8" xfId="7686" xr:uid="{00000000-0005-0000-0000-00007A1C0000}"/>
    <cellStyle name="40% - Accent5 6 2 9" xfId="7687" xr:uid="{00000000-0005-0000-0000-00007B1C0000}"/>
    <cellStyle name="40% - Accent5 6 3" xfId="7688" xr:uid="{00000000-0005-0000-0000-00007C1C0000}"/>
    <cellStyle name="40% - Accent5 6 3 2" xfId="7689" xr:uid="{00000000-0005-0000-0000-00007D1C0000}"/>
    <cellStyle name="40% - Accent5 6 3 2 2" xfId="7690" xr:uid="{00000000-0005-0000-0000-00007E1C0000}"/>
    <cellStyle name="40% - Accent5 6 3 2 3" xfId="7691" xr:uid="{00000000-0005-0000-0000-00007F1C0000}"/>
    <cellStyle name="40% - Accent5 6 3 3" xfId="7692" xr:uid="{00000000-0005-0000-0000-0000801C0000}"/>
    <cellStyle name="40% - Accent5 6 3 3 2" xfId="7693" xr:uid="{00000000-0005-0000-0000-0000811C0000}"/>
    <cellStyle name="40% - Accent5 6 3 4" xfId="7694" xr:uid="{00000000-0005-0000-0000-0000821C0000}"/>
    <cellStyle name="40% - Accent5 6 4" xfId="7695" xr:uid="{00000000-0005-0000-0000-0000831C0000}"/>
    <cellStyle name="40% - Accent5 6 5" xfId="7696" xr:uid="{00000000-0005-0000-0000-0000841C0000}"/>
    <cellStyle name="40% - Accent5 6_Dec monthly report" xfId="7697" xr:uid="{00000000-0005-0000-0000-0000851C0000}"/>
    <cellStyle name="40% - Accent5 7" xfId="7698" xr:uid="{00000000-0005-0000-0000-0000861C0000}"/>
    <cellStyle name="40% - Accent5 7 2" xfId="7699" xr:uid="{00000000-0005-0000-0000-0000871C0000}"/>
    <cellStyle name="40% - Accent5 7 3" xfId="7700" xr:uid="{00000000-0005-0000-0000-0000881C0000}"/>
    <cellStyle name="40% - Accent5 7 4" xfId="7701" xr:uid="{00000000-0005-0000-0000-0000891C0000}"/>
    <cellStyle name="40% - Accent5 8" xfId="7702" xr:uid="{00000000-0005-0000-0000-00008A1C0000}"/>
    <cellStyle name="40% - Accent5 8 2" xfId="7703" xr:uid="{00000000-0005-0000-0000-00008B1C0000}"/>
    <cellStyle name="40% - Accent5 8 2 2" xfId="7704" xr:uid="{00000000-0005-0000-0000-00008C1C0000}"/>
    <cellStyle name="40% - Accent5 8 2 3" xfId="7705" xr:uid="{00000000-0005-0000-0000-00008D1C0000}"/>
    <cellStyle name="40% - Accent5 8 2 3 2" xfId="7706" xr:uid="{00000000-0005-0000-0000-00008E1C0000}"/>
    <cellStyle name="40% - Accent5 8 3" xfId="7707" xr:uid="{00000000-0005-0000-0000-00008F1C0000}"/>
    <cellStyle name="40% - Accent5 8 3 2" xfId="7708" xr:uid="{00000000-0005-0000-0000-0000901C0000}"/>
    <cellStyle name="40% - Accent5 8 3 3" xfId="7709" xr:uid="{00000000-0005-0000-0000-0000911C0000}"/>
    <cellStyle name="40% - Accent5 8 4" xfId="7710" xr:uid="{00000000-0005-0000-0000-0000921C0000}"/>
    <cellStyle name="40% - Accent5 8 4 2" xfId="7711" xr:uid="{00000000-0005-0000-0000-0000931C0000}"/>
    <cellStyle name="40% - Accent5 8 5" xfId="7712" xr:uid="{00000000-0005-0000-0000-0000941C0000}"/>
    <cellStyle name="40% - Accent5 8 6" xfId="7713" xr:uid="{00000000-0005-0000-0000-0000951C0000}"/>
    <cellStyle name="40% - Accent5 8 7" xfId="7714" xr:uid="{00000000-0005-0000-0000-0000961C0000}"/>
    <cellStyle name="40% - Accent5 8 8" xfId="7715" xr:uid="{00000000-0005-0000-0000-0000971C0000}"/>
    <cellStyle name="40% - Accent5 9" xfId="7716" xr:uid="{00000000-0005-0000-0000-0000981C0000}"/>
    <cellStyle name="40% - Accent5 9 2" xfId="7717" xr:uid="{00000000-0005-0000-0000-0000991C0000}"/>
    <cellStyle name="40% - Accent5 9 2 2" xfId="7718" xr:uid="{00000000-0005-0000-0000-00009A1C0000}"/>
    <cellStyle name="40% - Accent5 9 2 3" xfId="7719" xr:uid="{00000000-0005-0000-0000-00009B1C0000}"/>
    <cellStyle name="40% - Accent5 9 3" xfId="7720" xr:uid="{00000000-0005-0000-0000-00009C1C0000}"/>
    <cellStyle name="40% - Accent5 9 3 2" xfId="7721" xr:uid="{00000000-0005-0000-0000-00009D1C0000}"/>
    <cellStyle name="40% - Accent5 9 3 3" xfId="7722" xr:uid="{00000000-0005-0000-0000-00009E1C0000}"/>
    <cellStyle name="40% - Accent5 9 4" xfId="7723" xr:uid="{00000000-0005-0000-0000-00009F1C0000}"/>
    <cellStyle name="40% - Accent5 9 4 2" xfId="7724" xr:uid="{00000000-0005-0000-0000-0000A01C0000}"/>
    <cellStyle name="40% - Accent5 9 5" xfId="7725" xr:uid="{00000000-0005-0000-0000-0000A11C0000}"/>
    <cellStyle name="40% - Accent5 9 6" xfId="7726" xr:uid="{00000000-0005-0000-0000-0000A21C0000}"/>
    <cellStyle name="40% - Accent5 9 7" xfId="7727" xr:uid="{00000000-0005-0000-0000-0000A31C0000}"/>
    <cellStyle name="40% - Accent5 9 8" xfId="7728" xr:uid="{00000000-0005-0000-0000-0000A41C0000}"/>
    <cellStyle name="40% - Accent6 10" xfId="7729" xr:uid="{00000000-0005-0000-0000-0000A51C0000}"/>
    <cellStyle name="40% - Accent6 10 2" xfId="7730" xr:uid="{00000000-0005-0000-0000-0000A61C0000}"/>
    <cellStyle name="40% - Accent6 10 2 2" xfId="7731" xr:uid="{00000000-0005-0000-0000-0000A71C0000}"/>
    <cellStyle name="40% - Accent6 10 2 3" xfId="7732" xr:uid="{00000000-0005-0000-0000-0000A81C0000}"/>
    <cellStyle name="40% - Accent6 10 3" xfId="7733" xr:uid="{00000000-0005-0000-0000-0000A91C0000}"/>
    <cellStyle name="40% - Accent6 10 4" xfId="7734" xr:uid="{00000000-0005-0000-0000-0000AA1C0000}"/>
    <cellStyle name="40% - Accent6 10 4 2" xfId="7735" xr:uid="{00000000-0005-0000-0000-0000AB1C0000}"/>
    <cellStyle name="40% - Accent6 10 5" xfId="7736" xr:uid="{00000000-0005-0000-0000-0000AC1C0000}"/>
    <cellStyle name="40% - Accent6 11" xfId="7737" xr:uid="{00000000-0005-0000-0000-0000AD1C0000}"/>
    <cellStyle name="40% - Accent6 11 2" xfId="7738" xr:uid="{00000000-0005-0000-0000-0000AE1C0000}"/>
    <cellStyle name="40% - Accent6 11 3" xfId="7739" xr:uid="{00000000-0005-0000-0000-0000AF1C0000}"/>
    <cellStyle name="40% - Accent6 11 3 2" xfId="7740" xr:uid="{00000000-0005-0000-0000-0000B01C0000}"/>
    <cellStyle name="40% - Accent6 12" xfId="7741" xr:uid="{00000000-0005-0000-0000-0000B11C0000}"/>
    <cellStyle name="40% - Accent6 12 2" xfId="7742" xr:uid="{00000000-0005-0000-0000-0000B21C0000}"/>
    <cellStyle name="40% - Accent6 12 3" xfId="7743" xr:uid="{00000000-0005-0000-0000-0000B31C0000}"/>
    <cellStyle name="40% - Accent6 13" xfId="7744" xr:uid="{00000000-0005-0000-0000-0000B41C0000}"/>
    <cellStyle name="40% - Accent6 13 2" xfId="7745" xr:uid="{00000000-0005-0000-0000-0000B51C0000}"/>
    <cellStyle name="40% - Accent6 13 3" xfId="7746" xr:uid="{00000000-0005-0000-0000-0000B61C0000}"/>
    <cellStyle name="40% - Accent6 14" xfId="7747" xr:uid="{00000000-0005-0000-0000-0000B71C0000}"/>
    <cellStyle name="40% - Accent6 14 2" xfId="7748" xr:uid="{00000000-0005-0000-0000-0000B81C0000}"/>
    <cellStyle name="40% - Accent6 14 3" xfId="7749" xr:uid="{00000000-0005-0000-0000-0000B91C0000}"/>
    <cellStyle name="40% - Accent6 15" xfId="7750" xr:uid="{00000000-0005-0000-0000-0000BA1C0000}"/>
    <cellStyle name="40% - Accent6 15 2" xfId="7751" xr:uid="{00000000-0005-0000-0000-0000BB1C0000}"/>
    <cellStyle name="40% - Accent6 15 3" xfId="7752" xr:uid="{00000000-0005-0000-0000-0000BC1C0000}"/>
    <cellStyle name="40% - Accent6 16" xfId="7753" xr:uid="{00000000-0005-0000-0000-0000BD1C0000}"/>
    <cellStyle name="40% - Accent6 16 2" xfId="7754" xr:uid="{00000000-0005-0000-0000-0000BE1C0000}"/>
    <cellStyle name="40% - Accent6 16 3" xfId="7755" xr:uid="{00000000-0005-0000-0000-0000BF1C0000}"/>
    <cellStyle name="40% - Accent6 17" xfId="7756" xr:uid="{00000000-0005-0000-0000-0000C01C0000}"/>
    <cellStyle name="40% - Accent6 17 2" xfId="7757" xr:uid="{00000000-0005-0000-0000-0000C11C0000}"/>
    <cellStyle name="40% - Accent6 17 3" xfId="7758" xr:uid="{00000000-0005-0000-0000-0000C21C0000}"/>
    <cellStyle name="40% - Accent6 18" xfId="7759" xr:uid="{00000000-0005-0000-0000-0000C31C0000}"/>
    <cellStyle name="40% - Accent6 18 2" xfId="7760" xr:uid="{00000000-0005-0000-0000-0000C41C0000}"/>
    <cellStyle name="40% - Accent6 18 3" xfId="7761" xr:uid="{00000000-0005-0000-0000-0000C51C0000}"/>
    <cellStyle name="40% - Accent6 19" xfId="7762" xr:uid="{00000000-0005-0000-0000-0000C61C0000}"/>
    <cellStyle name="40% - Accent6 19 2" xfId="7763" xr:uid="{00000000-0005-0000-0000-0000C71C0000}"/>
    <cellStyle name="40% - Accent6 19 3" xfId="7764" xr:uid="{00000000-0005-0000-0000-0000C81C0000}"/>
    <cellStyle name="40% - Accent6 2" xfId="7765" xr:uid="{00000000-0005-0000-0000-0000C91C0000}"/>
    <cellStyle name="40% - Accent6 2 10" xfId="7766" xr:uid="{00000000-0005-0000-0000-0000CA1C0000}"/>
    <cellStyle name="40% - Accent6 2 10 2" xfId="7767" xr:uid="{00000000-0005-0000-0000-0000CB1C0000}"/>
    <cellStyle name="40% - Accent6 2 10 3" xfId="7768" xr:uid="{00000000-0005-0000-0000-0000CC1C0000}"/>
    <cellStyle name="40% - Accent6 2 11" xfId="7769" xr:uid="{00000000-0005-0000-0000-0000CD1C0000}"/>
    <cellStyle name="40% - Accent6 2 11 2" xfId="7770" xr:uid="{00000000-0005-0000-0000-0000CE1C0000}"/>
    <cellStyle name="40% - Accent6 2 11 3" xfId="7771" xr:uid="{00000000-0005-0000-0000-0000CF1C0000}"/>
    <cellStyle name="40% - Accent6 2 12" xfId="7772" xr:uid="{00000000-0005-0000-0000-0000D01C0000}"/>
    <cellStyle name="40% - Accent6 2 12 2" xfId="7773" xr:uid="{00000000-0005-0000-0000-0000D11C0000}"/>
    <cellStyle name="40% - Accent6 2 12 3" xfId="7774" xr:uid="{00000000-0005-0000-0000-0000D21C0000}"/>
    <cellStyle name="40% - Accent6 2 13" xfId="7775" xr:uid="{00000000-0005-0000-0000-0000D31C0000}"/>
    <cellStyle name="40% - Accent6 2 14" xfId="7776" xr:uid="{00000000-0005-0000-0000-0000D41C0000}"/>
    <cellStyle name="40% - Accent6 2 2" xfId="7777" xr:uid="{00000000-0005-0000-0000-0000D51C0000}"/>
    <cellStyle name="40% - Accent6 2 2 2" xfId="7778" xr:uid="{00000000-0005-0000-0000-0000D61C0000}"/>
    <cellStyle name="40% - Accent6 2 2 2 2" xfId="7779" xr:uid="{00000000-0005-0000-0000-0000D71C0000}"/>
    <cellStyle name="40% - Accent6 2 2 2 3" xfId="7780" xr:uid="{00000000-0005-0000-0000-0000D81C0000}"/>
    <cellStyle name="40% - Accent6 2 2 2 4" xfId="7781" xr:uid="{00000000-0005-0000-0000-0000D91C0000}"/>
    <cellStyle name="40% - Accent6 2 2 3" xfId="7782" xr:uid="{00000000-0005-0000-0000-0000DA1C0000}"/>
    <cellStyle name="40% - Accent6 2 2 3 2" xfId="7783" xr:uid="{00000000-0005-0000-0000-0000DB1C0000}"/>
    <cellStyle name="40% - Accent6 2 2 3 3" xfId="7784" xr:uid="{00000000-0005-0000-0000-0000DC1C0000}"/>
    <cellStyle name="40% - Accent6 2 2 4" xfId="7785" xr:uid="{00000000-0005-0000-0000-0000DD1C0000}"/>
    <cellStyle name="40% - Accent6 2 2 4 2" xfId="7786" xr:uid="{00000000-0005-0000-0000-0000DE1C0000}"/>
    <cellStyle name="40% - Accent6 2 2 4 3" xfId="7787" xr:uid="{00000000-0005-0000-0000-0000DF1C0000}"/>
    <cellStyle name="40% - Accent6 2 2 5" xfId="7788" xr:uid="{00000000-0005-0000-0000-0000E01C0000}"/>
    <cellStyle name="40% - Accent6 2 2 6" xfId="7789" xr:uid="{00000000-0005-0000-0000-0000E11C0000}"/>
    <cellStyle name="40% - Accent6 2 2 7" xfId="7790" xr:uid="{00000000-0005-0000-0000-0000E21C0000}"/>
    <cellStyle name="40% - Accent6 2 2 8" xfId="7791" xr:uid="{00000000-0005-0000-0000-0000E31C0000}"/>
    <cellStyle name="40% - Accent6 2 2_Dec monthly report" xfId="7792" xr:uid="{00000000-0005-0000-0000-0000E41C0000}"/>
    <cellStyle name="40% - Accent6 2 3" xfId="7793" xr:uid="{00000000-0005-0000-0000-0000E51C0000}"/>
    <cellStyle name="40% - Accent6 2 3 10" xfId="7794" xr:uid="{00000000-0005-0000-0000-0000E61C0000}"/>
    <cellStyle name="40% - Accent6 2 3 11" xfId="7795" xr:uid="{00000000-0005-0000-0000-0000E71C0000}"/>
    <cellStyle name="40% - Accent6 2 3 2" xfId="7796" xr:uid="{00000000-0005-0000-0000-0000E81C0000}"/>
    <cellStyle name="40% - Accent6 2 3 2 10" xfId="7797" xr:uid="{00000000-0005-0000-0000-0000E91C0000}"/>
    <cellStyle name="40% - Accent6 2 3 2 2" xfId="7798" xr:uid="{00000000-0005-0000-0000-0000EA1C0000}"/>
    <cellStyle name="40% - Accent6 2 3 2 2 2" xfId="7799" xr:uid="{00000000-0005-0000-0000-0000EB1C0000}"/>
    <cellStyle name="40% - Accent6 2 3 2 2 2 2" xfId="7800" xr:uid="{00000000-0005-0000-0000-0000EC1C0000}"/>
    <cellStyle name="40% - Accent6 2 3 2 2 2 3" xfId="7801" xr:uid="{00000000-0005-0000-0000-0000ED1C0000}"/>
    <cellStyle name="40% - Accent6 2 3 2 2 3" xfId="7802" xr:uid="{00000000-0005-0000-0000-0000EE1C0000}"/>
    <cellStyle name="40% - Accent6 2 3 2 2 3 2" xfId="7803" xr:uid="{00000000-0005-0000-0000-0000EF1C0000}"/>
    <cellStyle name="40% - Accent6 2 3 2 2 3 3" xfId="7804" xr:uid="{00000000-0005-0000-0000-0000F01C0000}"/>
    <cellStyle name="40% - Accent6 2 3 2 2 4" xfId="7805" xr:uid="{00000000-0005-0000-0000-0000F11C0000}"/>
    <cellStyle name="40% - Accent6 2 3 2 2 5" xfId="7806" xr:uid="{00000000-0005-0000-0000-0000F21C0000}"/>
    <cellStyle name="40% - Accent6 2 3 2 2 6" xfId="7807" xr:uid="{00000000-0005-0000-0000-0000F31C0000}"/>
    <cellStyle name="40% - Accent6 2 3 2 2 7" xfId="7808" xr:uid="{00000000-0005-0000-0000-0000F41C0000}"/>
    <cellStyle name="40% - Accent6 2 3 2 2 8" xfId="7809" xr:uid="{00000000-0005-0000-0000-0000F51C0000}"/>
    <cellStyle name="40% - Accent6 2 3 2 3" xfId="7810" xr:uid="{00000000-0005-0000-0000-0000F61C0000}"/>
    <cellStyle name="40% - Accent6 2 3 2 3 2" xfId="7811" xr:uid="{00000000-0005-0000-0000-0000F71C0000}"/>
    <cellStyle name="40% - Accent6 2 3 2 3 2 2" xfId="7812" xr:uid="{00000000-0005-0000-0000-0000F81C0000}"/>
    <cellStyle name="40% - Accent6 2 3 2 3 2 3" xfId="7813" xr:uid="{00000000-0005-0000-0000-0000F91C0000}"/>
    <cellStyle name="40% - Accent6 2 3 2 3 3" xfId="7814" xr:uid="{00000000-0005-0000-0000-0000FA1C0000}"/>
    <cellStyle name="40% - Accent6 2 3 2 3 3 2" xfId="7815" xr:uid="{00000000-0005-0000-0000-0000FB1C0000}"/>
    <cellStyle name="40% - Accent6 2 3 2 3 4" xfId="7816" xr:uid="{00000000-0005-0000-0000-0000FC1C0000}"/>
    <cellStyle name="40% - Accent6 2 3 2 4" xfId="7817" xr:uid="{00000000-0005-0000-0000-0000FD1C0000}"/>
    <cellStyle name="40% - Accent6 2 3 2 4 2" xfId="7818" xr:uid="{00000000-0005-0000-0000-0000FE1C0000}"/>
    <cellStyle name="40% - Accent6 2 3 2 4 3" xfId="7819" xr:uid="{00000000-0005-0000-0000-0000FF1C0000}"/>
    <cellStyle name="40% - Accent6 2 3 2 5" xfId="7820" xr:uid="{00000000-0005-0000-0000-0000001D0000}"/>
    <cellStyle name="40% - Accent6 2 3 2 5 2" xfId="7821" xr:uid="{00000000-0005-0000-0000-0000011D0000}"/>
    <cellStyle name="40% - Accent6 2 3 2 5 3" xfId="7822" xr:uid="{00000000-0005-0000-0000-0000021D0000}"/>
    <cellStyle name="40% - Accent6 2 3 2 6" xfId="7823" xr:uid="{00000000-0005-0000-0000-0000031D0000}"/>
    <cellStyle name="40% - Accent6 2 3 2 6 2" xfId="7824" xr:uid="{00000000-0005-0000-0000-0000041D0000}"/>
    <cellStyle name="40% - Accent6 2 3 2 7" xfId="7825" xr:uid="{00000000-0005-0000-0000-0000051D0000}"/>
    <cellStyle name="40% - Accent6 2 3 2 8" xfId="7826" xr:uid="{00000000-0005-0000-0000-0000061D0000}"/>
    <cellStyle name="40% - Accent6 2 3 2 9" xfId="7827" xr:uid="{00000000-0005-0000-0000-0000071D0000}"/>
    <cellStyle name="40% - Accent6 2 3 3" xfId="7828" xr:uid="{00000000-0005-0000-0000-0000081D0000}"/>
    <cellStyle name="40% - Accent6 2 3 3 2" xfId="7829" xr:uid="{00000000-0005-0000-0000-0000091D0000}"/>
    <cellStyle name="40% - Accent6 2 3 3 2 2" xfId="7830" xr:uid="{00000000-0005-0000-0000-00000A1D0000}"/>
    <cellStyle name="40% - Accent6 2 3 3 2 3" xfId="7831" xr:uid="{00000000-0005-0000-0000-00000B1D0000}"/>
    <cellStyle name="40% - Accent6 2 3 3 3" xfId="7832" xr:uid="{00000000-0005-0000-0000-00000C1D0000}"/>
    <cellStyle name="40% - Accent6 2 3 3 3 2" xfId="7833" xr:uid="{00000000-0005-0000-0000-00000D1D0000}"/>
    <cellStyle name="40% - Accent6 2 3 3 3 3" xfId="7834" xr:uid="{00000000-0005-0000-0000-00000E1D0000}"/>
    <cellStyle name="40% - Accent6 2 3 3 4" xfId="7835" xr:uid="{00000000-0005-0000-0000-00000F1D0000}"/>
    <cellStyle name="40% - Accent6 2 3 3 5" xfId="7836" xr:uid="{00000000-0005-0000-0000-0000101D0000}"/>
    <cellStyle name="40% - Accent6 2 3 3 6" xfId="7837" xr:uid="{00000000-0005-0000-0000-0000111D0000}"/>
    <cellStyle name="40% - Accent6 2 3 3 7" xfId="7838" xr:uid="{00000000-0005-0000-0000-0000121D0000}"/>
    <cellStyle name="40% - Accent6 2 3 3 8" xfId="7839" xr:uid="{00000000-0005-0000-0000-0000131D0000}"/>
    <cellStyle name="40% - Accent6 2 3 4" xfId="7840" xr:uid="{00000000-0005-0000-0000-0000141D0000}"/>
    <cellStyle name="40% - Accent6 2 3 4 2" xfId="7841" xr:uid="{00000000-0005-0000-0000-0000151D0000}"/>
    <cellStyle name="40% - Accent6 2 3 4 2 2" xfId="7842" xr:uid="{00000000-0005-0000-0000-0000161D0000}"/>
    <cellStyle name="40% - Accent6 2 3 4 2 3" xfId="7843" xr:uid="{00000000-0005-0000-0000-0000171D0000}"/>
    <cellStyle name="40% - Accent6 2 3 4 3" xfId="7844" xr:uid="{00000000-0005-0000-0000-0000181D0000}"/>
    <cellStyle name="40% - Accent6 2 3 4 3 2" xfId="7845" xr:uid="{00000000-0005-0000-0000-0000191D0000}"/>
    <cellStyle name="40% - Accent6 2 3 4 4" xfId="7846" xr:uid="{00000000-0005-0000-0000-00001A1D0000}"/>
    <cellStyle name="40% - Accent6 2 3 5" xfId="7847" xr:uid="{00000000-0005-0000-0000-00001B1D0000}"/>
    <cellStyle name="40% - Accent6 2 3 5 2" xfId="7848" xr:uid="{00000000-0005-0000-0000-00001C1D0000}"/>
    <cellStyle name="40% - Accent6 2 3 5 3" xfId="7849" xr:uid="{00000000-0005-0000-0000-00001D1D0000}"/>
    <cellStyle name="40% - Accent6 2 3 6" xfId="7850" xr:uid="{00000000-0005-0000-0000-00001E1D0000}"/>
    <cellStyle name="40% - Accent6 2 3 6 2" xfId="7851" xr:uid="{00000000-0005-0000-0000-00001F1D0000}"/>
    <cellStyle name="40% - Accent6 2 3 6 3" xfId="7852" xr:uid="{00000000-0005-0000-0000-0000201D0000}"/>
    <cellStyle name="40% - Accent6 2 3 7" xfId="7853" xr:uid="{00000000-0005-0000-0000-0000211D0000}"/>
    <cellStyle name="40% - Accent6 2 3 7 2" xfId="7854" xr:uid="{00000000-0005-0000-0000-0000221D0000}"/>
    <cellStyle name="40% - Accent6 2 3 8" xfId="7855" xr:uid="{00000000-0005-0000-0000-0000231D0000}"/>
    <cellStyle name="40% - Accent6 2 3 9" xfId="7856" xr:uid="{00000000-0005-0000-0000-0000241D0000}"/>
    <cellStyle name="40% - Accent6 2 4" xfId="7857" xr:uid="{00000000-0005-0000-0000-0000251D0000}"/>
    <cellStyle name="40% - Accent6 2 4 10" xfId="7858" xr:uid="{00000000-0005-0000-0000-0000261D0000}"/>
    <cellStyle name="40% - Accent6 2 4 11" xfId="7859" xr:uid="{00000000-0005-0000-0000-0000271D0000}"/>
    <cellStyle name="40% - Accent6 2 4 2" xfId="7860" xr:uid="{00000000-0005-0000-0000-0000281D0000}"/>
    <cellStyle name="40% - Accent6 2 4 2 10" xfId="7861" xr:uid="{00000000-0005-0000-0000-0000291D0000}"/>
    <cellStyle name="40% - Accent6 2 4 2 2" xfId="7862" xr:uid="{00000000-0005-0000-0000-00002A1D0000}"/>
    <cellStyle name="40% - Accent6 2 4 2 2 2" xfId="7863" xr:uid="{00000000-0005-0000-0000-00002B1D0000}"/>
    <cellStyle name="40% - Accent6 2 4 2 2 2 2" xfId="7864" xr:uid="{00000000-0005-0000-0000-00002C1D0000}"/>
    <cellStyle name="40% - Accent6 2 4 2 2 2 3" xfId="7865" xr:uid="{00000000-0005-0000-0000-00002D1D0000}"/>
    <cellStyle name="40% - Accent6 2 4 2 2 3" xfId="7866" xr:uid="{00000000-0005-0000-0000-00002E1D0000}"/>
    <cellStyle name="40% - Accent6 2 4 2 2 3 2" xfId="7867" xr:uid="{00000000-0005-0000-0000-00002F1D0000}"/>
    <cellStyle name="40% - Accent6 2 4 2 2 3 3" xfId="7868" xr:uid="{00000000-0005-0000-0000-0000301D0000}"/>
    <cellStyle name="40% - Accent6 2 4 2 2 4" xfId="7869" xr:uid="{00000000-0005-0000-0000-0000311D0000}"/>
    <cellStyle name="40% - Accent6 2 4 2 2 5" xfId="7870" xr:uid="{00000000-0005-0000-0000-0000321D0000}"/>
    <cellStyle name="40% - Accent6 2 4 2 2 6" xfId="7871" xr:uid="{00000000-0005-0000-0000-0000331D0000}"/>
    <cellStyle name="40% - Accent6 2 4 2 2 7" xfId="7872" xr:uid="{00000000-0005-0000-0000-0000341D0000}"/>
    <cellStyle name="40% - Accent6 2 4 2 2 8" xfId="7873" xr:uid="{00000000-0005-0000-0000-0000351D0000}"/>
    <cellStyle name="40% - Accent6 2 4 2 3" xfId="7874" xr:uid="{00000000-0005-0000-0000-0000361D0000}"/>
    <cellStyle name="40% - Accent6 2 4 2 3 2" xfId="7875" xr:uid="{00000000-0005-0000-0000-0000371D0000}"/>
    <cellStyle name="40% - Accent6 2 4 2 3 2 2" xfId="7876" xr:uid="{00000000-0005-0000-0000-0000381D0000}"/>
    <cellStyle name="40% - Accent6 2 4 2 3 2 3" xfId="7877" xr:uid="{00000000-0005-0000-0000-0000391D0000}"/>
    <cellStyle name="40% - Accent6 2 4 2 3 3" xfId="7878" xr:uid="{00000000-0005-0000-0000-00003A1D0000}"/>
    <cellStyle name="40% - Accent6 2 4 2 3 3 2" xfId="7879" xr:uid="{00000000-0005-0000-0000-00003B1D0000}"/>
    <cellStyle name="40% - Accent6 2 4 2 3 4" xfId="7880" xr:uid="{00000000-0005-0000-0000-00003C1D0000}"/>
    <cellStyle name="40% - Accent6 2 4 2 4" xfId="7881" xr:uid="{00000000-0005-0000-0000-00003D1D0000}"/>
    <cellStyle name="40% - Accent6 2 4 2 4 2" xfId="7882" xr:uid="{00000000-0005-0000-0000-00003E1D0000}"/>
    <cellStyle name="40% - Accent6 2 4 2 4 3" xfId="7883" xr:uid="{00000000-0005-0000-0000-00003F1D0000}"/>
    <cellStyle name="40% - Accent6 2 4 2 5" xfId="7884" xr:uid="{00000000-0005-0000-0000-0000401D0000}"/>
    <cellStyle name="40% - Accent6 2 4 2 5 2" xfId="7885" xr:uid="{00000000-0005-0000-0000-0000411D0000}"/>
    <cellStyle name="40% - Accent6 2 4 2 5 3" xfId="7886" xr:uid="{00000000-0005-0000-0000-0000421D0000}"/>
    <cellStyle name="40% - Accent6 2 4 2 6" xfId="7887" xr:uid="{00000000-0005-0000-0000-0000431D0000}"/>
    <cellStyle name="40% - Accent6 2 4 2 6 2" xfId="7888" xr:uid="{00000000-0005-0000-0000-0000441D0000}"/>
    <cellStyle name="40% - Accent6 2 4 2 7" xfId="7889" xr:uid="{00000000-0005-0000-0000-0000451D0000}"/>
    <cellStyle name="40% - Accent6 2 4 2 8" xfId="7890" xr:uid="{00000000-0005-0000-0000-0000461D0000}"/>
    <cellStyle name="40% - Accent6 2 4 2 9" xfId="7891" xr:uid="{00000000-0005-0000-0000-0000471D0000}"/>
    <cellStyle name="40% - Accent6 2 4 3" xfId="7892" xr:uid="{00000000-0005-0000-0000-0000481D0000}"/>
    <cellStyle name="40% - Accent6 2 4 3 2" xfId="7893" xr:uid="{00000000-0005-0000-0000-0000491D0000}"/>
    <cellStyle name="40% - Accent6 2 4 3 2 2" xfId="7894" xr:uid="{00000000-0005-0000-0000-00004A1D0000}"/>
    <cellStyle name="40% - Accent6 2 4 3 2 3" xfId="7895" xr:uid="{00000000-0005-0000-0000-00004B1D0000}"/>
    <cellStyle name="40% - Accent6 2 4 3 3" xfId="7896" xr:uid="{00000000-0005-0000-0000-00004C1D0000}"/>
    <cellStyle name="40% - Accent6 2 4 3 3 2" xfId="7897" xr:uid="{00000000-0005-0000-0000-00004D1D0000}"/>
    <cellStyle name="40% - Accent6 2 4 3 3 3" xfId="7898" xr:uid="{00000000-0005-0000-0000-00004E1D0000}"/>
    <cellStyle name="40% - Accent6 2 4 3 4" xfId="7899" xr:uid="{00000000-0005-0000-0000-00004F1D0000}"/>
    <cellStyle name="40% - Accent6 2 4 3 5" xfId="7900" xr:uid="{00000000-0005-0000-0000-0000501D0000}"/>
    <cellStyle name="40% - Accent6 2 4 3 6" xfId="7901" xr:uid="{00000000-0005-0000-0000-0000511D0000}"/>
    <cellStyle name="40% - Accent6 2 4 3 7" xfId="7902" xr:uid="{00000000-0005-0000-0000-0000521D0000}"/>
    <cellStyle name="40% - Accent6 2 4 3 8" xfId="7903" xr:uid="{00000000-0005-0000-0000-0000531D0000}"/>
    <cellStyle name="40% - Accent6 2 4 4" xfId="7904" xr:uid="{00000000-0005-0000-0000-0000541D0000}"/>
    <cellStyle name="40% - Accent6 2 4 4 2" xfId="7905" xr:uid="{00000000-0005-0000-0000-0000551D0000}"/>
    <cellStyle name="40% - Accent6 2 4 4 2 2" xfId="7906" xr:uid="{00000000-0005-0000-0000-0000561D0000}"/>
    <cellStyle name="40% - Accent6 2 4 4 2 3" xfId="7907" xr:uid="{00000000-0005-0000-0000-0000571D0000}"/>
    <cellStyle name="40% - Accent6 2 4 4 3" xfId="7908" xr:uid="{00000000-0005-0000-0000-0000581D0000}"/>
    <cellStyle name="40% - Accent6 2 4 4 3 2" xfId="7909" xr:uid="{00000000-0005-0000-0000-0000591D0000}"/>
    <cellStyle name="40% - Accent6 2 4 4 4" xfId="7910" xr:uid="{00000000-0005-0000-0000-00005A1D0000}"/>
    <cellStyle name="40% - Accent6 2 4 5" xfId="7911" xr:uid="{00000000-0005-0000-0000-00005B1D0000}"/>
    <cellStyle name="40% - Accent6 2 4 5 2" xfId="7912" xr:uid="{00000000-0005-0000-0000-00005C1D0000}"/>
    <cellStyle name="40% - Accent6 2 4 5 3" xfId="7913" xr:uid="{00000000-0005-0000-0000-00005D1D0000}"/>
    <cellStyle name="40% - Accent6 2 4 6" xfId="7914" xr:uid="{00000000-0005-0000-0000-00005E1D0000}"/>
    <cellStyle name="40% - Accent6 2 4 6 2" xfId="7915" xr:uid="{00000000-0005-0000-0000-00005F1D0000}"/>
    <cellStyle name="40% - Accent6 2 4 6 3" xfId="7916" xr:uid="{00000000-0005-0000-0000-0000601D0000}"/>
    <cellStyle name="40% - Accent6 2 4 7" xfId="7917" xr:uid="{00000000-0005-0000-0000-0000611D0000}"/>
    <cellStyle name="40% - Accent6 2 4 7 2" xfId="7918" xr:uid="{00000000-0005-0000-0000-0000621D0000}"/>
    <cellStyle name="40% - Accent6 2 4 8" xfId="7919" xr:uid="{00000000-0005-0000-0000-0000631D0000}"/>
    <cellStyle name="40% - Accent6 2 4 9" xfId="7920" xr:uid="{00000000-0005-0000-0000-0000641D0000}"/>
    <cellStyle name="40% - Accent6 2 5" xfId="7921" xr:uid="{00000000-0005-0000-0000-0000651D0000}"/>
    <cellStyle name="40% - Accent6 2 5 10" xfId="7922" xr:uid="{00000000-0005-0000-0000-0000661D0000}"/>
    <cellStyle name="40% - Accent6 2 5 11" xfId="7923" xr:uid="{00000000-0005-0000-0000-0000671D0000}"/>
    <cellStyle name="40% - Accent6 2 5 2" xfId="7924" xr:uid="{00000000-0005-0000-0000-0000681D0000}"/>
    <cellStyle name="40% - Accent6 2 5 2 2" xfId="7925" xr:uid="{00000000-0005-0000-0000-0000691D0000}"/>
    <cellStyle name="40% - Accent6 2 5 2 2 2" xfId="7926" xr:uid="{00000000-0005-0000-0000-00006A1D0000}"/>
    <cellStyle name="40% - Accent6 2 5 2 2 2 2" xfId="7927" xr:uid="{00000000-0005-0000-0000-00006B1D0000}"/>
    <cellStyle name="40% - Accent6 2 5 2 2 2 3" xfId="7928" xr:uid="{00000000-0005-0000-0000-00006C1D0000}"/>
    <cellStyle name="40% - Accent6 2 5 2 2 3" xfId="7929" xr:uid="{00000000-0005-0000-0000-00006D1D0000}"/>
    <cellStyle name="40% - Accent6 2 5 2 2 3 2" xfId="7930" xr:uid="{00000000-0005-0000-0000-00006E1D0000}"/>
    <cellStyle name="40% - Accent6 2 5 2 2 3 3" xfId="7931" xr:uid="{00000000-0005-0000-0000-00006F1D0000}"/>
    <cellStyle name="40% - Accent6 2 5 2 2 4" xfId="7932" xr:uid="{00000000-0005-0000-0000-0000701D0000}"/>
    <cellStyle name="40% - Accent6 2 5 2 2 5" xfId="7933" xr:uid="{00000000-0005-0000-0000-0000711D0000}"/>
    <cellStyle name="40% - Accent6 2 5 2 2 6" xfId="7934" xr:uid="{00000000-0005-0000-0000-0000721D0000}"/>
    <cellStyle name="40% - Accent6 2 5 2 2 7" xfId="7935" xr:uid="{00000000-0005-0000-0000-0000731D0000}"/>
    <cellStyle name="40% - Accent6 2 5 2 2 8" xfId="7936" xr:uid="{00000000-0005-0000-0000-0000741D0000}"/>
    <cellStyle name="40% - Accent6 2 5 2 3" xfId="7937" xr:uid="{00000000-0005-0000-0000-0000751D0000}"/>
    <cellStyle name="40% - Accent6 2 5 2 3 2" xfId="7938" xr:uid="{00000000-0005-0000-0000-0000761D0000}"/>
    <cellStyle name="40% - Accent6 2 5 2 3 2 2" xfId="7939" xr:uid="{00000000-0005-0000-0000-0000771D0000}"/>
    <cellStyle name="40% - Accent6 2 5 2 3 2 3" xfId="7940" xr:uid="{00000000-0005-0000-0000-0000781D0000}"/>
    <cellStyle name="40% - Accent6 2 5 2 3 3" xfId="7941" xr:uid="{00000000-0005-0000-0000-0000791D0000}"/>
    <cellStyle name="40% - Accent6 2 5 2 3 3 2" xfId="7942" xr:uid="{00000000-0005-0000-0000-00007A1D0000}"/>
    <cellStyle name="40% - Accent6 2 5 2 3 4" xfId="7943" xr:uid="{00000000-0005-0000-0000-00007B1D0000}"/>
    <cellStyle name="40% - Accent6 2 5 2 4" xfId="7944" xr:uid="{00000000-0005-0000-0000-00007C1D0000}"/>
    <cellStyle name="40% - Accent6 2 5 2 4 2" xfId="7945" xr:uid="{00000000-0005-0000-0000-00007D1D0000}"/>
    <cellStyle name="40% - Accent6 2 5 2 4 3" xfId="7946" xr:uid="{00000000-0005-0000-0000-00007E1D0000}"/>
    <cellStyle name="40% - Accent6 2 5 2 5" xfId="7947" xr:uid="{00000000-0005-0000-0000-00007F1D0000}"/>
    <cellStyle name="40% - Accent6 2 5 2 6" xfId="7948" xr:uid="{00000000-0005-0000-0000-0000801D0000}"/>
    <cellStyle name="40% - Accent6 2 5 2 6 2" xfId="7949" xr:uid="{00000000-0005-0000-0000-0000811D0000}"/>
    <cellStyle name="40% - Accent6 2 5 2 7" xfId="7950" xr:uid="{00000000-0005-0000-0000-0000821D0000}"/>
    <cellStyle name="40% - Accent6 2 5 2 8" xfId="7951" xr:uid="{00000000-0005-0000-0000-0000831D0000}"/>
    <cellStyle name="40% - Accent6 2 5 2 9" xfId="7952" xr:uid="{00000000-0005-0000-0000-0000841D0000}"/>
    <cellStyle name="40% - Accent6 2 5 3" xfId="7953" xr:uid="{00000000-0005-0000-0000-0000851D0000}"/>
    <cellStyle name="40% - Accent6 2 5 3 2" xfId="7954" xr:uid="{00000000-0005-0000-0000-0000861D0000}"/>
    <cellStyle name="40% - Accent6 2 5 3 2 2" xfId="7955" xr:uid="{00000000-0005-0000-0000-0000871D0000}"/>
    <cellStyle name="40% - Accent6 2 5 3 2 3" xfId="7956" xr:uid="{00000000-0005-0000-0000-0000881D0000}"/>
    <cellStyle name="40% - Accent6 2 5 3 3" xfId="7957" xr:uid="{00000000-0005-0000-0000-0000891D0000}"/>
    <cellStyle name="40% - Accent6 2 5 3 3 2" xfId="7958" xr:uid="{00000000-0005-0000-0000-00008A1D0000}"/>
    <cellStyle name="40% - Accent6 2 5 3 3 3" xfId="7959" xr:uid="{00000000-0005-0000-0000-00008B1D0000}"/>
    <cellStyle name="40% - Accent6 2 5 3 4" xfId="7960" xr:uid="{00000000-0005-0000-0000-00008C1D0000}"/>
    <cellStyle name="40% - Accent6 2 5 3 5" xfId="7961" xr:uid="{00000000-0005-0000-0000-00008D1D0000}"/>
    <cellStyle name="40% - Accent6 2 5 3 6" xfId="7962" xr:uid="{00000000-0005-0000-0000-00008E1D0000}"/>
    <cellStyle name="40% - Accent6 2 5 3 7" xfId="7963" xr:uid="{00000000-0005-0000-0000-00008F1D0000}"/>
    <cellStyle name="40% - Accent6 2 5 3 8" xfId="7964" xr:uid="{00000000-0005-0000-0000-0000901D0000}"/>
    <cellStyle name="40% - Accent6 2 5 4" xfId="7965" xr:uid="{00000000-0005-0000-0000-0000911D0000}"/>
    <cellStyle name="40% - Accent6 2 5 4 2" xfId="7966" xr:uid="{00000000-0005-0000-0000-0000921D0000}"/>
    <cellStyle name="40% - Accent6 2 5 4 2 2" xfId="7967" xr:uid="{00000000-0005-0000-0000-0000931D0000}"/>
    <cellStyle name="40% - Accent6 2 5 4 2 3" xfId="7968" xr:uid="{00000000-0005-0000-0000-0000941D0000}"/>
    <cellStyle name="40% - Accent6 2 5 4 3" xfId="7969" xr:uid="{00000000-0005-0000-0000-0000951D0000}"/>
    <cellStyle name="40% - Accent6 2 5 4 3 2" xfId="7970" xr:uid="{00000000-0005-0000-0000-0000961D0000}"/>
    <cellStyle name="40% - Accent6 2 5 4 4" xfId="7971" xr:uid="{00000000-0005-0000-0000-0000971D0000}"/>
    <cellStyle name="40% - Accent6 2 5 5" xfId="7972" xr:uid="{00000000-0005-0000-0000-0000981D0000}"/>
    <cellStyle name="40% - Accent6 2 5 5 2" xfId="7973" xr:uid="{00000000-0005-0000-0000-0000991D0000}"/>
    <cellStyle name="40% - Accent6 2 5 5 3" xfId="7974" xr:uid="{00000000-0005-0000-0000-00009A1D0000}"/>
    <cellStyle name="40% - Accent6 2 5 6" xfId="7975" xr:uid="{00000000-0005-0000-0000-00009B1D0000}"/>
    <cellStyle name="40% - Accent6 2 5 6 2" xfId="7976" xr:uid="{00000000-0005-0000-0000-00009C1D0000}"/>
    <cellStyle name="40% - Accent6 2 5 6 3" xfId="7977" xr:uid="{00000000-0005-0000-0000-00009D1D0000}"/>
    <cellStyle name="40% - Accent6 2 5 7" xfId="7978" xr:uid="{00000000-0005-0000-0000-00009E1D0000}"/>
    <cellStyle name="40% - Accent6 2 5 7 2" xfId="7979" xr:uid="{00000000-0005-0000-0000-00009F1D0000}"/>
    <cellStyle name="40% - Accent6 2 5 8" xfId="7980" xr:uid="{00000000-0005-0000-0000-0000A01D0000}"/>
    <cellStyle name="40% - Accent6 2 5 9" xfId="7981" xr:uid="{00000000-0005-0000-0000-0000A11D0000}"/>
    <cellStyle name="40% - Accent6 2 6" xfId="7982" xr:uid="{00000000-0005-0000-0000-0000A21D0000}"/>
    <cellStyle name="40% - Accent6 2 6 10" xfId="7983" xr:uid="{00000000-0005-0000-0000-0000A31D0000}"/>
    <cellStyle name="40% - Accent6 2 6 11" xfId="7984" xr:uid="{00000000-0005-0000-0000-0000A41D0000}"/>
    <cellStyle name="40% - Accent6 2 6 2" xfId="7985" xr:uid="{00000000-0005-0000-0000-0000A51D0000}"/>
    <cellStyle name="40% - Accent6 2 6 2 2" xfId="7986" xr:uid="{00000000-0005-0000-0000-0000A61D0000}"/>
    <cellStyle name="40% - Accent6 2 6 2 2 2" xfId="7987" xr:uid="{00000000-0005-0000-0000-0000A71D0000}"/>
    <cellStyle name="40% - Accent6 2 6 2 2 2 2" xfId="7988" xr:uid="{00000000-0005-0000-0000-0000A81D0000}"/>
    <cellStyle name="40% - Accent6 2 6 2 2 2 3" xfId="7989" xr:uid="{00000000-0005-0000-0000-0000A91D0000}"/>
    <cellStyle name="40% - Accent6 2 6 2 2 3" xfId="7990" xr:uid="{00000000-0005-0000-0000-0000AA1D0000}"/>
    <cellStyle name="40% - Accent6 2 6 2 2 3 2" xfId="7991" xr:uid="{00000000-0005-0000-0000-0000AB1D0000}"/>
    <cellStyle name="40% - Accent6 2 6 2 2 3 3" xfId="7992" xr:uid="{00000000-0005-0000-0000-0000AC1D0000}"/>
    <cellStyle name="40% - Accent6 2 6 2 2 4" xfId="7993" xr:uid="{00000000-0005-0000-0000-0000AD1D0000}"/>
    <cellStyle name="40% - Accent6 2 6 2 2 5" xfId="7994" xr:uid="{00000000-0005-0000-0000-0000AE1D0000}"/>
    <cellStyle name="40% - Accent6 2 6 2 2 6" xfId="7995" xr:uid="{00000000-0005-0000-0000-0000AF1D0000}"/>
    <cellStyle name="40% - Accent6 2 6 2 2 7" xfId="7996" xr:uid="{00000000-0005-0000-0000-0000B01D0000}"/>
    <cellStyle name="40% - Accent6 2 6 2 2 8" xfId="7997" xr:uid="{00000000-0005-0000-0000-0000B11D0000}"/>
    <cellStyle name="40% - Accent6 2 6 2 3" xfId="7998" xr:uid="{00000000-0005-0000-0000-0000B21D0000}"/>
    <cellStyle name="40% - Accent6 2 6 2 3 2" xfId="7999" xr:uid="{00000000-0005-0000-0000-0000B31D0000}"/>
    <cellStyle name="40% - Accent6 2 6 2 3 2 2" xfId="8000" xr:uid="{00000000-0005-0000-0000-0000B41D0000}"/>
    <cellStyle name="40% - Accent6 2 6 2 3 2 3" xfId="8001" xr:uid="{00000000-0005-0000-0000-0000B51D0000}"/>
    <cellStyle name="40% - Accent6 2 6 2 3 3" xfId="8002" xr:uid="{00000000-0005-0000-0000-0000B61D0000}"/>
    <cellStyle name="40% - Accent6 2 6 2 3 3 2" xfId="8003" xr:uid="{00000000-0005-0000-0000-0000B71D0000}"/>
    <cellStyle name="40% - Accent6 2 6 2 3 4" xfId="8004" xr:uid="{00000000-0005-0000-0000-0000B81D0000}"/>
    <cellStyle name="40% - Accent6 2 6 2 4" xfId="8005" xr:uid="{00000000-0005-0000-0000-0000B91D0000}"/>
    <cellStyle name="40% - Accent6 2 6 2 4 2" xfId="8006" xr:uid="{00000000-0005-0000-0000-0000BA1D0000}"/>
    <cellStyle name="40% - Accent6 2 6 2 4 3" xfId="8007" xr:uid="{00000000-0005-0000-0000-0000BB1D0000}"/>
    <cellStyle name="40% - Accent6 2 6 2 5" xfId="8008" xr:uid="{00000000-0005-0000-0000-0000BC1D0000}"/>
    <cellStyle name="40% - Accent6 2 6 2 6" xfId="8009" xr:uid="{00000000-0005-0000-0000-0000BD1D0000}"/>
    <cellStyle name="40% - Accent6 2 6 2 6 2" xfId="8010" xr:uid="{00000000-0005-0000-0000-0000BE1D0000}"/>
    <cellStyle name="40% - Accent6 2 6 2 7" xfId="8011" xr:uid="{00000000-0005-0000-0000-0000BF1D0000}"/>
    <cellStyle name="40% - Accent6 2 6 2 8" xfId="8012" xr:uid="{00000000-0005-0000-0000-0000C01D0000}"/>
    <cellStyle name="40% - Accent6 2 6 2 9" xfId="8013" xr:uid="{00000000-0005-0000-0000-0000C11D0000}"/>
    <cellStyle name="40% - Accent6 2 6 3" xfId="8014" xr:uid="{00000000-0005-0000-0000-0000C21D0000}"/>
    <cellStyle name="40% - Accent6 2 6 3 2" xfId="8015" xr:uid="{00000000-0005-0000-0000-0000C31D0000}"/>
    <cellStyle name="40% - Accent6 2 6 3 2 2" xfId="8016" xr:uid="{00000000-0005-0000-0000-0000C41D0000}"/>
    <cellStyle name="40% - Accent6 2 6 3 2 3" xfId="8017" xr:uid="{00000000-0005-0000-0000-0000C51D0000}"/>
    <cellStyle name="40% - Accent6 2 6 3 3" xfId="8018" xr:uid="{00000000-0005-0000-0000-0000C61D0000}"/>
    <cellStyle name="40% - Accent6 2 6 3 3 2" xfId="8019" xr:uid="{00000000-0005-0000-0000-0000C71D0000}"/>
    <cellStyle name="40% - Accent6 2 6 3 3 3" xfId="8020" xr:uid="{00000000-0005-0000-0000-0000C81D0000}"/>
    <cellStyle name="40% - Accent6 2 6 3 4" xfId="8021" xr:uid="{00000000-0005-0000-0000-0000C91D0000}"/>
    <cellStyle name="40% - Accent6 2 6 3 5" xfId="8022" xr:uid="{00000000-0005-0000-0000-0000CA1D0000}"/>
    <cellStyle name="40% - Accent6 2 6 3 6" xfId="8023" xr:uid="{00000000-0005-0000-0000-0000CB1D0000}"/>
    <cellStyle name="40% - Accent6 2 6 3 7" xfId="8024" xr:uid="{00000000-0005-0000-0000-0000CC1D0000}"/>
    <cellStyle name="40% - Accent6 2 6 3 8" xfId="8025" xr:uid="{00000000-0005-0000-0000-0000CD1D0000}"/>
    <cellStyle name="40% - Accent6 2 6 4" xfId="8026" xr:uid="{00000000-0005-0000-0000-0000CE1D0000}"/>
    <cellStyle name="40% - Accent6 2 6 4 2" xfId="8027" xr:uid="{00000000-0005-0000-0000-0000CF1D0000}"/>
    <cellStyle name="40% - Accent6 2 6 4 2 2" xfId="8028" xr:uid="{00000000-0005-0000-0000-0000D01D0000}"/>
    <cellStyle name="40% - Accent6 2 6 4 2 3" xfId="8029" xr:uid="{00000000-0005-0000-0000-0000D11D0000}"/>
    <cellStyle name="40% - Accent6 2 6 4 3" xfId="8030" xr:uid="{00000000-0005-0000-0000-0000D21D0000}"/>
    <cellStyle name="40% - Accent6 2 6 4 3 2" xfId="8031" xr:uid="{00000000-0005-0000-0000-0000D31D0000}"/>
    <cellStyle name="40% - Accent6 2 6 4 4" xfId="8032" xr:uid="{00000000-0005-0000-0000-0000D41D0000}"/>
    <cellStyle name="40% - Accent6 2 6 5" xfId="8033" xr:uid="{00000000-0005-0000-0000-0000D51D0000}"/>
    <cellStyle name="40% - Accent6 2 6 5 2" xfId="8034" xr:uid="{00000000-0005-0000-0000-0000D61D0000}"/>
    <cellStyle name="40% - Accent6 2 6 5 3" xfId="8035" xr:uid="{00000000-0005-0000-0000-0000D71D0000}"/>
    <cellStyle name="40% - Accent6 2 6 6" xfId="8036" xr:uid="{00000000-0005-0000-0000-0000D81D0000}"/>
    <cellStyle name="40% - Accent6 2 6 6 2" xfId="8037" xr:uid="{00000000-0005-0000-0000-0000D91D0000}"/>
    <cellStyle name="40% - Accent6 2 6 6 3" xfId="8038" xr:uid="{00000000-0005-0000-0000-0000DA1D0000}"/>
    <cellStyle name="40% - Accent6 2 6 7" xfId="8039" xr:uid="{00000000-0005-0000-0000-0000DB1D0000}"/>
    <cellStyle name="40% - Accent6 2 6 7 2" xfId="8040" xr:uid="{00000000-0005-0000-0000-0000DC1D0000}"/>
    <cellStyle name="40% - Accent6 2 6 8" xfId="8041" xr:uid="{00000000-0005-0000-0000-0000DD1D0000}"/>
    <cellStyle name="40% - Accent6 2 6 9" xfId="8042" xr:uid="{00000000-0005-0000-0000-0000DE1D0000}"/>
    <cellStyle name="40% - Accent6 2 7" xfId="8043" xr:uid="{00000000-0005-0000-0000-0000DF1D0000}"/>
    <cellStyle name="40% - Accent6 2 7 2" xfId="8044" xr:uid="{00000000-0005-0000-0000-0000E01D0000}"/>
    <cellStyle name="40% - Accent6 2 7 2 2" xfId="8045" xr:uid="{00000000-0005-0000-0000-0000E11D0000}"/>
    <cellStyle name="40% - Accent6 2 7 2 3" xfId="8046" xr:uid="{00000000-0005-0000-0000-0000E21D0000}"/>
    <cellStyle name="40% - Accent6 2 7 3" xfId="8047" xr:uid="{00000000-0005-0000-0000-0000E31D0000}"/>
    <cellStyle name="40% - Accent6 2 7 3 2" xfId="8048" xr:uid="{00000000-0005-0000-0000-0000E41D0000}"/>
    <cellStyle name="40% - Accent6 2 7 4" xfId="8049" xr:uid="{00000000-0005-0000-0000-0000E51D0000}"/>
    <cellStyle name="40% - Accent6 2 8" xfId="8050" xr:uid="{00000000-0005-0000-0000-0000E61D0000}"/>
    <cellStyle name="40% - Accent6 2 8 2" xfId="8051" xr:uid="{00000000-0005-0000-0000-0000E71D0000}"/>
    <cellStyle name="40% - Accent6 2 8 3" xfId="8052" xr:uid="{00000000-0005-0000-0000-0000E81D0000}"/>
    <cellStyle name="40% - Accent6 2 9" xfId="8053" xr:uid="{00000000-0005-0000-0000-0000E91D0000}"/>
    <cellStyle name="40% - Accent6 2 9 2" xfId="8054" xr:uid="{00000000-0005-0000-0000-0000EA1D0000}"/>
    <cellStyle name="40% - Accent6 2 9 3" xfId="8055" xr:uid="{00000000-0005-0000-0000-0000EB1D0000}"/>
    <cellStyle name="40% - Accent6 2_Dec monthly report" xfId="8056" xr:uid="{00000000-0005-0000-0000-0000EC1D0000}"/>
    <cellStyle name="40% - Accent6 20" xfId="8057" xr:uid="{00000000-0005-0000-0000-0000ED1D0000}"/>
    <cellStyle name="40% - Accent6 20 2" xfId="8058" xr:uid="{00000000-0005-0000-0000-0000EE1D0000}"/>
    <cellStyle name="40% - Accent6 20 3" xfId="8059" xr:uid="{00000000-0005-0000-0000-0000EF1D0000}"/>
    <cellStyle name="40% - Accent6 21" xfId="8060" xr:uid="{00000000-0005-0000-0000-0000F01D0000}"/>
    <cellStyle name="40% - Accent6 21 2" xfId="8061" xr:uid="{00000000-0005-0000-0000-0000F11D0000}"/>
    <cellStyle name="40% - Accent6 21 3" xfId="8062" xr:uid="{00000000-0005-0000-0000-0000F21D0000}"/>
    <cellStyle name="40% - Accent6 22" xfId="8063" xr:uid="{00000000-0005-0000-0000-0000F31D0000}"/>
    <cellStyle name="40% - Accent6 23" xfId="8064" xr:uid="{00000000-0005-0000-0000-0000F41D0000}"/>
    <cellStyle name="40% - Accent6 24" xfId="8065" xr:uid="{00000000-0005-0000-0000-0000F51D0000}"/>
    <cellStyle name="40% - Accent6 3" xfId="8066" xr:uid="{00000000-0005-0000-0000-0000F61D0000}"/>
    <cellStyle name="40% - Accent6 3 10" xfId="8067" xr:uid="{00000000-0005-0000-0000-0000F71D0000}"/>
    <cellStyle name="40% - Accent6 3 11" xfId="8068" xr:uid="{00000000-0005-0000-0000-0000F81D0000}"/>
    <cellStyle name="40% - Accent6 3 12" xfId="8069" xr:uid="{00000000-0005-0000-0000-0000F91D0000}"/>
    <cellStyle name="40% - Accent6 3 13" xfId="8070" xr:uid="{00000000-0005-0000-0000-0000FA1D0000}"/>
    <cellStyle name="40% - Accent6 3 14" xfId="8071" xr:uid="{00000000-0005-0000-0000-0000FB1D0000}"/>
    <cellStyle name="40% - Accent6 3 2" xfId="8072" xr:uid="{00000000-0005-0000-0000-0000FC1D0000}"/>
    <cellStyle name="40% - Accent6 3 2 2" xfId="8073" xr:uid="{00000000-0005-0000-0000-0000FD1D0000}"/>
    <cellStyle name="40% - Accent6 3 2 2 10" xfId="8074" xr:uid="{00000000-0005-0000-0000-0000FE1D0000}"/>
    <cellStyle name="40% - Accent6 3 2 2 2" xfId="8075" xr:uid="{00000000-0005-0000-0000-0000FF1D0000}"/>
    <cellStyle name="40% - Accent6 3 2 2 2 2" xfId="8076" xr:uid="{00000000-0005-0000-0000-0000001E0000}"/>
    <cellStyle name="40% - Accent6 3 2 2 2 2 2" xfId="8077" xr:uid="{00000000-0005-0000-0000-0000011E0000}"/>
    <cellStyle name="40% - Accent6 3 2 2 2 2 3" xfId="8078" xr:uid="{00000000-0005-0000-0000-0000021E0000}"/>
    <cellStyle name="40% - Accent6 3 2 2 2 3" xfId="8079" xr:uid="{00000000-0005-0000-0000-0000031E0000}"/>
    <cellStyle name="40% - Accent6 3 2 2 2 3 2" xfId="8080" xr:uid="{00000000-0005-0000-0000-0000041E0000}"/>
    <cellStyle name="40% - Accent6 3 2 2 2 3 3" xfId="8081" xr:uid="{00000000-0005-0000-0000-0000051E0000}"/>
    <cellStyle name="40% - Accent6 3 2 2 2 4" xfId="8082" xr:uid="{00000000-0005-0000-0000-0000061E0000}"/>
    <cellStyle name="40% - Accent6 3 2 2 2 5" xfId="8083" xr:uid="{00000000-0005-0000-0000-0000071E0000}"/>
    <cellStyle name="40% - Accent6 3 2 2 2 6" xfId="8084" xr:uid="{00000000-0005-0000-0000-0000081E0000}"/>
    <cellStyle name="40% - Accent6 3 2 2 2 7" xfId="8085" xr:uid="{00000000-0005-0000-0000-0000091E0000}"/>
    <cellStyle name="40% - Accent6 3 2 2 2 8" xfId="8086" xr:uid="{00000000-0005-0000-0000-00000A1E0000}"/>
    <cellStyle name="40% - Accent6 3 2 2 3" xfId="8087" xr:uid="{00000000-0005-0000-0000-00000B1E0000}"/>
    <cellStyle name="40% - Accent6 3 2 2 3 2" xfId="8088" xr:uid="{00000000-0005-0000-0000-00000C1E0000}"/>
    <cellStyle name="40% - Accent6 3 2 2 3 3" xfId="8089" xr:uid="{00000000-0005-0000-0000-00000D1E0000}"/>
    <cellStyle name="40% - Accent6 3 2 2 4" xfId="8090" xr:uid="{00000000-0005-0000-0000-00000E1E0000}"/>
    <cellStyle name="40% - Accent6 3 2 2 4 2" xfId="8091" xr:uid="{00000000-0005-0000-0000-00000F1E0000}"/>
    <cellStyle name="40% - Accent6 3 2 2 4 3" xfId="8092" xr:uid="{00000000-0005-0000-0000-0000101E0000}"/>
    <cellStyle name="40% - Accent6 3 2 2 5" xfId="8093" xr:uid="{00000000-0005-0000-0000-0000111E0000}"/>
    <cellStyle name="40% - Accent6 3 2 2 5 2" xfId="8094" xr:uid="{00000000-0005-0000-0000-0000121E0000}"/>
    <cellStyle name="40% - Accent6 3 2 2 5 3" xfId="8095" xr:uid="{00000000-0005-0000-0000-0000131E0000}"/>
    <cellStyle name="40% - Accent6 3 2 2 6" xfId="8096" xr:uid="{00000000-0005-0000-0000-0000141E0000}"/>
    <cellStyle name="40% - Accent6 3 2 2 7" xfId="8097" xr:uid="{00000000-0005-0000-0000-0000151E0000}"/>
    <cellStyle name="40% - Accent6 3 2 2 8" xfId="8098" xr:uid="{00000000-0005-0000-0000-0000161E0000}"/>
    <cellStyle name="40% - Accent6 3 2 2 9" xfId="8099" xr:uid="{00000000-0005-0000-0000-0000171E0000}"/>
    <cellStyle name="40% - Accent6 3 2 3" xfId="8100" xr:uid="{00000000-0005-0000-0000-0000181E0000}"/>
    <cellStyle name="40% - Accent6 3 2 3 2" xfId="8101" xr:uid="{00000000-0005-0000-0000-0000191E0000}"/>
    <cellStyle name="40% - Accent6 3 2 3 2 2" xfId="8102" xr:uid="{00000000-0005-0000-0000-00001A1E0000}"/>
    <cellStyle name="40% - Accent6 3 2 3 2 3" xfId="8103" xr:uid="{00000000-0005-0000-0000-00001B1E0000}"/>
    <cellStyle name="40% - Accent6 3 2 3 3" xfId="8104" xr:uid="{00000000-0005-0000-0000-00001C1E0000}"/>
    <cellStyle name="40% - Accent6 3 2 3 3 2" xfId="8105" xr:uid="{00000000-0005-0000-0000-00001D1E0000}"/>
    <cellStyle name="40% - Accent6 3 2 3 4" xfId="8106" xr:uid="{00000000-0005-0000-0000-00001E1E0000}"/>
    <cellStyle name="40% - Accent6 3 2 4" xfId="8107" xr:uid="{00000000-0005-0000-0000-00001F1E0000}"/>
    <cellStyle name="40% - Accent6 3 2 4 2" xfId="8108" xr:uid="{00000000-0005-0000-0000-0000201E0000}"/>
    <cellStyle name="40% - Accent6 3 2 4 3" xfId="8109" xr:uid="{00000000-0005-0000-0000-0000211E0000}"/>
    <cellStyle name="40% - Accent6 3 2 5" xfId="8110" xr:uid="{00000000-0005-0000-0000-0000221E0000}"/>
    <cellStyle name="40% - Accent6 3 2 5 2" xfId="8111" xr:uid="{00000000-0005-0000-0000-0000231E0000}"/>
    <cellStyle name="40% - Accent6 3 2 5 3" xfId="8112" xr:uid="{00000000-0005-0000-0000-0000241E0000}"/>
    <cellStyle name="40% - Accent6 3 2 6" xfId="8113" xr:uid="{00000000-0005-0000-0000-0000251E0000}"/>
    <cellStyle name="40% - Accent6 3 2 7" xfId="8114" xr:uid="{00000000-0005-0000-0000-0000261E0000}"/>
    <cellStyle name="40% - Accent6 3 2 8" xfId="8115" xr:uid="{00000000-0005-0000-0000-0000271E0000}"/>
    <cellStyle name="40% - Accent6 3 2 9" xfId="8116" xr:uid="{00000000-0005-0000-0000-0000281E0000}"/>
    <cellStyle name="40% - Accent6 3 3" xfId="8117" xr:uid="{00000000-0005-0000-0000-0000291E0000}"/>
    <cellStyle name="40% - Accent6 3 3 2" xfId="8118" xr:uid="{00000000-0005-0000-0000-00002A1E0000}"/>
    <cellStyle name="40% - Accent6 3 3 2 2" xfId="8119" xr:uid="{00000000-0005-0000-0000-00002B1E0000}"/>
    <cellStyle name="40% - Accent6 3 3 2 3" xfId="8120" xr:uid="{00000000-0005-0000-0000-00002C1E0000}"/>
    <cellStyle name="40% - Accent6 3 3 2 3 2" xfId="8121" xr:uid="{00000000-0005-0000-0000-00002D1E0000}"/>
    <cellStyle name="40% - Accent6 3 3 3" xfId="8122" xr:uid="{00000000-0005-0000-0000-00002E1E0000}"/>
    <cellStyle name="40% - Accent6 3 3 3 2" xfId="8123" xr:uid="{00000000-0005-0000-0000-00002F1E0000}"/>
    <cellStyle name="40% - Accent6 3 3 3 3" xfId="8124" xr:uid="{00000000-0005-0000-0000-0000301E0000}"/>
    <cellStyle name="40% - Accent6 3 3 4" xfId="8125" xr:uid="{00000000-0005-0000-0000-0000311E0000}"/>
    <cellStyle name="40% - Accent6 3 3 4 2" xfId="8126" xr:uid="{00000000-0005-0000-0000-0000321E0000}"/>
    <cellStyle name="40% - Accent6 3 3 5" xfId="8127" xr:uid="{00000000-0005-0000-0000-0000331E0000}"/>
    <cellStyle name="40% - Accent6 3 3 6" xfId="8128" xr:uid="{00000000-0005-0000-0000-0000341E0000}"/>
    <cellStyle name="40% - Accent6 3 3 7" xfId="8129" xr:uid="{00000000-0005-0000-0000-0000351E0000}"/>
    <cellStyle name="40% - Accent6 3 3 8" xfId="8130" xr:uid="{00000000-0005-0000-0000-0000361E0000}"/>
    <cellStyle name="40% - Accent6 3 4" xfId="8131" xr:uid="{00000000-0005-0000-0000-0000371E0000}"/>
    <cellStyle name="40% - Accent6 3 4 2" xfId="8132" xr:uid="{00000000-0005-0000-0000-0000381E0000}"/>
    <cellStyle name="40% - Accent6 3 4 2 2" xfId="8133" xr:uid="{00000000-0005-0000-0000-0000391E0000}"/>
    <cellStyle name="40% - Accent6 3 4 2 3" xfId="8134" xr:uid="{00000000-0005-0000-0000-00003A1E0000}"/>
    <cellStyle name="40% - Accent6 3 4 3" xfId="8135" xr:uid="{00000000-0005-0000-0000-00003B1E0000}"/>
    <cellStyle name="40% - Accent6 3 4 3 2" xfId="8136" xr:uid="{00000000-0005-0000-0000-00003C1E0000}"/>
    <cellStyle name="40% - Accent6 3 4 3 3" xfId="8137" xr:uid="{00000000-0005-0000-0000-00003D1E0000}"/>
    <cellStyle name="40% - Accent6 3 4 4" xfId="8138" xr:uid="{00000000-0005-0000-0000-00003E1E0000}"/>
    <cellStyle name="40% - Accent6 3 4 4 2" xfId="8139" xr:uid="{00000000-0005-0000-0000-00003F1E0000}"/>
    <cellStyle name="40% - Accent6 3 4 5" xfId="8140" xr:uid="{00000000-0005-0000-0000-0000401E0000}"/>
    <cellStyle name="40% - Accent6 3 4 6" xfId="8141" xr:uid="{00000000-0005-0000-0000-0000411E0000}"/>
    <cellStyle name="40% - Accent6 3 4 7" xfId="8142" xr:uid="{00000000-0005-0000-0000-0000421E0000}"/>
    <cellStyle name="40% - Accent6 3 4 8" xfId="8143" xr:uid="{00000000-0005-0000-0000-0000431E0000}"/>
    <cellStyle name="40% - Accent6 3 5" xfId="8144" xr:uid="{00000000-0005-0000-0000-0000441E0000}"/>
    <cellStyle name="40% - Accent6 3 5 2" xfId="8145" xr:uid="{00000000-0005-0000-0000-0000451E0000}"/>
    <cellStyle name="40% - Accent6 3 5 2 2" xfId="8146" xr:uid="{00000000-0005-0000-0000-0000461E0000}"/>
    <cellStyle name="40% - Accent6 3 5 2 3" xfId="8147" xr:uid="{00000000-0005-0000-0000-0000471E0000}"/>
    <cellStyle name="40% - Accent6 3 5 3" xfId="8148" xr:uid="{00000000-0005-0000-0000-0000481E0000}"/>
    <cellStyle name="40% - Accent6 3 5 3 2" xfId="8149" xr:uid="{00000000-0005-0000-0000-0000491E0000}"/>
    <cellStyle name="40% - Accent6 3 5 4" xfId="8150" xr:uid="{00000000-0005-0000-0000-00004A1E0000}"/>
    <cellStyle name="40% - Accent6 3 5 5" xfId="8151" xr:uid="{00000000-0005-0000-0000-00004B1E0000}"/>
    <cellStyle name="40% - Accent6 3 5 6" xfId="8152" xr:uid="{00000000-0005-0000-0000-00004C1E0000}"/>
    <cellStyle name="40% - Accent6 3 5 7" xfId="8153" xr:uid="{00000000-0005-0000-0000-00004D1E0000}"/>
    <cellStyle name="40% - Accent6 3 5 8" xfId="8154" xr:uid="{00000000-0005-0000-0000-00004E1E0000}"/>
    <cellStyle name="40% - Accent6 3 6" xfId="8155" xr:uid="{00000000-0005-0000-0000-00004F1E0000}"/>
    <cellStyle name="40% - Accent6 3 6 2" xfId="8156" xr:uid="{00000000-0005-0000-0000-0000501E0000}"/>
    <cellStyle name="40% - Accent6 3 6 3" xfId="8157" xr:uid="{00000000-0005-0000-0000-0000511E0000}"/>
    <cellStyle name="40% - Accent6 3 7" xfId="8158" xr:uid="{00000000-0005-0000-0000-0000521E0000}"/>
    <cellStyle name="40% - Accent6 3 7 2" xfId="8159" xr:uid="{00000000-0005-0000-0000-0000531E0000}"/>
    <cellStyle name="40% - Accent6 3 7 3" xfId="8160" xr:uid="{00000000-0005-0000-0000-0000541E0000}"/>
    <cellStyle name="40% - Accent6 3 8" xfId="8161" xr:uid="{00000000-0005-0000-0000-0000551E0000}"/>
    <cellStyle name="40% - Accent6 3 8 2" xfId="8162" xr:uid="{00000000-0005-0000-0000-0000561E0000}"/>
    <cellStyle name="40% - Accent6 3 8 3" xfId="8163" xr:uid="{00000000-0005-0000-0000-0000571E0000}"/>
    <cellStyle name="40% - Accent6 3 9" xfId="8164" xr:uid="{00000000-0005-0000-0000-0000581E0000}"/>
    <cellStyle name="40% - Accent6 3 9 2" xfId="8165" xr:uid="{00000000-0005-0000-0000-0000591E0000}"/>
    <cellStyle name="40% - Accent6 3 9 3" xfId="8166" xr:uid="{00000000-0005-0000-0000-00005A1E0000}"/>
    <cellStyle name="40% - Accent6 4" xfId="8167" xr:uid="{00000000-0005-0000-0000-00005B1E0000}"/>
    <cellStyle name="40% - Accent6 4 10" xfId="8168" xr:uid="{00000000-0005-0000-0000-00005C1E0000}"/>
    <cellStyle name="40% - Accent6 4 11" xfId="8169" xr:uid="{00000000-0005-0000-0000-00005D1E0000}"/>
    <cellStyle name="40% - Accent6 4 12" xfId="8170" xr:uid="{00000000-0005-0000-0000-00005E1E0000}"/>
    <cellStyle name="40% - Accent6 4 13" xfId="8171" xr:uid="{00000000-0005-0000-0000-00005F1E0000}"/>
    <cellStyle name="40% - Accent6 4 2" xfId="8172" xr:uid="{00000000-0005-0000-0000-0000601E0000}"/>
    <cellStyle name="40% - Accent6 4 2 2" xfId="8173" xr:uid="{00000000-0005-0000-0000-0000611E0000}"/>
    <cellStyle name="40% - Accent6 4 2 2 2" xfId="8174" xr:uid="{00000000-0005-0000-0000-0000621E0000}"/>
    <cellStyle name="40% - Accent6 4 2 2 2 2" xfId="8175" xr:uid="{00000000-0005-0000-0000-0000631E0000}"/>
    <cellStyle name="40% - Accent6 4 2 2 2 2 2" xfId="8176" xr:uid="{00000000-0005-0000-0000-0000641E0000}"/>
    <cellStyle name="40% - Accent6 4 2 2 2 2 3" xfId="8177" xr:uid="{00000000-0005-0000-0000-0000651E0000}"/>
    <cellStyle name="40% - Accent6 4 2 2 2 3" xfId="8178" xr:uid="{00000000-0005-0000-0000-0000661E0000}"/>
    <cellStyle name="40% - Accent6 4 2 2 2 3 2" xfId="8179" xr:uid="{00000000-0005-0000-0000-0000671E0000}"/>
    <cellStyle name="40% - Accent6 4 2 2 2 3 3" xfId="8180" xr:uid="{00000000-0005-0000-0000-0000681E0000}"/>
    <cellStyle name="40% - Accent6 4 2 2 2 4" xfId="8181" xr:uid="{00000000-0005-0000-0000-0000691E0000}"/>
    <cellStyle name="40% - Accent6 4 2 2 2 5" xfId="8182" xr:uid="{00000000-0005-0000-0000-00006A1E0000}"/>
    <cellStyle name="40% - Accent6 4 2 2 2 6" xfId="8183" xr:uid="{00000000-0005-0000-0000-00006B1E0000}"/>
    <cellStyle name="40% - Accent6 4 2 2 2 7" xfId="8184" xr:uid="{00000000-0005-0000-0000-00006C1E0000}"/>
    <cellStyle name="40% - Accent6 4 2 2 2 8" xfId="8185" xr:uid="{00000000-0005-0000-0000-00006D1E0000}"/>
    <cellStyle name="40% - Accent6 4 2 2 3" xfId="8186" xr:uid="{00000000-0005-0000-0000-00006E1E0000}"/>
    <cellStyle name="40% - Accent6 4 2 2 3 2" xfId="8187" xr:uid="{00000000-0005-0000-0000-00006F1E0000}"/>
    <cellStyle name="40% - Accent6 4 2 2 3 3" xfId="8188" xr:uid="{00000000-0005-0000-0000-0000701E0000}"/>
    <cellStyle name="40% - Accent6 4 2 2 4" xfId="8189" xr:uid="{00000000-0005-0000-0000-0000711E0000}"/>
    <cellStyle name="40% - Accent6 4 2 2 4 2" xfId="8190" xr:uid="{00000000-0005-0000-0000-0000721E0000}"/>
    <cellStyle name="40% - Accent6 4 2 2 4 3" xfId="8191" xr:uid="{00000000-0005-0000-0000-0000731E0000}"/>
    <cellStyle name="40% - Accent6 4 2 2 5" xfId="8192" xr:uid="{00000000-0005-0000-0000-0000741E0000}"/>
    <cellStyle name="40% - Accent6 4 2 2 5 2" xfId="8193" xr:uid="{00000000-0005-0000-0000-0000751E0000}"/>
    <cellStyle name="40% - Accent6 4 2 2 6" xfId="8194" xr:uid="{00000000-0005-0000-0000-0000761E0000}"/>
    <cellStyle name="40% - Accent6 4 2 2 7" xfId="8195" xr:uid="{00000000-0005-0000-0000-0000771E0000}"/>
    <cellStyle name="40% - Accent6 4 2 2 8" xfId="8196" xr:uid="{00000000-0005-0000-0000-0000781E0000}"/>
    <cellStyle name="40% - Accent6 4 2 2 9" xfId="8197" xr:uid="{00000000-0005-0000-0000-0000791E0000}"/>
    <cellStyle name="40% - Accent6 4 2 3" xfId="8198" xr:uid="{00000000-0005-0000-0000-00007A1E0000}"/>
    <cellStyle name="40% - Accent6 4 2 3 2" xfId="8199" xr:uid="{00000000-0005-0000-0000-00007B1E0000}"/>
    <cellStyle name="40% - Accent6 4 2 3 2 2" xfId="8200" xr:uid="{00000000-0005-0000-0000-00007C1E0000}"/>
    <cellStyle name="40% - Accent6 4 2 3 2 3" xfId="8201" xr:uid="{00000000-0005-0000-0000-00007D1E0000}"/>
    <cellStyle name="40% - Accent6 4 2 3 3" xfId="8202" xr:uid="{00000000-0005-0000-0000-00007E1E0000}"/>
    <cellStyle name="40% - Accent6 4 2 3 3 2" xfId="8203" xr:uid="{00000000-0005-0000-0000-00007F1E0000}"/>
    <cellStyle name="40% - Accent6 4 2 3 4" xfId="8204" xr:uid="{00000000-0005-0000-0000-0000801E0000}"/>
    <cellStyle name="40% - Accent6 4 2 4" xfId="8205" xr:uid="{00000000-0005-0000-0000-0000811E0000}"/>
    <cellStyle name="40% - Accent6 4 2 4 2" xfId="8206" xr:uid="{00000000-0005-0000-0000-0000821E0000}"/>
    <cellStyle name="40% - Accent6 4 2 4 3" xfId="8207" xr:uid="{00000000-0005-0000-0000-0000831E0000}"/>
    <cellStyle name="40% - Accent6 4 2 5" xfId="8208" xr:uid="{00000000-0005-0000-0000-0000841E0000}"/>
    <cellStyle name="40% - Accent6 4 2 5 2" xfId="8209" xr:uid="{00000000-0005-0000-0000-0000851E0000}"/>
    <cellStyle name="40% - Accent6 4 2 5 3" xfId="8210" xr:uid="{00000000-0005-0000-0000-0000861E0000}"/>
    <cellStyle name="40% - Accent6 4 2 6" xfId="8211" xr:uid="{00000000-0005-0000-0000-0000871E0000}"/>
    <cellStyle name="40% - Accent6 4 2 7" xfId="8212" xr:uid="{00000000-0005-0000-0000-0000881E0000}"/>
    <cellStyle name="40% - Accent6 4 2 8" xfId="8213" xr:uid="{00000000-0005-0000-0000-0000891E0000}"/>
    <cellStyle name="40% - Accent6 4 2 9" xfId="8214" xr:uid="{00000000-0005-0000-0000-00008A1E0000}"/>
    <cellStyle name="40% - Accent6 4 3" xfId="8215" xr:uid="{00000000-0005-0000-0000-00008B1E0000}"/>
    <cellStyle name="40% - Accent6 4 3 2" xfId="8216" xr:uid="{00000000-0005-0000-0000-00008C1E0000}"/>
    <cellStyle name="40% - Accent6 4 3 2 2" xfId="8217" xr:uid="{00000000-0005-0000-0000-00008D1E0000}"/>
    <cellStyle name="40% - Accent6 4 3 2 3" xfId="8218" xr:uid="{00000000-0005-0000-0000-00008E1E0000}"/>
    <cellStyle name="40% - Accent6 4 3 3" xfId="8219" xr:uid="{00000000-0005-0000-0000-00008F1E0000}"/>
    <cellStyle name="40% - Accent6 4 3 3 2" xfId="8220" xr:uid="{00000000-0005-0000-0000-0000901E0000}"/>
    <cellStyle name="40% - Accent6 4 3 3 3" xfId="8221" xr:uid="{00000000-0005-0000-0000-0000911E0000}"/>
    <cellStyle name="40% - Accent6 4 3 4" xfId="8222" xr:uid="{00000000-0005-0000-0000-0000921E0000}"/>
    <cellStyle name="40% - Accent6 4 3 4 2" xfId="8223" xr:uid="{00000000-0005-0000-0000-0000931E0000}"/>
    <cellStyle name="40% - Accent6 4 3 5" xfId="8224" xr:uid="{00000000-0005-0000-0000-0000941E0000}"/>
    <cellStyle name="40% - Accent6 4 3 6" xfId="8225" xr:uid="{00000000-0005-0000-0000-0000951E0000}"/>
    <cellStyle name="40% - Accent6 4 3 7" xfId="8226" xr:uid="{00000000-0005-0000-0000-0000961E0000}"/>
    <cellStyle name="40% - Accent6 4 3 8" xfId="8227" xr:uid="{00000000-0005-0000-0000-0000971E0000}"/>
    <cellStyle name="40% - Accent6 4 4" xfId="8228" xr:uid="{00000000-0005-0000-0000-0000981E0000}"/>
    <cellStyle name="40% - Accent6 4 4 2" xfId="8229" xr:uid="{00000000-0005-0000-0000-0000991E0000}"/>
    <cellStyle name="40% - Accent6 4 4 2 2" xfId="8230" xr:uid="{00000000-0005-0000-0000-00009A1E0000}"/>
    <cellStyle name="40% - Accent6 4 4 2 3" xfId="8231" xr:uid="{00000000-0005-0000-0000-00009B1E0000}"/>
    <cellStyle name="40% - Accent6 4 4 3" xfId="8232" xr:uid="{00000000-0005-0000-0000-00009C1E0000}"/>
    <cellStyle name="40% - Accent6 4 4 3 2" xfId="8233" xr:uid="{00000000-0005-0000-0000-00009D1E0000}"/>
    <cellStyle name="40% - Accent6 4 4 3 3" xfId="8234" xr:uid="{00000000-0005-0000-0000-00009E1E0000}"/>
    <cellStyle name="40% - Accent6 4 4 4" xfId="8235" xr:uid="{00000000-0005-0000-0000-00009F1E0000}"/>
    <cellStyle name="40% - Accent6 4 4 5" xfId="8236" xr:uid="{00000000-0005-0000-0000-0000A01E0000}"/>
    <cellStyle name="40% - Accent6 4 4 6" xfId="8237" xr:uid="{00000000-0005-0000-0000-0000A11E0000}"/>
    <cellStyle name="40% - Accent6 4 4 7" xfId="8238" xr:uid="{00000000-0005-0000-0000-0000A21E0000}"/>
    <cellStyle name="40% - Accent6 4 4 8" xfId="8239" xr:uid="{00000000-0005-0000-0000-0000A31E0000}"/>
    <cellStyle name="40% - Accent6 4 5" xfId="8240" xr:uid="{00000000-0005-0000-0000-0000A41E0000}"/>
    <cellStyle name="40% - Accent6 4 5 2" xfId="8241" xr:uid="{00000000-0005-0000-0000-0000A51E0000}"/>
    <cellStyle name="40% - Accent6 4 5 2 2" xfId="8242" xr:uid="{00000000-0005-0000-0000-0000A61E0000}"/>
    <cellStyle name="40% - Accent6 4 5 2 3" xfId="8243" xr:uid="{00000000-0005-0000-0000-0000A71E0000}"/>
    <cellStyle name="40% - Accent6 4 5 3" xfId="8244" xr:uid="{00000000-0005-0000-0000-0000A81E0000}"/>
    <cellStyle name="40% - Accent6 4 5 3 2" xfId="8245" xr:uid="{00000000-0005-0000-0000-0000A91E0000}"/>
    <cellStyle name="40% - Accent6 4 5 4" xfId="8246" xr:uid="{00000000-0005-0000-0000-0000AA1E0000}"/>
    <cellStyle name="40% - Accent6 4 6" xfId="8247" xr:uid="{00000000-0005-0000-0000-0000AB1E0000}"/>
    <cellStyle name="40% - Accent6 4 6 2" xfId="8248" xr:uid="{00000000-0005-0000-0000-0000AC1E0000}"/>
    <cellStyle name="40% - Accent6 4 6 3" xfId="8249" xr:uid="{00000000-0005-0000-0000-0000AD1E0000}"/>
    <cellStyle name="40% - Accent6 4 7" xfId="8250" xr:uid="{00000000-0005-0000-0000-0000AE1E0000}"/>
    <cellStyle name="40% - Accent6 4 7 2" xfId="8251" xr:uid="{00000000-0005-0000-0000-0000AF1E0000}"/>
    <cellStyle name="40% - Accent6 4 7 3" xfId="8252" xr:uid="{00000000-0005-0000-0000-0000B01E0000}"/>
    <cellStyle name="40% - Accent6 4 8" xfId="8253" xr:uid="{00000000-0005-0000-0000-0000B11E0000}"/>
    <cellStyle name="40% - Accent6 4 8 2" xfId="8254" xr:uid="{00000000-0005-0000-0000-0000B21E0000}"/>
    <cellStyle name="40% - Accent6 4 8 3" xfId="8255" xr:uid="{00000000-0005-0000-0000-0000B31E0000}"/>
    <cellStyle name="40% - Accent6 4 9" xfId="8256" xr:uid="{00000000-0005-0000-0000-0000B41E0000}"/>
    <cellStyle name="40% - Accent6 5" xfId="8257" xr:uid="{00000000-0005-0000-0000-0000B51E0000}"/>
    <cellStyle name="40% - Accent6 5 10" xfId="8258" xr:uid="{00000000-0005-0000-0000-0000B61E0000}"/>
    <cellStyle name="40% - Accent6 5 11" xfId="8259" xr:uid="{00000000-0005-0000-0000-0000B71E0000}"/>
    <cellStyle name="40% - Accent6 5 12" xfId="8260" xr:uid="{00000000-0005-0000-0000-0000B81E0000}"/>
    <cellStyle name="40% - Accent6 5 2" xfId="8261" xr:uid="{00000000-0005-0000-0000-0000B91E0000}"/>
    <cellStyle name="40% - Accent6 5 2 2" xfId="8262" xr:uid="{00000000-0005-0000-0000-0000BA1E0000}"/>
    <cellStyle name="40% - Accent6 5 2 2 2" xfId="8263" xr:uid="{00000000-0005-0000-0000-0000BB1E0000}"/>
    <cellStyle name="40% - Accent6 5 2 2 2 2" xfId="8264" xr:uid="{00000000-0005-0000-0000-0000BC1E0000}"/>
    <cellStyle name="40% - Accent6 5 2 2 2 2 2" xfId="8265" xr:uid="{00000000-0005-0000-0000-0000BD1E0000}"/>
    <cellStyle name="40% - Accent6 5 2 2 2 2 3" xfId="8266" xr:uid="{00000000-0005-0000-0000-0000BE1E0000}"/>
    <cellStyle name="40% - Accent6 5 2 2 2 3" xfId="8267" xr:uid="{00000000-0005-0000-0000-0000BF1E0000}"/>
    <cellStyle name="40% - Accent6 5 2 2 2 3 2" xfId="8268" xr:uid="{00000000-0005-0000-0000-0000C01E0000}"/>
    <cellStyle name="40% - Accent6 5 2 2 2 3 3" xfId="8269" xr:uid="{00000000-0005-0000-0000-0000C11E0000}"/>
    <cellStyle name="40% - Accent6 5 2 2 2 4" xfId="8270" xr:uid="{00000000-0005-0000-0000-0000C21E0000}"/>
    <cellStyle name="40% - Accent6 5 2 2 2 5" xfId="8271" xr:uid="{00000000-0005-0000-0000-0000C31E0000}"/>
    <cellStyle name="40% - Accent6 5 2 2 2 6" xfId="8272" xr:uid="{00000000-0005-0000-0000-0000C41E0000}"/>
    <cellStyle name="40% - Accent6 5 2 2 2 7" xfId="8273" xr:uid="{00000000-0005-0000-0000-0000C51E0000}"/>
    <cellStyle name="40% - Accent6 5 2 2 2 8" xfId="8274" xr:uid="{00000000-0005-0000-0000-0000C61E0000}"/>
    <cellStyle name="40% - Accent6 5 2 2 3" xfId="8275" xr:uid="{00000000-0005-0000-0000-0000C71E0000}"/>
    <cellStyle name="40% - Accent6 5 2 2 3 2" xfId="8276" xr:uid="{00000000-0005-0000-0000-0000C81E0000}"/>
    <cellStyle name="40% - Accent6 5 2 2 3 3" xfId="8277" xr:uid="{00000000-0005-0000-0000-0000C91E0000}"/>
    <cellStyle name="40% - Accent6 5 2 2 4" xfId="8278" xr:uid="{00000000-0005-0000-0000-0000CA1E0000}"/>
    <cellStyle name="40% - Accent6 5 2 2 4 2" xfId="8279" xr:uid="{00000000-0005-0000-0000-0000CB1E0000}"/>
    <cellStyle name="40% - Accent6 5 2 2 4 3" xfId="8280" xr:uid="{00000000-0005-0000-0000-0000CC1E0000}"/>
    <cellStyle name="40% - Accent6 5 2 2 5" xfId="8281" xr:uid="{00000000-0005-0000-0000-0000CD1E0000}"/>
    <cellStyle name="40% - Accent6 5 2 2 5 2" xfId="8282" xr:uid="{00000000-0005-0000-0000-0000CE1E0000}"/>
    <cellStyle name="40% - Accent6 5 2 2 6" xfId="8283" xr:uid="{00000000-0005-0000-0000-0000CF1E0000}"/>
    <cellStyle name="40% - Accent6 5 2 2 7" xfId="8284" xr:uid="{00000000-0005-0000-0000-0000D01E0000}"/>
    <cellStyle name="40% - Accent6 5 2 2 8" xfId="8285" xr:uid="{00000000-0005-0000-0000-0000D11E0000}"/>
    <cellStyle name="40% - Accent6 5 2 2 9" xfId="8286" xr:uid="{00000000-0005-0000-0000-0000D21E0000}"/>
    <cellStyle name="40% - Accent6 5 2 3" xfId="8287" xr:uid="{00000000-0005-0000-0000-0000D31E0000}"/>
    <cellStyle name="40% - Accent6 5 2 3 2" xfId="8288" xr:uid="{00000000-0005-0000-0000-0000D41E0000}"/>
    <cellStyle name="40% - Accent6 5 2 3 2 2" xfId="8289" xr:uid="{00000000-0005-0000-0000-0000D51E0000}"/>
    <cellStyle name="40% - Accent6 5 2 3 2 3" xfId="8290" xr:uid="{00000000-0005-0000-0000-0000D61E0000}"/>
    <cellStyle name="40% - Accent6 5 2 3 3" xfId="8291" xr:uid="{00000000-0005-0000-0000-0000D71E0000}"/>
    <cellStyle name="40% - Accent6 5 2 3 3 2" xfId="8292" xr:uid="{00000000-0005-0000-0000-0000D81E0000}"/>
    <cellStyle name="40% - Accent6 5 2 3 4" xfId="8293" xr:uid="{00000000-0005-0000-0000-0000D91E0000}"/>
    <cellStyle name="40% - Accent6 5 2 4" xfId="8294" xr:uid="{00000000-0005-0000-0000-0000DA1E0000}"/>
    <cellStyle name="40% - Accent6 5 2 5" xfId="8295" xr:uid="{00000000-0005-0000-0000-0000DB1E0000}"/>
    <cellStyle name="40% - Accent6 5 2_Dec monthly report" xfId="8296" xr:uid="{00000000-0005-0000-0000-0000DC1E0000}"/>
    <cellStyle name="40% - Accent6 5 3" xfId="8297" xr:uid="{00000000-0005-0000-0000-0000DD1E0000}"/>
    <cellStyle name="40% - Accent6 5 3 2" xfId="8298" xr:uid="{00000000-0005-0000-0000-0000DE1E0000}"/>
    <cellStyle name="40% - Accent6 5 3 2 2" xfId="8299" xr:uid="{00000000-0005-0000-0000-0000DF1E0000}"/>
    <cellStyle name="40% - Accent6 5 3 2 3" xfId="8300" xr:uid="{00000000-0005-0000-0000-0000E01E0000}"/>
    <cellStyle name="40% - Accent6 5 3 3" xfId="8301" xr:uid="{00000000-0005-0000-0000-0000E11E0000}"/>
    <cellStyle name="40% - Accent6 5 3 3 2" xfId="8302" xr:uid="{00000000-0005-0000-0000-0000E21E0000}"/>
    <cellStyle name="40% - Accent6 5 3 3 3" xfId="8303" xr:uid="{00000000-0005-0000-0000-0000E31E0000}"/>
    <cellStyle name="40% - Accent6 5 3 4" xfId="8304" xr:uid="{00000000-0005-0000-0000-0000E41E0000}"/>
    <cellStyle name="40% - Accent6 5 3 4 2" xfId="8305" xr:uid="{00000000-0005-0000-0000-0000E51E0000}"/>
    <cellStyle name="40% - Accent6 5 3 5" xfId="8306" xr:uid="{00000000-0005-0000-0000-0000E61E0000}"/>
    <cellStyle name="40% - Accent6 5 3 6" xfId="8307" xr:uid="{00000000-0005-0000-0000-0000E71E0000}"/>
    <cellStyle name="40% - Accent6 5 3 7" xfId="8308" xr:uid="{00000000-0005-0000-0000-0000E81E0000}"/>
    <cellStyle name="40% - Accent6 5 3 8" xfId="8309" xr:uid="{00000000-0005-0000-0000-0000E91E0000}"/>
    <cellStyle name="40% - Accent6 5 4" xfId="8310" xr:uid="{00000000-0005-0000-0000-0000EA1E0000}"/>
    <cellStyle name="40% - Accent6 5 4 2" xfId="8311" xr:uid="{00000000-0005-0000-0000-0000EB1E0000}"/>
    <cellStyle name="40% - Accent6 5 4 2 2" xfId="8312" xr:uid="{00000000-0005-0000-0000-0000EC1E0000}"/>
    <cellStyle name="40% - Accent6 5 4 2 3" xfId="8313" xr:uid="{00000000-0005-0000-0000-0000ED1E0000}"/>
    <cellStyle name="40% - Accent6 5 4 3" xfId="8314" xr:uid="{00000000-0005-0000-0000-0000EE1E0000}"/>
    <cellStyle name="40% - Accent6 5 4 3 2" xfId="8315" xr:uid="{00000000-0005-0000-0000-0000EF1E0000}"/>
    <cellStyle name="40% - Accent6 5 4 3 3" xfId="8316" xr:uid="{00000000-0005-0000-0000-0000F01E0000}"/>
    <cellStyle name="40% - Accent6 5 4 4" xfId="8317" xr:uid="{00000000-0005-0000-0000-0000F11E0000}"/>
    <cellStyle name="40% - Accent6 5 4 5" xfId="8318" xr:uid="{00000000-0005-0000-0000-0000F21E0000}"/>
    <cellStyle name="40% - Accent6 5 4 6" xfId="8319" xr:uid="{00000000-0005-0000-0000-0000F31E0000}"/>
    <cellStyle name="40% - Accent6 5 4 7" xfId="8320" xr:uid="{00000000-0005-0000-0000-0000F41E0000}"/>
    <cellStyle name="40% - Accent6 5 4 8" xfId="8321" xr:uid="{00000000-0005-0000-0000-0000F51E0000}"/>
    <cellStyle name="40% - Accent6 5 5" xfId="8322" xr:uid="{00000000-0005-0000-0000-0000F61E0000}"/>
    <cellStyle name="40% - Accent6 5 5 2" xfId="8323" xr:uid="{00000000-0005-0000-0000-0000F71E0000}"/>
    <cellStyle name="40% - Accent6 5 5 3" xfId="8324" xr:uid="{00000000-0005-0000-0000-0000F81E0000}"/>
    <cellStyle name="40% - Accent6 5 6" xfId="8325" xr:uid="{00000000-0005-0000-0000-0000F91E0000}"/>
    <cellStyle name="40% - Accent6 5 6 2" xfId="8326" xr:uid="{00000000-0005-0000-0000-0000FA1E0000}"/>
    <cellStyle name="40% - Accent6 5 6 3" xfId="8327" xr:uid="{00000000-0005-0000-0000-0000FB1E0000}"/>
    <cellStyle name="40% - Accent6 5 7" xfId="8328" xr:uid="{00000000-0005-0000-0000-0000FC1E0000}"/>
    <cellStyle name="40% - Accent6 5 7 2" xfId="8329" xr:uid="{00000000-0005-0000-0000-0000FD1E0000}"/>
    <cellStyle name="40% - Accent6 5 7 3" xfId="8330" xr:uid="{00000000-0005-0000-0000-0000FE1E0000}"/>
    <cellStyle name="40% - Accent6 5 8" xfId="8331" xr:uid="{00000000-0005-0000-0000-0000FF1E0000}"/>
    <cellStyle name="40% - Accent6 5 9" xfId="8332" xr:uid="{00000000-0005-0000-0000-0000001F0000}"/>
    <cellStyle name="40% - Accent6 6" xfId="8333" xr:uid="{00000000-0005-0000-0000-0000011F0000}"/>
    <cellStyle name="40% - Accent6 6 2" xfId="8334" xr:uid="{00000000-0005-0000-0000-0000021F0000}"/>
    <cellStyle name="40% - Accent6 6 2 2" xfId="8335" xr:uid="{00000000-0005-0000-0000-0000031F0000}"/>
    <cellStyle name="40% - Accent6 6 2 2 2" xfId="8336" xr:uid="{00000000-0005-0000-0000-0000041F0000}"/>
    <cellStyle name="40% - Accent6 6 2 2 2 2" xfId="8337" xr:uid="{00000000-0005-0000-0000-0000051F0000}"/>
    <cellStyle name="40% - Accent6 6 2 2 2 3" xfId="8338" xr:uid="{00000000-0005-0000-0000-0000061F0000}"/>
    <cellStyle name="40% - Accent6 6 2 2 3" xfId="8339" xr:uid="{00000000-0005-0000-0000-0000071F0000}"/>
    <cellStyle name="40% - Accent6 6 2 2 3 2" xfId="8340" xr:uid="{00000000-0005-0000-0000-0000081F0000}"/>
    <cellStyle name="40% - Accent6 6 2 2 3 3" xfId="8341" xr:uid="{00000000-0005-0000-0000-0000091F0000}"/>
    <cellStyle name="40% - Accent6 6 2 2 4" xfId="8342" xr:uid="{00000000-0005-0000-0000-00000A1F0000}"/>
    <cellStyle name="40% - Accent6 6 2 2 5" xfId="8343" xr:uid="{00000000-0005-0000-0000-00000B1F0000}"/>
    <cellStyle name="40% - Accent6 6 2 2 6" xfId="8344" xr:uid="{00000000-0005-0000-0000-00000C1F0000}"/>
    <cellStyle name="40% - Accent6 6 2 2 7" xfId="8345" xr:uid="{00000000-0005-0000-0000-00000D1F0000}"/>
    <cellStyle name="40% - Accent6 6 2 2 8" xfId="8346" xr:uid="{00000000-0005-0000-0000-00000E1F0000}"/>
    <cellStyle name="40% - Accent6 6 2 3" xfId="8347" xr:uid="{00000000-0005-0000-0000-00000F1F0000}"/>
    <cellStyle name="40% - Accent6 6 2 3 2" xfId="8348" xr:uid="{00000000-0005-0000-0000-0000101F0000}"/>
    <cellStyle name="40% - Accent6 6 2 3 3" xfId="8349" xr:uid="{00000000-0005-0000-0000-0000111F0000}"/>
    <cellStyle name="40% - Accent6 6 2 4" xfId="8350" xr:uid="{00000000-0005-0000-0000-0000121F0000}"/>
    <cellStyle name="40% - Accent6 6 2 4 2" xfId="8351" xr:uid="{00000000-0005-0000-0000-0000131F0000}"/>
    <cellStyle name="40% - Accent6 6 2 4 3" xfId="8352" xr:uid="{00000000-0005-0000-0000-0000141F0000}"/>
    <cellStyle name="40% - Accent6 6 2 5" xfId="8353" xr:uid="{00000000-0005-0000-0000-0000151F0000}"/>
    <cellStyle name="40% - Accent6 6 2 5 2" xfId="8354" xr:uid="{00000000-0005-0000-0000-0000161F0000}"/>
    <cellStyle name="40% - Accent6 6 2 6" xfId="8355" xr:uid="{00000000-0005-0000-0000-0000171F0000}"/>
    <cellStyle name="40% - Accent6 6 2 7" xfId="8356" xr:uid="{00000000-0005-0000-0000-0000181F0000}"/>
    <cellStyle name="40% - Accent6 6 2 8" xfId="8357" xr:uid="{00000000-0005-0000-0000-0000191F0000}"/>
    <cellStyle name="40% - Accent6 6 2 9" xfId="8358" xr:uid="{00000000-0005-0000-0000-00001A1F0000}"/>
    <cellStyle name="40% - Accent6 6 3" xfId="8359" xr:uid="{00000000-0005-0000-0000-00001B1F0000}"/>
    <cellStyle name="40% - Accent6 6 3 2" xfId="8360" xr:uid="{00000000-0005-0000-0000-00001C1F0000}"/>
    <cellStyle name="40% - Accent6 6 3 2 2" xfId="8361" xr:uid="{00000000-0005-0000-0000-00001D1F0000}"/>
    <cellStyle name="40% - Accent6 6 3 2 3" xfId="8362" xr:uid="{00000000-0005-0000-0000-00001E1F0000}"/>
    <cellStyle name="40% - Accent6 6 3 3" xfId="8363" xr:uid="{00000000-0005-0000-0000-00001F1F0000}"/>
    <cellStyle name="40% - Accent6 6 3 3 2" xfId="8364" xr:uid="{00000000-0005-0000-0000-0000201F0000}"/>
    <cellStyle name="40% - Accent6 6 3 4" xfId="8365" xr:uid="{00000000-0005-0000-0000-0000211F0000}"/>
    <cellStyle name="40% - Accent6 6 4" xfId="8366" xr:uid="{00000000-0005-0000-0000-0000221F0000}"/>
    <cellStyle name="40% - Accent6 6 5" xfId="8367" xr:uid="{00000000-0005-0000-0000-0000231F0000}"/>
    <cellStyle name="40% - Accent6 6_Dec monthly report" xfId="8368" xr:uid="{00000000-0005-0000-0000-0000241F0000}"/>
    <cellStyle name="40% - Accent6 7" xfId="8369" xr:uid="{00000000-0005-0000-0000-0000251F0000}"/>
    <cellStyle name="40% - Accent6 7 2" xfId="8370" xr:uid="{00000000-0005-0000-0000-0000261F0000}"/>
    <cellStyle name="40% - Accent6 7 3" xfId="8371" xr:uid="{00000000-0005-0000-0000-0000271F0000}"/>
    <cellStyle name="40% - Accent6 7 4" xfId="8372" xr:uid="{00000000-0005-0000-0000-0000281F0000}"/>
    <cellStyle name="40% - Accent6 8" xfId="8373" xr:uid="{00000000-0005-0000-0000-0000291F0000}"/>
    <cellStyle name="40% - Accent6 8 2" xfId="8374" xr:uid="{00000000-0005-0000-0000-00002A1F0000}"/>
    <cellStyle name="40% - Accent6 8 2 2" xfId="8375" xr:uid="{00000000-0005-0000-0000-00002B1F0000}"/>
    <cellStyle name="40% - Accent6 8 2 3" xfId="8376" xr:uid="{00000000-0005-0000-0000-00002C1F0000}"/>
    <cellStyle name="40% - Accent6 8 2 3 2" xfId="8377" xr:uid="{00000000-0005-0000-0000-00002D1F0000}"/>
    <cellStyle name="40% - Accent6 8 3" xfId="8378" xr:uid="{00000000-0005-0000-0000-00002E1F0000}"/>
    <cellStyle name="40% - Accent6 8 3 2" xfId="8379" xr:uid="{00000000-0005-0000-0000-00002F1F0000}"/>
    <cellStyle name="40% - Accent6 8 3 3" xfId="8380" xr:uid="{00000000-0005-0000-0000-0000301F0000}"/>
    <cellStyle name="40% - Accent6 8 4" xfId="8381" xr:uid="{00000000-0005-0000-0000-0000311F0000}"/>
    <cellStyle name="40% - Accent6 8 4 2" xfId="8382" xr:uid="{00000000-0005-0000-0000-0000321F0000}"/>
    <cellStyle name="40% - Accent6 8 5" xfId="8383" xr:uid="{00000000-0005-0000-0000-0000331F0000}"/>
    <cellStyle name="40% - Accent6 8 6" xfId="8384" xr:uid="{00000000-0005-0000-0000-0000341F0000}"/>
    <cellStyle name="40% - Accent6 8 7" xfId="8385" xr:uid="{00000000-0005-0000-0000-0000351F0000}"/>
    <cellStyle name="40% - Accent6 8 8" xfId="8386" xr:uid="{00000000-0005-0000-0000-0000361F0000}"/>
    <cellStyle name="40% - Accent6 9" xfId="8387" xr:uid="{00000000-0005-0000-0000-0000371F0000}"/>
    <cellStyle name="40% - Accent6 9 2" xfId="8388" xr:uid="{00000000-0005-0000-0000-0000381F0000}"/>
    <cellStyle name="40% - Accent6 9 2 2" xfId="8389" xr:uid="{00000000-0005-0000-0000-0000391F0000}"/>
    <cellStyle name="40% - Accent6 9 2 3" xfId="8390" xr:uid="{00000000-0005-0000-0000-00003A1F0000}"/>
    <cellStyle name="40% - Accent6 9 3" xfId="8391" xr:uid="{00000000-0005-0000-0000-00003B1F0000}"/>
    <cellStyle name="40% - Accent6 9 3 2" xfId="8392" xr:uid="{00000000-0005-0000-0000-00003C1F0000}"/>
    <cellStyle name="40% - Accent6 9 3 3" xfId="8393" xr:uid="{00000000-0005-0000-0000-00003D1F0000}"/>
    <cellStyle name="40% - Accent6 9 4" xfId="8394" xr:uid="{00000000-0005-0000-0000-00003E1F0000}"/>
    <cellStyle name="40% - Accent6 9 4 2" xfId="8395" xr:uid="{00000000-0005-0000-0000-00003F1F0000}"/>
    <cellStyle name="40% - Accent6 9 5" xfId="8396" xr:uid="{00000000-0005-0000-0000-0000401F0000}"/>
    <cellStyle name="40% - Accent6 9 6" xfId="8397" xr:uid="{00000000-0005-0000-0000-0000411F0000}"/>
    <cellStyle name="40% - Accent6 9 7" xfId="8398" xr:uid="{00000000-0005-0000-0000-0000421F0000}"/>
    <cellStyle name="40% - Accent6 9 8" xfId="8399" xr:uid="{00000000-0005-0000-0000-0000431F0000}"/>
    <cellStyle name="5 in (Normal)" xfId="8400" xr:uid="{00000000-0005-0000-0000-0000441F0000}"/>
    <cellStyle name="60% - Accent1 10" xfId="8401" xr:uid="{00000000-0005-0000-0000-0000451F0000}"/>
    <cellStyle name="60% - Accent1 11" xfId="8402" xr:uid="{00000000-0005-0000-0000-0000461F0000}"/>
    <cellStyle name="60% - Accent1 2" xfId="8403" xr:uid="{00000000-0005-0000-0000-0000471F0000}"/>
    <cellStyle name="60% - Accent1 2 10" xfId="8404" xr:uid="{00000000-0005-0000-0000-0000481F0000}"/>
    <cellStyle name="60% - Accent1 2 11" xfId="8405" xr:uid="{00000000-0005-0000-0000-0000491F0000}"/>
    <cellStyle name="60% - Accent1 2 2" xfId="8406" xr:uid="{00000000-0005-0000-0000-00004A1F0000}"/>
    <cellStyle name="60% - Accent1 2 2 2" xfId="8407" xr:uid="{00000000-0005-0000-0000-00004B1F0000}"/>
    <cellStyle name="60% - Accent1 2 2 2 2" xfId="8408" xr:uid="{00000000-0005-0000-0000-00004C1F0000}"/>
    <cellStyle name="60% - Accent1 2 2 2 3" xfId="8409" xr:uid="{00000000-0005-0000-0000-00004D1F0000}"/>
    <cellStyle name="60% - Accent1 2 2 2 4" xfId="8410" xr:uid="{00000000-0005-0000-0000-00004E1F0000}"/>
    <cellStyle name="60% - Accent1 2 2 3" xfId="8411" xr:uid="{00000000-0005-0000-0000-00004F1F0000}"/>
    <cellStyle name="60% - Accent1 2 2 4" xfId="8412" xr:uid="{00000000-0005-0000-0000-0000501F0000}"/>
    <cellStyle name="60% - Accent1 2 2 5" xfId="8413" xr:uid="{00000000-0005-0000-0000-0000511F0000}"/>
    <cellStyle name="60% - Accent1 2 2 6" xfId="8414" xr:uid="{00000000-0005-0000-0000-0000521F0000}"/>
    <cellStyle name="60% - Accent1 2 3" xfId="8415" xr:uid="{00000000-0005-0000-0000-0000531F0000}"/>
    <cellStyle name="60% - Accent1 2 3 2" xfId="8416" xr:uid="{00000000-0005-0000-0000-0000541F0000}"/>
    <cellStyle name="60% - Accent1 2 3 3" xfId="8417" xr:uid="{00000000-0005-0000-0000-0000551F0000}"/>
    <cellStyle name="60% - Accent1 2 3 4" xfId="8418" xr:uid="{00000000-0005-0000-0000-0000561F0000}"/>
    <cellStyle name="60% - Accent1 2 3 5" xfId="8419" xr:uid="{00000000-0005-0000-0000-0000571F0000}"/>
    <cellStyle name="60% - Accent1 2 4" xfId="8420" xr:uid="{00000000-0005-0000-0000-0000581F0000}"/>
    <cellStyle name="60% - Accent1 2 4 2" xfId="8421" xr:uid="{00000000-0005-0000-0000-0000591F0000}"/>
    <cellStyle name="60% - Accent1 2 4 3" xfId="8422" xr:uid="{00000000-0005-0000-0000-00005A1F0000}"/>
    <cellStyle name="60% - Accent1 2 5" xfId="8423" xr:uid="{00000000-0005-0000-0000-00005B1F0000}"/>
    <cellStyle name="60% - Accent1 2 5 2" xfId="8424" xr:uid="{00000000-0005-0000-0000-00005C1F0000}"/>
    <cellStyle name="60% - Accent1 2 5 3" xfId="8425" xr:uid="{00000000-0005-0000-0000-00005D1F0000}"/>
    <cellStyle name="60% - Accent1 2 6" xfId="8426" xr:uid="{00000000-0005-0000-0000-00005E1F0000}"/>
    <cellStyle name="60% - Accent1 2 6 2" xfId="8427" xr:uid="{00000000-0005-0000-0000-00005F1F0000}"/>
    <cellStyle name="60% - Accent1 2 7" xfId="8428" xr:uid="{00000000-0005-0000-0000-0000601F0000}"/>
    <cellStyle name="60% - Accent1 2 7 2" xfId="8429" xr:uid="{00000000-0005-0000-0000-0000611F0000}"/>
    <cellStyle name="60% - Accent1 2 8" xfId="8430" xr:uid="{00000000-0005-0000-0000-0000621F0000}"/>
    <cellStyle name="60% - Accent1 2 9" xfId="8431" xr:uid="{00000000-0005-0000-0000-0000631F0000}"/>
    <cellStyle name="60% - Accent1 3" xfId="8432" xr:uid="{00000000-0005-0000-0000-0000641F0000}"/>
    <cellStyle name="60% - Accent1 3 2" xfId="8433" xr:uid="{00000000-0005-0000-0000-0000651F0000}"/>
    <cellStyle name="60% - Accent1 3 2 2" xfId="8434" xr:uid="{00000000-0005-0000-0000-0000661F0000}"/>
    <cellStyle name="60% - Accent1 3 2 2 2" xfId="8435" xr:uid="{00000000-0005-0000-0000-0000671F0000}"/>
    <cellStyle name="60% - Accent1 3 2 3" xfId="8436" xr:uid="{00000000-0005-0000-0000-0000681F0000}"/>
    <cellStyle name="60% - Accent1 3 2 4" xfId="8437" xr:uid="{00000000-0005-0000-0000-0000691F0000}"/>
    <cellStyle name="60% - Accent1 3 3" xfId="8438" xr:uid="{00000000-0005-0000-0000-00006A1F0000}"/>
    <cellStyle name="60% - Accent1 3 3 2" xfId="8439" xr:uid="{00000000-0005-0000-0000-00006B1F0000}"/>
    <cellStyle name="60% - Accent1 3 3 3" xfId="8440" xr:uid="{00000000-0005-0000-0000-00006C1F0000}"/>
    <cellStyle name="60% - Accent1 3 4" xfId="8441" xr:uid="{00000000-0005-0000-0000-00006D1F0000}"/>
    <cellStyle name="60% - Accent1 3 4 2" xfId="8442" xr:uid="{00000000-0005-0000-0000-00006E1F0000}"/>
    <cellStyle name="60% - Accent1 3 5" xfId="8443" xr:uid="{00000000-0005-0000-0000-00006F1F0000}"/>
    <cellStyle name="60% - Accent1 3 5 2" xfId="8444" xr:uid="{00000000-0005-0000-0000-0000701F0000}"/>
    <cellStyle name="60% - Accent1 3 6" xfId="8445" xr:uid="{00000000-0005-0000-0000-0000711F0000}"/>
    <cellStyle name="60% - Accent1 3 7" xfId="8446" xr:uid="{00000000-0005-0000-0000-0000721F0000}"/>
    <cellStyle name="60% - Accent1 4" xfId="8447" xr:uid="{00000000-0005-0000-0000-0000731F0000}"/>
    <cellStyle name="60% - Accent1 4 2" xfId="8448" xr:uid="{00000000-0005-0000-0000-0000741F0000}"/>
    <cellStyle name="60% - Accent1 4 3" xfId="8449" xr:uid="{00000000-0005-0000-0000-0000751F0000}"/>
    <cellStyle name="60% - Accent1 4 4" xfId="8450" xr:uid="{00000000-0005-0000-0000-0000761F0000}"/>
    <cellStyle name="60% - Accent1 4 5" xfId="8451" xr:uid="{00000000-0005-0000-0000-0000771F0000}"/>
    <cellStyle name="60% - Accent1 5" xfId="8452" xr:uid="{00000000-0005-0000-0000-0000781F0000}"/>
    <cellStyle name="60% - Accent1 5 2" xfId="8453" xr:uid="{00000000-0005-0000-0000-0000791F0000}"/>
    <cellStyle name="60% - Accent1 5 3" xfId="8454" xr:uid="{00000000-0005-0000-0000-00007A1F0000}"/>
    <cellStyle name="60% - Accent1 5 4" xfId="8455" xr:uid="{00000000-0005-0000-0000-00007B1F0000}"/>
    <cellStyle name="60% - Accent1 6" xfId="8456" xr:uid="{00000000-0005-0000-0000-00007C1F0000}"/>
    <cellStyle name="60% - Accent1 6 2" xfId="8457" xr:uid="{00000000-0005-0000-0000-00007D1F0000}"/>
    <cellStyle name="60% - Accent1 6 3" xfId="8458" xr:uid="{00000000-0005-0000-0000-00007E1F0000}"/>
    <cellStyle name="60% - Accent1 7" xfId="8459" xr:uid="{00000000-0005-0000-0000-00007F1F0000}"/>
    <cellStyle name="60% - Accent1 8" xfId="8460" xr:uid="{00000000-0005-0000-0000-0000801F0000}"/>
    <cellStyle name="60% - Accent1 9" xfId="8461" xr:uid="{00000000-0005-0000-0000-0000811F0000}"/>
    <cellStyle name="60% - Accent2 10" xfId="8462" xr:uid="{00000000-0005-0000-0000-0000821F0000}"/>
    <cellStyle name="60% - Accent2 11" xfId="8463" xr:uid="{00000000-0005-0000-0000-0000831F0000}"/>
    <cellStyle name="60% - Accent2 2" xfId="8464" xr:uid="{00000000-0005-0000-0000-0000841F0000}"/>
    <cellStyle name="60% - Accent2 2 10" xfId="8465" xr:uid="{00000000-0005-0000-0000-0000851F0000}"/>
    <cellStyle name="60% - Accent2 2 11" xfId="8466" xr:uid="{00000000-0005-0000-0000-0000861F0000}"/>
    <cellStyle name="60% - Accent2 2 2" xfId="8467" xr:uid="{00000000-0005-0000-0000-0000871F0000}"/>
    <cellStyle name="60% - Accent2 2 2 2" xfId="8468" xr:uid="{00000000-0005-0000-0000-0000881F0000}"/>
    <cellStyle name="60% - Accent2 2 2 2 2" xfId="8469" xr:uid="{00000000-0005-0000-0000-0000891F0000}"/>
    <cellStyle name="60% - Accent2 2 2 2 3" xfId="8470" xr:uid="{00000000-0005-0000-0000-00008A1F0000}"/>
    <cellStyle name="60% - Accent2 2 2 2 4" xfId="8471" xr:uid="{00000000-0005-0000-0000-00008B1F0000}"/>
    <cellStyle name="60% - Accent2 2 2 3" xfId="8472" xr:uid="{00000000-0005-0000-0000-00008C1F0000}"/>
    <cellStyle name="60% - Accent2 2 2 4" xfId="8473" xr:uid="{00000000-0005-0000-0000-00008D1F0000}"/>
    <cellStyle name="60% - Accent2 2 2 5" xfId="8474" xr:uid="{00000000-0005-0000-0000-00008E1F0000}"/>
    <cellStyle name="60% - Accent2 2 2 6" xfId="8475" xr:uid="{00000000-0005-0000-0000-00008F1F0000}"/>
    <cellStyle name="60% - Accent2 2 3" xfId="8476" xr:uid="{00000000-0005-0000-0000-0000901F0000}"/>
    <cellStyle name="60% - Accent2 2 3 2" xfId="8477" xr:uid="{00000000-0005-0000-0000-0000911F0000}"/>
    <cellStyle name="60% - Accent2 2 3 3" xfId="8478" xr:uid="{00000000-0005-0000-0000-0000921F0000}"/>
    <cellStyle name="60% - Accent2 2 3 4" xfId="8479" xr:uid="{00000000-0005-0000-0000-0000931F0000}"/>
    <cellStyle name="60% - Accent2 2 3 5" xfId="8480" xr:uid="{00000000-0005-0000-0000-0000941F0000}"/>
    <cellStyle name="60% - Accent2 2 4" xfId="8481" xr:uid="{00000000-0005-0000-0000-0000951F0000}"/>
    <cellStyle name="60% - Accent2 2 4 2" xfId="8482" xr:uid="{00000000-0005-0000-0000-0000961F0000}"/>
    <cellStyle name="60% - Accent2 2 4 3" xfId="8483" xr:uid="{00000000-0005-0000-0000-0000971F0000}"/>
    <cellStyle name="60% - Accent2 2 5" xfId="8484" xr:uid="{00000000-0005-0000-0000-0000981F0000}"/>
    <cellStyle name="60% - Accent2 2 5 2" xfId="8485" xr:uid="{00000000-0005-0000-0000-0000991F0000}"/>
    <cellStyle name="60% - Accent2 2 5 3" xfId="8486" xr:uid="{00000000-0005-0000-0000-00009A1F0000}"/>
    <cellStyle name="60% - Accent2 2 6" xfId="8487" xr:uid="{00000000-0005-0000-0000-00009B1F0000}"/>
    <cellStyle name="60% - Accent2 2 6 2" xfId="8488" xr:uid="{00000000-0005-0000-0000-00009C1F0000}"/>
    <cellStyle name="60% - Accent2 2 7" xfId="8489" xr:uid="{00000000-0005-0000-0000-00009D1F0000}"/>
    <cellStyle name="60% - Accent2 2 7 2" xfId="8490" xr:uid="{00000000-0005-0000-0000-00009E1F0000}"/>
    <cellStyle name="60% - Accent2 2 8" xfId="8491" xr:uid="{00000000-0005-0000-0000-00009F1F0000}"/>
    <cellStyle name="60% - Accent2 2 9" xfId="8492" xr:uid="{00000000-0005-0000-0000-0000A01F0000}"/>
    <cellStyle name="60% - Accent2 3" xfId="8493" xr:uid="{00000000-0005-0000-0000-0000A11F0000}"/>
    <cellStyle name="60% - Accent2 3 2" xfId="8494" xr:uid="{00000000-0005-0000-0000-0000A21F0000}"/>
    <cellStyle name="60% - Accent2 3 2 2" xfId="8495" xr:uid="{00000000-0005-0000-0000-0000A31F0000}"/>
    <cellStyle name="60% - Accent2 3 2 2 2" xfId="8496" xr:uid="{00000000-0005-0000-0000-0000A41F0000}"/>
    <cellStyle name="60% - Accent2 3 2 3" xfId="8497" xr:uid="{00000000-0005-0000-0000-0000A51F0000}"/>
    <cellStyle name="60% - Accent2 3 2 4" xfId="8498" xr:uid="{00000000-0005-0000-0000-0000A61F0000}"/>
    <cellStyle name="60% - Accent2 3 3" xfId="8499" xr:uid="{00000000-0005-0000-0000-0000A71F0000}"/>
    <cellStyle name="60% - Accent2 3 3 2" xfId="8500" xr:uid="{00000000-0005-0000-0000-0000A81F0000}"/>
    <cellStyle name="60% - Accent2 3 3 3" xfId="8501" xr:uid="{00000000-0005-0000-0000-0000A91F0000}"/>
    <cellStyle name="60% - Accent2 3 4" xfId="8502" xr:uid="{00000000-0005-0000-0000-0000AA1F0000}"/>
    <cellStyle name="60% - Accent2 3 4 2" xfId="8503" xr:uid="{00000000-0005-0000-0000-0000AB1F0000}"/>
    <cellStyle name="60% - Accent2 3 5" xfId="8504" xr:uid="{00000000-0005-0000-0000-0000AC1F0000}"/>
    <cellStyle name="60% - Accent2 3 5 2" xfId="8505" xr:uid="{00000000-0005-0000-0000-0000AD1F0000}"/>
    <cellStyle name="60% - Accent2 3 6" xfId="8506" xr:uid="{00000000-0005-0000-0000-0000AE1F0000}"/>
    <cellStyle name="60% - Accent2 3 7" xfId="8507" xr:uid="{00000000-0005-0000-0000-0000AF1F0000}"/>
    <cellStyle name="60% - Accent2 4" xfId="8508" xr:uid="{00000000-0005-0000-0000-0000B01F0000}"/>
    <cellStyle name="60% - Accent2 4 2" xfId="8509" xr:uid="{00000000-0005-0000-0000-0000B11F0000}"/>
    <cellStyle name="60% - Accent2 4 3" xfId="8510" xr:uid="{00000000-0005-0000-0000-0000B21F0000}"/>
    <cellStyle name="60% - Accent2 4 4" xfId="8511" xr:uid="{00000000-0005-0000-0000-0000B31F0000}"/>
    <cellStyle name="60% - Accent2 4 5" xfId="8512" xr:uid="{00000000-0005-0000-0000-0000B41F0000}"/>
    <cellStyle name="60% - Accent2 5" xfId="8513" xr:uid="{00000000-0005-0000-0000-0000B51F0000}"/>
    <cellStyle name="60% - Accent2 5 2" xfId="8514" xr:uid="{00000000-0005-0000-0000-0000B61F0000}"/>
    <cellStyle name="60% - Accent2 5 3" xfId="8515" xr:uid="{00000000-0005-0000-0000-0000B71F0000}"/>
    <cellStyle name="60% - Accent2 5 4" xfId="8516" xr:uid="{00000000-0005-0000-0000-0000B81F0000}"/>
    <cellStyle name="60% - Accent2 6" xfId="8517" xr:uid="{00000000-0005-0000-0000-0000B91F0000}"/>
    <cellStyle name="60% - Accent2 6 2" xfId="8518" xr:uid="{00000000-0005-0000-0000-0000BA1F0000}"/>
    <cellStyle name="60% - Accent2 6 3" xfId="8519" xr:uid="{00000000-0005-0000-0000-0000BB1F0000}"/>
    <cellStyle name="60% - Accent2 7" xfId="8520" xr:uid="{00000000-0005-0000-0000-0000BC1F0000}"/>
    <cellStyle name="60% - Accent2 8" xfId="8521" xr:uid="{00000000-0005-0000-0000-0000BD1F0000}"/>
    <cellStyle name="60% - Accent2 9" xfId="8522" xr:uid="{00000000-0005-0000-0000-0000BE1F0000}"/>
    <cellStyle name="60% - Accent3 10" xfId="8523" xr:uid="{00000000-0005-0000-0000-0000BF1F0000}"/>
    <cellStyle name="60% - Accent3 11" xfId="8524" xr:uid="{00000000-0005-0000-0000-0000C01F0000}"/>
    <cellStyle name="60% - Accent3 2" xfId="8525" xr:uid="{00000000-0005-0000-0000-0000C11F0000}"/>
    <cellStyle name="60% - Accent3 2 10" xfId="8526" xr:uid="{00000000-0005-0000-0000-0000C21F0000}"/>
    <cellStyle name="60% - Accent3 2 11" xfId="8527" xr:uid="{00000000-0005-0000-0000-0000C31F0000}"/>
    <cellStyle name="60% - Accent3 2 2" xfId="8528" xr:uid="{00000000-0005-0000-0000-0000C41F0000}"/>
    <cellStyle name="60% - Accent3 2 2 2" xfId="8529" xr:uid="{00000000-0005-0000-0000-0000C51F0000}"/>
    <cellStyle name="60% - Accent3 2 2 2 2" xfId="8530" xr:uid="{00000000-0005-0000-0000-0000C61F0000}"/>
    <cellStyle name="60% - Accent3 2 2 2 3" xfId="8531" xr:uid="{00000000-0005-0000-0000-0000C71F0000}"/>
    <cellStyle name="60% - Accent3 2 2 2 4" xfId="8532" xr:uid="{00000000-0005-0000-0000-0000C81F0000}"/>
    <cellStyle name="60% - Accent3 2 2 3" xfId="8533" xr:uid="{00000000-0005-0000-0000-0000C91F0000}"/>
    <cellStyle name="60% - Accent3 2 2 4" xfId="8534" xr:uid="{00000000-0005-0000-0000-0000CA1F0000}"/>
    <cellStyle name="60% - Accent3 2 2 5" xfId="8535" xr:uid="{00000000-0005-0000-0000-0000CB1F0000}"/>
    <cellStyle name="60% - Accent3 2 2 6" xfId="8536" xr:uid="{00000000-0005-0000-0000-0000CC1F0000}"/>
    <cellStyle name="60% - Accent3 2 3" xfId="8537" xr:uid="{00000000-0005-0000-0000-0000CD1F0000}"/>
    <cellStyle name="60% - Accent3 2 3 2" xfId="8538" xr:uid="{00000000-0005-0000-0000-0000CE1F0000}"/>
    <cellStyle name="60% - Accent3 2 3 3" xfId="8539" xr:uid="{00000000-0005-0000-0000-0000CF1F0000}"/>
    <cellStyle name="60% - Accent3 2 3 4" xfId="8540" xr:uid="{00000000-0005-0000-0000-0000D01F0000}"/>
    <cellStyle name="60% - Accent3 2 3 5" xfId="8541" xr:uid="{00000000-0005-0000-0000-0000D11F0000}"/>
    <cellStyle name="60% - Accent3 2 4" xfId="8542" xr:uid="{00000000-0005-0000-0000-0000D21F0000}"/>
    <cellStyle name="60% - Accent3 2 4 2" xfId="8543" xr:uid="{00000000-0005-0000-0000-0000D31F0000}"/>
    <cellStyle name="60% - Accent3 2 4 3" xfId="8544" xr:uid="{00000000-0005-0000-0000-0000D41F0000}"/>
    <cellStyle name="60% - Accent3 2 5" xfId="8545" xr:uid="{00000000-0005-0000-0000-0000D51F0000}"/>
    <cellStyle name="60% - Accent3 2 5 2" xfId="8546" xr:uid="{00000000-0005-0000-0000-0000D61F0000}"/>
    <cellStyle name="60% - Accent3 2 5 3" xfId="8547" xr:uid="{00000000-0005-0000-0000-0000D71F0000}"/>
    <cellStyle name="60% - Accent3 2 6" xfId="8548" xr:uid="{00000000-0005-0000-0000-0000D81F0000}"/>
    <cellStyle name="60% - Accent3 2 6 2" xfId="8549" xr:uid="{00000000-0005-0000-0000-0000D91F0000}"/>
    <cellStyle name="60% - Accent3 2 7" xfId="8550" xr:uid="{00000000-0005-0000-0000-0000DA1F0000}"/>
    <cellStyle name="60% - Accent3 2 7 2" xfId="8551" xr:uid="{00000000-0005-0000-0000-0000DB1F0000}"/>
    <cellStyle name="60% - Accent3 2 8" xfId="8552" xr:uid="{00000000-0005-0000-0000-0000DC1F0000}"/>
    <cellStyle name="60% - Accent3 2 9" xfId="8553" xr:uid="{00000000-0005-0000-0000-0000DD1F0000}"/>
    <cellStyle name="60% - Accent3 3" xfId="8554" xr:uid="{00000000-0005-0000-0000-0000DE1F0000}"/>
    <cellStyle name="60% - Accent3 3 2" xfId="8555" xr:uid="{00000000-0005-0000-0000-0000DF1F0000}"/>
    <cellStyle name="60% - Accent3 3 2 2" xfId="8556" xr:uid="{00000000-0005-0000-0000-0000E01F0000}"/>
    <cellStyle name="60% - Accent3 3 2 2 2" xfId="8557" xr:uid="{00000000-0005-0000-0000-0000E11F0000}"/>
    <cellStyle name="60% - Accent3 3 2 3" xfId="8558" xr:uid="{00000000-0005-0000-0000-0000E21F0000}"/>
    <cellStyle name="60% - Accent3 3 2 4" xfId="8559" xr:uid="{00000000-0005-0000-0000-0000E31F0000}"/>
    <cellStyle name="60% - Accent3 3 3" xfId="8560" xr:uid="{00000000-0005-0000-0000-0000E41F0000}"/>
    <cellStyle name="60% - Accent3 3 3 2" xfId="8561" xr:uid="{00000000-0005-0000-0000-0000E51F0000}"/>
    <cellStyle name="60% - Accent3 3 3 3" xfId="8562" xr:uid="{00000000-0005-0000-0000-0000E61F0000}"/>
    <cellStyle name="60% - Accent3 3 4" xfId="8563" xr:uid="{00000000-0005-0000-0000-0000E71F0000}"/>
    <cellStyle name="60% - Accent3 3 4 2" xfId="8564" xr:uid="{00000000-0005-0000-0000-0000E81F0000}"/>
    <cellStyle name="60% - Accent3 3 5" xfId="8565" xr:uid="{00000000-0005-0000-0000-0000E91F0000}"/>
    <cellStyle name="60% - Accent3 3 5 2" xfId="8566" xr:uid="{00000000-0005-0000-0000-0000EA1F0000}"/>
    <cellStyle name="60% - Accent3 3 6" xfId="8567" xr:uid="{00000000-0005-0000-0000-0000EB1F0000}"/>
    <cellStyle name="60% - Accent3 3 7" xfId="8568" xr:uid="{00000000-0005-0000-0000-0000EC1F0000}"/>
    <cellStyle name="60% - Accent3 4" xfId="8569" xr:uid="{00000000-0005-0000-0000-0000ED1F0000}"/>
    <cellStyle name="60% - Accent3 4 2" xfId="8570" xr:uid="{00000000-0005-0000-0000-0000EE1F0000}"/>
    <cellStyle name="60% - Accent3 4 3" xfId="8571" xr:uid="{00000000-0005-0000-0000-0000EF1F0000}"/>
    <cellStyle name="60% - Accent3 4 4" xfId="8572" xr:uid="{00000000-0005-0000-0000-0000F01F0000}"/>
    <cellStyle name="60% - Accent3 4 5" xfId="8573" xr:uid="{00000000-0005-0000-0000-0000F11F0000}"/>
    <cellStyle name="60% - Accent3 5" xfId="8574" xr:uid="{00000000-0005-0000-0000-0000F21F0000}"/>
    <cellStyle name="60% - Accent3 5 2" xfId="8575" xr:uid="{00000000-0005-0000-0000-0000F31F0000}"/>
    <cellStyle name="60% - Accent3 5 3" xfId="8576" xr:uid="{00000000-0005-0000-0000-0000F41F0000}"/>
    <cellStyle name="60% - Accent3 5 4" xfId="8577" xr:uid="{00000000-0005-0000-0000-0000F51F0000}"/>
    <cellStyle name="60% - Accent3 6" xfId="8578" xr:uid="{00000000-0005-0000-0000-0000F61F0000}"/>
    <cellStyle name="60% - Accent3 6 2" xfId="8579" xr:uid="{00000000-0005-0000-0000-0000F71F0000}"/>
    <cellStyle name="60% - Accent3 7" xfId="8580" xr:uid="{00000000-0005-0000-0000-0000F81F0000}"/>
    <cellStyle name="60% - Accent3 8" xfId="8581" xr:uid="{00000000-0005-0000-0000-0000F91F0000}"/>
    <cellStyle name="60% - Accent3 9" xfId="8582" xr:uid="{00000000-0005-0000-0000-0000FA1F0000}"/>
    <cellStyle name="60% - Accent4 10" xfId="8583" xr:uid="{00000000-0005-0000-0000-0000FB1F0000}"/>
    <cellStyle name="60% - Accent4 11" xfId="8584" xr:uid="{00000000-0005-0000-0000-0000FC1F0000}"/>
    <cellStyle name="60% - Accent4 2" xfId="8585" xr:uid="{00000000-0005-0000-0000-0000FD1F0000}"/>
    <cellStyle name="60% - Accent4 2 10" xfId="8586" xr:uid="{00000000-0005-0000-0000-0000FE1F0000}"/>
    <cellStyle name="60% - Accent4 2 11" xfId="8587" xr:uid="{00000000-0005-0000-0000-0000FF1F0000}"/>
    <cellStyle name="60% - Accent4 2 2" xfId="8588" xr:uid="{00000000-0005-0000-0000-000000200000}"/>
    <cellStyle name="60% - Accent4 2 2 2" xfId="8589" xr:uid="{00000000-0005-0000-0000-000001200000}"/>
    <cellStyle name="60% - Accent4 2 2 2 2" xfId="8590" xr:uid="{00000000-0005-0000-0000-000002200000}"/>
    <cellStyle name="60% - Accent4 2 2 2 3" xfId="8591" xr:uid="{00000000-0005-0000-0000-000003200000}"/>
    <cellStyle name="60% - Accent4 2 2 2 4" xfId="8592" xr:uid="{00000000-0005-0000-0000-000004200000}"/>
    <cellStyle name="60% - Accent4 2 2 3" xfId="8593" xr:uid="{00000000-0005-0000-0000-000005200000}"/>
    <cellStyle name="60% - Accent4 2 2 4" xfId="8594" xr:uid="{00000000-0005-0000-0000-000006200000}"/>
    <cellStyle name="60% - Accent4 2 2 5" xfId="8595" xr:uid="{00000000-0005-0000-0000-000007200000}"/>
    <cellStyle name="60% - Accent4 2 2 6" xfId="8596" xr:uid="{00000000-0005-0000-0000-000008200000}"/>
    <cellStyle name="60% - Accent4 2 3" xfId="8597" xr:uid="{00000000-0005-0000-0000-000009200000}"/>
    <cellStyle name="60% - Accent4 2 3 2" xfId="8598" xr:uid="{00000000-0005-0000-0000-00000A200000}"/>
    <cellStyle name="60% - Accent4 2 3 3" xfId="8599" xr:uid="{00000000-0005-0000-0000-00000B200000}"/>
    <cellStyle name="60% - Accent4 2 3 4" xfId="8600" xr:uid="{00000000-0005-0000-0000-00000C200000}"/>
    <cellStyle name="60% - Accent4 2 3 5" xfId="8601" xr:uid="{00000000-0005-0000-0000-00000D200000}"/>
    <cellStyle name="60% - Accent4 2 4" xfId="8602" xr:uid="{00000000-0005-0000-0000-00000E200000}"/>
    <cellStyle name="60% - Accent4 2 4 2" xfId="8603" xr:uid="{00000000-0005-0000-0000-00000F200000}"/>
    <cellStyle name="60% - Accent4 2 4 3" xfId="8604" xr:uid="{00000000-0005-0000-0000-000010200000}"/>
    <cellStyle name="60% - Accent4 2 5" xfId="8605" xr:uid="{00000000-0005-0000-0000-000011200000}"/>
    <cellStyle name="60% - Accent4 2 5 2" xfId="8606" xr:uid="{00000000-0005-0000-0000-000012200000}"/>
    <cellStyle name="60% - Accent4 2 5 3" xfId="8607" xr:uid="{00000000-0005-0000-0000-000013200000}"/>
    <cellStyle name="60% - Accent4 2 6" xfId="8608" xr:uid="{00000000-0005-0000-0000-000014200000}"/>
    <cellStyle name="60% - Accent4 2 6 2" xfId="8609" xr:uid="{00000000-0005-0000-0000-000015200000}"/>
    <cellStyle name="60% - Accent4 2 7" xfId="8610" xr:uid="{00000000-0005-0000-0000-000016200000}"/>
    <cellStyle name="60% - Accent4 2 7 2" xfId="8611" xr:uid="{00000000-0005-0000-0000-000017200000}"/>
    <cellStyle name="60% - Accent4 2 8" xfId="8612" xr:uid="{00000000-0005-0000-0000-000018200000}"/>
    <cellStyle name="60% - Accent4 2 9" xfId="8613" xr:uid="{00000000-0005-0000-0000-000019200000}"/>
    <cellStyle name="60% - Accent4 3" xfId="8614" xr:uid="{00000000-0005-0000-0000-00001A200000}"/>
    <cellStyle name="60% - Accent4 3 2" xfId="8615" xr:uid="{00000000-0005-0000-0000-00001B200000}"/>
    <cellStyle name="60% - Accent4 3 2 2" xfId="8616" xr:uid="{00000000-0005-0000-0000-00001C200000}"/>
    <cellStyle name="60% - Accent4 3 2 2 2" xfId="8617" xr:uid="{00000000-0005-0000-0000-00001D200000}"/>
    <cellStyle name="60% - Accent4 3 2 3" xfId="8618" xr:uid="{00000000-0005-0000-0000-00001E200000}"/>
    <cellStyle name="60% - Accent4 3 2 4" xfId="8619" xr:uid="{00000000-0005-0000-0000-00001F200000}"/>
    <cellStyle name="60% - Accent4 3 3" xfId="8620" xr:uid="{00000000-0005-0000-0000-000020200000}"/>
    <cellStyle name="60% - Accent4 3 3 2" xfId="8621" xr:uid="{00000000-0005-0000-0000-000021200000}"/>
    <cellStyle name="60% - Accent4 3 3 3" xfId="8622" xr:uid="{00000000-0005-0000-0000-000022200000}"/>
    <cellStyle name="60% - Accent4 3 4" xfId="8623" xr:uid="{00000000-0005-0000-0000-000023200000}"/>
    <cellStyle name="60% - Accent4 3 4 2" xfId="8624" xr:uid="{00000000-0005-0000-0000-000024200000}"/>
    <cellStyle name="60% - Accent4 3 5" xfId="8625" xr:uid="{00000000-0005-0000-0000-000025200000}"/>
    <cellStyle name="60% - Accent4 3 5 2" xfId="8626" xr:uid="{00000000-0005-0000-0000-000026200000}"/>
    <cellStyle name="60% - Accent4 3 6" xfId="8627" xr:uid="{00000000-0005-0000-0000-000027200000}"/>
    <cellStyle name="60% - Accent4 3 7" xfId="8628" xr:uid="{00000000-0005-0000-0000-000028200000}"/>
    <cellStyle name="60% - Accent4 4" xfId="8629" xr:uid="{00000000-0005-0000-0000-000029200000}"/>
    <cellStyle name="60% - Accent4 4 2" xfId="8630" xr:uid="{00000000-0005-0000-0000-00002A200000}"/>
    <cellStyle name="60% - Accent4 4 3" xfId="8631" xr:uid="{00000000-0005-0000-0000-00002B200000}"/>
    <cellStyle name="60% - Accent4 4 4" xfId="8632" xr:uid="{00000000-0005-0000-0000-00002C200000}"/>
    <cellStyle name="60% - Accent4 4 5" xfId="8633" xr:uid="{00000000-0005-0000-0000-00002D200000}"/>
    <cellStyle name="60% - Accent4 5" xfId="8634" xr:uid="{00000000-0005-0000-0000-00002E200000}"/>
    <cellStyle name="60% - Accent4 5 2" xfId="8635" xr:uid="{00000000-0005-0000-0000-00002F200000}"/>
    <cellStyle name="60% - Accent4 5 3" xfId="8636" xr:uid="{00000000-0005-0000-0000-000030200000}"/>
    <cellStyle name="60% - Accent4 5 4" xfId="8637" xr:uid="{00000000-0005-0000-0000-000031200000}"/>
    <cellStyle name="60% - Accent4 6" xfId="8638" xr:uid="{00000000-0005-0000-0000-000032200000}"/>
    <cellStyle name="60% - Accent4 6 2" xfId="8639" xr:uid="{00000000-0005-0000-0000-000033200000}"/>
    <cellStyle name="60% - Accent4 6 3" xfId="8640" xr:uid="{00000000-0005-0000-0000-000034200000}"/>
    <cellStyle name="60% - Accent4 7" xfId="8641" xr:uid="{00000000-0005-0000-0000-000035200000}"/>
    <cellStyle name="60% - Accent4 8" xfId="8642" xr:uid="{00000000-0005-0000-0000-000036200000}"/>
    <cellStyle name="60% - Accent4 9" xfId="8643" xr:uid="{00000000-0005-0000-0000-000037200000}"/>
    <cellStyle name="60% - Accent5 10" xfId="8644" xr:uid="{00000000-0005-0000-0000-000038200000}"/>
    <cellStyle name="60% - Accent5 11" xfId="8645" xr:uid="{00000000-0005-0000-0000-000039200000}"/>
    <cellStyle name="60% - Accent5 2" xfId="8646" xr:uid="{00000000-0005-0000-0000-00003A200000}"/>
    <cellStyle name="60% - Accent5 2 10" xfId="8647" xr:uid="{00000000-0005-0000-0000-00003B200000}"/>
    <cellStyle name="60% - Accent5 2 11" xfId="8648" xr:uid="{00000000-0005-0000-0000-00003C200000}"/>
    <cellStyle name="60% - Accent5 2 2" xfId="8649" xr:uid="{00000000-0005-0000-0000-00003D200000}"/>
    <cellStyle name="60% - Accent5 2 2 2" xfId="8650" xr:uid="{00000000-0005-0000-0000-00003E200000}"/>
    <cellStyle name="60% - Accent5 2 2 2 2" xfId="8651" xr:uid="{00000000-0005-0000-0000-00003F200000}"/>
    <cellStyle name="60% - Accent5 2 2 2 3" xfId="8652" xr:uid="{00000000-0005-0000-0000-000040200000}"/>
    <cellStyle name="60% - Accent5 2 2 2 4" xfId="8653" xr:uid="{00000000-0005-0000-0000-000041200000}"/>
    <cellStyle name="60% - Accent5 2 2 3" xfId="8654" xr:uid="{00000000-0005-0000-0000-000042200000}"/>
    <cellStyle name="60% - Accent5 2 2 4" xfId="8655" xr:uid="{00000000-0005-0000-0000-000043200000}"/>
    <cellStyle name="60% - Accent5 2 2 5" xfId="8656" xr:uid="{00000000-0005-0000-0000-000044200000}"/>
    <cellStyle name="60% - Accent5 2 2 6" xfId="8657" xr:uid="{00000000-0005-0000-0000-000045200000}"/>
    <cellStyle name="60% - Accent5 2 3" xfId="8658" xr:uid="{00000000-0005-0000-0000-000046200000}"/>
    <cellStyle name="60% - Accent5 2 3 2" xfId="8659" xr:uid="{00000000-0005-0000-0000-000047200000}"/>
    <cellStyle name="60% - Accent5 2 3 3" xfId="8660" xr:uid="{00000000-0005-0000-0000-000048200000}"/>
    <cellStyle name="60% - Accent5 2 3 4" xfId="8661" xr:uid="{00000000-0005-0000-0000-000049200000}"/>
    <cellStyle name="60% - Accent5 2 3 5" xfId="8662" xr:uid="{00000000-0005-0000-0000-00004A200000}"/>
    <cellStyle name="60% - Accent5 2 4" xfId="8663" xr:uid="{00000000-0005-0000-0000-00004B200000}"/>
    <cellStyle name="60% - Accent5 2 4 2" xfId="8664" xr:uid="{00000000-0005-0000-0000-00004C200000}"/>
    <cellStyle name="60% - Accent5 2 4 3" xfId="8665" xr:uid="{00000000-0005-0000-0000-00004D200000}"/>
    <cellStyle name="60% - Accent5 2 5" xfId="8666" xr:uid="{00000000-0005-0000-0000-00004E200000}"/>
    <cellStyle name="60% - Accent5 2 5 2" xfId="8667" xr:uid="{00000000-0005-0000-0000-00004F200000}"/>
    <cellStyle name="60% - Accent5 2 5 3" xfId="8668" xr:uid="{00000000-0005-0000-0000-000050200000}"/>
    <cellStyle name="60% - Accent5 2 6" xfId="8669" xr:uid="{00000000-0005-0000-0000-000051200000}"/>
    <cellStyle name="60% - Accent5 2 6 2" xfId="8670" xr:uid="{00000000-0005-0000-0000-000052200000}"/>
    <cellStyle name="60% - Accent5 2 7" xfId="8671" xr:uid="{00000000-0005-0000-0000-000053200000}"/>
    <cellStyle name="60% - Accent5 2 7 2" xfId="8672" xr:uid="{00000000-0005-0000-0000-000054200000}"/>
    <cellStyle name="60% - Accent5 2 8" xfId="8673" xr:uid="{00000000-0005-0000-0000-000055200000}"/>
    <cellStyle name="60% - Accent5 2 9" xfId="8674" xr:uid="{00000000-0005-0000-0000-000056200000}"/>
    <cellStyle name="60% - Accent5 3" xfId="8675" xr:uid="{00000000-0005-0000-0000-000057200000}"/>
    <cellStyle name="60% - Accent5 3 2" xfId="8676" xr:uid="{00000000-0005-0000-0000-000058200000}"/>
    <cellStyle name="60% - Accent5 3 2 2" xfId="8677" xr:uid="{00000000-0005-0000-0000-000059200000}"/>
    <cellStyle name="60% - Accent5 3 2 2 2" xfId="8678" xr:uid="{00000000-0005-0000-0000-00005A200000}"/>
    <cellStyle name="60% - Accent5 3 2 3" xfId="8679" xr:uid="{00000000-0005-0000-0000-00005B200000}"/>
    <cellStyle name="60% - Accent5 3 2 4" xfId="8680" xr:uid="{00000000-0005-0000-0000-00005C200000}"/>
    <cellStyle name="60% - Accent5 3 3" xfId="8681" xr:uid="{00000000-0005-0000-0000-00005D200000}"/>
    <cellStyle name="60% - Accent5 3 3 2" xfId="8682" xr:uid="{00000000-0005-0000-0000-00005E200000}"/>
    <cellStyle name="60% - Accent5 3 3 3" xfId="8683" xr:uid="{00000000-0005-0000-0000-00005F200000}"/>
    <cellStyle name="60% - Accent5 3 4" xfId="8684" xr:uid="{00000000-0005-0000-0000-000060200000}"/>
    <cellStyle name="60% - Accent5 3 4 2" xfId="8685" xr:uid="{00000000-0005-0000-0000-000061200000}"/>
    <cellStyle name="60% - Accent5 3 5" xfId="8686" xr:uid="{00000000-0005-0000-0000-000062200000}"/>
    <cellStyle name="60% - Accent5 3 5 2" xfId="8687" xr:uid="{00000000-0005-0000-0000-000063200000}"/>
    <cellStyle name="60% - Accent5 3 6" xfId="8688" xr:uid="{00000000-0005-0000-0000-000064200000}"/>
    <cellStyle name="60% - Accent5 3 7" xfId="8689" xr:uid="{00000000-0005-0000-0000-000065200000}"/>
    <cellStyle name="60% - Accent5 4" xfId="8690" xr:uid="{00000000-0005-0000-0000-000066200000}"/>
    <cellStyle name="60% - Accent5 4 2" xfId="8691" xr:uid="{00000000-0005-0000-0000-000067200000}"/>
    <cellStyle name="60% - Accent5 4 3" xfId="8692" xr:uid="{00000000-0005-0000-0000-000068200000}"/>
    <cellStyle name="60% - Accent5 4 4" xfId="8693" xr:uid="{00000000-0005-0000-0000-000069200000}"/>
    <cellStyle name="60% - Accent5 4 5" xfId="8694" xr:uid="{00000000-0005-0000-0000-00006A200000}"/>
    <cellStyle name="60% - Accent5 5" xfId="8695" xr:uid="{00000000-0005-0000-0000-00006B200000}"/>
    <cellStyle name="60% - Accent5 5 2" xfId="8696" xr:uid="{00000000-0005-0000-0000-00006C200000}"/>
    <cellStyle name="60% - Accent5 5 3" xfId="8697" xr:uid="{00000000-0005-0000-0000-00006D200000}"/>
    <cellStyle name="60% - Accent5 5 4" xfId="8698" xr:uid="{00000000-0005-0000-0000-00006E200000}"/>
    <cellStyle name="60% - Accent5 6" xfId="8699" xr:uid="{00000000-0005-0000-0000-00006F200000}"/>
    <cellStyle name="60% - Accent5 6 2" xfId="8700" xr:uid="{00000000-0005-0000-0000-000070200000}"/>
    <cellStyle name="60% - Accent5 6 3" xfId="8701" xr:uid="{00000000-0005-0000-0000-000071200000}"/>
    <cellStyle name="60% - Accent5 7" xfId="8702" xr:uid="{00000000-0005-0000-0000-000072200000}"/>
    <cellStyle name="60% - Accent5 8" xfId="8703" xr:uid="{00000000-0005-0000-0000-000073200000}"/>
    <cellStyle name="60% - Accent5 9" xfId="8704" xr:uid="{00000000-0005-0000-0000-000074200000}"/>
    <cellStyle name="60% - Accent6 10" xfId="8705" xr:uid="{00000000-0005-0000-0000-000075200000}"/>
    <cellStyle name="60% - Accent6 11" xfId="8706" xr:uid="{00000000-0005-0000-0000-000076200000}"/>
    <cellStyle name="60% - Accent6 2" xfId="8707" xr:uid="{00000000-0005-0000-0000-000077200000}"/>
    <cellStyle name="60% - Accent6 2 10" xfId="8708" xr:uid="{00000000-0005-0000-0000-000078200000}"/>
    <cellStyle name="60% - Accent6 2 11" xfId="8709" xr:uid="{00000000-0005-0000-0000-000079200000}"/>
    <cellStyle name="60% - Accent6 2 2" xfId="8710" xr:uid="{00000000-0005-0000-0000-00007A200000}"/>
    <cellStyle name="60% - Accent6 2 2 2" xfId="8711" xr:uid="{00000000-0005-0000-0000-00007B200000}"/>
    <cellStyle name="60% - Accent6 2 2 2 2" xfId="8712" xr:uid="{00000000-0005-0000-0000-00007C200000}"/>
    <cellStyle name="60% - Accent6 2 2 2 3" xfId="8713" xr:uid="{00000000-0005-0000-0000-00007D200000}"/>
    <cellStyle name="60% - Accent6 2 2 2 4" xfId="8714" xr:uid="{00000000-0005-0000-0000-00007E200000}"/>
    <cellStyle name="60% - Accent6 2 2 3" xfId="8715" xr:uid="{00000000-0005-0000-0000-00007F200000}"/>
    <cellStyle name="60% - Accent6 2 2 4" xfId="8716" xr:uid="{00000000-0005-0000-0000-000080200000}"/>
    <cellStyle name="60% - Accent6 2 2 5" xfId="8717" xr:uid="{00000000-0005-0000-0000-000081200000}"/>
    <cellStyle name="60% - Accent6 2 2 6" xfId="8718" xr:uid="{00000000-0005-0000-0000-000082200000}"/>
    <cellStyle name="60% - Accent6 2 3" xfId="8719" xr:uid="{00000000-0005-0000-0000-000083200000}"/>
    <cellStyle name="60% - Accent6 2 3 2" xfId="8720" xr:uid="{00000000-0005-0000-0000-000084200000}"/>
    <cellStyle name="60% - Accent6 2 3 3" xfId="8721" xr:uid="{00000000-0005-0000-0000-000085200000}"/>
    <cellStyle name="60% - Accent6 2 3 4" xfId="8722" xr:uid="{00000000-0005-0000-0000-000086200000}"/>
    <cellStyle name="60% - Accent6 2 3 5" xfId="8723" xr:uid="{00000000-0005-0000-0000-000087200000}"/>
    <cellStyle name="60% - Accent6 2 4" xfId="8724" xr:uid="{00000000-0005-0000-0000-000088200000}"/>
    <cellStyle name="60% - Accent6 2 4 2" xfId="8725" xr:uid="{00000000-0005-0000-0000-000089200000}"/>
    <cellStyle name="60% - Accent6 2 4 3" xfId="8726" xr:uid="{00000000-0005-0000-0000-00008A200000}"/>
    <cellStyle name="60% - Accent6 2 5" xfId="8727" xr:uid="{00000000-0005-0000-0000-00008B200000}"/>
    <cellStyle name="60% - Accent6 2 5 2" xfId="8728" xr:uid="{00000000-0005-0000-0000-00008C200000}"/>
    <cellStyle name="60% - Accent6 2 5 3" xfId="8729" xr:uid="{00000000-0005-0000-0000-00008D200000}"/>
    <cellStyle name="60% - Accent6 2 6" xfId="8730" xr:uid="{00000000-0005-0000-0000-00008E200000}"/>
    <cellStyle name="60% - Accent6 2 6 2" xfId="8731" xr:uid="{00000000-0005-0000-0000-00008F200000}"/>
    <cellStyle name="60% - Accent6 2 7" xfId="8732" xr:uid="{00000000-0005-0000-0000-000090200000}"/>
    <cellStyle name="60% - Accent6 2 7 2" xfId="8733" xr:uid="{00000000-0005-0000-0000-000091200000}"/>
    <cellStyle name="60% - Accent6 2 8" xfId="8734" xr:uid="{00000000-0005-0000-0000-000092200000}"/>
    <cellStyle name="60% - Accent6 2 9" xfId="8735" xr:uid="{00000000-0005-0000-0000-000093200000}"/>
    <cellStyle name="60% - Accent6 3" xfId="8736" xr:uid="{00000000-0005-0000-0000-000094200000}"/>
    <cellStyle name="60% - Accent6 3 2" xfId="8737" xr:uid="{00000000-0005-0000-0000-000095200000}"/>
    <cellStyle name="60% - Accent6 3 2 2" xfId="8738" xr:uid="{00000000-0005-0000-0000-000096200000}"/>
    <cellStyle name="60% - Accent6 3 2 2 2" xfId="8739" xr:uid="{00000000-0005-0000-0000-000097200000}"/>
    <cellStyle name="60% - Accent6 3 2 3" xfId="8740" xr:uid="{00000000-0005-0000-0000-000098200000}"/>
    <cellStyle name="60% - Accent6 3 2 4" xfId="8741" xr:uid="{00000000-0005-0000-0000-000099200000}"/>
    <cellStyle name="60% - Accent6 3 3" xfId="8742" xr:uid="{00000000-0005-0000-0000-00009A200000}"/>
    <cellStyle name="60% - Accent6 3 3 2" xfId="8743" xr:uid="{00000000-0005-0000-0000-00009B200000}"/>
    <cellStyle name="60% - Accent6 3 3 3" xfId="8744" xr:uid="{00000000-0005-0000-0000-00009C200000}"/>
    <cellStyle name="60% - Accent6 3 4" xfId="8745" xr:uid="{00000000-0005-0000-0000-00009D200000}"/>
    <cellStyle name="60% - Accent6 3 4 2" xfId="8746" xr:uid="{00000000-0005-0000-0000-00009E200000}"/>
    <cellStyle name="60% - Accent6 3 5" xfId="8747" xr:uid="{00000000-0005-0000-0000-00009F200000}"/>
    <cellStyle name="60% - Accent6 3 5 2" xfId="8748" xr:uid="{00000000-0005-0000-0000-0000A0200000}"/>
    <cellStyle name="60% - Accent6 3 6" xfId="8749" xr:uid="{00000000-0005-0000-0000-0000A1200000}"/>
    <cellStyle name="60% - Accent6 3 7" xfId="8750" xr:uid="{00000000-0005-0000-0000-0000A2200000}"/>
    <cellStyle name="60% - Accent6 4" xfId="8751" xr:uid="{00000000-0005-0000-0000-0000A3200000}"/>
    <cellStyle name="60% - Accent6 4 2" xfId="8752" xr:uid="{00000000-0005-0000-0000-0000A4200000}"/>
    <cellStyle name="60% - Accent6 4 3" xfId="8753" xr:uid="{00000000-0005-0000-0000-0000A5200000}"/>
    <cellStyle name="60% - Accent6 4 4" xfId="8754" xr:uid="{00000000-0005-0000-0000-0000A6200000}"/>
    <cellStyle name="60% - Accent6 4 5" xfId="8755" xr:uid="{00000000-0005-0000-0000-0000A7200000}"/>
    <cellStyle name="60% - Accent6 5" xfId="8756" xr:uid="{00000000-0005-0000-0000-0000A8200000}"/>
    <cellStyle name="60% - Accent6 5 2" xfId="8757" xr:uid="{00000000-0005-0000-0000-0000A9200000}"/>
    <cellStyle name="60% - Accent6 5 3" xfId="8758" xr:uid="{00000000-0005-0000-0000-0000AA200000}"/>
    <cellStyle name="60% - Accent6 5 4" xfId="8759" xr:uid="{00000000-0005-0000-0000-0000AB200000}"/>
    <cellStyle name="60% - Accent6 6" xfId="8760" xr:uid="{00000000-0005-0000-0000-0000AC200000}"/>
    <cellStyle name="60% - Accent6 6 2" xfId="8761" xr:uid="{00000000-0005-0000-0000-0000AD200000}"/>
    <cellStyle name="60% - Accent6 6 3" xfId="8762" xr:uid="{00000000-0005-0000-0000-0000AE200000}"/>
    <cellStyle name="60% - Accent6 7" xfId="8763" xr:uid="{00000000-0005-0000-0000-0000AF200000}"/>
    <cellStyle name="60% - Accent6 8" xfId="8764" xr:uid="{00000000-0005-0000-0000-0000B0200000}"/>
    <cellStyle name="60% - Accent6 9" xfId="8765" xr:uid="{00000000-0005-0000-0000-0000B1200000}"/>
    <cellStyle name="Accent1 - 20%" xfId="8766" xr:uid="{00000000-0005-0000-0000-0000B2200000}"/>
    <cellStyle name="Accent1 - 20% 2" xfId="8767" xr:uid="{00000000-0005-0000-0000-0000B3200000}"/>
    <cellStyle name="Accent1 - 20% 2 2" xfId="8768" xr:uid="{00000000-0005-0000-0000-0000B4200000}"/>
    <cellStyle name="Accent1 - 20% 2 2 2" xfId="8769" xr:uid="{00000000-0005-0000-0000-0000B5200000}"/>
    <cellStyle name="Accent1 - 20% 2 2 3" xfId="8770" xr:uid="{00000000-0005-0000-0000-0000B6200000}"/>
    <cellStyle name="Accent1 - 20% 2 3" xfId="8771" xr:uid="{00000000-0005-0000-0000-0000B7200000}"/>
    <cellStyle name="Accent1 - 20% 2 3 2" xfId="8772" xr:uid="{00000000-0005-0000-0000-0000B8200000}"/>
    <cellStyle name="Accent1 - 20% 2 4" xfId="8773" xr:uid="{00000000-0005-0000-0000-0000B9200000}"/>
    <cellStyle name="Accent1 - 20% 2 5" xfId="8774" xr:uid="{00000000-0005-0000-0000-0000BA200000}"/>
    <cellStyle name="Accent1 - 20% 3" xfId="8775" xr:uid="{00000000-0005-0000-0000-0000BB200000}"/>
    <cellStyle name="Accent1 - 20% 3 2" xfId="8776" xr:uid="{00000000-0005-0000-0000-0000BC200000}"/>
    <cellStyle name="Accent1 - 20% 3 2 2" xfId="8777" xr:uid="{00000000-0005-0000-0000-0000BD200000}"/>
    <cellStyle name="Accent1 - 20% 3 3" xfId="8778" xr:uid="{00000000-0005-0000-0000-0000BE200000}"/>
    <cellStyle name="Accent1 - 20% 4" xfId="8779" xr:uid="{00000000-0005-0000-0000-0000BF200000}"/>
    <cellStyle name="Accent1 - 20% 4 2" xfId="8780" xr:uid="{00000000-0005-0000-0000-0000C0200000}"/>
    <cellStyle name="Accent1 - 20% 5" xfId="8781" xr:uid="{00000000-0005-0000-0000-0000C1200000}"/>
    <cellStyle name="Accent1 - 20% 5 2" xfId="8782" xr:uid="{00000000-0005-0000-0000-0000C2200000}"/>
    <cellStyle name="Accent1 - 20% 6" xfId="8783" xr:uid="{00000000-0005-0000-0000-0000C3200000}"/>
    <cellStyle name="Accent1 - 20% 7" xfId="8784" xr:uid="{00000000-0005-0000-0000-0000C4200000}"/>
    <cellStyle name="Accent1 - 20% 8" xfId="8785" xr:uid="{00000000-0005-0000-0000-0000C5200000}"/>
    <cellStyle name="Accent1 - 20% 9" xfId="8786" xr:uid="{00000000-0005-0000-0000-0000C6200000}"/>
    <cellStyle name="Accent1 - 40%" xfId="8787" xr:uid="{00000000-0005-0000-0000-0000C7200000}"/>
    <cellStyle name="Accent1 - 40% 2" xfId="8788" xr:uid="{00000000-0005-0000-0000-0000C8200000}"/>
    <cellStyle name="Accent1 - 40% 2 2" xfId="8789" xr:uid="{00000000-0005-0000-0000-0000C9200000}"/>
    <cellStyle name="Accent1 - 40% 2 2 2" xfId="8790" xr:uid="{00000000-0005-0000-0000-0000CA200000}"/>
    <cellStyle name="Accent1 - 40% 2 2 3" xfId="8791" xr:uid="{00000000-0005-0000-0000-0000CB200000}"/>
    <cellStyle name="Accent1 - 40% 2 3" xfId="8792" xr:uid="{00000000-0005-0000-0000-0000CC200000}"/>
    <cellStyle name="Accent1 - 40% 2 3 2" xfId="8793" xr:uid="{00000000-0005-0000-0000-0000CD200000}"/>
    <cellStyle name="Accent1 - 40% 2 4" xfId="8794" xr:uid="{00000000-0005-0000-0000-0000CE200000}"/>
    <cellStyle name="Accent1 - 40% 2 5" xfId="8795" xr:uid="{00000000-0005-0000-0000-0000CF200000}"/>
    <cellStyle name="Accent1 - 40% 3" xfId="8796" xr:uid="{00000000-0005-0000-0000-0000D0200000}"/>
    <cellStyle name="Accent1 - 40% 3 2" xfId="8797" xr:uid="{00000000-0005-0000-0000-0000D1200000}"/>
    <cellStyle name="Accent1 - 40% 3 2 2" xfId="8798" xr:uid="{00000000-0005-0000-0000-0000D2200000}"/>
    <cellStyle name="Accent1 - 40% 3 3" xfId="8799" xr:uid="{00000000-0005-0000-0000-0000D3200000}"/>
    <cellStyle name="Accent1 - 40% 4" xfId="8800" xr:uid="{00000000-0005-0000-0000-0000D4200000}"/>
    <cellStyle name="Accent1 - 40% 4 2" xfId="8801" xr:uid="{00000000-0005-0000-0000-0000D5200000}"/>
    <cellStyle name="Accent1 - 40% 5" xfId="8802" xr:uid="{00000000-0005-0000-0000-0000D6200000}"/>
    <cellStyle name="Accent1 - 40% 5 2" xfId="8803" xr:uid="{00000000-0005-0000-0000-0000D7200000}"/>
    <cellStyle name="Accent1 - 40% 6" xfId="8804" xr:uid="{00000000-0005-0000-0000-0000D8200000}"/>
    <cellStyle name="Accent1 - 40% 7" xfId="8805" xr:uid="{00000000-0005-0000-0000-0000D9200000}"/>
    <cellStyle name="Accent1 - 40% 8" xfId="8806" xr:uid="{00000000-0005-0000-0000-0000DA200000}"/>
    <cellStyle name="Accent1 - 40% 9" xfId="8807" xr:uid="{00000000-0005-0000-0000-0000DB200000}"/>
    <cellStyle name="Accent1 - 60%" xfId="8808" xr:uid="{00000000-0005-0000-0000-0000DC200000}"/>
    <cellStyle name="Accent1 - 60% 2" xfId="8809" xr:uid="{00000000-0005-0000-0000-0000DD200000}"/>
    <cellStyle name="Accent1 - 60% 2 2" xfId="8810" xr:uid="{00000000-0005-0000-0000-0000DE200000}"/>
    <cellStyle name="Accent1 - 60% 2 2 2" xfId="8811" xr:uid="{00000000-0005-0000-0000-0000DF200000}"/>
    <cellStyle name="Accent1 - 60% 2 2 3" xfId="8812" xr:uid="{00000000-0005-0000-0000-0000E0200000}"/>
    <cellStyle name="Accent1 - 60% 2 3" xfId="8813" xr:uid="{00000000-0005-0000-0000-0000E1200000}"/>
    <cellStyle name="Accent1 - 60% 2 3 2" xfId="8814" xr:uid="{00000000-0005-0000-0000-0000E2200000}"/>
    <cellStyle name="Accent1 - 60% 2 4" xfId="8815" xr:uid="{00000000-0005-0000-0000-0000E3200000}"/>
    <cellStyle name="Accent1 - 60% 2 5" xfId="8816" xr:uid="{00000000-0005-0000-0000-0000E4200000}"/>
    <cellStyle name="Accent1 - 60% 3" xfId="8817" xr:uid="{00000000-0005-0000-0000-0000E5200000}"/>
    <cellStyle name="Accent1 - 60% 3 2" xfId="8818" xr:uid="{00000000-0005-0000-0000-0000E6200000}"/>
    <cellStyle name="Accent1 - 60% 3 2 2" xfId="8819" xr:uid="{00000000-0005-0000-0000-0000E7200000}"/>
    <cellStyle name="Accent1 - 60% 3 3" xfId="8820" xr:uid="{00000000-0005-0000-0000-0000E8200000}"/>
    <cellStyle name="Accent1 - 60% 4" xfId="8821" xr:uid="{00000000-0005-0000-0000-0000E9200000}"/>
    <cellStyle name="Accent1 - 60% 4 2" xfId="8822" xr:uid="{00000000-0005-0000-0000-0000EA200000}"/>
    <cellStyle name="Accent1 - 60% 5" xfId="8823" xr:uid="{00000000-0005-0000-0000-0000EB200000}"/>
    <cellStyle name="Accent1 - 60% 5 2" xfId="8824" xr:uid="{00000000-0005-0000-0000-0000EC200000}"/>
    <cellStyle name="Accent1 - 60% 6" xfId="8825" xr:uid="{00000000-0005-0000-0000-0000ED200000}"/>
    <cellStyle name="Accent1 - 60% 7" xfId="8826" xr:uid="{00000000-0005-0000-0000-0000EE200000}"/>
    <cellStyle name="Accent1 - 60% 8" xfId="8827" xr:uid="{00000000-0005-0000-0000-0000EF200000}"/>
    <cellStyle name="Accent1 - 60% 9" xfId="8828" xr:uid="{00000000-0005-0000-0000-0000F0200000}"/>
    <cellStyle name="Accent1 10" xfId="8829" xr:uid="{00000000-0005-0000-0000-0000F1200000}"/>
    <cellStyle name="Accent1 10 2" xfId="8830" xr:uid="{00000000-0005-0000-0000-0000F2200000}"/>
    <cellStyle name="Accent1 10 2 2" xfId="8831" xr:uid="{00000000-0005-0000-0000-0000F3200000}"/>
    <cellStyle name="Accent1 10 2 3" xfId="8832" xr:uid="{00000000-0005-0000-0000-0000F4200000}"/>
    <cellStyle name="Accent1 10 3" xfId="8833" xr:uid="{00000000-0005-0000-0000-0000F5200000}"/>
    <cellStyle name="Accent1 10 3 2" xfId="8834" xr:uid="{00000000-0005-0000-0000-0000F6200000}"/>
    <cellStyle name="Accent1 10 4" xfId="8835" xr:uid="{00000000-0005-0000-0000-0000F7200000}"/>
    <cellStyle name="Accent1 10 5" xfId="8836" xr:uid="{00000000-0005-0000-0000-0000F8200000}"/>
    <cellStyle name="Accent1 100" xfId="8837" xr:uid="{00000000-0005-0000-0000-0000F9200000}"/>
    <cellStyle name="Accent1 100 2" xfId="8838" xr:uid="{00000000-0005-0000-0000-0000FA200000}"/>
    <cellStyle name="Accent1 101" xfId="8839" xr:uid="{00000000-0005-0000-0000-0000FB200000}"/>
    <cellStyle name="Accent1 101 2" xfId="8840" xr:uid="{00000000-0005-0000-0000-0000FC200000}"/>
    <cellStyle name="Accent1 102" xfId="8841" xr:uid="{00000000-0005-0000-0000-0000FD200000}"/>
    <cellStyle name="Accent1 102 2" xfId="8842" xr:uid="{00000000-0005-0000-0000-0000FE200000}"/>
    <cellStyle name="Accent1 103" xfId="8843" xr:uid="{00000000-0005-0000-0000-0000FF200000}"/>
    <cellStyle name="Accent1 103 2" xfId="8844" xr:uid="{00000000-0005-0000-0000-000000210000}"/>
    <cellStyle name="Accent1 104" xfId="8845" xr:uid="{00000000-0005-0000-0000-000001210000}"/>
    <cellStyle name="Accent1 104 2" xfId="8846" xr:uid="{00000000-0005-0000-0000-000002210000}"/>
    <cellStyle name="Accent1 105" xfId="8847" xr:uid="{00000000-0005-0000-0000-000003210000}"/>
    <cellStyle name="Accent1 105 2" xfId="8848" xr:uid="{00000000-0005-0000-0000-000004210000}"/>
    <cellStyle name="Accent1 106" xfId="8849" xr:uid="{00000000-0005-0000-0000-000005210000}"/>
    <cellStyle name="Accent1 106 2" xfId="8850" xr:uid="{00000000-0005-0000-0000-000006210000}"/>
    <cellStyle name="Accent1 107" xfId="8851" xr:uid="{00000000-0005-0000-0000-000007210000}"/>
    <cellStyle name="Accent1 107 2" xfId="8852" xr:uid="{00000000-0005-0000-0000-000008210000}"/>
    <cellStyle name="Accent1 108" xfId="8853" xr:uid="{00000000-0005-0000-0000-000009210000}"/>
    <cellStyle name="Accent1 108 2" xfId="8854" xr:uid="{00000000-0005-0000-0000-00000A210000}"/>
    <cellStyle name="Accent1 109" xfId="8855" xr:uid="{00000000-0005-0000-0000-00000B210000}"/>
    <cellStyle name="Accent1 109 2" xfId="8856" xr:uid="{00000000-0005-0000-0000-00000C210000}"/>
    <cellStyle name="Accent1 11" xfId="8857" xr:uid="{00000000-0005-0000-0000-00000D210000}"/>
    <cellStyle name="Accent1 11 2" xfId="8858" xr:uid="{00000000-0005-0000-0000-00000E210000}"/>
    <cellStyle name="Accent1 11 2 2" xfId="8859" xr:uid="{00000000-0005-0000-0000-00000F210000}"/>
    <cellStyle name="Accent1 11 2 3" xfId="8860" xr:uid="{00000000-0005-0000-0000-000010210000}"/>
    <cellStyle name="Accent1 11 3" xfId="8861" xr:uid="{00000000-0005-0000-0000-000011210000}"/>
    <cellStyle name="Accent1 11 3 2" xfId="8862" xr:uid="{00000000-0005-0000-0000-000012210000}"/>
    <cellStyle name="Accent1 11 4" xfId="8863" xr:uid="{00000000-0005-0000-0000-000013210000}"/>
    <cellStyle name="Accent1 11 5" xfId="8864" xr:uid="{00000000-0005-0000-0000-000014210000}"/>
    <cellStyle name="Accent1 11 6" xfId="8865" xr:uid="{00000000-0005-0000-0000-000015210000}"/>
    <cellStyle name="Accent1 110" xfId="8866" xr:uid="{00000000-0005-0000-0000-000016210000}"/>
    <cellStyle name="Accent1 110 2" xfId="8867" xr:uid="{00000000-0005-0000-0000-000017210000}"/>
    <cellStyle name="Accent1 111" xfId="8868" xr:uid="{00000000-0005-0000-0000-000018210000}"/>
    <cellStyle name="Accent1 112" xfId="8869" xr:uid="{00000000-0005-0000-0000-000019210000}"/>
    <cellStyle name="Accent1 113" xfId="8870" xr:uid="{00000000-0005-0000-0000-00001A210000}"/>
    <cellStyle name="Accent1 114" xfId="8871" xr:uid="{00000000-0005-0000-0000-00001B210000}"/>
    <cellStyle name="Accent1 115" xfId="8872" xr:uid="{00000000-0005-0000-0000-00001C210000}"/>
    <cellStyle name="Accent1 116" xfId="8873" xr:uid="{00000000-0005-0000-0000-00001D210000}"/>
    <cellStyle name="Accent1 117" xfId="8874" xr:uid="{00000000-0005-0000-0000-00001E210000}"/>
    <cellStyle name="Accent1 118" xfId="8875" xr:uid="{00000000-0005-0000-0000-00001F210000}"/>
    <cellStyle name="Accent1 119" xfId="8876" xr:uid="{00000000-0005-0000-0000-000020210000}"/>
    <cellStyle name="Accent1 12" xfId="8877" xr:uid="{00000000-0005-0000-0000-000021210000}"/>
    <cellStyle name="Accent1 12 2" xfId="8878" xr:uid="{00000000-0005-0000-0000-000022210000}"/>
    <cellStyle name="Accent1 12 2 2" xfId="8879" xr:uid="{00000000-0005-0000-0000-000023210000}"/>
    <cellStyle name="Accent1 12 2 3" xfId="8880" xr:uid="{00000000-0005-0000-0000-000024210000}"/>
    <cellStyle name="Accent1 12 3" xfId="8881" xr:uid="{00000000-0005-0000-0000-000025210000}"/>
    <cellStyle name="Accent1 12 3 2" xfId="8882" xr:uid="{00000000-0005-0000-0000-000026210000}"/>
    <cellStyle name="Accent1 12 4" xfId="8883" xr:uid="{00000000-0005-0000-0000-000027210000}"/>
    <cellStyle name="Accent1 120" xfId="8884" xr:uid="{00000000-0005-0000-0000-000028210000}"/>
    <cellStyle name="Accent1 121" xfId="8885" xr:uid="{00000000-0005-0000-0000-000029210000}"/>
    <cellStyle name="Accent1 122" xfId="8886" xr:uid="{00000000-0005-0000-0000-00002A210000}"/>
    <cellStyle name="Accent1 123" xfId="8887" xr:uid="{00000000-0005-0000-0000-00002B210000}"/>
    <cellStyle name="Accent1 124" xfId="8888" xr:uid="{00000000-0005-0000-0000-00002C210000}"/>
    <cellStyle name="Accent1 125" xfId="8889" xr:uid="{00000000-0005-0000-0000-00002D210000}"/>
    <cellStyle name="Accent1 126" xfId="8890" xr:uid="{00000000-0005-0000-0000-00002E210000}"/>
    <cellStyle name="Accent1 127" xfId="8891" xr:uid="{00000000-0005-0000-0000-00002F210000}"/>
    <cellStyle name="Accent1 128" xfId="8892" xr:uid="{00000000-0005-0000-0000-000030210000}"/>
    <cellStyle name="Accent1 129" xfId="8893" xr:uid="{00000000-0005-0000-0000-000031210000}"/>
    <cellStyle name="Accent1 13" xfId="8894" xr:uid="{00000000-0005-0000-0000-000032210000}"/>
    <cellStyle name="Accent1 13 2" xfId="8895" xr:uid="{00000000-0005-0000-0000-000033210000}"/>
    <cellStyle name="Accent1 13 2 2" xfId="8896" xr:uid="{00000000-0005-0000-0000-000034210000}"/>
    <cellStyle name="Accent1 13 2 3" xfId="8897" xr:uid="{00000000-0005-0000-0000-000035210000}"/>
    <cellStyle name="Accent1 13 3" xfId="8898" xr:uid="{00000000-0005-0000-0000-000036210000}"/>
    <cellStyle name="Accent1 13 3 2" xfId="8899" xr:uid="{00000000-0005-0000-0000-000037210000}"/>
    <cellStyle name="Accent1 13 4" xfId="8900" xr:uid="{00000000-0005-0000-0000-000038210000}"/>
    <cellStyle name="Accent1 130" xfId="8901" xr:uid="{00000000-0005-0000-0000-000039210000}"/>
    <cellStyle name="Accent1 131" xfId="8902" xr:uid="{00000000-0005-0000-0000-00003A210000}"/>
    <cellStyle name="Accent1 132" xfId="8903" xr:uid="{00000000-0005-0000-0000-00003B210000}"/>
    <cellStyle name="Accent1 133" xfId="8904" xr:uid="{00000000-0005-0000-0000-00003C210000}"/>
    <cellStyle name="Accent1 134" xfId="8905" xr:uid="{00000000-0005-0000-0000-00003D210000}"/>
    <cellStyle name="Accent1 135" xfId="8906" xr:uid="{00000000-0005-0000-0000-00003E210000}"/>
    <cellStyle name="Accent1 136" xfId="8907" xr:uid="{00000000-0005-0000-0000-00003F210000}"/>
    <cellStyle name="Accent1 137" xfId="8908" xr:uid="{00000000-0005-0000-0000-000040210000}"/>
    <cellStyle name="Accent1 138" xfId="8909" xr:uid="{00000000-0005-0000-0000-000041210000}"/>
    <cellStyle name="Accent1 139" xfId="8910" xr:uid="{00000000-0005-0000-0000-000042210000}"/>
    <cellStyle name="Accent1 14" xfId="8911" xr:uid="{00000000-0005-0000-0000-000043210000}"/>
    <cellStyle name="Accent1 14 2" xfId="8912" xr:uid="{00000000-0005-0000-0000-000044210000}"/>
    <cellStyle name="Accent1 14 2 2" xfId="8913" xr:uid="{00000000-0005-0000-0000-000045210000}"/>
    <cellStyle name="Accent1 14 2 3" xfId="8914" xr:uid="{00000000-0005-0000-0000-000046210000}"/>
    <cellStyle name="Accent1 14 3" xfId="8915" xr:uid="{00000000-0005-0000-0000-000047210000}"/>
    <cellStyle name="Accent1 14 3 2" xfId="8916" xr:uid="{00000000-0005-0000-0000-000048210000}"/>
    <cellStyle name="Accent1 14 4" xfId="8917" xr:uid="{00000000-0005-0000-0000-000049210000}"/>
    <cellStyle name="Accent1 140" xfId="8918" xr:uid="{00000000-0005-0000-0000-00004A210000}"/>
    <cellStyle name="Accent1 141" xfId="8919" xr:uid="{00000000-0005-0000-0000-00004B210000}"/>
    <cellStyle name="Accent1 142" xfId="8920" xr:uid="{00000000-0005-0000-0000-00004C210000}"/>
    <cellStyle name="Accent1 143" xfId="8921" xr:uid="{00000000-0005-0000-0000-00004D210000}"/>
    <cellStyle name="Accent1 144" xfId="8922" xr:uid="{00000000-0005-0000-0000-00004E210000}"/>
    <cellStyle name="Accent1 145" xfId="8923" xr:uid="{00000000-0005-0000-0000-00004F210000}"/>
    <cellStyle name="Accent1 146" xfId="8924" xr:uid="{00000000-0005-0000-0000-000050210000}"/>
    <cellStyle name="Accent1 147" xfId="8925" xr:uid="{00000000-0005-0000-0000-000051210000}"/>
    <cellStyle name="Accent1 148" xfId="8926" xr:uid="{00000000-0005-0000-0000-000052210000}"/>
    <cellStyle name="Accent1 149" xfId="8927" xr:uid="{00000000-0005-0000-0000-000053210000}"/>
    <cellStyle name="Accent1 15" xfId="8928" xr:uid="{00000000-0005-0000-0000-000054210000}"/>
    <cellStyle name="Accent1 15 2" xfId="8929" xr:uid="{00000000-0005-0000-0000-000055210000}"/>
    <cellStyle name="Accent1 15 2 2" xfId="8930" xr:uid="{00000000-0005-0000-0000-000056210000}"/>
    <cellStyle name="Accent1 15 2 3" xfId="8931" xr:uid="{00000000-0005-0000-0000-000057210000}"/>
    <cellStyle name="Accent1 15 3" xfId="8932" xr:uid="{00000000-0005-0000-0000-000058210000}"/>
    <cellStyle name="Accent1 15 3 2" xfId="8933" xr:uid="{00000000-0005-0000-0000-000059210000}"/>
    <cellStyle name="Accent1 15 4" xfId="8934" xr:uid="{00000000-0005-0000-0000-00005A210000}"/>
    <cellStyle name="Accent1 150" xfId="8935" xr:uid="{00000000-0005-0000-0000-00005B210000}"/>
    <cellStyle name="Accent1 151" xfId="8936" xr:uid="{00000000-0005-0000-0000-00005C210000}"/>
    <cellStyle name="Accent1 152" xfId="8937" xr:uid="{00000000-0005-0000-0000-00005D210000}"/>
    <cellStyle name="Accent1 153" xfId="8938" xr:uid="{00000000-0005-0000-0000-00005E210000}"/>
    <cellStyle name="Accent1 154" xfId="8939" xr:uid="{00000000-0005-0000-0000-00005F210000}"/>
    <cellStyle name="Accent1 155" xfId="8940" xr:uid="{00000000-0005-0000-0000-000060210000}"/>
    <cellStyle name="Accent1 156" xfId="8941" xr:uid="{00000000-0005-0000-0000-000061210000}"/>
    <cellStyle name="Accent1 157" xfId="8942" xr:uid="{00000000-0005-0000-0000-000062210000}"/>
    <cellStyle name="Accent1 158" xfId="8943" xr:uid="{00000000-0005-0000-0000-000063210000}"/>
    <cellStyle name="Accent1 159" xfId="8944" xr:uid="{00000000-0005-0000-0000-000064210000}"/>
    <cellStyle name="Accent1 16" xfId="8945" xr:uid="{00000000-0005-0000-0000-000065210000}"/>
    <cellStyle name="Accent1 16 2" xfId="8946" xr:uid="{00000000-0005-0000-0000-000066210000}"/>
    <cellStyle name="Accent1 16 2 2" xfId="8947" xr:uid="{00000000-0005-0000-0000-000067210000}"/>
    <cellStyle name="Accent1 16 2 3" xfId="8948" xr:uid="{00000000-0005-0000-0000-000068210000}"/>
    <cellStyle name="Accent1 16 3" xfId="8949" xr:uid="{00000000-0005-0000-0000-000069210000}"/>
    <cellStyle name="Accent1 16 3 2" xfId="8950" xr:uid="{00000000-0005-0000-0000-00006A210000}"/>
    <cellStyle name="Accent1 16 4" xfId="8951" xr:uid="{00000000-0005-0000-0000-00006B210000}"/>
    <cellStyle name="Accent1 160" xfId="8952" xr:uid="{00000000-0005-0000-0000-00006C210000}"/>
    <cellStyle name="Accent1 161" xfId="8953" xr:uid="{00000000-0005-0000-0000-00006D210000}"/>
    <cellStyle name="Accent1 162" xfId="8954" xr:uid="{00000000-0005-0000-0000-00006E210000}"/>
    <cellStyle name="Accent1 163" xfId="8955" xr:uid="{00000000-0005-0000-0000-00006F210000}"/>
    <cellStyle name="Accent1 164" xfId="8956" xr:uid="{00000000-0005-0000-0000-000070210000}"/>
    <cellStyle name="Accent1 165" xfId="8957" xr:uid="{00000000-0005-0000-0000-000071210000}"/>
    <cellStyle name="Accent1 166" xfId="8958" xr:uid="{00000000-0005-0000-0000-000072210000}"/>
    <cellStyle name="Accent1 167" xfId="8959" xr:uid="{00000000-0005-0000-0000-000073210000}"/>
    <cellStyle name="Accent1 168" xfId="8960" xr:uid="{00000000-0005-0000-0000-000074210000}"/>
    <cellStyle name="Accent1 169" xfId="8961" xr:uid="{00000000-0005-0000-0000-000075210000}"/>
    <cellStyle name="Accent1 17" xfId="8962" xr:uid="{00000000-0005-0000-0000-000076210000}"/>
    <cellStyle name="Accent1 17 2" xfId="8963" xr:uid="{00000000-0005-0000-0000-000077210000}"/>
    <cellStyle name="Accent1 17 2 2" xfId="8964" xr:uid="{00000000-0005-0000-0000-000078210000}"/>
    <cellStyle name="Accent1 17 2 3" xfId="8965" xr:uid="{00000000-0005-0000-0000-000079210000}"/>
    <cellStyle name="Accent1 17 3" xfId="8966" xr:uid="{00000000-0005-0000-0000-00007A210000}"/>
    <cellStyle name="Accent1 17 3 2" xfId="8967" xr:uid="{00000000-0005-0000-0000-00007B210000}"/>
    <cellStyle name="Accent1 17 4" xfId="8968" xr:uid="{00000000-0005-0000-0000-00007C210000}"/>
    <cellStyle name="Accent1 170" xfId="8969" xr:uid="{00000000-0005-0000-0000-00007D210000}"/>
    <cellStyle name="Accent1 171" xfId="8970" xr:uid="{00000000-0005-0000-0000-00007E210000}"/>
    <cellStyle name="Accent1 172" xfId="8971" xr:uid="{00000000-0005-0000-0000-00007F210000}"/>
    <cellStyle name="Accent1 173" xfId="8972" xr:uid="{00000000-0005-0000-0000-000080210000}"/>
    <cellStyle name="Accent1 174" xfId="8973" xr:uid="{00000000-0005-0000-0000-000081210000}"/>
    <cellStyle name="Accent1 175" xfId="8974" xr:uid="{00000000-0005-0000-0000-000082210000}"/>
    <cellStyle name="Accent1 176" xfId="8975" xr:uid="{00000000-0005-0000-0000-000083210000}"/>
    <cellStyle name="Accent1 177" xfId="8976" xr:uid="{00000000-0005-0000-0000-000084210000}"/>
    <cellStyle name="Accent1 178" xfId="8977" xr:uid="{00000000-0005-0000-0000-000085210000}"/>
    <cellStyle name="Accent1 179" xfId="8978" xr:uid="{00000000-0005-0000-0000-000086210000}"/>
    <cellStyle name="Accent1 18" xfId="8979" xr:uid="{00000000-0005-0000-0000-000087210000}"/>
    <cellStyle name="Accent1 18 2" xfId="8980" xr:uid="{00000000-0005-0000-0000-000088210000}"/>
    <cellStyle name="Accent1 18 2 2" xfId="8981" xr:uid="{00000000-0005-0000-0000-000089210000}"/>
    <cellStyle name="Accent1 18 2 3" xfId="8982" xr:uid="{00000000-0005-0000-0000-00008A210000}"/>
    <cellStyle name="Accent1 18 3" xfId="8983" xr:uid="{00000000-0005-0000-0000-00008B210000}"/>
    <cellStyle name="Accent1 18 3 2" xfId="8984" xr:uid="{00000000-0005-0000-0000-00008C210000}"/>
    <cellStyle name="Accent1 180" xfId="8985" xr:uid="{00000000-0005-0000-0000-00008D210000}"/>
    <cellStyle name="Accent1 181" xfId="8986" xr:uid="{00000000-0005-0000-0000-00008E210000}"/>
    <cellStyle name="Accent1 182" xfId="8987" xr:uid="{00000000-0005-0000-0000-00008F210000}"/>
    <cellStyle name="Accent1 183" xfId="8988" xr:uid="{00000000-0005-0000-0000-000090210000}"/>
    <cellStyle name="Accent1 184" xfId="8989" xr:uid="{00000000-0005-0000-0000-000091210000}"/>
    <cellStyle name="Accent1 185" xfId="8990" xr:uid="{00000000-0005-0000-0000-000092210000}"/>
    <cellStyle name="Accent1 186" xfId="8991" xr:uid="{00000000-0005-0000-0000-000093210000}"/>
    <cellStyle name="Accent1 187" xfId="8992" xr:uid="{00000000-0005-0000-0000-000094210000}"/>
    <cellStyle name="Accent1 188" xfId="8993" xr:uid="{00000000-0005-0000-0000-000095210000}"/>
    <cellStyle name="Accent1 189" xfId="8994" xr:uid="{00000000-0005-0000-0000-000096210000}"/>
    <cellStyle name="Accent1 19" xfId="8995" xr:uid="{00000000-0005-0000-0000-000097210000}"/>
    <cellStyle name="Accent1 19 2" xfId="8996" xr:uid="{00000000-0005-0000-0000-000098210000}"/>
    <cellStyle name="Accent1 19 2 2" xfId="8997" xr:uid="{00000000-0005-0000-0000-000099210000}"/>
    <cellStyle name="Accent1 19 2 3" xfId="8998" xr:uid="{00000000-0005-0000-0000-00009A210000}"/>
    <cellStyle name="Accent1 19 3" xfId="8999" xr:uid="{00000000-0005-0000-0000-00009B210000}"/>
    <cellStyle name="Accent1 19 3 2" xfId="9000" xr:uid="{00000000-0005-0000-0000-00009C210000}"/>
    <cellStyle name="Accent1 2" xfId="9001" xr:uid="{00000000-0005-0000-0000-00009D210000}"/>
    <cellStyle name="Accent1 2 10" xfId="9002" xr:uid="{00000000-0005-0000-0000-00009E210000}"/>
    <cellStyle name="Accent1 2 11" xfId="9003" xr:uid="{00000000-0005-0000-0000-00009F210000}"/>
    <cellStyle name="Accent1 2 2" xfId="9004" xr:uid="{00000000-0005-0000-0000-0000A0210000}"/>
    <cellStyle name="Accent1 2 2 2" xfId="9005" xr:uid="{00000000-0005-0000-0000-0000A1210000}"/>
    <cellStyle name="Accent1 2 2 2 2" xfId="9006" xr:uid="{00000000-0005-0000-0000-0000A2210000}"/>
    <cellStyle name="Accent1 2 2 2 3" xfId="9007" xr:uid="{00000000-0005-0000-0000-0000A3210000}"/>
    <cellStyle name="Accent1 2 2 2 4" xfId="9008" xr:uid="{00000000-0005-0000-0000-0000A4210000}"/>
    <cellStyle name="Accent1 2 2 3" xfId="9009" xr:uid="{00000000-0005-0000-0000-0000A5210000}"/>
    <cellStyle name="Accent1 2 2 4" xfId="9010" xr:uid="{00000000-0005-0000-0000-0000A6210000}"/>
    <cellStyle name="Accent1 2 2 5" xfId="9011" xr:uid="{00000000-0005-0000-0000-0000A7210000}"/>
    <cellStyle name="Accent1 2 2 6" xfId="9012" xr:uid="{00000000-0005-0000-0000-0000A8210000}"/>
    <cellStyle name="Accent1 2 3" xfId="9013" xr:uid="{00000000-0005-0000-0000-0000A9210000}"/>
    <cellStyle name="Accent1 2 3 2" xfId="9014" xr:uid="{00000000-0005-0000-0000-0000AA210000}"/>
    <cellStyle name="Accent1 2 3 3" xfId="9015" xr:uid="{00000000-0005-0000-0000-0000AB210000}"/>
    <cellStyle name="Accent1 2 3 4" xfId="9016" xr:uid="{00000000-0005-0000-0000-0000AC210000}"/>
    <cellStyle name="Accent1 2 3 5" xfId="9017" xr:uid="{00000000-0005-0000-0000-0000AD210000}"/>
    <cellStyle name="Accent1 2 4" xfId="9018" xr:uid="{00000000-0005-0000-0000-0000AE210000}"/>
    <cellStyle name="Accent1 2 4 2" xfId="9019" xr:uid="{00000000-0005-0000-0000-0000AF210000}"/>
    <cellStyle name="Accent1 2 4 3" xfId="9020" xr:uid="{00000000-0005-0000-0000-0000B0210000}"/>
    <cellStyle name="Accent1 2 5" xfId="9021" xr:uid="{00000000-0005-0000-0000-0000B1210000}"/>
    <cellStyle name="Accent1 2 5 2" xfId="9022" xr:uid="{00000000-0005-0000-0000-0000B2210000}"/>
    <cellStyle name="Accent1 2 6" xfId="9023" xr:uid="{00000000-0005-0000-0000-0000B3210000}"/>
    <cellStyle name="Accent1 2 6 2" xfId="9024" xr:uid="{00000000-0005-0000-0000-0000B4210000}"/>
    <cellStyle name="Accent1 2 7" xfId="9025" xr:uid="{00000000-0005-0000-0000-0000B5210000}"/>
    <cellStyle name="Accent1 2 7 2" xfId="9026" xr:uid="{00000000-0005-0000-0000-0000B6210000}"/>
    <cellStyle name="Accent1 2 8" xfId="9027" xr:uid="{00000000-0005-0000-0000-0000B7210000}"/>
    <cellStyle name="Accent1 2 9" xfId="9028" xr:uid="{00000000-0005-0000-0000-0000B8210000}"/>
    <cellStyle name="Accent1 20" xfId="9029" xr:uid="{00000000-0005-0000-0000-0000B9210000}"/>
    <cellStyle name="Accent1 20 2" xfId="9030" xr:uid="{00000000-0005-0000-0000-0000BA210000}"/>
    <cellStyle name="Accent1 20 2 2" xfId="9031" xr:uid="{00000000-0005-0000-0000-0000BB210000}"/>
    <cellStyle name="Accent1 20 2 3" xfId="9032" xr:uid="{00000000-0005-0000-0000-0000BC210000}"/>
    <cellStyle name="Accent1 20 3" xfId="9033" xr:uid="{00000000-0005-0000-0000-0000BD210000}"/>
    <cellStyle name="Accent1 20 3 2" xfId="9034" xr:uid="{00000000-0005-0000-0000-0000BE210000}"/>
    <cellStyle name="Accent1 20 4" xfId="9035" xr:uid="{00000000-0005-0000-0000-0000BF210000}"/>
    <cellStyle name="Accent1 21" xfId="9036" xr:uid="{00000000-0005-0000-0000-0000C0210000}"/>
    <cellStyle name="Accent1 21 2" xfId="9037" xr:uid="{00000000-0005-0000-0000-0000C1210000}"/>
    <cellStyle name="Accent1 21 2 2" xfId="9038" xr:uid="{00000000-0005-0000-0000-0000C2210000}"/>
    <cellStyle name="Accent1 21 2 3" xfId="9039" xr:uid="{00000000-0005-0000-0000-0000C3210000}"/>
    <cellStyle name="Accent1 21 3" xfId="9040" xr:uid="{00000000-0005-0000-0000-0000C4210000}"/>
    <cellStyle name="Accent1 21 3 2" xfId="9041" xr:uid="{00000000-0005-0000-0000-0000C5210000}"/>
    <cellStyle name="Accent1 21 4" xfId="9042" xr:uid="{00000000-0005-0000-0000-0000C6210000}"/>
    <cellStyle name="Accent1 22" xfId="9043" xr:uid="{00000000-0005-0000-0000-0000C7210000}"/>
    <cellStyle name="Accent1 22 2" xfId="9044" xr:uid="{00000000-0005-0000-0000-0000C8210000}"/>
    <cellStyle name="Accent1 22 2 2" xfId="9045" xr:uid="{00000000-0005-0000-0000-0000C9210000}"/>
    <cellStyle name="Accent1 22 2 3" xfId="9046" xr:uid="{00000000-0005-0000-0000-0000CA210000}"/>
    <cellStyle name="Accent1 22 3" xfId="9047" xr:uid="{00000000-0005-0000-0000-0000CB210000}"/>
    <cellStyle name="Accent1 22 3 2" xfId="9048" xr:uid="{00000000-0005-0000-0000-0000CC210000}"/>
    <cellStyle name="Accent1 22 4" xfId="9049" xr:uid="{00000000-0005-0000-0000-0000CD210000}"/>
    <cellStyle name="Accent1 23" xfId="9050" xr:uid="{00000000-0005-0000-0000-0000CE210000}"/>
    <cellStyle name="Accent1 23 2" xfId="9051" xr:uid="{00000000-0005-0000-0000-0000CF210000}"/>
    <cellStyle name="Accent1 23 2 2" xfId="9052" xr:uid="{00000000-0005-0000-0000-0000D0210000}"/>
    <cellStyle name="Accent1 23 2 3" xfId="9053" xr:uid="{00000000-0005-0000-0000-0000D1210000}"/>
    <cellStyle name="Accent1 23 3" xfId="9054" xr:uid="{00000000-0005-0000-0000-0000D2210000}"/>
    <cellStyle name="Accent1 23 3 2" xfId="9055" xr:uid="{00000000-0005-0000-0000-0000D3210000}"/>
    <cellStyle name="Accent1 23 4" xfId="9056" xr:uid="{00000000-0005-0000-0000-0000D4210000}"/>
    <cellStyle name="Accent1 24" xfId="9057" xr:uid="{00000000-0005-0000-0000-0000D5210000}"/>
    <cellStyle name="Accent1 24 2" xfId="9058" xr:uid="{00000000-0005-0000-0000-0000D6210000}"/>
    <cellStyle name="Accent1 24 2 2" xfId="9059" xr:uid="{00000000-0005-0000-0000-0000D7210000}"/>
    <cellStyle name="Accent1 24 2 3" xfId="9060" xr:uid="{00000000-0005-0000-0000-0000D8210000}"/>
    <cellStyle name="Accent1 24 3" xfId="9061" xr:uid="{00000000-0005-0000-0000-0000D9210000}"/>
    <cellStyle name="Accent1 24 3 2" xfId="9062" xr:uid="{00000000-0005-0000-0000-0000DA210000}"/>
    <cellStyle name="Accent1 24 4" xfId="9063" xr:uid="{00000000-0005-0000-0000-0000DB210000}"/>
    <cellStyle name="Accent1 25" xfId="9064" xr:uid="{00000000-0005-0000-0000-0000DC210000}"/>
    <cellStyle name="Accent1 25 2" xfId="9065" xr:uid="{00000000-0005-0000-0000-0000DD210000}"/>
    <cellStyle name="Accent1 25 2 2" xfId="9066" xr:uid="{00000000-0005-0000-0000-0000DE210000}"/>
    <cellStyle name="Accent1 25 2 3" xfId="9067" xr:uid="{00000000-0005-0000-0000-0000DF210000}"/>
    <cellStyle name="Accent1 25 3" xfId="9068" xr:uid="{00000000-0005-0000-0000-0000E0210000}"/>
    <cellStyle name="Accent1 25 3 2" xfId="9069" xr:uid="{00000000-0005-0000-0000-0000E1210000}"/>
    <cellStyle name="Accent1 25 4" xfId="9070" xr:uid="{00000000-0005-0000-0000-0000E2210000}"/>
    <cellStyle name="Accent1 26" xfId="9071" xr:uid="{00000000-0005-0000-0000-0000E3210000}"/>
    <cellStyle name="Accent1 26 2" xfId="9072" xr:uid="{00000000-0005-0000-0000-0000E4210000}"/>
    <cellStyle name="Accent1 26 2 2" xfId="9073" xr:uid="{00000000-0005-0000-0000-0000E5210000}"/>
    <cellStyle name="Accent1 26 2 3" xfId="9074" xr:uid="{00000000-0005-0000-0000-0000E6210000}"/>
    <cellStyle name="Accent1 26 3" xfId="9075" xr:uid="{00000000-0005-0000-0000-0000E7210000}"/>
    <cellStyle name="Accent1 26 3 2" xfId="9076" xr:uid="{00000000-0005-0000-0000-0000E8210000}"/>
    <cellStyle name="Accent1 26 4" xfId="9077" xr:uid="{00000000-0005-0000-0000-0000E9210000}"/>
    <cellStyle name="Accent1 27" xfId="9078" xr:uid="{00000000-0005-0000-0000-0000EA210000}"/>
    <cellStyle name="Accent1 27 2" xfId="9079" xr:uid="{00000000-0005-0000-0000-0000EB210000}"/>
    <cellStyle name="Accent1 27 2 2" xfId="9080" xr:uid="{00000000-0005-0000-0000-0000EC210000}"/>
    <cellStyle name="Accent1 27 2 3" xfId="9081" xr:uid="{00000000-0005-0000-0000-0000ED210000}"/>
    <cellStyle name="Accent1 27 3" xfId="9082" xr:uid="{00000000-0005-0000-0000-0000EE210000}"/>
    <cellStyle name="Accent1 27 3 2" xfId="9083" xr:uid="{00000000-0005-0000-0000-0000EF210000}"/>
    <cellStyle name="Accent1 27 4" xfId="9084" xr:uid="{00000000-0005-0000-0000-0000F0210000}"/>
    <cellStyle name="Accent1 28" xfId="9085" xr:uid="{00000000-0005-0000-0000-0000F1210000}"/>
    <cellStyle name="Accent1 28 2" xfId="9086" xr:uid="{00000000-0005-0000-0000-0000F2210000}"/>
    <cellStyle name="Accent1 28 2 2" xfId="9087" xr:uid="{00000000-0005-0000-0000-0000F3210000}"/>
    <cellStyle name="Accent1 28 2 3" xfId="9088" xr:uid="{00000000-0005-0000-0000-0000F4210000}"/>
    <cellStyle name="Accent1 28 3" xfId="9089" xr:uid="{00000000-0005-0000-0000-0000F5210000}"/>
    <cellStyle name="Accent1 28 3 2" xfId="9090" xr:uid="{00000000-0005-0000-0000-0000F6210000}"/>
    <cellStyle name="Accent1 28 4" xfId="9091" xr:uid="{00000000-0005-0000-0000-0000F7210000}"/>
    <cellStyle name="Accent1 29" xfId="9092" xr:uid="{00000000-0005-0000-0000-0000F8210000}"/>
    <cellStyle name="Accent1 29 2" xfId="9093" xr:uid="{00000000-0005-0000-0000-0000F9210000}"/>
    <cellStyle name="Accent1 29 2 2" xfId="9094" xr:uid="{00000000-0005-0000-0000-0000FA210000}"/>
    <cellStyle name="Accent1 29 2 3" xfId="9095" xr:uid="{00000000-0005-0000-0000-0000FB210000}"/>
    <cellStyle name="Accent1 29 3" xfId="9096" xr:uid="{00000000-0005-0000-0000-0000FC210000}"/>
    <cellStyle name="Accent1 29 3 2" xfId="9097" xr:uid="{00000000-0005-0000-0000-0000FD210000}"/>
    <cellStyle name="Accent1 29 4" xfId="9098" xr:uid="{00000000-0005-0000-0000-0000FE210000}"/>
    <cellStyle name="Accent1 3" xfId="9099" xr:uid="{00000000-0005-0000-0000-0000FF210000}"/>
    <cellStyle name="Accent1 3 2" xfId="9100" xr:uid="{00000000-0005-0000-0000-000000220000}"/>
    <cellStyle name="Accent1 3 2 2" xfId="9101" xr:uid="{00000000-0005-0000-0000-000001220000}"/>
    <cellStyle name="Accent1 3 2 2 2" xfId="9102" xr:uid="{00000000-0005-0000-0000-000002220000}"/>
    <cellStyle name="Accent1 3 2 3" xfId="9103" xr:uid="{00000000-0005-0000-0000-000003220000}"/>
    <cellStyle name="Accent1 3 2 4" xfId="9104" xr:uid="{00000000-0005-0000-0000-000004220000}"/>
    <cellStyle name="Accent1 3 3" xfId="9105" xr:uid="{00000000-0005-0000-0000-000005220000}"/>
    <cellStyle name="Accent1 3 3 2" xfId="9106" xr:uid="{00000000-0005-0000-0000-000006220000}"/>
    <cellStyle name="Accent1 3 3 3" xfId="9107" xr:uid="{00000000-0005-0000-0000-000007220000}"/>
    <cellStyle name="Accent1 3 4" xfId="9108" xr:uid="{00000000-0005-0000-0000-000008220000}"/>
    <cellStyle name="Accent1 3 4 2" xfId="9109" xr:uid="{00000000-0005-0000-0000-000009220000}"/>
    <cellStyle name="Accent1 3 5" xfId="9110" xr:uid="{00000000-0005-0000-0000-00000A220000}"/>
    <cellStyle name="Accent1 3 6" xfId="9111" xr:uid="{00000000-0005-0000-0000-00000B220000}"/>
    <cellStyle name="Accent1 3 7" xfId="9112" xr:uid="{00000000-0005-0000-0000-00000C220000}"/>
    <cellStyle name="Accent1 3 8" xfId="9113" xr:uid="{00000000-0005-0000-0000-00000D220000}"/>
    <cellStyle name="Accent1 3 9" xfId="9114" xr:uid="{00000000-0005-0000-0000-00000E220000}"/>
    <cellStyle name="Accent1 30" xfId="9115" xr:uid="{00000000-0005-0000-0000-00000F220000}"/>
    <cellStyle name="Accent1 30 2" xfId="9116" xr:uid="{00000000-0005-0000-0000-000010220000}"/>
    <cellStyle name="Accent1 30 2 2" xfId="9117" xr:uid="{00000000-0005-0000-0000-000011220000}"/>
    <cellStyle name="Accent1 30 2 3" xfId="9118" xr:uid="{00000000-0005-0000-0000-000012220000}"/>
    <cellStyle name="Accent1 30 3" xfId="9119" xr:uid="{00000000-0005-0000-0000-000013220000}"/>
    <cellStyle name="Accent1 30 3 2" xfId="9120" xr:uid="{00000000-0005-0000-0000-000014220000}"/>
    <cellStyle name="Accent1 30 4" xfId="9121" xr:uid="{00000000-0005-0000-0000-000015220000}"/>
    <cellStyle name="Accent1 31" xfId="9122" xr:uid="{00000000-0005-0000-0000-000016220000}"/>
    <cellStyle name="Accent1 31 2" xfId="9123" xr:uid="{00000000-0005-0000-0000-000017220000}"/>
    <cellStyle name="Accent1 31 2 2" xfId="9124" xr:uid="{00000000-0005-0000-0000-000018220000}"/>
    <cellStyle name="Accent1 31 2 3" xfId="9125" xr:uid="{00000000-0005-0000-0000-000019220000}"/>
    <cellStyle name="Accent1 31 3" xfId="9126" xr:uid="{00000000-0005-0000-0000-00001A220000}"/>
    <cellStyle name="Accent1 31 3 2" xfId="9127" xr:uid="{00000000-0005-0000-0000-00001B220000}"/>
    <cellStyle name="Accent1 31 4" xfId="9128" xr:uid="{00000000-0005-0000-0000-00001C220000}"/>
    <cellStyle name="Accent1 32" xfId="9129" xr:uid="{00000000-0005-0000-0000-00001D220000}"/>
    <cellStyle name="Accent1 32 2" xfId="9130" xr:uid="{00000000-0005-0000-0000-00001E220000}"/>
    <cellStyle name="Accent1 32 2 2" xfId="9131" xr:uid="{00000000-0005-0000-0000-00001F220000}"/>
    <cellStyle name="Accent1 32 2 3" xfId="9132" xr:uid="{00000000-0005-0000-0000-000020220000}"/>
    <cellStyle name="Accent1 32 3" xfId="9133" xr:uid="{00000000-0005-0000-0000-000021220000}"/>
    <cellStyle name="Accent1 32 3 2" xfId="9134" xr:uid="{00000000-0005-0000-0000-000022220000}"/>
    <cellStyle name="Accent1 32 4" xfId="9135" xr:uid="{00000000-0005-0000-0000-000023220000}"/>
    <cellStyle name="Accent1 33" xfId="9136" xr:uid="{00000000-0005-0000-0000-000024220000}"/>
    <cellStyle name="Accent1 33 2" xfId="9137" xr:uid="{00000000-0005-0000-0000-000025220000}"/>
    <cellStyle name="Accent1 33 2 2" xfId="9138" xr:uid="{00000000-0005-0000-0000-000026220000}"/>
    <cellStyle name="Accent1 33 2 3" xfId="9139" xr:uid="{00000000-0005-0000-0000-000027220000}"/>
    <cellStyle name="Accent1 33 3" xfId="9140" xr:uid="{00000000-0005-0000-0000-000028220000}"/>
    <cellStyle name="Accent1 33 3 2" xfId="9141" xr:uid="{00000000-0005-0000-0000-000029220000}"/>
    <cellStyle name="Accent1 33 4" xfId="9142" xr:uid="{00000000-0005-0000-0000-00002A220000}"/>
    <cellStyle name="Accent1 34" xfId="9143" xr:uid="{00000000-0005-0000-0000-00002B220000}"/>
    <cellStyle name="Accent1 34 2" xfId="9144" xr:uid="{00000000-0005-0000-0000-00002C220000}"/>
    <cellStyle name="Accent1 34 2 2" xfId="9145" xr:uid="{00000000-0005-0000-0000-00002D220000}"/>
    <cellStyle name="Accent1 34 2 3" xfId="9146" xr:uid="{00000000-0005-0000-0000-00002E220000}"/>
    <cellStyle name="Accent1 34 3" xfId="9147" xr:uid="{00000000-0005-0000-0000-00002F220000}"/>
    <cellStyle name="Accent1 34 3 2" xfId="9148" xr:uid="{00000000-0005-0000-0000-000030220000}"/>
    <cellStyle name="Accent1 34 4" xfId="9149" xr:uid="{00000000-0005-0000-0000-000031220000}"/>
    <cellStyle name="Accent1 34 5" xfId="9150" xr:uid="{00000000-0005-0000-0000-000032220000}"/>
    <cellStyle name="Accent1 34 6" xfId="9151" xr:uid="{00000000-0005-0000-0000-000033220000}"/>
    <cellStyle name="Accent1 35" xfId="9152" xr:uid="{00000000-0005-0000-0000-000034220000}"/>
    <cellStyle name="Accent1 35 2" xfId="9153" xr:uid="{00000000-0005-0000-0000-000035220000}"/>
    <cellStyle name="Accent1 35 2 2" xfId="9154" xr:uid="{00000000-0005-0000-0000-000036220000}"/>
    <cellStyle name="Accent1 35 2 3" xfId="9155" xr:uid="{00000000-0005-0000-0000-000037220000}"/>
    <cellStyle name="Accent1 35 3" xfId="9156" xr:uid="{00000000-0005-0000-0000-000038220000}"/>
    <cellStyle name="Accent1 35 3 2" xfId="9157" xr:uid="{00000000-0005-0000-0000-000039220000}"/>
    <cellStyle name="Accent1 35 4" xfId="9158" xr:uid="{00000000-0005-0000-0000-00003A220000}"/>
    <cellStyle name="Accent1 35 4 2" xfId="9159" xr:uid="{00000000-0005-0000-0000-00003B220000}"/>
    <cellStyle name="Accent1 35 5" xfId="9160" xr:uid="{00000000-0005-0000-0000-00003C220000}"/>
    <cellStyle name="Accent1 36" xfId="9161" xr:uid="{00000000-0005-0000-0000-00003D220000}"/>
    <cellStyle name="Accent1 36 2" xfId="9162" xr:uid="{00000000-0005-0000-0000-00003E220000}"/>
    <cellStyle name="Accent1 36 2 2" xfId="9163" xr:uid="{00000000-0005-0000-0000-00003F220000}"/>
    <cellStyle name="Accent1 36 2 3" xfId="9164" xr:uid="{00000000-0005-0000-0000-000040220000}"/>
    <cellStyle name="Accent1 36 3" xfId="9165" xr:uid="{00000000-0005-0000-0000-000041220000}"/>
    <cellStyle name="Accent1 36 3 2" xfId="9166" xr:uid="{00000000-0005-0000-0000-000042220000}"/>
    <cellStyle name="Accent1 36 4" xfId="9167" xr:uid="{00000000-0005-0000-0000-000043220000}"/>
    <cellStyle name="Accent1 36 4 2" xfId="9168" xr:uid="{00000000-0005-0000-0000-000044220000}"/>
    <cellStyle name="Accent1 36 5" xfId="9169" xr:uid="{00000000-0005-0000-0000-000045220000}"/>
    <cellStyle name="Accent1 37" xfId="9170" xr:uid="{00000000-0005-0000-0000-000046220000}"/>
    <cellStyle name="Accent1 37 2" xfId="9171" xr:uid="{00000000-0005-0000-0000-000047220000}"/>
    <cellStyle name="Accent1 37 2 2" xfId="9172" xr:uid="{00000000-0005-0000-0000-000048220000}"/>
    <cellStyle name="Accent1 37 2 3" xfId="9173" xr:uid="{00000000-0005-0000-0000-000049220000}"/>
    <cellStyle name="Accent1 37 3" xfId="9174" xr:uid="{00000000-0005-0000-0000-00004A220000}"/>
    <cellStyle name="Accent1 37 3 2" xfId="9175" xr:uid="{00000000-0005-0000-0000-00004B220000}"/>
    <cellStyle name="Accent1 37 4" xfId="9176" xr:uid="{00000000-0005-0000-0000-00004C220000}"/>
    <cellStyle name="Accent1 37 5" xfId="9177" xr:uid="{00000000-0005-0000-0000-00004D220000}"/>
    <cellStyle name="Accent1 38" xfId="9178" xr:uid="{00000000-0005-0000-0000-00004E220000}"/>
    <cellStyle name="Accent1 38 2" xfId="9179" xr:uid="{00000000-0005-0000-0000-00004F220000}"/>
    <cellStyle name="Accent1 38 2 2" xfId="9180" xr:uid="{00000000-0005-0000-0000-000050220000}"/>
    <cellStyle name="Accent1 38 2 3" xfId="9181" xr:uid="{00000000-0005-0000-0000-000051220000}"/>
    <cellStyle name="Accent1 38 3" xfId="9182" xr:uid="{00000000-0005-0000-0000-000052220000}"/>
    <cellStyle name="Accent1 38 3 2" xfId="9183" xr:uid="{00000000-0005-0000-0000-000053220000}"/>
    <cellStyle name="Accent1 38 4" xfId="9184" xr:uid="{00000000-0005-0000-0000-000054220000}"/>
    <cellStyle name="Accent1 38 5" xfId="9185" xr:uid="{00000000-0005-0000-0000-000055220000}"/>
    <cellStyle name="Accent1 39" xfId="9186" xr:uid="{00000000-0005-0000-0000-000056220000}"/>
    <cellStyle name="Accent1 39 2" xfId="9187" xr:uid="{00000000-0005-0000-0000-000057220000}"/>
    <cellStyle name="Accent1 39 2 2" xfId="9188" xr:uid="{00000000-0005-0000-0000-000058220000}"/>
    <cellStyle name="Accent1 39 2 3" xfId="9189" xr:uid="{00000000-0005-0000-0000-000059220000}"/>
    <cellStyle name="Accent1 39 3" xfId="9190" xr:uid="{00000000-0005-0000-0000-00005A220000}"/>
    <cellStyle name="Accent1 39 3 2" xfId="9191" xr:uid="{00000000-0005-0000-0000-00005B220000}"/>
    <cellStyle name="Accent1 39 4" xfId="9192" xr:uid="{00000000-0005-0000-0000-00005C220000}"/>
    <cellStyle name="Accent1 39 5" xfId="9193" xr:uid="{00000000-0005-0000-0000-00005D220000}"/>
    <cellStyle name="Accent1 39 6" xfId="9194" xr:uid="{00000000-0005-0000-0000-00005E220000}"/>
    <cellStyle name="Accent1 4" xfId="9195" xr:uid="{00000000-0005-0000-0000-00005F220000}"/>
    <cellStyle name="Accent1 4 2" xfId="9196" xr:uid="{00000000-0005-0000-0000-000060220000}"/>
    <cellStyle name="Accent1 4 2 2" xfId="9197" xr:uid="{00000000-0005-0000-0000-000061220000}"/>
    <cellStyle name="Accent1 4 2 2 2" xfId="9198" xr:uid="{00000000-0005-0000-0000-000062220000}"/>
    <cellStyle name="Accent1 4 2 3" xfId="9199" xr:uid="{00000000-0005-0000-0000-000063220000}"/>
    <cellStyle name="Accent1 4 3" xfId="9200" xr:uid="{00000000-0005-0000-0000-000064220000}"/>
    <cellStyle name="Accent1 4 3 2" xfId="9201" xr:uid="{00000000-0005-0000-0000-000065220000}"/>
    <cellStyle name="Accent1 4 3 3" xfId="9202" xr:uid="{00000000-0005-0000-0000-000066220000}"/>
    <cellStyle name="Accent1 4 4" xfId="9203" xr:uid="{00000000-0005-0000-0000-000067220000}"/>
    <cellStyle name="Accent1 4 4 2" xfId="9204" xr:uid="{00000000-0005-0000-0000-000068220000}"/>
    <cellStyle name="Accent1 4 5" xfId="9205" xr:uid="{00000000-0005-0000-0000-000069220000}"/>
    <cellStyle name="Accent1 4 6" xfId="9206" xr:uid="{00000000-0005-0000-0000-00006A220000}"/>
    <cellStyle name="Accent1 4 7" xfId="9207" xr:uid="{00000000-0005-0000-0000-00006B220000}"/>
    <cellStyle name="Accent1 4 8" xfId="9208" xr:uid="{00000000-0005-0000-0000-00006C220000}"/>
    <cellStyle name="Accent1 40" xfId="9209" xr:uid="{00000000-0005-0000-0000-00006D220000}"/>
    <cellStyle name="Accent1 40 2" xfId="9210" xr:uid="{00000000-0005-0000-0000-00006E220000}"/>
    <cellStyle name="Accent1 40 3" xfId="9211" xr:uid="{00000000-0005-0000-0000-00006F220000}"/>
    <cellStyle name="Accent1 40 4" xfId="9212" xr:uid="{00000000-0005-0000-0000-000070220000}"/>
    <cellStyle name="Accent1 41" xfId="9213" xr:uid="{00000000-0005-0000-0000-000071220000}"/>
    <cellStyle name="Accent1 41 2" xfId="9214" xr:uid="{00000000-0005-0000-0000-000072220000}"/>
    <cellStyle name="Accent1 41 3" xfId="9215" xr:uid="{00000000-0005-0000-0000-000073220000}"/>
    <cellStyle name="Accent1 41 4" xfId="9216" xr:uid="{00000000-0005-0000-0000-000074220000}"/>
    <cellStyle name="Accent1 42" xfId="9217" xr:uid="{00000000-0005-0000-0000-000075220000}"/>
    <cellStyle name="Accent1 42 2" xfId="9218" xr:uid="{00000000-0005-0000-0000-000076220000}"/>
    <cellStyle name="Accent1 42 3" xfId="9219" xr:uid="{00000000-0005-0000-0000-000077220000}"/>
    <cellStyle name="Accent1 42 4" xfId="9220" xr:uid="{00000000-0005-0000-0000-000078220000}"/>
    <cellStyle name="Accent1 43" xfId="9221" xr:uid="{00000000-0005-0000-0000-000079220000}"/>
    <cellStyle name="Accent1 43 2" xfId="9222" xr:uid="{00000000-0005-0000-0000-00007A220000}"/>
    <cellStyle name="Accent1 43 3" xfId="9223" xr:uid="{00000000-0005-0000-0000-00007B220000}"/>
    <cellStyle name="Accent1 43 4" xfId="9224" xr:uid="{00000000-0005-0000-0000-00007C220000}"/>
    <cellStyle name="Accent1 44" xfId="9225" xr:uid="{00000000-0005-0000-0000-00007D220000}"/>
    <cellStyle name="Accent1 44 2" xfId="9226" xr:uid="{00000000-0005-0000-0000-00007E220000}"/>
    <cellStyle name="Accent1 44 3" xfId="9227" xr:uid="{00000000-0005-0000-0000-00007F220000}"/>
    <cellStyle name="Accent1 44 4" xfId="9228" xr:uid="{00000000-0005-0000-0000-000080220000}"/>
    <cellStyle name="Accent1 45" xfId="9229" xr:uid="{00000000-0005-0000-0000-000081220000}"/>
    <cellStyle name="Accent1 45 2" xfId="9230" xr:uid="{00000000-0005-0000-0000-000082220000}"/>
    <cellStyle name="Accent1 45 3" xfId="9231" xr:uid="{00000000-0005-0000-0000-000083220000}"/>
    <cellStyle name="Accent1 45 4" xfId="9232" xr:uid="{00000000-0005-0000-0000-000084220000}"/>
    <cellStyle name="Accent1 46" xfId="9233" xr:uid="{00000000-0005-0000-0000-000085220000}"/>
    <cellStyle name="Accent1 46 2" xfId="9234" xr:uid="{00000000-0005-0000-0000-000086220000}"/>
    <cellStyle name="Accent1 46 3" xfId="9235" xr:uid="{00000000-0005-0000-0000-000087220000}"/>
    <cellStyle name="Accent1 46 4" xfId="9236" xr:uid="{00000000-0005-0000-0000-000088220000}"/>
    <cellStyle name="Accent1 47" xfId="9237" xr:uid="{00000000-0005-0000-0000-000089220000}"/>
    <cellStyle name="Accent1 47 2" xfId="9238" xr:uid="{00000000-0005-0000-0000-00008A220000}"/>
    <cellStyle name="Accent1 47 3" xfId="9239" xr:uid="{00000000-0005-0000-0000-00008B220000}"/>
    <cellStyle name="Accent1 47 4" xfId="9240" xr:uid="{00000000-0005-0000-0000-00008C220000}"/>
    <cellStyle name="Accent1 48" xfId="9241" xr:uid="{00000000-0005-0000-0000-00008D220000}"/>
    <cellStyle name="Accent1 48 2" xfId="9242" xr:uid="{00000000-0005-0000-0000-00008E220000}"/>
    <cellStyle name="Accent1 48 3" xfId="9243" xr:uid="{00000000-0005-0000-0000-00008F220000}"/>
    <cellStyle name="Accent1 48 4" xfId="9244" xr:uid="{00000000-0005-0000-0000-000090220000}"/>
    <cellStyle name="Accent1 49" xfId="9245" xr:uid="{00000000-0005-0000-0000-000091220000}"/>
    <cellStyle name="Accent1 49 2" xfId="9246" xr:uid="{00000000-0005-0000-0000-000092220000}"/>
    <cellStyle name="Accent1 49 3" xfId="9247" xr:uid="{00000000-0005-0000-0000-000093220000}"/>
    <cellStyle name="Accent1 49 4" xfId="9248" xr:uid="{00000000-0005-0000-0000-000094220000}"/>
    <cellStyle name="Accent1 5" xfId="9249" xr:uid="{00000000-0005-0000-0000-000095220000}"/>
    <cellStyle name="Accent1 5 2" xfId="9250" xr:uid="{00000000-0005-0000-0000-000096220000}"/>
    <cellStyle name="Accent1 5 2 2" xfId="9251" xr:uid="{00000000-0005-0000-0000-000097220000}"/>
    <cellStyle name="Accent1 5 2 2 2" xfId="9252" xr:uid="{00000000-0005-0000-0000-000098220000}"/>
    <cellStyle name="Accent1 5 2 3" xfId="9253" xr:uid="{00000000-0005-0000-0000-000099220000}"/>
    <cellStyle name="Accent1 5 3" xfId="9254" xr:uid="{00000000-0005-0000-0000-00009A220000}"/>
    <cellStyle name="Accent1 5 3 2" xfId="9255" xr:uid="{00000000-0005-0000-0000-00009B220000}"/>
    <cellStyle name="Accent1 5 4" xfId="9256" xr:uid="{00000000-0005-0000-0000-00009C220000}"/>
    <cellStyle name="Accent1 5 5" xfId="9257" xr:uid="{00000000-0005-0000-0000-00009D220000}"/>
    <cellStyle name="Accent1 50" xfId="9258" xr:uid="{00000000-0005-0000-0000-00009E220000}"/>
    <cellStyle name="Accent1 50 2" xfId="9259" xr:uid="{00000000-0005-0000-0000-00009F220000}"/>
    <cellStyle name="Accent1 50 3" xfId="9260" xr:uid="{00000000-0005-0000-0000-0000A0220000}"/>
    <cellStyle name="Accent1 50 4" xfId="9261" xr:uid="{00000000-0005-0000-0000-0000A1220000}"/>
    <cellStyle name="Accent1 51" xfId="9262" xr:uid="{00000000-0005-0000-0000-0000A2220000}"/>
    <cellStyle name="Accent1 51 2" xfId="9263" xr:uid="{00000000-0005-0000-0000-0000A3220000}"/>
    <cellStyle name="Accent1 51 3" xfId="9264" xr:uid="{00000000-0005-0000-0000-0000A4220000}"/>
    <cellStyle name="Accent1 51 4" xfId="9265" xr:uid="{00000000-0005-0000-0000-0000A5220000}"/>
    <cellStyle name="Accent1 52" xfId="9266" xr:uid="{00000000-0005-0000-0000-0000A6220000}"/>
    <cellStyle name="Accent1 52 2" xfId="9267" xr:uid="{00000000-0005-0000-0000-0000A7220000}"/>
    <cellStyle name="Accent1 52 3" xfId="9268" xr:uid="{00000000-0005-0000-0000-0000A8220000}"/>
    <cellStyle name="Accent1 52 4" xfId="9269" xr:uid="{00000000-0005-0000-0000-0000A9220000}"/>
    <cellStyle name="Accent1 53" xfId="9270" xr:uid="{00000000-0005-0000-0000-0000AA220000}"/>
    <cellStyle name="Accent1 53 2" xfId="9271" xr:uid="{00000000-0005-0000-0000-0000AB220000}"/>
    <cellStyle name="Accent1 53 3" xfId="9272" xr:uid="{00000000-0005-0000-0000-0000AC220000}"/>
    <cellStyle name="Accent1 53 4" xfId="9273" xr:uid="{00000000-0005-0000-0000-0000AD220000}"/>
    <cellStyle name="Accent1 54" xfId="9274" xr:uid="{00000000-0005-0000-0000-0000AE220000}"/>
    <cellStyle name="Accent1 54 2" xfId="9275" xr:uid="{00000000-0005-0000-0000-0000AF220000}"/>
    <cellStyle name="Accent1 54 3" xfId="9276" xr:uid="{00000000-0005-0000-0000-0000B0220000}"/>
    <cellStyle name="Accent1 54 4" xfId="9277" xr:uid="{00000000-0005-0000-0000-0000B1220000}"/>
    <cellStyle name="Accent1 55" xfId="9278" xr:uid="{00000000-0005-0000-0000-0000B2220000}"/>
    <cellStyle name="Accent1 55 2" xfId="9279" xr:uid="{00000000-0005-0000-0000-0000B3220000}"/>
    <cellStyle name="Accent1 55 3" xfId="9280" xr:uid="{00000000-0005-0000-0000-0000B4220000}"/>
    <cellStyle name="Accent1 55 4" xfId="9281" xr:uid="{00000000-0005-0000-0000-0000B5220000}"/>
    <cellStyle name="Accent1 56" xfId="9282" xr:uid="{00000000-0005-0000-0000-0000B6220000}"/>
    <cellStyle name="Accent1 56 2" xfId="9283" xr:uid="{00000000-0005-0000-0000-0000B7220000}"/>
    <cellStyle name="Accent1 56 3" xfId="9284" xr:uid="{00000000-0005-0000-0000-0000B8220000}"/>
    <cellStyle name="Accent1 56 4" xfId="9285" xr:uid="{00000000-0005-0000-0000-0000B9220000}"/>
    <cellStyle name="Accent1 57" xfId="9286" xr:uid="{00000000-0005-0000-0000-0000BA220000}"/>
    <cellStyle name="Accent1 57 2" xfId="9287" xr:uid="{00000000-0005-0000-0000-0000BB220000}"/>
    <cellStyle name="Accent1 57 3" xfId="9288" xr:uid="{00000000-0005-0000-0000-0000BC220000}"/>
    <cellStyle name="Accent1 57 4" xfId="9289" xr:uid="{00000000-0005-0000-0000-0000BD220000}"/>
    <cellStyle name="Accent1 58" xfId="9290" xr:uid="{00000000-0005-0000-0000-0000BE220000}"/>
    <cellStyle name="Accent1 58 2" xfId="9291" xr:uid="{00000000-0005-0000-0000-0000BF220000}"/>
    <cellStyle name="Accent1 58 3" xfId="9292" xr:uid="{00000000-0005-0000-0000-0000C0220000}"/>
    <cellStyle name="Accent1 58 4" xfId="9293" xr:uid="{00000000-0005-0000-0000-0000C1220000}"/>
    <cellStyle name="Accent1 59" xfId="9294" xr:uid="{00000000-0005-0000-0000-0000C2220000}"/>
    <cellStyle name="Accent1 59 2" xfId="9295" xr:uid="{00000000-0005-0000-0000-0000C3220000}"/>
    <cellStyle name="Accent1 59 3" xfId="9296" xr:uid="{00000000-0005-0000-0000-0000C4220000}"/>
    <cellStyle name="Accent1 59 4" xfId="9297" xr:uid="{00000000-0005-0000-0000-0000C5220000}"/>
    <cellStyle name="Accent1 6" xfId="9298" xr:uid="{00000000-0005-0000-0000-0000C6220000}"/>
    <cellStyle name="Accent1 6 2" xfId="9299" xr:uid="{00000000-0005-0000-0000-0000C7220000}"/>
    <cellStyle name="Accent1 6 2 2" xfId="9300" xr:uid="{00000000-0005-0000-0000-0000C8220000}"/>
    <cellStyle name="Accent1 6 2 2 2" xfId="9301" xr:uid="{00000000-0005-0000-0000-0000C9220000}"/>
    <cellStyle name="Accent1 6 2 3" xfId="9302" xr:uid="{00000000-0005-0000-0000-0000CA220000}"/>
    <cellStyle name="Accent1 6 3" xfId="9303" xr:uid="{00000000-0005-0000-0000-0000CB220000}"/>
    <cellStyle name="Accent1 6 3 2" xfId="9304" xr:uid="{00000000-0005-0000-0000-0000CC220000}"/>
    <cellStyle name="Accent1 6 4" xfId="9305" xr:uid="{00000000-0005-0000-0000-0000CD220000}"/>
    <cellStyle name="Accent1 6 5" xfId="9306" xr:uid="{00000000-0005-0000-0000-0000CE220000}"/>
    <cellStyle name="Accent1 60" xfId="9307" xr:uid="{00000000-0005-0000-0000-0000CF220000}"/>
    <cellStyle name="Accent1 60 2" xfId="9308" xr:uid="{00000000-0005-0000-0000-0000D0220000}"/>
    <cellStyle name="Accent1 60 3" xfId="9309" xr:uid="{00000000-0005-0000-0000-0000D1220000}"/>
    <cellStyle name="Accent1 60 4" xfId="9310" xr:uid="{00000000-0005-0000-0000-0000D2220000}"/>
    <cellStyle name="Accent1 61" xfId="9311" xr:uid="{00000000-0005-0000-0000-0000D3220000}"/>
    <cellStyle name="Accent1 61 2" xfId="9312" xr:uid="{00000000-0005-0000-0000-0000D4220000}"/>
    <cellStyle name="Accent1 61 3" xfId="9313" xr:uid="{00000000-0005-0000-0000-0000D5220000}"/>
    <cellStyle name="Accent1 61 4" xfId="9314" xr:uid="{00000000-0005-0000-0000-0000D6220000}"/>
    <cellStyle name="Accent1 62" xfId="9315" xr:uid="{00000000-0005-0000-0000-0000D7220000}"/>
    <cellStyle name="Accent1 62 2" xfId="9316" xr:uid="{00000000-0005-0000-0000-0000D8220000}"/>
    <cellStyle name="Accent1 62 3" xfId="9317" xr:uid="{00000000-0005-0000-0000-0000D9220000}"/>
    <cellStyle name="Accent1 62 4" xfId="9318" xr:uid="{00000000-0005-0000-0000-0000DA220000}"/>
    <cellStyle name="Accent1 63" xfId="9319" xr:uid="{00000000-0005-0000-0000-0000DB220000}"/>
    <cellStyle name="Accent1 63 2" xfId="9320" xr:uid="{00000000-0005-0000-0000-0000DC220000}"/>
    <cellStyle name="Accent1 63 3" xfId="9321" xr:uid="{00000000-0005-0000-0000-0000DD220000}"/>
    <cellStyle name="Accent1 63 4" xfId="9322" xr:uid="{00000000-0005-0000-0000-0000DE220000}"/>
    <cellStyle name="Accent1 64" xfId="9323" xr:uid="{00000000-0005-0000-0000-0000DF220000}"/>
    <cellStyle name="Accent1 64 2" xfId="9324" xr:uid="{00000000-0005-0000-0000-0000E0220000}"/>
    <cellStyle name="Accent1 64 3" xfId="9325" xr:uid="{00000000-0005-0000-0000-0000E1220000}"/>
    <cellStyle name="Accent1 64 4" xfId="9326" xr:uid="{00000000-0005-0000-0000-0000E2220000}"/>
    <cellStyle name="Accent1 65" xfId="9327" xr:uid="{00000000-0005-0000-0000-0000E3220000}"/>
    <cellStyle name="Accent1 65 2" xfId="9328" xr:uid="{00000000-0005-0000-0000-0000E4220000}"/>
    <cellStyle name="Accent1 65 3" xfId="9329" xr:uid="{00000000-0005-0000-0000-0000E5220000}"/>
    <cellStyle name="Accent1 65 4" xfId="9330" xr:uid="{00000000-0005-0000-0000-0000E6220000}"/>
    <cellStyle name="Accent1 66" xfId="9331" xr:uid="{00000000-0005-0000-0000-0000E7220000}"/>
    <cellStyle name="Accent1 66 2" xfId="9332" xr:uid="{00000000-0005-0000-0000-0000E8220000}"/>
    <cellStyle name="Accent1 66 3" xfId="9333" xr:uid="{00000000-0005-0000-0000-0000E9220000}"/>
    <cellStyle name="Accent1 66 4" xfId="9334" xr:uid="{00000000-0005-0000-0000-0000EA220000}"/>
    <cellStyle name="Accent1 67" xfId="9335" xr:uid="{00000000-0005-0000-0000-0000EB220000}"/>
    <cellStyle name="Accent1 67 2" xfId="9336" xr:uid="{00000000-0005-0000-0000-0000EC220000}"/>
    <cellStyle name="Accent1 67 3" xfId="9337" xr:uid="{00000000-0005-0000-0000-0000ED220000}"/>
    <cellStyle name="Accent1 67 4" xfId="9338" xr:uid="{00000000-0005-0000-0000-0000EE220000}"/>
    <cellStyle name="Accent1 68" xfId="9339" xr:uid="{00000000-0005-0000-0000-0000EF220000}"/>
    <cellStyle name="Accent1 68 2" xfId="9340" xr:uid="{00000000-0005-0000-0000-0000F0220000}"/>
    <cellStyle name="Accent1 68 3" xfId="9341" xr:uid="{00000000-0005-0000-0000-0000F1220000}"/>
    <cellStyle name="Accent1 68 4" xfId="9342" xr:uid="{00000000-0005-0000-0000-0000F2220000}"/>
    <cellStyle name="Accent1 69" xfId="9343" xr:uid="{00000000-0005-0000-0000-0000F3220000}"/>
    <cellStyle name="Accent1 69 2" xfId="9344" xr:uid="{00000000-0005-0000-0000-0000F4220000}"/>
    <cellStyle name="Accent1 69 3" xfId="9345" xr:uid="{00000000-0005-0000-0000-0000F5220000}"/>
    <cellStyle name="Accent1 69 4" xfId="9346" xr:uid="{00000000-0005-0000-0000-0000F6220000}"/>
    <cellStyle name="Accent1 7" xfId="9347" xr:uid="{00000000-0005-0000-0000-0000F7220000}"/>
    <cellStyle name="Accent1 7 2" xfId="9348" xr:uid="{00000000-0005-0000-0000-0000F8220000}"/>
    <cellStyle name="Accent1 7 2 2" xfId="9349" xr:uid="{00000000-0005-0000-0000-0000F9220000}"/>
    <cellStyle name="Accent1 7 2 3" xfId="9350" xr:uid="{00000000-0005-0000-0000-0000FA220000}"/>
    <cellStyle name="Accent1 7 3" xfId="9351" xr:uid="{00000000-0005-0000-0000-0000FB220000}"/>
    <cellStyle name="Accent1 7 3 2" xfId="9352" xr:uid="{00000000-0005-0000-0000-0000FC220000}"/>
    <cellStyle name="Accent1 7 4" xfId="9353" xr:uid="{00000000-0005-0000-0000-0000FD220000}"/>
    <cellStyle name="Accent1 7 5" xfId="9354" xr:uid="{00000000-0005-0000-0000-0000FE220000}"/>
    <cellStyle name="Accent1 70" xfId="9355" xr:uid="{00000000-0005-0000-0000-0000FF220000}"/>
    <cellStyle name="Accent1 70 2" xfId="9356" xr:uid="{00000000-0005-0000-0000-000000230000}"/>
    <cellStyle name="Accent1 70 3" xfId="9357" xr:uid="{00000000-0005-0000-0000-000001230000}"/>
    <cellStyle name="Accent1 70 4" xfId="9358" xr:uid="{00000000-0005-0000-0000-000002230000}"/>
    <cellStyle name="Accent1 71" xfId="9359" xr:uid="{00000000-0005-0000-0000-000003230000}"/>
    <cellStyle name="Accent1 71 2" xfId="9360" xr:uid="{00000000-0005-0000-0000-000004230000}"/>
    <cellStyle name="Accent1 71 2 2" xfId="9361" xr:uid="{00000000-0005-0000-0000-000005230000}"/>
    <cellStyle name="Accent1 71 3" xfId="9362" xr:uid="{00000000-0005-0000-0000-000006230000}"/>
    <cellStyle name="Accent1 71 4" xfId="9363" xr:uid="{00000000-0005-0000-0000-000007230000}"/>
    <cellStyle name="Accent1 72" xfId="9364" xr:uid="{00000000-0005-0000-0000-000008230000}"/>
    <cellStyle name="Accent1 72 2" xfId="9365" xr:uid="{00000000-0005-0000-0000-000009230000}"/>
    <cellStyle name="Accent1 72 2 2" xfId="9366" xr:uid="{00000000-0005-0000-0000-00000A230000}"/>
    <cellStyle name="Accent1 72 3" xfId="9367" xr:uid="{00000000-0005-0000-0000-00000B230000}"/>
    <cellStyle name="Accent1 72 4" xfId="9368" xr:uid="{00000000-0005-0000-0000-00000C230000}"/>
    <cellStyle name="Accent1 73" xfId="9369" xr:uid="{00000000-0005-0000-0000-00000D230000}"/>
    <cellStyle name="Accent1 73 2" xfId="9370" xr:uid="{00000000-0005-0000-0000-00000E230000}"/>
    <cellStyle name="Accent1 73 2 2" xfId="9371" xr:uid="{00000000-0005-0000-0000-00000F230000}"/>
    <cellStyle name="Accent1 73 3" xfId="9372" xr:uid="{00000000-0005-0000-0000-000010230000}"/>
    <cellStyle name="Accent1 73 4" xfId="9373" xr:uid="{00000000-0005-0000-0000-000011230000}"/>
    <cellStyle name="Accent1 74" xfId="9374" xr:uid="{00000000-0005-0000-0000-000012230000}"/>
    <cellStyle name="Accent1 74 2" xfId="9375" xr:uid="{00000000-0005-0000-0000-000013230000}"/>
    <cellStyle name="Accent1 74 2 2" xfId="9376" xr:uid="{00000000-0005-0000-0000-000014230000}"/>
    <cellStyle name="Accent1 74 3" xfId="9377" xr:uid="{00000000-0005-0000-0000-000015230000}"/>
    <cellStyle name="Accent1 74 4" xfId="9378" xr:uid="{00000000-0005-0000-0000-000016230000}"/>
    <cellStyle name="Accent1 75" xfId="9379" xr:uid="{00000000-0005-0000-0000-000017230000}"/>
    <cellStyle name="Accent1 75 2" xfId="9380" xr:uid="{00000000-0005-0000-0000-000018230000}"/>
    <cellStyle name="Accent1 75 2 2" xfId="9381" xr:uid="{00000000-0005-0000-0000-000019230000}"/>
    <cellStyle name="Accent1 75 3" xfId="9382" xr:uid="{00000000-0005-0000-0000-00001A230000}"/>
    <cellStyle name="Accent1 75 4" xfId="9383" xr:uid="{00000000-0005-0000-0000-00001B230000}"/>
    <cellStyle name="Accent1 76" xfId="9384" xr:uid="{00000000-0005-0000-0000-00001C230000}"/>
    <cellStyle name="Accent1 76 2" xfId="9385" xr:uid="{00000000-0005-0000-0000-00001D230000}"/>
    <cellStyle name="Accent1 76 2 2" xfId="9386" xr:uid="{00000000-0005-0000-0000-00001E230000}"/>
    <cellStyle name="Accent1 76 3" xfId="9387" xr:uid="{00000000-0005-0000-0000-00001F230000}"/>
    <cellStyle name="Accent1 76 4" xfId="9388" xr:uid="{00000000-0005-0000-0000-000020230000}"/>
    <cellStyle name="Accent1 77" xfId="9389" xr:uid="{00000000-0005-0000-0000-000021230000}"/>
    <cellStyle name="Accent1 77 2" xfId="9390" xr:uid="{00000000-0005-0000-0000-000022230000}"/>
    <cellStyle name="Accent1 77 3" xfId="9391" xr:uid="{00000000-0005-0000-0000-000023230000}"/>
    <cellStyle name="Accent1 77 4" xfId="9392" xr:uid="{00000000-0005-0000-0000-000024230000}"/>
    <cellStyle name="Accent1 78" xfId="9393" xr:uid="{00000000-0005-0000-0000-000025230000}"/>
    <cellStyle name="Accent1 78 2" xfId="9394" xr:uid="{00000000-0005-0000-0000-000026230000}"/>
    <cellStyle name="Accent1 78 3" xfId="9395" xr:uid="{00000000-0005-0000-0000-000027230000}"/>
    <cellStyle name="Accent1 79" xfId="9396" xr:uid="{00000000-0005-0000-0000-000028230000}"/>
    <cellStyle name="Accent1 79 2" xfId="9397" xr:uid="{00000000-0005-0000-0000-000029230000}"/>
    <cellStyle name="Accent1 79 3" xfId="9398" xr:uid="{00000000-0005-0000-0000-00002A230000}"/>
    <cellStyle name="Accent1 8" xfId="9399" xr:uid="{00000000-0005-0000-0000-00002B230000}"/>
    <cellStyle name="Accent1 8 2" xfId="9400" xr:uid="{00000000-0005-0000-0000-00002C230000}"/>
    <cellStyle name="Accent1 8 2 2" xfId="9401" xr:uid="{00000000-0005-0000-0000-00002D230000}"/>
    <cellStyle name="Accent1 8 2 2 2" xfId="9402" xr:uid="{00000000-0005-0000-0000-00002E230000}"/>
    <cellStyle name="Accent1 8 2 3" xfId="9403" xr:uid="{00000000-0005-0000-0000-00002F230000}"/>
    <cellStyle name="Accent1 8 3" xfId="9404" xr:uid="{00000000-0005-0000-0000-000030230000}"/>
    <cellStyle name="Accent1 8 3 2" xfId="9405" xr:uid="{00000000-0005-0000-0000-000031230000}"/>
    <cellStyle name="Accent1 8 4" xfId="9406" xr:uid="{00000000-0005-0000-0000-000032230000}"/>
    <cellStyle name="Accent1 8 4 2" xfId="9407" xr:uid="{00000000-0005-0000-0000-000033230000}"/>
    <cellStyle name="Accent1 8 5" xfId="9408" xr:uid="{00000000-0005-0000-0000-000034230000}"/>
    <cellStyle name="Accent1 8 6" xfId="9409" xr:uid="{00000000-0005-0000-0000-000035230000}"/>
    <cellStyle name="Accent1 80" xfId="9410" xr:uid="{00000000-0005-0000-0000-000036230000}"/>
    <cellStyle name="Accent1 80 2" xfId="9411" xr:uid="{00000000-0005-0000-0000-000037230000}"/>
    <cellStyle name="Accent1 80 3" xfId="9412" xr:uid="{00000000-0005-0000-0000-000038230000}"/>
    <cellStyle name="Accent1 81" xfId="9413" xr:uid="{00000000-0005-0000-0000-000039230000}"/>
    <cellStyle name="Accent1 81 2" xfId="9414" xr:uid="{00000000-0005-0000-0000-00003A230000}"/>
    <cellStyle name="Accent1 81 3" xfId="9415" xr:uid="{00000000-0005-0000-0000-00003B230000}"/>
    <cellStyle name="Accent1 82" xfId="9416" xr:uid="{00000000-0005-0000-0000-00003C230000}"/>
    <cellStyle name="Accent1 82 2" xfId="9417" xr:uid="{00000000-0005-0000-0000-00003D230000}"/>
    <cellStyle name="Accent1 82 3" xfId="9418" xr:uid="{00000000-0005-0000-0000-00003E230000}"/>
    <cellStyle name="Accent1 83" xfId="9419" xr:uid="{00000000-0005-0000-0000-00003F230000}"/>
    <cellStyle name="Accent1 83 2" xfId="9420" xr:uid="{00000000-0005-0000-0000-000040230000}"/>
    <cellStyle name="Accent1 83 3" xfId="9421" xr:uid="{00000000-0005-0000-0000-000041230000}"/>
    <cellStyle name="Accent1 84" xfId="9422" xr:uid="{00000000-0005-0000-0000-000042230000}"/>
    <cellStyle name="Accent1 84 2" xfId="9423" xr:uid="{00000000-0005-0000-0000-000043230000}"/>
    <cellStyle name="Accent1 84 3" xfId="9424" xr:uid="{00000000-0005-0000-0000-000044230000}"/>
    <cellStyle name="Accent1 85" xfId="9425" xr:uid="{00000000-0005-0000-0000-000045230000}"/>
    <cellStyle name="Accent1 85 2" xfId="9426" xr:uid="{00000000-0005-0000-0000-000046230000}"/>
    <cellStyle name="Accent1 85 3" xfId="9427" xr:uid="{00000000-0005-0000-0000-000047230000}"/>
    <cellStyle name="Accent1 86" xfId="9428" xr:uid="{00000000-0005-0000-0000-000048230000}"/>
    <cellStyle name="Accent1 86 2" xfId="9429" xr:uid="{00000000-0005-0000-0000-000049230000}"/>
    <cellStyle name="Accent1 86 3" xfId="9430" xr:uid="{00000000-0005-0000-0000-00004A230000}"/>
    <cellStyle name="Accent1 87" xfId="9431" xr:uid="{00000000-0005-0000-0000-00004B230000}"/>
    <cellStyle name="Accent1 87 2" xfId="9432" xr:uid="{00000000-0005-0000-0000-00004C230000}"/>
    <cellStyle name="Accent1 87 3" xfId="9433" xr:uid="{00000000-0005-0000-0000-00004D230000}"/>
    <cellStyle name="Accent1 88" xfId="9434" xr:uid="{00000000-0005-0000-0000-00004E230000}"/>
    <cellStyle name="Accent1 88 2" xfId="9435" xr:uid="{00000000-0005-0000-0000-00004F230000}"/>
    <cellStyle name="Accent1 88 3" xfId="9436" xr:uid="{00000000-0005-0000-0000-000050230000}"/>
    <cellStyle name="Accent1 89" xfId="9437" xr:uid="{00000000-0005-0000-0000-000051230000}"/>
    <cellStyle name="Accent1 89 2" xfId="9438" xr:uid="{00000000-0005-0000-0000-000052230000}"/>
    <cellStyle name="Accent1 89 3" xfId="9439" xr:uid="{00000000-0005-0000-0000-000053230000}"/>
    <cellStyle name="Accent1 9" xfId="9440" xr:uid="{00000000-0005-0000-0000-000054230000}"/>
    <cellStyle name="Accent1 9 2" xfId="9441" xr:uid="{00000000-0005-0000-0000-000055230000}"/>
    <cellStyle name="Accent1 9 2 2" xfId="9442" xr:uid="{00000000-0005-0000-0000-000056230000}"/>
    <cellStyle name="Accent1 9 2 3" xfId="9443" xr:uid="{00000000-0005-0000-0000-000057230000}"/>
    <cellStyle name="Accent1 9 3" xfId="9444" xr:uid="{00000000-0005-0000-0000-000058230000}"/>
    <cellStyle name="Accent1 9 3 2" xfId="9445" xr:uid="{00000000-0005-0000-0000-000059230000}"/>
    <cellStyle name="Accent1 9 4" xfId="9446" xr:uid="{00000000-0005-0000-0000-00005A230000}"/>
    <cellStyle name="Accent1 9 5" xfId="9447" xr:uid="{00000000-0005-0000-0000-00005B230000}"/>
    <cellStyle name="Accent1 90" xfId="9448" xr:uid="{00000000-0005-0000-0000-00005C230000}"/>
    <cellStyle name="Accent1 90 2" xfId="9449" xr:uid="{00000000-0005-0000-0000-00005D230000}"/>
    <cellStyle name="Accent1 90 3" xfId="9450" xr:uid="{00000000-0005-0000-0000-00005E230000}"/>
    <cellStyle name="Accent1 91" xfId="9451" xr:uid="{00000000-0005-0000-0000-00005F230000}"/>
    <cellStyle name="Accent1 91 2" xfId="9452" xr:uid="{00000000-0005-0000-0000-000060230000}"/>
    <cellStyle name="Accent1 91 3" xfId="9453" xr:uid="{00000000-0005-0000-0000-000061230000}"/>
    <cellStyle name="Accent1 92" xfId="9454" xr:uid="{00000000-0005-0000-0000-000062230000}"/>
    <cellStyle name="Accent1 92 2" xfId="9455" xr:uid="{00000000-0005-0000-0000-000063230000}"/>
    <cellStyle name="Accent1 92 3" xfId="9456" xr:uid="{00000000-0005-0000-0000-000064230000}"/>
    <cellStyle name="Accent1 93" xfId="9457" xr:uid="{00000000-0005-0000-0000-000065230000}"/>
    <cellStyle name="Accent1 93 2" xfId="9458" xr:uid="{00000000-0005-0000-0000-000066230000}"/>
    <cellStyle name="Accent1 93 3" xfId="9459" xr:uid="{00000000-0005-0000-0000-000067230000}"/>
    <cellStyle name="Accent1 94" xfId="9460" xr:uid="{00000000-0005-0000-0000-000068230000}"/>
    <cellStyle name="Accent1 94 2" xfId="9461" xr:uid="{00000000-0005-0000-0000-000069230000}"/>
    <cellStyle name="Accent1 94 3" xfId="9462" xr:uid="{00000000-0005-0000-0000-00006A230000}"/>
    <cellStyle name="Accent1 95" xfId="9463" xr:uid="{00000000-0005-0000-0000-00006B230000}"/>
    <cellStyle name="Accent1 95 2" xfId="9464" xr:uid="{00000000-0005-0000-0000-00006C230000}"/>
    <cellStyle name="Accent1 95 3" xfId="9465" xr:uid="{00000000-0005-0000-0000-00006D230000}"/>
    <cellStyle name="Accent1 96" xfId="9466" xr:uid="{00000000-0005-0000-0000-00006E230000}"/>
    <cellStyle name="Accent1 96 2" xfId="9467" xr:uid="{00000000-0005-0000-0000-00006F230000}"/>
    <cellStyle name="Accent1 96 3" xfId="9468" xr:uid="{00000000-0005-0000-0000-000070230000}"/>
    <cellStyle name="Accent1 97" xfId="9469" xr:uid="{00000000-0005-0000-0000-000071230000}"/>
    <cellStyle name="Accent1 97 2" xfId="9470" xr:uid="{00000000-0005-0000-0000-000072230000}"/>
    <cellStyle name="Accent1 97 3" xfId="9471" xr:uid="{00000000-0005-0000-0000-000073230000}"/>
    <cellStyle name="Accent1 98" xfId="9472" xr:uid="{00000000-0005-0000-0000-000074230000}"/>
    <cellStyle name="Accent1 98 2" xfId="9473" xr:uid="{00000000-0005-0000-0000-000075230000}"/>
    <cellStyle name="Accent1 98 3" xfId="9474" xr:uid="{00000000-0005-0000-0000-000076230000}"/>
    <cellStyle name="Accent1 99" xfId="9475" xr:uid="{00000000-0005-0000-0000-000077230000}"/>
    <cellStyle name="Accent1 99 2" xfId="9476" xr:uid="{00000000-0005-0000-0000-000078230000}"/>
    <cellStyle name="Accent1 99 3" xfId="9477" xr:uid="{00000000-0005-0000-0000-000079230000}"/>
    <cellStyle name="Accent2 - 20%" xfId="9478" xr:uid="{00000000-0005-0000-0000-00007A230000}"/>
    <cellStyle name="Accent2 - 20% 2" xfId="9479" xr:uid="{00000000-0005-0000-0000-00007B230000}"/>
    <cellStyle name="Accent2 - 20% 2 2" xfId="9480" xr:uid="{00000000-0005-0000-0000-00007C230000}"/>
    <cellStyle name="Accent2 - 20% 2 2 2" xfId="9481" xr:uid="{00000000-0005-0000-0000-00007D230000}"/>
    <cellStyle name="Accent2 - 20% 2 2 3" xfId="9482" xr:uid="{00000000-0005-0000-0000-00007E230000}"/>
    <cellStyle name="Accent2 - 20% 2 3" xfId="9483" xr:uid="{00000000-0005-0000-0000-00007F230000}"/>
    <cellStyle name="Accent2 - 20% 2 3 2" xfId="9484" xr:uid="{00000000-0005-0000-0000-000080230000}"/>
    <cellStyle name="Accent2 - 20% 2 4" xfId="9485" xr:uid="{00000000-0005-0000-0000-000081230000}"/>
    <cellStyle name="Accent2 - 20% 2 5" xfId="9486" xr:uid="{00000000-0005-0000-0000-000082230000}"/>
    <cellStyle name="Accent2 - 20% 3" xfId="9487" xr:uid="{00000000-0005-0000-0000-000083230000}"/>
    <cellStyle name="Accent2 - 20% 3 2" xfId="9488" xr:uid="{00000000-0005-0000-0000-000084230000}"/>
    <cellStyle name="Accent2 - 20% 3 2 2" xfId="9489" xr:uid="{00000000-0005-0000-0000-000085230000}"/>
    <cellStyle name="Accent2 - 20% 3 3" xfId="9490" xr:uid="{00000000-0005-0000-0000-000086230000}"/>
    <cellStyle name="Accent2 - 20% 4" xfId="9491" xr:uid="{00000000-0005-0000-0000-000087230000}"/>
    <cellStyle name="Accent2 - 20% 4 2" xfId="9492" xr:uid="{00000000-0005-0000-0000-000088230000}"/>
    <cellStyle name="Accent2 - 20% 5" xfId="9493" xr:uid="{00000000-0005-0000-0000-000089230000}"/>
    <cellStyle name="Accent2 - 20% 5 2" xfId="9494" xr:uid="{00000000-0005-0000-0000-00008A230000}"/>
    <cellStyle name="Accent2 - 20% 6" xfId="9495" xr:uid="{00000000-0005-0000-0000-00008B230000}"/>
    <cellStyle name="Accent2 - 20% 7" xfId="9496" xr:uid="{00000000-0005-0000-0000-00008C230000}"/>
    <cellStyle name="Accent2 - 20% 8" xfId="9497" xr:uid="{00000000-0005-0000-0000-00008D230000}"/>
    <cellStyle name="Accent2 - 20% 9" xfId="9498" xr:uid="{00000000-0005-0000-0000-00008E230000}"/>
    <cellStyle name="Accent2 - 40%" xfId="9499" xr:uid="{00000000-0005-0000-0000-00008F230000}"/>
    <cellStyle name="Accent2 - 40% 2" xfId="9500" xr:uid="{00000000-0005-0000-0000-000090230000}"/>
    <cellStyle name="Accent2 - 40% 2 2" xfId="9501" xr:uid="{00000000-0005-0000-0000-000091230000}"/>
    <cellStyle name="Accent2 - 40% 2 2 2" xfId="9502" xr:uid="{00000000-0005-0000-0000-000092230000}"/>
    <cellStyle name="Accent2 - 40% 2 2 3" xfId="9503" xr:uid="{00000000-0005-0000-0000-000093230000}"/>
    <cellStyle name="Accent2 - 40% 2 3" xfId="9504" xr:uid="{00000000-0005-0000-0000-000094230000}"/>
    <cellStyle name="Accent2 - 40% 2 3 2" xfId="9505" xr:uid="{00000000-0005-0000-0000-000095230000}"/>
    <cellStyle name="Accent2 - 40% 2 4" xfId="9506" xr:uid="{00000000-0005-0000-0000-000096230000}"/>
    <cellStyle name="Accent2 - 40% 2 5" xfId="9507" xr:uid="{00000000-0005-0000-0000-000097230000}"/>
    <cellStyle name="Accent2 - 40% 3" xfId="9508" xr:uid="{00000000-0005-0000-0000-000098230000}"/>
    <cellStyle name="Accent2 - 40% 3 2" xfId="9509" xr:uid="{00000000-0005-0000-0000-000099230000}"/>
    <cellStyle name="Accent2 - 40% 3 2 2" xfId="9510" xr:uid="{00000000-0005-0000-0000-00009A230000}"/>
    <cellStyle name="Accent2 - 40% 3 3" xfId="9511" xr:uid="{00000000-0005-0000-0000-00009B230000}"/>
    <cellStyle name="Accent2 - 40% 4" xfId="9512" xr:uid="{00000000-0005-0000-0000-00009C230000}"/>
    <cellStyle name="Accent2 - 40% 4 2" xfId="9513" xr:uid="{00000000-0005-0000-0000-00009D230000}"/>
    <cellStyle name="Accent2 - 40% 5" xfId="9514" xr:uid="{00000000-0005-0000-0000-00009E230000}"/>
    <cellStyle name="Accent2 - 40% 5 2" xfId="9515" xr:uid="{00000000-0005-0000-0000-00009F230000}"/>
    <cellStyle name="Accent2 - 40% 6" xfId="9516" xr:uid="{00000000-0005-0000-0000-0000A0230000}"/>
    <cellStyle name="Accent2 - 40% 7" xfId="9517" xr:uid="{00000000-0005-0000-0000-0000A1230000}"/>
    <cellStyle name="Accent2 - 40% 8" xfId="9518" xr:uid="{00000000-0005-0000-0000-0000A2230000}"/>
    <cellStyle name="Accent2 - 40% 9" xfId="9519" xr:uid="{00000000-0005-0000-0000-0000A3230000}"/>
    <cellStyle name="Accent2 - 60%" xfId="9520" xr:uid="{00000000-0005-0000-0000-0000A4230000}"/>
    <cellStyle name="Accent2 - 60% 2" xfId="9521" xr:uid="{00000000-0005-0000-0000-0000A5230000}"/>
    <cellStyle name="Accent2 - 60% 2 2" xfId="9522" xr:uid="{00000000-0005-0000-0000-0000A6230000}"/>
    <cellStyle name="Accent2 - 60% 2 2 2" xfId="9523" xr:uid="{00000000-0005-0000-0000-0000A7230000}"/>
    <cellStyle name="Accent2 - 60% 2 2 3" xfId="9524" xr:uid="{00000000-0005-0000-0000-0000A8230000}"/>
    <cellStyle name="Accent2 - 60% 2 3" xfId="9525" xr:uid="{00000000-0005-0000-0000-0000A9230000}"/>
    <cellStyle name="Accent2 - 60% 2 3 2" xfId="9526" xr:uid="{00000000-0005-0000-0000-0000AA230000}"/>
    <cellStyle name="Accent2 - 60% 2 4" xfId="9527" xr:uid="{00000000-0005-0000-0000-0000AB230000}"/>
    <cellStyle name="Accent2 - 60% 2 5" xfId="9528" xr:uid="{00000000-0005-0000-0000-0000AC230000}"/>
    <cellStyle name="Accent2 - 60% 3" xfId="9529" xr:uid="{00000000-0005-0000-0000-0000AD230000}"/>
    <cellStyle name="Accent2 - 60% 3 2" xfId="9530" xr:uid="{00000000-0005-0000-0000-0000AE230000}"/>
    <cellStyle name="Accent2 - 60% 3 2 2" xfId="9531" xr:uid="{00000000-0005-0000-0000-0000AF230000}"/>
    <cellStyle name="Accent2 - 60% 3 3" xfId="9532" xr:uid="{00000000-0005-0000-0000-0000B0230000}"/>
    <cellStyle name="Accent2 - 60% 4" xfId="9533" xr:uid="{00000000-0005-0000-0000-0000B1230000}"/>
    <cellStyle name="Accent2 - 60% 4 2" xfId="9534" xr:uid="{00000000-0005-0000-0000-0000B2230000}"/>
    <cellStyle name="Accent2 - 60% 5" xfId="9535" xr:uid="{00000000-0005-0000-0000-0000B3230000}"/>
    <cellStyle name="Accent2 - 60% 5 2" xfId="9536" xr:uid="{00000000-0005-0000-0000-0000B4230000}"/>
    <cellStyle name="Accent2 - 60% 6" xfId="9537" xr:uid="{00000000-0005-0000-0000-0000B5230000}"/>
    <cellStyle name="Accent2 - 60% 7" xfId="9538" xr:uid="{00000000-0005-0000-0000-0000B6230000}"/>
    <cellStyle name="Accent2 - 60% 8" xfId="9539" xr:uid="{00000000-0005-0000-0000-0000B7230000}"/>
    <cellStyle name="Accent2 - 60% 9" xfId="9540" xr:uid="{00000000-0005-0000-0000-0000B8230000}"/>
    <cellStyle name="Accent2 10" xfId="9541" xr:uid="{00000000-0005-0000-0000-0000B9230000}"/>
    <cellStyle name="Accent2 10 2" xfId="9542" xr:uid="{00000000-0005-0000-0000-0000BA230000}"/>
    <cellStyle name="Accent2 10 2 2" xfId="9543" xr:uid="{00000000-0005-0000-0000-0000BB230000}"/>
    <cellStyle name="Accent2 10 2 3" xfId="9544" xr:uid="{00000000-0005-0000-0000-0000BC230000}"/>
    <cellStyle name="Accent2 10 3" xfId="9545" xr:uid="{00000000-0005-0000-0000-0000BD230000}"/>
    <cellStyle name="Accent2 10 3 2" xfId="9546" xr:uid="{00000000-0005-0000-0000-0000BE230000}"/>
    <cellStyle name="Accent2 10 4" xfId="9547" xr:uid="{00000000-0005-0000-0000-0000BF230000}"/>
    <cellStyle name="Accent2 10 5" xfId="9548" xr:uid="{00000000-0005-0000-0000-0000C0230000}"/>
    <cellStyle name="Accent2 100" xfId="9549" xr:uid="{00000000-0005-0000-0000-0000C1230000}"/>
    <cellStyle name="Accent2 100 2" xfId="9550" xr:uid="{00000000-0005-0000-0000-0000C2230000}"/>
    <cellStyle name="Accent2 101" xfId="9551" xr:uid="{00000000-0005-0000-0000-0000C3230000}"/>
    <cellStyle name="Accent2 101 2" xfId="9552" xr:uid="{00000000-0005-0000-0000-0000C4230000}"/>
    <cellStyle name="Accent2 102" xfId="9553" xr:uid="{00000000-0005-0000-0000-0000C5230000}"/>
    <cellStyle name="Accent2 102 2" xfId="9554" xr:uid="{00000000-0005-0000-0000-0000C6230000}"/>
    <cellStyle name="Accent2 103" xfId="9555" xr:uid="{00000000-0005-0000-0000-0000C7230000}"/>
    <cellStyle name="Accent2 103 2" xfId="9556" xr:uid="{00000000-0005-0000-0000-0000C8230000}"/>
    <cellStyle name="Accent2 104" xfId="9557" xr:uid="{00000000-0005-0000-0000-0000C9230000}"/>
    <cellStyle name="Accent2 104 2" xfId="9558" xr:uid="{00000000-0005-0000-0000-0000CA230000}"/>
    <cellStyle name="Accent2 105" xfId="9559" xr:uid="{00000000-0005-0000-0000-0000CB230000}"/>
    <cellStyle name="Accent2 105 2" xfId="9560" xr:uid="{00000000-0005-0000-0000-0000CC230000}"/>
    <cellStyle name="Accent2 106" xfId="9561" xr:uid="{00000000-0005-0000-0000-0000CD230000}"/>
    <cellStyle name="Accent2 106 2" xfId="9562" xr:uid="{00000000-0005-0000-0000-0000CE230000}"/>
    <cellStyle name="Accent2 107" xfId="9563" xr:uid="{00000000-0005-0000-0000-0000CF230000}"/>
    <cellStyle name="Accent2 107 2" xfId="9564" xr:uid="{00000000-0005-0000-0000-0000D0230000}"/>
    <cellStyle name="Accent2 108" xfId="9565" xr:uid="{00000000-0005-0000-0000-0000D1230000}"/>
    <cellStyle name="Accent2 108 2" xfId="9566" xr:uid="{00000000-0005-0000-0000-0000D2230000}"/>
    <cellStyle name="Accent2 109" xfId="9567" xr:uid="{00000000-0005-0000-0000-0000D3230000}"/>
    <cellStyle name="Accent2 109 2" xfId="9568" xr:uid="{00000000-0005-0000-0000-0000D4230000}"/>
    <cellStyle name="Accent2 11" xfId="9569" xr:uid="{00000000-0005-0000-0000-0000D5230000}"/>
    <cellStyle name="Accent2 11 2" xfId="9570" xr:uid="{00000000-0005-0000-0000-0000D6230000}"/>
    <cellStyle name="Accent2 11 2 2" xfId="9571" xr:uid="{00000000-0005-0000-0000-0000D7230000}"/>
    <cellStyle name="Accent2 11 2 3" xfId="9572" xr:uid="{00000000-0005-0000-0000-0000D8230000}"/>
    <cellStyle name="Accent2 11 3" xfId="9573" xr:uid="{00000000-0005-0000-0000-0000D9230000}"/>
    <cellStyle name="Accent2 11 3 2" xfId="9574" xr:uid="{00000000-0005-0000-0000-0000DA230000}"/>
    <cellStyle name="Accent2 11 4" xfId="9575" xr:uid="{00000000-0005-0000-0000-0000DB230000}"/>
    <cellStyle name="Accent2 11 5" xfId="9576" xr:uid="{00000000-0005-0000-0000-0000DC230000}"/>
    <cellStyle name="Accent2 11 6" xfId="9577" xr:uid="{00000000-0005-0000-0000-0000DD230000}"/>
    <cellStyle name="Accent2 110" xfId="9578" xr:uid="{00000000-0005-0000-0000-0000DE230000}"/>
    <cellStyle name="Accent2 110 2" xfId="9579" xr:uid="{00000000-0005-0000-0000-0000DF230000}"/>
    <cellStyle name="Accent2 111" xfId="9580" xr:uid="{00000000-0005-0000-0000-0000E0230000}"/>
    <cellStyle name="Accent2 112" xfId="9581" xr:uid="{00000000-0005-0000-0000-0000E1230000}"/>
    <cellStyle name="Accent2 113" xfId="9582" xr:uid="{00000000-0005-0000-0000-0000E2230000}"/>
    <cellStyle name="Accent2 114" xfId="9583" xr:uid="{00000000-0005-0000-0000-0000E3230000}"/>
    <cellStyle name="Accent2 115" xfId="9584" xr:uid="{00000000-0005-0000-0000-0000E4230000}"/>
    <cellStyle name="Accent2 116" xfId="9585" xr:uid="{00000000-0005-0000-0000-0000E5230000}"/>
    <cellStyle name="Accent2 117" xfId="9586" xr:uid="{00000000-0005-0000-0000-0000E6230000}"/>
    <cellStyle name="Accent2 118" xfId="9587" xr:uid="{00000000-0005-0000-0000-0000E7230000}"/>
    <cellStyle name="Accent2 119" xfId="9588" xr:uid="{00000000-0005-0000-0000-0000E8230000}"/>
    <cellStyle name="Accent2 12" xfId="9589" xr:uid="{00000000-0005-0000-0000-0000E9230000}"/>
    <cellStyle name="Accent2 12 2" xfId="9590" xr:uid="{00000000-0005-0000-0000-0000EA230000}"/>
    <cellStyle name="Accent2 12 2 2" xfId="9591" xr:uid="{00000000-0005-0000-0000-0000EB230000}"/>
    <cellStyle name="Accent2 12 2 3" xfId="9592" xr:uid="{00000000-0005-0000-0000-0000EC230000}"/>
    <cellStyle name="Accent2 12 3" xfId="9593" xr:uid="{00000000-0005-0000-0000-0000ED230000}"/>
    <cellStyle name="Accent2 12 3 2" xfId="9594" xr:uid="{00000000-0005-0000-0000-0000EE230000}"/>
    <cellStyle name="Accent2 12 4" xfId="9595" xr:uid="{00000000-0005-0000-0000-0000EF230000}"/>
    <cellStyle name="Accent2 120" xfId="9596" xr:uid="{00000000-0005-0000-0000-0000F0230000}"/>
    <cellStyle name="Accent2 121" xfId="9597" xr:uid="{00000000-0005-0000-0000-0000F1230000}"/>
    <cellStyle name="Accent2 122" xfId="9598" xr:uid="{00000000-0005-0000-0000-0000F2230000}"/>
    <cellStyle name="Accent2 123" xfId="9599" xr:uid="{00000000-0005-0000-0000-0000F3230000}"/>
    <cellStyle name="Accent2 124" xfId="9600" xr:uid="{00000000-0005-0000-0000-0000F4230000}"/>
    <cellStyle name="Accent2 125" xfId="9601" xr:uid="{00000000-0005-0000-0000-0000F5230000}"/>
    <cellStyle name="Accent2 126" xfId="9602" xr:uid="{00000000-0005-0000-0000-0000F6230000}"/>
    <cellStyle name="Accent2 127" xfId="9603" xr:uid="{00000000-0005-0000-0000-0000F7230000}"/>
    <cellStyle name="Accent2 128" xfId="9604" xr:uid="{00000000-0005-0000-0000-0000F8230000}"/>
    <cellStyle name="Accent2 129" xfId="9605" xr:uid="{00000000-0005-0000-0000-0000F9230000}"/>
    <cellStyle name="Accent2 13" xfId="9606" xr:uid="{00000000-0005-0000-0000-0000FA230000}"/>
    <cellStyle name="Accent2 13 2" xfId="9607" xr:uid="{00000000-0005-0000-0000-0000FB230000}"/>
    <cellStyle name="Accent2 13 2 2" xfId="9608" xr:uid="{00000000-0005-0000-0000-0000FC230000}"/>
    <cellStyle name="Accent2 13 2 3" xfId="9609" xr:uid="{00000000-0005-0000-0000-0000FD230000}"/>
    <cellStyle name="Accent2 13 3" xfId="9610" xr:uid="{00000000-0005-0000-0000-0000FE230000}"/>
    <cellStyle name="Accent2 13 3 2" xfId="9611" xr:uid="{00000000-0005-0000-0000-0000FF230000}"/>
    <cellStyle name="Accent2 13 4" xfId="9612" xr:uid="{00000000-0005-0000-0000-000000240000}"/>
    <cellStyle name="Accent2 130" xfId="9613" xr:uid="{00000000-0005-0000-0000-000001240000}"/>
    <cellStyle name="Accent2 131" xfId="9614" xr:uid="{00000000-0005-0000-0000-000002240000}"/>
    <cellStyle name="Accent2 132" xfId="9615" xr:uid="{00000000-0005-0000-0000-000003240000}"/>
    <cellStyle name="Accent2 133" xfId="9616" xr:uid="{00000000-0005-0000-0000-000004240000}"/>
    <cellStyle name="Accent2 134" xfId="9617" xr:uid="{00000000-0005-0000-0000-000005240000}"/>
    <cellStyle name="Accent2 135" xfId="9618" xr:uid="{00000000-0005-0000-0000-000006240000}"/>
    <cellStyle name="Accent2 136" xfId="9619" xr:uid="{00000000-0005-0000-0000-000007240000}"/>
    <cellStyle name="Accent2 137" xfId="9620" xr:uid="{00000000-0005-0000-0000-000008240000}"/>
    <cellStyle name="Accent2 138" xfId="9621" xr:uid="{00000000-0005-0000-0000-000009240000}"/>
    <cellStyle name="Accent2 139" xfId="9622" xr:uid="{00000000-0005-0000-0000-00000A240000}"/>
    <cellStyle name="Accent2 14" xfId="9623" xr:uid="{00000000-0005-0000-0000-00000B240000}"/>
    <cellStyle name="Accent2 14 2" xfId="9624" xr:uid="{00000000-0005-0000-0000-00000C240000}"/>
    <cellStyle name="Accent2 14 2 2" xfId="9625" xr:uid="{00000000-0005-0000-0000-00000D240000}"/>
    <cellStyle name="Accent2 14 2 3" xfId="9626" xr:uid="{00000000-0005-0000-0000-00000E240000}"/>
    <cellStyle name="Accent2 14 3" xfId="9627" xr:uid="{00000000-0005-0000-0000-00000F240000}"/>
    <cellStyle name="Accent2 14 3 2" xfId="9628" xr:uid="{00000000-0005-0000-0000-000010240000}"/>
    <cellStyle name="Accent2 14 4" xfId="9629" xr:uid="{00000000-0005-0000-0000-000011240000}"/>
    <cellStyle name="Accent2 140" xfId="9630" xr:uid="{00000000-0005-0000-0000-000012240000}"/>
    <cellStyle name="Accent2 141" xfId="9631" xr:uid="{00000000-0005-0000-0000-000013240000}"/>
    <cellStyle name="Accent2 142" xfId="9632" xr:uid="{00000000-0005-0000-0000-000014240000}"/>
    <cellStyle name="Accent2 143" xfId="9633" xr:uid="{00000000-0005-0000-0000-000015240000}"/>
    <cellStyle name="Accent2 144" xfId="9634" xr:uid="{00000000-0005-0000-0000-000016240000}"/>
    <cellStyle name="Accent2 145" xfId="9635" xr:uid="{00000000-0005-0000-0000-000017240000}"/>
    <cellStyle name="Accent2 146" xfId="9636" xr:uid="{00000000-0005-0000-0000-000018240000}"/>
    <cellStyle name="Accent2 147" xfId="9637" xr:uid="{00000000-0005-0000-0000-000019240000}"/>
    <cellStyle name="Accent2 148" xfId="9638" xr:uid="{00000000-0005-0000-0000-00001A240000}"/>
    <cellStyle name="Accent2 149" xfId="9639" xr:uid="{00000000-0005-0000-0000-00001B240000}"/>
    <cellStyle name="Accent2 15" xfId="9640" xr:uid="{00000000-0005-0000-0000-00001C240000}"/>
    <cellStyle name="Accent2 15 2" xfId="9641" xr:uid="{00000000-0005-0000-0000-00001D240000}"/>
    <cellStyle name="Accent2 15 2 2" xfId="9642" xr:uid="{00000000-0005-0000-0000-00001E240000}"/>
    <cellStyle name="Accent2 15 2 3" xfId="9643" xr:uid="{00000000-0005-0000-0000-00001F240000}"/>
    <cellStyle name="Accent2 15 3" xfId="9644" xr:uid="{00000000-0005-0000-0000-000020240000}"/>
    <cellStyle name="Accent2 15 3 2" xfId="9645" xr:uid="{00000000-0005-0000-0000-000021240000}"/>
    <cellStyle name="Accent2 15 4" xfId="9646" xr:uid="{00000000-0005-0000-0000-000022240000}"/>
    <cellStyle name="Accent2 150" xfId="9647" xr:uid="{00000000-0005-0000-0000-000023240000}"/>
    <cellStyle name="Accent2 151" xfId="9648" xr:uid="{00000000-0005-0000-0000-000024240000}"/>
    <cellStyle name="Accent2 152" xfId="9649" xr:uid="{00000000-0005-0000-0000-000025240000}"/>
    <cellStyle name="Accent2 153" xfId="9650" xr:uid="{00000000-0005-0000-0000-000026240000}"/>
    <cellStyle name="Accent2 154" xfId="9651" xr:uid="{00000000-0005-0000-0000-000027240000}"/>
    <cellStyle name="Accent2 155" xfId="9652" xr:uid="{00000000-0005-0000-0000-000028240000}"/>
    <cellStyle name="Accent2 156" xfId="9653" xr:uid="{00000000-0005-0000-0000-000029240000}"/>
    <cellStyle name="Accent2 157" xfId="9654" xr:uid="{00000000-0005-0000-0000-00002A240000}"/>
    <cellStyle name="Accent2 158" xfId="9655" xr:uid="{00000000-0005-0000-0000-00002B240000}"/>
    <cellStyle name="Accent2 159" xfId="9656" xr:uid="{00000000-0005-0000-0000-00002C240000}"/>
    <cellStyle name="Accent2 16" xfId="9657" xr:uid="{00000000-0005-0000-0000-00002D240000}"/>
    <cellStyle name="Accent2 16 2" xfId="9658" xr:uid="{00000000-0005-0000-0000-00002E240000}"/>
    <cellStyle name="Accent2 16 2 2" xfId="9659" xr:uid="{00000000-0005-0000-0000-00002F240000}"/>
    <cellStyle name="Accent2 16 2 3" xfId="9660" xr:uid="{00000000-0005-0000-0000-000030240000}"/>
    <cellStyle name="Accent2 16 3" xfId="9661" xr:uid="{00000000-0005-0000-0000-000031240000}"/>
    <cellStyle name="Accent2 16 3 2" xfId="9662" xr:uid="{00000000-0005-0000-0000-000032240000}"/>
    <cellStyle name="Accent2 16 4" xfId="9663" xr:uid="{00000000-0005-0000-0000-000033240000}"/>
    <cellStyle name="Accent2 160" xfId="9664" xr:uid="{00000000-0005-0000-0000-000034240000}"/>
    <cellStyle name="Accent2 161" xfId="9665" xr:uid="{00000000-0005-0000-0000-000035240000}"/>
    <cellStyle name="Accent2 162" xfId="9666" xr:uid="{00000000-0005-0000-0000-000036240000}"/>
    <cellStyle name="Accent2 163" xfId="9667" xr:uid="{00000000-0005-0000-0000-000037240000}"/>
    <cellStyle name="Accent2 164" xfId="9668" xr:uid="{00000000-0005-0000-0000-000038240000}"/>
    <cellStyle name="Accent2 165" xfId="9669" xr:uid="{00000000-0005-0000-0000-000039240000}"/>
    <cellStyle name="Accent2 166" xfId="9670" xr:uid="{00000000-0005-0000-0000-00003A240000}"/>
    <cellStyle name="Accent2 167" xfId="9671" xr:uid="{00000000-0005-0000-0000-00003B240000}"/>
    <cellStyle name="Accent2 168" xfId="9672" xr:uid="{00000000-0005-0000-0000-00003C240000}"/>
    <cellStyle name="Accent2 169" xfId="9673" xr:uid="{00000000-0005-0000-0000-00003D240000}"/>
    <cellStyle name="Accent2 17" xfId="9674" xr:uid="{00000000-0005-0000-0000-00003E240000}"/>
    <cellStyle name="Accent2 17 2" xfId="9675" xr:uid="{00000000-0005-0000-0000-00003F240000}"/>
    <cellStyle name="Accent2 17 2 2" xfId="9676" xr:uid="{00000000-0005-0000-0000-000040240000}"/>
    <cellStyle name="Accent2 17 2 3" xfId="9677" xr:uid="{00000000-0005-0000-0000-000041240000}"/>
    <cellStyle name="Accent2 17 3" xfId="9678" xr:uid="{00000000-0005-0000-0000-000042240000}"/>
    <cellStyle name="Accent2 17 3 2" xfId="9679" xr:uid="{00000000-0005-0000-0000-000043240000}"/>
    <cellStyle name="Accent2 17 4" xfId="9680" xr:uid="{00000000-0005-0000-0000-000044240000}"/>
    <cellStyle name="Accent2 170" xfId="9681" xr:uid="{00000000-0005-0000-0000-000045240000}"/>
    <cellStyle name="Accent2 171" xfId="9682" xr:uid="{00000000-0005-0000-0000-000046240000}"/>
    <cellStyle name="Accent2 172" xfId="9683" xr:uid="{00000000-0005-0000-0000-000047240000}"/>
    <cellStyle name="Accent2 173" xfId="9684" xr:uid="{00000000-0005-0000-0000-000048240000}"/>
    <cellStyle name="Accent2 174" xfId="9685" xr:uid="{00000000-0005-0000-0000-000049240000}"/>
    <cellStyle name="Accent2 175" xfId="9686" xr:uid="{00000000-0005-0000-0000-00004A240000}"/>
    <cellStyle name="Accent2 176" xfId="9687" xr:uid="{00000000-0005-0000-0000-00004B240000}"/>
    <cellStyle name="Accent2 177" xfId="9688" xr:uid="{00000000-0005-0000-0000-00004C240000}"/>
    <cellStyle name="Accent2 178" xfId="9689" xr:uid="{00000000-0005-0000-0000-00004D240000}"/>
    <cellStyle name="Accent2 179" xfId="9690" xr:uid="{00000000-0005-0000-0000-00004E240000}"/>
    <cellStyle name="Accent2 18" xfId="9691" xr:uid="{00000000-0005-0000-0000-00004F240000}"/>
    <cellStyle name="Accent2 18 2" xfId="9692" xr:uid="{00000000-0005-0000-0000-000050240000}"/>
    <cellStyle name="Accent2 18 2 2" xfId="9693" xr:uid="{00000000-0005-0000-0000-000051240000}"/>
    <cellStyle name="Accent2 18 2 3" xfId="9694" xr:uid="{00000000-0005-0000-0000-000052240000}"/>
    <cellStyle name="Accent2 18 3" xfId="9695" xr:uid="{00000000-0005-0000-0000-000053240000}"/>
    <cellStyle name="Accent2 18 3 2" xfId="9696" xr:uid="{00000000-0005-0000-0000-000054240000}"/>
    <cellStyle name="Accent2 180" xfId="9697" xr:uid="{00000000-0005-0000-0000-000055240000}"/>
    <cellStyle name="Accent2 181" xfId="9698" xr:uid="{00000000-0005-0000-0000-000056240000}"/>
    <cellStyle name="Accent2 182" xfId="9699" xr:uid="{00000000-0005-0000-0000-000057240000}"/>
    <cellStyle name="Accent2 183" xfId="9700" xr:uid="{00000000-0005-0000-0000-000058240000}"/>
    <cellStyle name="Accent2 184" xfId="9701" xr:uid="{00000000-0005-0000-0000-000059240000}"/>
    <cellStyle name="Accent2 185" xfId="9702" xr:uid="{00000000-0005-0000-0000-00005A240000}"/>
    <cellStyle name="Accent2 186" xfId="9703" xr:uid="{00000000-0005-0000-0000-00005B240000}"/>
    <cellStyle name="Accent2 187" xfId="9704" xr:uid="{00000000-0005-0000-0000-00005C240000}"/>
    <cellStyle name="Accent2 188" xfId="9705" xr:uid="{00000000-0005-0000-0000-00005D240000}"/>
    <cellStyle name="Accent2 189" xfId="9706" xr:uid="{00000000-0005-0000-0000-00005E240000}"/>
    <cellStyle name="Accent2 19" xfId="9707" xr:uid="{00000000-0005-0000-0000-00005F240000}"/>
    <cellStyle name="Accent2 19 2" xfId="9708" xr:uid="{00000000-0005-0000-0000-000060240000}"/>
    <cellStyle name="Accent2 19 2 2" xfId="9709" xr:uid="{00000000-0005-0000-0000-000061240000}"/>
    <cellStyle name="Accent2 19 2 3" xfId="9710" xr:uid="{00000000-0005-0000-0000-000062240000}"/>
    <cellStyle name="Accent2 19 3" xfId="9711" xr:uid="{00000000-0005-0000-0000-000063240000}"/>
    <cellStyle name="Accent2 19 3 2" xfId="9712" xr:uid="{00000000-0005-0000-0000-000064240000}"/>
    <cellStyle name="Accent2 2" xfId="9713" xr:uid="{00000000-0005-0000-0000-000065240000}"/>
    <cellStyle name="Accent2 2 10" xfId="9714" xr:uid="{00000000-0005-0000-0000-000066240000}"/>
    <cellStyle name="Accent2 2 11" xfId="9715" xr:uid="{00000000-0005-0000-0000-000067240000}"/>
    <cellStyle name="Accent2 2 2" xfId="9716" xr:uid="{00000000-0005-0000-0000-000068240000}"/>
    <cellStyle name="Accent2 2 2 2" xfId="9717" xr:uid="{00000000-0005-0000-0000-000069240000}"/>
    <cellStyle name="Accent2 2 2 2 2" xfId="9718" xr:uid="{00000000-0005-0000-0000-00006A240000}"/>
    <cellStyle name="Accent2 2 2 2 3" xfId="9719" xr:uid="{00000000-0005-0000-0000-00006B240000}"/>
    <cellStyle name="Accent2 2 2 2 4" xfId="9720" xr:uid="{00000000-0005-0000-0000-00006C240000}"/>
    <cellStyle name="Accent2 2 2 3" xfId="9721" xr:uid="{00000000-0005-0000-0000-00006D240000}"/>
    <cellStyle name="Accent2 2 2 4" xfId="9722" xr:uid="{00000000-0005-0000-0000-00006E240000}"/>
    <cellStyle name="Accent2 2 2 5" xfId="9723" xr:uid="{00000000-0005-0000-0000-00006F240000}"/>
    <cellStyle name="Accent2 2 2 6" xfId="9724" xr:uid="{00000000-0005-0000-0000-000070240000}"/>
    <cellStyle name="Accent2 2 3" xfId="9725" xr:uid="{00000000-0005-0000-0000-000071240000}"/>
    <cellStyle name="Accent2 2 3 2" xfId="9726" xr:uid="{00000000-0005-0000-0000-000072240000}"/>
    <cellStyle name="Accent2 2 3 3" xfId="9727" xr:uid="{00000000-0005-0000-0000-000073240000}"/>
    <cellStyle name="Accent2 2 3 4" xfId="9728" xr:uid="{00000000-0005-0000-0000-000074240000}"/>
    <cellStyle name="Accent2 2 3 5" xfId="9729" xr:uid="{00000000-0005-0000-0000-000075240000}"/>
    <cellStyle name="Accent2 2 4" xfId="9730" xr:uid="{00000000-0005-0000-0000-000076240000}"/>
    <cellStyle name="Accent2 2 4 2" xfId="9731" xr:uid="{00000000-0005-0000-0000-000077240000}"/>
    <cellStyle name="Accent2 2 4 3" xfId="9732" xr:uid="{00000000-0005-0000-0000-000078240000}"/>
    <cellStyle name="Accent2 2 5" xfId="9733" xr:uid="{00000000-0005-0000-0000-000079240000}"/>
    <cellStyle name="Accent2 2 5 2" xfId="9734" xr:uid="{00000000-0005-0000-0000-00007A240000}"/>
    <cellStyle name="Accent2 2 6" xfId="9735" xr:uid="{00000000-0005-0000-0000-00007B240000}"/>
    <cellStyle name="Accent2 2 6 2" xfId="9736" xr:uid="{00000000-0005-0000-0000-00007C240000}"/>
    <cellStyle name="Accent2 2 7" xfId="9737" xr:uid="{00000000-0005-0000-0000-00007D240000}"/>
    <cellStyle name="Accent2 2 7 2" xfId="9738" xr:uid="{00000000-0005-0000-0000-00007E240000}"/>
    <cellStyle name="Accent2 2 8" xfId="9739" xr:uid="{00000000-0005-0000-0000-00007F240000}"/>
    <cellStyle name="Accent2 2 9" xfId="9740" xr:uid="{00000000-0005-0000-0000-000080240000}"/>
    <cellStyle name="Accent2 20" xfId="9741" xr:uid="{00000000-0005-0000-0000-000081240000}"/>
    <cellStyle name="Accent2 20 2" xfId="9742" xr:uid="{00000000-0005-0000-0000-000082240000}"/>
    <cellStyle name="Accent2 20 2 2" xfId="9743" xr:uid="{00000000-0005-0000-0000-000083240000}"/>
    <cellStyle name="Accent2 20 2 3" xfId="9744" xr:uid="{00000000-0005-0000-0000-000084240000}"/>
    <cellStyle name="Accent2 20 3" xfId="9745" xr:uid="{00000000-0005-0000-0000-000085240000}"/>
    <cellStyle name="Accent2 20 3 2" xfId="9746" xr:uid="{00000000-0005-0000-0000-000086240000}"/>
    <cellStyle name="Accent2 20 4" xfId="9747" xr:uid="{00000000-0005-0000-0000-000087240000}"/>
    <cellStyle name="Accent2 21" xfId="9748" xr:uid="{00000000-0005-0000-0000-000088240000}"/>
    <cellStyle name="Accent2 21 2" xfId="9749" xr:uid="{00000000-0005-0000-0000-000089240000}"/>
    <cellStyle name="Accent2 21 2 2" xfId="9750" xr:uid="{00000000-0005-0000-0000-00008A240000}"/>
    <cellStyle name="Accent2 21 2 3" xfId="9751" xr:uid="{00000000-0005-0000-0000-00008B240000}"/>
    <cellStyle name="Accent2 21 3" xfId="9752" xr:uid="{00000000-0005-0000-0000-00008C240000}"/>
    <cellStyle name="Accent2 21 3 2" xfId="9753" xr:uid="{00000000-0005-0000-0000-00008D240000}"/>
    <cellStyle name="Accent2 21 4" xfId="9754" xr:uid="{00000000-0005-0000-0000-00008E240000}"/>
    <cellStyle name="Accent2 22" xfId="9755" xr:uid="{00000000-0005-0000-0000-00008F240000}"/>
    <cellStyle name="Accent2 22 2" xfId="9756" xr:uid="{00000000-0005-0000-0000-000090240000}"/>
    <cellStyle name="Accent2 22 2 2" xfId="9757" xr:uid="{00000000-0005-0000-0000-000091240000}"/>
    <cellStyle name="Accent2 22 2 3" xfId="9758" xr:uid="{00000000-0005-0000-0000-000092240000}"/>
    <cellStyle name="Accent2 22 3" xfId="9759" xr:uid="{00000000-0005-0000-0000-000093240000}"/>
    <cellStyle name="Accent2 22 3 2" xfId="9760" xr:uid="{00000000-0005-0000-0000-000094240000}"/>
    <cellStyle name="Accent2 22 4" xfId="9761" xr:uid="{00000000-0005-0000-0000-000095240000}"/>
    <cellStyle name="Accent2 23" xfId="9762" xr:uid="{00000000-0005-0000-0000-000096240000}"/>
    <cellStyle name="Accent2 23 2" xfId="9763" xr:uid="{00000000-0005-0000-0000-000097240000}"/>
    <cellStyle name="Accent2 23 2 2" xfId="9764" xr:uid="{00000000-0005-0000-0000-000098240000}"/>
    <cellStyle name="Accent2 23 2 3" xfId="9765" xr:uid="{00000000-0005-0000-0000-000099240000}"/>
    <cellStyle name="Accent2 23 3" xfId="9766" xr:uid="{00000000-0005-0000-0000-00009A240000}"/>
    <cellStyle name="Accent2 23 3 2" xfId="9767" xr:uid="{00000000-0005-0000-0000-00009B240000}"/>
    <cellStyle name="Accent2 23 4" xfId="9768" xr:uid="{00000000-0005-0000-0000-00009C240000}"/>
    <cellStyle name="Accent2 24" xfId="9769" xr:uid="{00000000-0005-0000-0000-00009D240000}"/>
    <cellStyle name="Accent2 24 2" xfId="9770" xr:uid="{00000000-0005-0000-0000-00009E240000}"/>
    <cellStyle name="Accent2 24 2 2" xfId="9771" xr:uid="{00000000-0005-0000-0000-00009F240000}"/>
    <cellStyle name="Accent2 24 2 3" xfId="9772" xr:uid="{00000000-0005-0000-0000-0000A0240000}"/>
    <cellStyle name="Accent2 24 3" xfId="9773" xr:uid="{00000000-0005-0000-0000-0000A1240000}"/>
    <cellStyle name="Accent2 24 3 2" xfId="9774" xr:uid="{00000000-0005-0000-0000-0000A2240000}"/>
    <cellStyle name="Accent2 24 4" xfId="9775" xr:uid="{00000000-0005-0000-0000-0000A3240000}"/>
    <cellStyle name="Accent2 25" xfId="9776" xr:uid="{00000000-0005-0000-0000-0000A4240000}"/>
    <cellStyle name="Accent2 25 2" xfId="9777" xr:uid="{00000000-0005-0000-0000-0000A5240000}"/>
    <cellStyle name="Accent2 25 2 2" xfId="9778" xr:uid="{00000000-0005-0000-0000-0000A6240000}"/>
    <cellStyle name="Accent2 25 2 3" xfId="9779" xr:uid="{00000000-0005-0000-0000-0000A7240000}"/>
    <cellStyle name="Accent2 25 3" xfId="9780" xr:uid="{00000000-0005-0000-0000-0000A8240000}"/>
    <cellStyle name="Accent2 25 3 2" xfId="9781" xr:uid="{00000000-0005-0000-0000-0000A9240000}"/>
    <cellStyle name="Accent2 25 4" xfId="9782" xr:uid="{00000000-0005-0000-0000-0000AA240000}"/>
    <cellStyle name="Accent2 26" xfId="9783" xr:uid="{00000000-0005-0000-0000-0000AB240000}"/>
    <cellStyle name="Accent2 26 2" xfId="9784" xr:uid="{00000000-0005-0000-0000-0000AC240000}"/>
    <cellStyle name="Accent2 26 2 2" xfId="9785" xr:uid="{00000000-0005-0000-0000-0000AD240000}"/>
    <cellStyle name="Accent2 26 2 3" xfId="9786" xr:uid="{00000000-0005-0000-0000-0000AE240000}"/>
    <cellStyle name="Accent2 26 3" xfId="9787" xr:uid="{00000000-0005-0000-0000-0000AF240000}"/>
    <cellStyle name="Accent2 26 3 2" xfId="9788" xr:uid="{00000000-0005-0000-0000-0000B0240000}"/>
    <cellStyle name="Accent2 26 4" xfId="9789" xr:uid="{00000000-0005-0000-0000-0000B1240000}"/>
    <cellStyle name="Accent2 27" xfId="9790" xr:uid="{00000000-0005-0000-0000-0000B2240000}"/>
    <cellStyle name="Accent2 27 2" xfId="9791" xr:uid="{00000000-0005-0000-0000-0000B3240000}"/>
    <cellStyle name="Accent2 27 2 2" xfId="9792" xr:uid="{00000000-0005-0000-0000-0000B4240000}"/>
    <cellStyle name="Accent2 27 2 3" xfId="9793" xr:uid="{00000000-0005-0000-0000-0000B5240000}"/>
    <cellStyle name="Accent2 27 3" xfId="9794" xr:uid="{00000000-0005-0000-0000-0000B6240000}"/>
    <cellStyle name="Accent2 27 3 2" xfId="9795" xr:uid="{00000000-0005-0000-0000-0000B7240000}"/>
    <cellStyle name="Accent2 27 4" xfId="9796" xr:uid="{00000000-0005-0000-0000-0000B8240000}"/>
    <cellStyle name="Accent2 28" xfId="9797" xr:uid="{00000000-0005-0000-0000-0000B9240000}"/>
    <cellStyle name="Accent2 28 2" xfId="9798" xr:uid="{00000000-0005-0000-0000-0000BA240000}"/>
    <cellStyle name="Accent2 28 2 2" xfId="9799" xr:uid="{00000000-0005-0000-0000-0000BB240000}"/>
    <cellStyle name="Accent2 28 2 3" xfId="9800" xr:uid="{00000000-0005-0000-0000-0000BC240000}"/>
    <cellStyle name="Accent2 28 3" xfId="9801" xr:uid="{00000000-0005-0000-0000-0000BD240000}"/>
    <cellStyle name="Accent2 28 3 2" xfId="9802" xr:uid="{00000000-0005-0000-0000-0000BE240000}"/>
    <cellStyle name="Accent2 28 4" xfId="9803" xr:uid="{00000000-0005-0000-0000-0000BF240000}"/>
    <cellStyle name="Accent2 29" xfId="9804" xr:uid="{00000000-0005-0000-0000-0000C0240000}"/>
    <cellStyle name="Accent2 29 2" xfId="9805" xr:uid="{00000000-0005-0000-0000-0000C1240000}"/>
    <cellStyle name="Accent2 29 2 2" xfId="9806" xr:uid="{00000000-0005-0000-0000-0000C2240000}"/>
    <cellStyle name="Accent2 29 2 3" xfId="9807" xr:uid="{00000000-0005-0000-0000-0000C3240000}"/>
    <cellStyle name="Accent2 29 3" xfId="9808" xr:uid="{00000000-0005-0000-0000-0000C4240000}"/>
    <cellStyle name="Accent2 29 3 2" xfId="9809" xr:uid="{00000000-0005-0000-0000-0000C5240000}"/>
    <cellStyle name="Accent2 29 4" xfId="9810" xr:uid="{00000000-0005-0000-0000-0000C6240000}"/>
    <cellStyle name="Accent2 3" xfId="9811" xr:uid="{00000000-0005-0000-0000-0000C7240000}"/>
    <cellStyle name="Accent2 3 2" xfId="9812" xr:uid="{00000000-0005-0000-0000-0000C8240000}"/>
    <cellStyle name="Accent2 3 2 2" xfId="9813" xr:uid="{00000000-0005-0000-0000-0000C9240000}"/>
    <cellStyle name="Accent2 3 2 2 2" xfId="9814" xr:uid="{00000000-0005-0000-0000-0000CA240000}"/>
    <cellStyle name="Accent2 3 2 3" xfId="9815" xr:uid="{00000000-0005-0000-0000-0000CB240000}"/>
    <cellStyle name="Accent2 3 2 4" xfId="9816" xr:uid="{00000000-0005-0000-0000-0000CC240000}"/>
    <cellStyle name="Accent2 3 3" xfId="9817" xr:uid="{00000000-0005-0000-0000-0000CD240000}"/>
    <cellStyle name="Accent2 3 3 2" xfId="9818" xr:uid="{00000000-0005-0000-0000-0000CE240000}"/>
    <cellStyle name="Accent2 3 3 3" xfId="9819" xr:uid="{00000000-0005-0000-0000-0000CF240000}"/>
    <cellStyle name="Accent2 3 4" xfId="9820" xr:uid="{00000000-0005-0000-0000-0000D0240000}"/>
    <cellStyle name="Accent2 3 4 2" xfId="9821" xr:uid="{00000000-0005-0000-0000-0000D1240000}"/>
    <cellStyle name="Accent2 3 5" xfId="9822" xr:uid="{00000000-0005-0000-0000-0000D2240000}"/>
    <cellStyle name="Accent2 3 6" xfId="9823" xr:uid="{00000000-0005-0000-0000-0000D3240000}"/>
    <cellStyle name="Accent2 3 7" xfId="9824" xr:uid="{00000000-0005-0000-0000-0000D4240000}"/>
    <cellStyle name="Accent2 3 8" xfId="9825" xr:uid="{00000000-0005-0000-0000-0000D5240000}"/>
    <cellStyle name="Accent2 3 9" xfId="9826" xr:uid="{00000000-0005-0000-0000-0000D6240000}"/>
    <cellStyle name="Accent2 30" xfId="9827" xr:uid="{00000000-0005-0000-0000-0000D7240000}"/>
    <cellStyle name="Accent2 30 2" xfId="9828" xr:uid="{00000000-0005-0000-0000-0000D8240000}"/>
    <cellStyle name="Accent2 30 2 2" xfId="9829" xr:uid="{00000000-0005-0000-0000-0000D9240000}"/>
    <cellStyle name="Accent2 30 2 3" xfId="9830" xr:uid="{00000000-0005-0000-0000-0000DA240000}"/>
    <cellStyle name="Accent2 30 3" xfId="9831" xr:uid="{00000000-0005-0000-0000-0000DB240000}"/>
    <cellStyle name="Accent2 30 3 2" xfId="9832" xr:uid="{00000000-0005-0000-0000-0000DC240000}"/>
    <cellStyle name="Accent2 30 4" xfId="9833" xr:uid="{00000000-0005-0000-0000-0000DD240000}"/>
    <cellStyle name="Accent2 31" xfId="9834" xr:uid="{00000000-0005-0000-0000-0000DE240000}"/>
    <cellStyle name="Accent2 31 2" xfId="9835" xr:uid="{00000000-0005-0000-0000-0000DF240000}"/>
    <cellStyle name="Accent2 31 2 2" xfId="9836" xr:uid="{00000000-0005-0000-0000-0000E0240000}"/>
    <cellStyle name="Accent2 31 2 3" xfId="9837" xr:uid="{00000000-0005-0000-0000-0000E1240000}"/>
    <cellStyle name="Accent2 31 3" xfId="9838" xr:uid="{00000000-0005-0000-0000-0000E2240000}"/>
    <cellStyle name="Accent2 31 3 2" xfId="9839" xr:uid="{00000000-0005-0000-0000-0000E3240000}"/>
    <cellStyle name="Accent2 31 4" xfId="9840" xr:uid="{00000000-0005-0000-0000-0000E4240000}"/>
    <cellStyle name="Accent2 32" xfId="9841" xr:uid="{00000000-0005-0000-0000-0000E5240000}"/>
    <cellStyle name="Accent2 32 2" xfId="9842" xr:uid="{00000000-0005-0000-0000-0000E6240000}"/>
    <cellStyle name="Accent2 32 2 2" xfId="9843" xr:uid="{00000000-0005-0000-0000-0000E7240000}"/>
    <cellStyle name="Accent2 32 2 3" xfId="9844" xr:uid="{00000000-0005-0000-0000-0000E8240000}"/>
    <cellStyle name="Accent2 32 3" xfId="9845" xr:uid="{00000000-0005-0000-0000-0000E9240000}"/>
    <cellStyle name="Accent2 32 3 2" xfId="9846" xr:uid="{00000000-0005-0000-0000-0000EA240000}"/>
    <cellStyle name="Accent2 32 4" xfId="9847" xr:uid="{00000000-0005-0000-0000-0000EB240000}"/>
    <cellStyle name="Accent2 33" xfId="9848" xr:uid="{00000000-0005-0000-0000-0000EC240000}"/>
    <cellStyle name="Accent2 33 2" xfId="9849" xr:uid="{00000000-0005-0000-0000-0000ED240000}"/>
    <cellStyle name="Accent2 33 2 2" xfId="9850" xr:uid="{00000000-0005-0000-0000-0000EE240000}"/>
    <cellStyle name="Accent2 33 2 3" xfId="9851" xr:uid="{00000000-0005-0000-0000-0000EF240000}"/>
    <cellStyle name="Accent2 33 3" xfId="9852" xr:uid="{00000000-0005-0000-0000-0000F0240000}"/>
    <cellStyle name="Accent2 33 3 2" xfId="9853" xr:uid="{00000000-0005-0000-0000-0000F1240000}"/>
    <cellStyle name="Accent2 33 4" xfId="9854" xr:uid="{00000000-0005-0000-0000-0000F2240000}"/>
    <cellStyle name="Accent2 34" xfId="9855" xr:uid="{00000000-0005-0000-0000-0000F3240000}"/>
    <cellStyle name="Accent2 34 2" xfId="9856" xr:uid="{00000000-0005-0000-0000-0000F4240000}"/>
    <cellStyle name="Accent2 34 2 2" xfId="9857" xr:uid="{00000000-0005-0000-0000-0000F5240000}"/>
    <cellStyle name="Accent2 34 2 3" xfId="9858" xr:uid="{00000000-0005-0000-0000-0000F6240000}"/>
    <cellStyle name="Accent2 34 3" xfId="9859" xr:uid="{00000000-0005-0000-0000-0000F7240000}"/>
    <cellStyle name="Accent2 34 3 2" xfId="9860" xr:uid="{00000000-0005-0000-0000-0000F8240000}"/>
    <cellStyle name="Accent2 34 4" xfId="9861" xr:uid="{00000000-0005-0000-0000-0000F9240000}"/>
    <cellStyle name="Accent2 34 5" xfId="9862" xr:uid="{00000000-0005-0000-0000-0000FA240000}"/>
    <cellStyle name="Accent2 34 6" xfId="9863" xr:uid="{00000000-0005-0000-0000-0000FB240000}"/>
    <cellStyle name="Accent2 35" xfId="9864" xr:uid="{00000000-0005-0000-0000-0000FC240000}"/>
    <cellStyle name="Accent2 35 2" xfId="9865" xr:uid="{00000000-0005-0000-0000-0000FD240000}"/>
    <cellStyle name="Accent2 35 2 2" xfId="9866" xr:uid="{00000000-0005-0000-0000-0000FE240000}"/>
    <cellStyle name="Accent2 35 2 3" xfId="9867" xr:uid="{00000000-0005-0000-0000-0000FF240000}"/>
    <cellStyle name="Accent2 35 3" xfId="9868" xr:uid="{00000000-0005-0000-0000-000000250000}"/>
    <cellStyle name="Accent2 35 3 2" xfId="9869" xr:uid="{00000000-0005-0000-0000-000001250000}"/>
    <cellStyle name="Accent2 35 4" xfId="9870" xr:uid="{00000000-0005-0000-0000-000002250000}"/>
    <cellStyle name="Accent2 35 4 2" xfId="9871" xr:uid="{00000000-0005-0000-0000-000003250000}"/>
    <cellStyle name="Accent2 35 5" xfId="9872" xr:uid="{00000000-0005-0000-0000-000004250000}"/>
    <cellStyle name="Accent2 36" xfId="9873" xr:uid="{00000000-0005-0000-0000-000005250000}"/>
    <cellStyle name="Accent2 36 2" xfId="9874" xr:uid="{00000000-0005-0000-0000-000006250000}"/>
    <cellStyle name="Accent2 36 2 2" xfId="9875" xr:uid="{00000000-0005-0000-0000-000007250000}"/>
    <cellStyle name="Accent2 36 2 3" xfId="9876" xr:uid="{00000000-0005-0000-0000-000008250000}"/>
    <cellStyle name="Accent2 36 3" xfId="9877" xr:uid="{00000000-0005-0000-0000-000009250000}"/>
    <cellStyle name="Accent2 36 3 2" xfId="9878" xr:uid="{00000000-0005-0000-0000-00000A250000}"/>
    <cellStyle name="Accent2 36 4" xfId="9879" xr:uid="{00000000-0005-0000-0000-00000B250000}"/>
    <cellStyle name="Accent2 36 4 2" xfId="9880" xr:uid="{00000000-0005-0000-0000-00000C250000}"/>
    <cellStyle name="Accent2 36 5" xfId="9881" xr:uid="{00000000-0005-0000-0000-00000D250000}"/>
    <cellStyle name="Accent2 37" xfId="9882" xr:uid="{00000000-0005-0000-0000-00000E250000}"/>
    <cellStyle name="Accent2 37 2" xfId="9883" xr:uid="{00000000-0005-0000-0000-00000F250000}"/>
    <cellStyle name="Accent2 37 2 2" xfId="9884" xr:uid="{00000000-0005-0000-0000-000010250000}"/>
    <cellStyle name="Accent2 37 2 3" xfId="9885" xr:uid="{00000000-0005-0000-0000-000011250000}"/>
    <cellStyle name="Accent2 37 3" xfId="9886" xr:uid="{00000000-0005-0000-0000-000012250000}"/>
    <cellStyle name="Accent2 37 3 2" xfId="9887" xr:uid="{00000000-0005-0000-0000-000013250000}"/>
    <cellStyle name="Accent2 37 4" xfId="9888" xr:uid="{00000000-0005-0000-0000-000014250000}"/>
    <cellStyle name="Accent2 37 5" xfId="9889" xr:uid="{00000000-0005-0000-0000-000015250000}"/>
    <cellStyle name="Accent2 38" xfId="9890" xr:uid="{00000000-0005-0000-0000-000016250000}"/>
    <cellStyle name="Accent2 38 2" xfId="9891" xr:uid="{00000000-0005-0000-0000-000017250000}"/>
    <cellStyle name="Accent2 38 2 2" xfId="9892" xr:uid="{00000000-0005-0000-0000-000018250000}"/>
    <cellStyle name="Accent2 38 2 3" xfId="9893" xr:uid="{00000000-0005-0000-0000-000019250000}"/>
    <cellStyle name="Accent2 38 3" xfId="9894" xr:uid="{00000000-0005-0000-0000-00001A250000}"/>
    <cellStyle name="Accent2 38 3 2" xfId="9895" xr:uid="{00000000-0005-0000-0000-00001B250000}"/>
    <cellStyle name="Accent2 38 4" xfId="9896" xr:uid="{00000000-0005-0000-0000-00001C250000}"/>
    <cellStyle name="Accent2 38 5" xfId="9897" xr:uid="{00000000-0005-0000-0000-00001D250000}"/>
    <cellStyle name="Accent2 39" xfId="9898" xr:uid="{00000000-0005-0000-0000-00001E250000}"/>
    <cellStyle name="Accent2 39 2" xfId="9899" xr:uid="{00000000-0005-0000-0000-00001F250000}"/>
    <cellStyle name="Accent2 39 2 2" xfId="9900" xr:uid="{00000000-0005-0000-0000-000020250000}"/>
    <cellStyle name="Accent2 39 2 3" xfId="9901" xr:uid="{00000000-0005-0000-0000-000021250000}"/>
    <cellStyle name="Accent2 39 3" xfId="9902" xr:uid="{00000000-0005-0000-0000-000022250000}"/>
    <cellStyle name="Accent2 39 3 2" xfId="9903" xr:uid="{00000000-0005-0000-0000-000023250000}"/>
    <cellStyle name="Accent2 39 4" xfId="9904" xr:uid="{00000000-0005-0000-0000-000024250000}"/>
    <cellStyle name="Accent2 39 5" xfId="9905" xr:uid="{00000000-0005-0000-0000-000025250000}"/>
    <cellStyle name="Accent2 39 6" xfId="9906" xr:uid="{00000000-0005-0000-0000-000026250000}"/>
    <cellStyle name="Accent2 4" xfId="9907" xr:uid="{00000000-0005-0000-0000-000027250000}"/>
    <cellStyle name="Accent2 4 2" xfId="9908" xr:uid="{00000000-0005-0000-0000-000028250000}"/>
    <cellStyle name="Accent2 4 2 2" xfId="9909" xr:uid="{00000000-0005-0000-0000-000029250000}"/>
    <cellStyle name="Accent2 4 2 2 2" xfId="9910" xr:uid="{00000000-0005-0000-0000-00002A250000}"/>
    <cellStyle name="Accent2 4 2 3" xfId="9911" xr:uid="{00000000-0005-0000-0000-00002B250000}"/>
    <cellStyle name="Accent2 4 3" xfId="9912" xr:uid="{00000000-0005-0000-0000-00002C250000}"/>
    <cellStyle name="Accent2 4 3 2" xfId="9913" xr:uid="{00000000-0005-0000-0000-00002D250000}"/>
    <cellStyle name="Accent2 4 3 3" xfId="9914" xr:uid="{00000000-0005-0000-0000-00002E250000}"/>
    <cellStyle name="Accent2 4 4" xfId="9915" xr:uid="{00000000-0005-0000-0000-00002F250000}"/>
    <cellStyle name="Accent2 4 4 2" xfId="9916" xr:uid="{00000000-0005-0000-0000-000030250000}"/>
    <cellStyle name="Accent2 4 5" xfId="9917" xr:uid="{00000000-0005-0000-0000-000031250000}"/>
    <cellStyle name="Accent2 4 6" xfId="9918" xr:uid="{00000000-0005-0000-0000-000032250000}"/>
    <cellStyle name="Accent2 4 7" xfId="9919" xr:uid="{00000000-0005-0000-0000-000033250000}"/>
    <cellStyle name="Accent2 4 8" xfId="9920" xr:uid="{00000000-0005-0000-0000-000034250000}"/>
    <cellStyle name="Accent2 40" xfId="9921" xr:uid="{00000000-0005-0000-0000-000035250000}"/>
    <cellStyle name="Accent2 40 2" xfId="9922" xr:uid="{00000000-0005-0000-0000-000036250000}"/>
    <cellStyle name="Accent2 40 3" xfId="9923" xr:uid="{00000000-0005-0000-0000-000037250000}"/>
    <cellStyle name="Accent2 40 4" xfId="9924" xr:uid="{00000000-0005-0000-0000-000038250000}"/>
    <cellStyle name="Accent2 41" xfId="9925" xr:uid="{00000000-0005-0000-0000-000039250000}"/>
    <cellStyle name="Accent2 41 2" xfId="9926" xr:uid="{00000000-0005-0000-0000-00003A250000}"/>
    <cellStyle name="Accent2 41 3" xfId="9927" xr:uid="{00000000-0005-0000-0000-00003B250000}"/>
    <cellStyle name="Accent2 41 4" xfId="9928" xr:uid="{00000000-0005-0000-0000-00003C250000}"/>
    <cellStyle name="Accent2 42" xfId="9929" xr:uid="{00000000-0005-0000-0000-00003D250000}"/>
    <cellStyle name="Accent2 42 2" xfId="9930" xr:uid="{00000000-0005-0000-0000-00003E250000}"/>
    <cellStyle name="Accent2 42 3" xfId="9931" xr:uid="{00000000-0005-0000-0000-00003F250000}"/>
    <cellStyle name="Accent2 42 4" xfId="9932" xr:uid="{00000000-0005-0000-0000-000040250000}"/>
    <cellStyle name="Accent2 43" xfId="9933" xr:uid="{00000000-0005-0000-0000-000041250000}"/>
    <cellStyle name="Accent2 43 2" xfId="9934" xr:uid="{00000000-0005-0000-0000-000042250000}"/>
    <cellStyle name="Accent2 43 3" xfId="9935" xr:uid="{00000000-0005-0000-0000-000043250000}"/>
    <cellStyle name="Accent2 43 4" xfId="9936" xr:uid="{00000000-0005-0000-0000-000044250000}"/>
    <cellStyle name="Accent2 44" xfId="9937" xr:uid="{00000000-0005-0000-0000-000045250000}"/>
    <cellStyle name="Accent2 44 2" xfId="9938" xr:uid="{00000000-0005-0000-0000-000046250000}"/>
    <cellStyle name="Accent2 44 3" xfId="9939" xr:uid="{00000000-0005-0000-0000-000047250000}"/>
    <cellStyle name="Accent2 44 4" xfId="9940" xr:uid="{00000000-0005-0000-0000-000048250000}"/>
    <cellStyle name="Accent2 45" xfId="9941" xr:uid="{00000000-0005-0000-0000-000049250000}"/>
    <cellStyle name="Accent2 45 2" xfId="9942" xr:uid="{00000000-0005-0000-0000-00004A250000}"/>
    <cellStyle name="Accent2 45 3" xfId="9943" xr:uid="{00000000-0005-0000-0000-00004B250000}"/>
    <cellStyle name="Accent2 45 4" xfId="9944" xr:uid="{00000000-0005-0000-0000-00004C250000}"/>
    <cellStyle name="Accent2 46" xfId="9945" xr:uid="{00000000-0005-0000-0000-00004D250000}"/>
    <cellStyle name="Accent2 46 2" xfId="9946" xr:uid="{00000000-0005-0000-0000-00004E250000}"/>
    <cellStyle name="Accent2 46 3" xfId="9947" xr:uid="{00000000-0005-0000-0000-00004F250000}"/>
    <cellStyle name="Accent2 46 4" xfId="9948" xr:uid="{00000000-0005-0000-0000-000050250000}"/>
    <cellStyle name="Accent2 47" xfId="9949" xr:uid="{00000000-0005-0000-0000-000051250000}"/>
    <cellStyle name="Accent2 47 2" xfId="9950" xr:uid="{00000000-0005-0000-0000-000052250000}"/>
    <cellStyle name="Accent2 47 3" xfId="9951" xr:uid="{00000000-0005-0000-0000-000053250000}"/>
    <cellStyle name="Accent2 47 4" xfId="9952" xr:uid="{00000000-0005-0000-0000-000054250000}"/>
    <cellStyle name="Accent2 48" xfId="9953" xr:uid="{00000000-0005-0000-0000-000055250000}"/>
    <cellStyle name="Accent2 48 2" xfId="9954" xr:uid="{00000000-0005-0000-0000-000056250000}"/>
    <cellStyle name="Accent2 48 3" xfId="9955" xr:uid="{00000000-0005-0000-0000-000057250000}"/>
    <cellStyle name="Accent2 48 4" xfId="9956" xr:uid="{00000000-0005-0000-0000-000058250000}"/>
    <cellStyle name="Accent2 49" xfId="9957" xr:uid="{00000000-0005-0000-0000-000059250000}"/>
    <cellStyle name="Accent2 49 2" xfId="9958" xr:uid="{00000000-0005-0000-0000-00005A250000}"/>
    <cellStyle name="Accent2 49 3" xfId="9959" xr:uid="{00000000-0005-0000-0000-00005B250000}"/>
    <cellStyle name="Accent2 49 4" xfId="9960" xr:uid="{00000000-0005-0000-0000-00005C250000}"/>
    <cellStyle name="Accent2 5" xfId="9961" xr:uid="{00000000-0005-0000-0000-00005D250000}"/>
    <cellStyle name="Accent2 5 2" xfId="9962" xr:uid="{00000000-0005-0000-0000-00005E250000}"/>
    <cellStyle name="Accent2 5 2 2" xfId="9963" xr:uid="{00000000-0005-0000-0000-00005F250000}"/>
    <cellStyle name="Accent2 5 2 2 2" xfId="9964" xr:uid="{00000000-0005-0000-0000-000060250000}"/>
    <cellStyle name="Accent2 5 2 3" xfId="9965" xr:uid="{00000000-0005-0000-0000-000061250000}"/>
    <cellStyle name="Accent2 5 3" xfId="9966" xr:uid="{00000000-0005-0000-0000-000062250000}"/>
    <cellStyle name="Accent2 5 3 2" xfId="9967" xr:uid="{00000000-0005-0000-0000-000063250000}"/>
    <cellStyle name="Accent2 5 4" xfId="9968" xr:uid="{00000000-0005-0000-0000-000064250000}"/>
    <cellStyle name="Accent2 5 5" xfId="9969" xr:uid="{00000000-0005-0000-0000-000065250000}"/>
    <cellStyle name="Accent2 50" xfId="9970" xr:uid="{00000000-0005-0000-0000-000066250000}"/>
    <cellStyle name="Accent2 50 2" xfId="9971" xr:uid="{00000000-0005-0000-0000-000067250000}"/>
    <cellStyle name="Accent2 50 3" xfId="9972" xr:uid="{00000000-0005-0000-0000-000068250000}"/>
    <cellStyle name="Accent2 50 4" xfId="9973" xr:uid="{00000000-0005-0000-0000-000069250000}"/>
    <cellStyle name="Accent2 51" xfId="9974" xr:uid="{00000000-0005-0000-0000-00006A250000}"/>
    <cellStyle name="Accent2 51 2" xfId="9975" xr:uid="{00000000-0005-0000-0000-00006B250000}"/>
    <cellStyle name="Accent2 51 3" xfId="9976" xr:uid="{00000000-0005-0000-0000-00006C250000}"/>
    <cellStyle name="Accent2 51 4" xfId="9977" xr:uid="{00000000-0005-0000-0000-00006D250000}"/>
    <cellStyle name="Accent2 52" xfId="9978" xr:uid="{00000000-0005-0000-0000-00006E250000}"/>
    <cellStyle name="Accent2 52 2" xfId="9979" xr:uid="{00000000-0005-0000-0000-00006F250000}"/>
    <cellStyle name="Accent2 52 3" xfId="9980" xr:uid="{00000000-0005-0000-0000-000070250000}"/>
    <cellStyle name="Accent2 52 4" xfId="9981" xr:uid="{00000000-0005-0000-0000-000071250000}"/>
    <cellStyle name="Accent2 53" xfId="9982" xr:uid="{00000000-0005-0000-0000-000072250000}"/>
    <cellStyle name="Accent2 53 2" xfId="9983" xr:uid="{00000000-0005-0000-0000-000073250000}"/>
    <cellStyle name="Accent2 53 3" xfId="9984" xr:uid="{00000000-0005-0000-0000-000074250000}"/>
    <cellStyle name="Accent2 53 4" xfId="9985" xr:uid="{00000000-0005-0000-0000-000075250000}"/>
    <cellStyle name="Accent2 54" xfId="9986" xr:uid="{00000000-0005-0000-0000-000076250000}"/>
    <cellStyle name="Accent2 54 2" xfId="9987" xr:uid="{00000000-0005-0000-0000-000077250000}"/>
    <cellStyle name="Accent2 54 3" xfId="9988" xr:uid="{00000000-0005-0000-0000-000078250000}"/>
    <cellStyle name="Accent2 54 4" xfId="9989" xr:uid="{00000000-0005-0000-0000-000079250000}"/>
    <cellStyle name="Accent2 55" xfId="9990" xr:uid="{00000000-0005-0000-0000-00007A250000}"/>
    <cellStyle name="Accent2 55 2" xfId="9991" xr:uid="{00000000-0005-0000-0000-00007B250000}"/>
    <cellStyle name="Accent2 55 3" xfId="9992" xr:uid="{00000000-0005-0000-0000-00007C250000}"/>
    <cellStyle name="Accent2 55 4" xfId="9993" xr:uid="{00000000-0005-0000-0000-00007D250000}"/>
    <cellStyle name="Accent2 56" xfId="9994" xr:uid="{00000000-0005-0000-0000-00007E250000}"/>
    <cellStyle name="Accent2 56 2" xfId="9995" xr:uid="{00000000-0005-0000-0000-00007F250000}"/>
    <cellStyle name="Accent2 56 3" xfId="9996" xr:uid="{00000000-0005-0000-0000-000080250000}"/>
    <cellStyle name="Accent2 56 4" xfId="9997" xr:uid="{00000000-0005-0000-0000-000081250000}"/>
    <cellStyle name="Accent2 57" xfId="9998" xr:uid="{00000000-0005-0000-0000-000082250000}"/>
    <cellStyle name="Accent2 57 2" xfId="9999" xr:uid="{00000000-0005-0000-0000-000083250000}"/>
    <cellStyle name="Accent2 57 3" xfId="10000" xr:uid="{00000000-0005-0000-0000-000084250000}"/>
    <cellStyle name="Accent2 57 4" xfId="10001" xr:uid="{00000000-0005-0000-0000-000085250000}"/>
    <cellStyle name="Accent2 58" xfId="10002" xr:uid="{00000000-0005-0000-0000-000086250000}"/>
    <cellStyle name="Accent2 58 2" xfId="10003" xr:uid="{00000000-0005-0000-0000-000087250000}"/>
    <cellStyle name="Accent2 58 3" xfId="10004" xr:uid="{00000000-0005-0000-0000-000088250000}"/>
    <cellStyle name="Accent2 58 4" xfId="10005" xr:uid="{00000000-0005-0000-0000-000089250000}"/>
    <cellStyle name="Accent2 59" xfId="10006" xr:uid="{00000000-0005-0000-0000-00008A250000}"/>
    <cellStyle name="Accent2 59 2" xfId="10007" xr:uid="{00000000-0005-0000-0000-00008B250000}"/>
    <cellStyle name="Accent2 59 3" xfId="10008" xr:uid="{00000000-0005-0000-0000-00008C250000}"/>
    <cellStyle name="Accent2 59 4" xfId="10009" xr:uid="{00000000-0005-0000-0000-00008D250000}"/>
    <cellStyle name="Accent2 6" xfId="10010" xr:uid="{00000000-0005-0000-0000-00008E250000}"/>
    <cellStyle name="Accent2 6 2" xfId="10011" xr:uid="{00000000-0005-0000-0000-00008F250000}"/>
    <cellStyle name="Accent2 6 2 2" xfId="10012" xr:uid="{00000000-0005-0000-0000-000090250000}"/>
    <cellStyle name="Accent2 6 2 2 2" xfId="10013" xr:uid="{00000000-0005-0000-0000-000091250000}"/>
    <cellStyle name="Accent2 6 2 3" xfId="10014" xr:uid="{00000000-0005-0000-0000-000092250000}"/>
    <cellStyle name="Accent2 6 3" xfId="10015" xr:uid="{00000000-0005-0000-0000-000093250000}"/>
    <cellStyle name="Accent2 6 3 2" xfId="10016" xr:uid="{00000000-0005-0000-0000-000094250000}"/>
    <cellStyle name="Accent2 6 4" xfId="10017" xr:uid="{00000000-0005-0000-0000-000095250000}"/>
    <cellStyle name="Accent2 6 5" xfId="10018" xr:uid="{00000000-0005-0000-0000-000096250000}"/>
    <cellStyle name="Accent2 60" xfId="10019" xr:uid="{00000000-0005-0000-0000-000097250000}"/>
    <cellStyle name="Accent2 60 2" xfId="10020" xr:uid="{00000000-0005-0000-0000-000098250000}"/>
    <cellStyle name="Accent2 60 3" xfId="10021" xr:uid="{00000000-0005-0000-0000-000099250000}"/>
    <cellStyle name="Accent2 60 4" xfId="10022" xr:uid="{00000000-0005-0000-0000-00009A250000}"/>
    <cellStyle name="Accent2 61" xfId="10023" xr:uid="{00000000-0005-0000-0000-00009B250000}"/>
    <cellStyle name="Accent2 61 2" xfId="10024" xr:uid="{00000000-0005-0000-0000-00009C250000}"/>
    <cellStyle name="Accent2 61 3" xfId="10025" xr:uid="{00000000-0005-0000-0000-00009D250000}"/>
    <cellStyle name="Accent2 61 4" xfId="10026" xr:uid="{00000000-0005-0000-0000-00009E250000}"/>
    <cellStyle name="Accent2 62" xfId="10027" xr:uid="{00000000-0005-0000-0000-00009F250000}"/>
    <cellStyle name="Accent2 62 2" xfId="10028" xr:uid="{00000000-0005-0000-0000-0000A0250000}"/>
    <cellStyle name="Accent2 62 3" xfId="10029" xr:uid="{00000000-0005-0000-0000-0000A1250000}"/>
    <cellStyle name="Accent2 62 4" xfId="10030" xr:uid="{00000000-0005-0000-0000-0000A2250000}"/>
    <cellStyle name="Accent2 63" xfId="10031" xr:uid="{00000000-0005-0000-0000-0000A3250000}"/>
    <cellStyle name="Accent2 63 2" xfId="10032" xr:uid="{00000000-0005-0000-0000-0000A4250000}"/>
    <cellStyle name="Accent2 63 3" xfId="10033" xr:uid="{00000000-0005-0000-0000-0000A5250000}"/>
    <cellStyle name="Accent2 63 4" xfId="10034" xr:uid="{00000000-0005-0000-0000-0000A6250000}"/>
    <cellStyle name="Accent2 64" xfId="10035" xr:uid="{00000000-0005-0000-0000-0000A7250000}"/>
    <cellStyle name="Accent2 64 2" xfId="10036" xr:uid="{00000000-0005-0000-0000-0000A8250000}"/>
    <cellStyle name="Accent2 64 3" xfId="10037" xr:uid="{00000000-0005-0000-0000-0000A9250000}"/>
    <cellStyle name="Accent2 64 4" xfId="10038" xr:uid="{00000000-0005-0000-0000-0000AA250000}"/>
    <cellStyle name="Accent2 65" xfId="10039" xr:uid="{00000000-0005-0000-0000-0000AB250000}"/>
    <cellStyle name="Accent2 65 2" xfId="10040" xr:uid="{00000000-0005-0000-0000-0000AC250000}"/>
    <cellStyle name="Accent2 65 3" xfId="10041" xr:uid="{00000000-0005-0000-0000-0000AD250000}"/>
    <cellStyle name="Accent2 65 4" xfId="10042" xr:uid="{00000000-0005-0000-0000-0000AE250000}"/>
    <cellStyle name="Accent2 66" xfId="10043" xr:uid="{00000000-0005-0000-0000-0000AF250000}"/>
    <cellStyle name="Accent2 66 2" xfId="10044" xr:uid="{00000000-0005-0000-0000-0000B0250000}"/>
    <cellStyle name="Accent2 66 3" xfId="10045" xr:uid="{00000000-0005-0000-0000-0000B1250000}"/>
    <cellStyle name="Accent2 66 4" xfId="10046" xr:uid="{00000000-0005-0000-0000-0000B2250000}"/>
    <cellStyle name="Accent2 67" xfId="10047" xr:uid="{00000000-0005-0000-0000-0000B3250000}"/>
    <cellStyle name="Accent2 67 2" xfId="10048" xr:uid="{00000000-0005-0000-0000-0000B4250000}"/>
    <cellStyle name="Accent2 67 3" xfId="10049" xr:uid="{00000000-0005-0000-0000-0000B5250000}"/>
    <cellStyle name="Accent2 67 4" xfId="10050" xr:uid="{00000000-0005-0000-0000-0000B6250000}"/>
    <cellStyle name="Accent2 68" xfId="10051" xr:uid="{00000000-0005-0000-0000-0000B7250000}"/>
    <cellStyle name="Accent2 68 2" xfId="10052" xr:uid="{00000000-0005-0000-0000-0000B8250000}"/>
    <cellStyle name="Accent2 68 3" xfId="10053" xr:uid="{00000000-0005-0000-0000-0000B9250000}"/>
    <cellStyle name="Accent2 68 4" xfId="10054" xr:uid="{00000000-0005-0000-0000-0000BA250000}"/>
    <cellStyle name="Accent2 69" xfId="10055" xr:uid="{00000000-0005-0000-0000-0000BB250000}"/>
    <cellStyle name="Accent2 69 2" xfId="10056" xr:uid="{00000000-0005-0000-0000-0000BC250000}"/>
    <cellStyle name="Accent2 69 3" xfId="10057" xr:uid="{00000000-0005-0000-0000-0000BD250000}"/>
    <cellStyle name="Accent2 69 4" xfId="10058" xr:uid="{00000000-0005-0000-0000-0000BE250000}"/>
    <cellStyle name="Accent2 7" xfId="10059" xr:uid="{00000000-0005-0000-0000-0000BF250000}"/>
    <cellStyle name="Accent2 7 2" xfId="10060" xr:uid="{00000000-0005-0000-0000-0000C0250000}"/>
    <cellStyle name="Accent2 7 2 2" xfId="10061" xr:uid="{00000000-0005-0000-0000-0000C1250000}"/>
    <cellStyle name="Accent2 7 2 3" xfId="10062" xr:uid="{00000000-0005-0000-0000-0000C2250000}"/>
    <cellStyle name="Accent2 7 3" xfId="10063" xr:uid="{00000000-0005-0000-0000-0000C3250000}"/>
    <cellStyle name="Accent2 7 3 2" xfId="10064" xr:uid="{00000000-0005-0000-0000-0000C4250000}"/>
    <cellStyle name="Accent2 7 4" xfId="10065" xr:uid="{00000000-0005-0000-0000-0000C5250000}"/>
    <cellStyle name="Accent2 7 5" xfId="10066" xr:uid="{00000000-0005-0000-0000-0000C6250000}"/>
    <cellStyle name="Accent2 70" xfId="10067" xr:uid="{00000000-0005-0000-0000-0000C7250000}"/>
    <cellStyle name="Accent2 70 2" xfId="10068" xr:uid="{00000000-0005-0000-0000-0000C8250000}"/>
    <cellStyle name="Accent2 70 3" xfId="10069" xr:uid="{00000000-0005-0000-0000-0000C9250000}"/>
    <cellStyle name="Accent2 70 4" xfId="10070" xr:uid="{00000000-0005-0000-0000-0000CA250000}"/>
    <cellStyle name="Accent2 71" xfId="10071" xr:uid="{00000000-0005-0000-0000-0000CB250000}"/>
    <cellStyle name="Accent2 71 2" xfId="10072" xr:uid="{00000000-0005-0000-0000-0000CC250000}"/>
    <cellStyle name="Accent2 71 2 2" xfId="10073" xr:uid="{00000000-0005-0000-0000-0000CD250000}"/>
    <cellStyle name="Accent2 71 3" xfId="10074" xr:uid="{00000000-0005-0000-0000-0000CE250000}"/>
    <cellStyle name="Accent2 71 4" xfId="10075" xr:uid="{00000000-0005-0000-0000-0000CF250000}"/>
    <cellStyle name="Accent2 72" xfId="10076" xr:uid="{00000000-0005-0000-0000-0000D0250000}"/>
    <cellStyle name="Accent2 72 2" xfId="10077" xr:uid="{00000000-0005-0000-0000-0000D1250000}"/>
    <cellStyle name="Accent2 72 2 2" xfId="10078" xr:uid="{00000000-0005-0000-0000-0000D2250000}"/>
    <cellStyle name="Accent2 72 3" xfId="10079" xr:uid="{00000000-0005-0000-0000-0000D3250000}"/>
    <cellStyle name="Accent2 72 4" xfId="10080" xr:uid="{00000000-0005-0000-0000-0000D4250000}"/>
    <cellStyle name="Accent2 73" xfId="10081" xr:uid="{00000000-0005-0000-0000-0000D5250000}"/>
    <cellStyle name="Accent2 73 2" xfId="10082" xr:uid="{00000000-0005-0000-0000-0000D6250000}"/>
    <cellStyle name="Accent2 73 2 2" xfId="10083" xr:uid="{00000000-0005-0000-0000-0000D7250000}"/>
    <cellStyle name="Accent2 73 3" xfId="10084" xr:uid="{00000000-0005-0000-0000-0000D8250000}"/>
    <cellStyle name="Accent2 73 4" xfId="10085" xr:uid="{00000000-0005-0000-0000-0000D9250000}"/>
    <cellStyle name="Accent2 74" xfId="10086" xr:uid="{00000000-0005-0000-0000-0000DA250000}"/>
    <cellStyle name="Accent2 74 2" xfId="10087" xr:uid="{00000000-0005-0000-0000-0000DB250000}"/>
    <cellStyle name="Accent2 74 2 2" xfId="10088" xr:uid="{00000000-0005-0000-0000-0000DC250000}"/>
    <cellStyle name="Accent2 74 3" xfId="10089" xr:uid="{00000000-0005-0000-0000-0000DD250000}"/>
    <cellStyle name="Accent2 74 4" xfId="10090" xr:uid="{00000000-0005-0000-0000-0000DE250000}"/>
    <cellStyle name="Accent2 75" xfId="10091" xr:uid="{00000000-0005-0000-0000-0000DF250000}"/>
    <cellStyle name="Accent2 75 2" xfId="10092" xr:uid="{00000000-0005-0000-0000-0000E0250000}"/>
    <cellStyle name="Accent2 75 2 2" xfId="10093" xr:uid="{00000000-0005-0000-0000-0000E1250000}"/>
    <cellStyle name="Accent2 75 3" xfId="10094" xr:uid="{00000000-0005-0000-0000-0000E2250000}"/>
    <cellStyle name="Accent2 75 4" xfId="10095" xr:uid="{00000000-0005-0000-0000-0000E3250000}"/>
    <cellStyle name="Accent2 76" xfId="10096" xr:uid="{00000000-0005-0000-0000-0000E4250000}"/>
    <cellStyle name="Accent2 76 2" xfId="10097" xr:uid="{00000000-0005-0000-0000-0000E5250000}"/>
    <cellStyle name="Accent2 76 2 2" xfId="10098" xr:uid="{00000000-0005-0000-0000-0000E6250000}"/>
    <cellStyle name="Accent2 76 3" xfId="10099" xr:uid="{00000000-0005-0000-0000-0000E7250000}"/>
    <cellStyle name="Accent2 76 4" xfId="10100" xr:uid="{00000000-0005-0000-0000-0000E8250000}"/>
    <cellStyle name="Accent2 77" xfId="10101" xr:uid="{00000000-0005-0000-0000-0000E9250000}"/>
    <cellStyle name="Accent2 77 2" xfId="10102" xr:uid="{00000000-0005-0000-0000-0000EA250000}"/>
    <cellStyle name="Accent2 77 3" xfId="10103" xr:uid="{00000000-0005-0000-0000-0000EB250000}"/>
    <cellStyle name="Accent2 77 4" xfId="10104" xr:uid="{00000000-0005-0000-0000-0000EC250000}"/>
    <cellStyle name="Accent2 78" xfId="10105" xr:uid="{00000000-0005-0000-0000-0000ED250000}"/>
    <cellStyle name="Accent2 78 2" xfId="10106" xr:uid="{00000000-0005-0000-0000-0000EE250000}"/>
    <cellStyle name="Accent2 78 3" xfId="10107" xr:uid="{00000000-0005-0000-0000-0000EF250000}"/>
    <cellStyle name="Accent2 79" xfId="10108" xr:uid="{00000000-0005-0000-0000-0000F0250000}"/>
    <cellStyle name="Accent2 79 2" xfId="10109" xr:uid="{00000000-0005-0000-0000-0000F1250000}"/>
    <cellStyle name="Accent2 79 3" xfId="10110" xr:uid="{00000000-0005-0000-0000-0000F2250000}"/>
    <cellStyle name="Accent2 8" xfId="10111" xr:uid="{00000000-0005-0000-0000-0000F3250000}"/>
    <cellStyle name="Accent2 8 2" xfId="10112" xr:uid="{00000000-0005-0000-0000-0000F4250000}"/>
    <cellStyle name="Accent2 8 2 2" xfId="10113" xr:uid="{00000000-0005-0000-0000-0000F5250000}"/>
    <cellStyle name="Accent2 8 2 2 2" xfId="10114" xr:uid="{00000000-0005-0000-0000-0000F6250000}"/>
    <cellStyle name="Accent2 8 2 3" xfId="10115" xr:uid="{00000000-0005-0000-0000-0000F7250000}"/>
    <cellStyle name="Accent2 8 3" xfId="10116" xr:uid="{00000000-0005-0000-0000-0000F8250000}"/>
    <cellStyle name="Accent2 8 3 2" xfId="10117" xr:uid="{00000000-0005-0000-0000-0000F9250000}"/>
    <cellStyle name="Accent2 8 4" xfId="10118" xr:uid="{00000000-0005-0000-0000-0000FA250000}"/>
    <cellStyle name="Accent2 8 4 2" xfId="10119" xr:uid="{00000000-0005-0000-0000-0000FB250000}"/>
    <cellStyle name="Accent2 8 5" xfId="10120" xr:uid="{00000000-0005-0000-0000-0000FC250000}"/>
    <cellStyle name="Accent2 8 6" xfId="10121" xr:uid="{00000000-0005-0000-0000-0000FD250000}"/>
    <cellStyle name="Accent2 80" xfId="10122" xr:uid="{00000000-0005-0000-0000-0000FE250000}"/>
    <cellStyle name="Accent2 80 2" xfId="10123" xr:uid="{00000000-0005-0000-0000-0000FF250000}"/>
    <cellStyle name="Accent2 80 3" xfId="10124" xr:uid="{00000000-0005-0000-0000-000000260000}"/>
    <cellStyle name="Accent2 81" xfId="10125" xr:uid="{00000000-0005-0000-0000-000001260000}"/>
    <cellStyle name="Accent2 81 2" xfId="10126" xr:uid="{00000000-0005-0000-0000-000002260000}"/>
    <cellStyle name="Accent2 81 3" xfId="10127" xr:uid="{00000000-0005-0000-0000-000003260000}"/>
    <cellStyle name="Accent2 82" xfId="10128" xr:uid="{00000000-0005-0000-0000-000004260000}"/>
    <cellStyle name="Accent2 82 2" xfId="10129" xr:uid="{00000000-0005-0000-0000-000005260000}"/>
    <cellStyle name="Accent2 82 3" xfId="10130" xr:uid="{00000000-0005-0000-0000-000006260000}"/>
    <cellStyle name="Accent2 83" xfId="10131" xr:uid="{00000000-0005-0000-0000-000007260000}"/>
    <cellStyle name="Accent2 83 2" xfId="10132" xr:uid="{00000000-0005-0000-0000-000008260000}"/>
    <cellStyle name="Accent2 83 3" xfId="10133" xr:uid="{00000000-0005-0000-0000-000009260000}"/>
    <cellStyle name="Accent2 84" xfId="10134" xr:uid="{00000000-0005-0000-0000-00000A260000}"/>
    <cellStyle name="Accent2 84 2" xfId="10135" xr:uid="{00000000-0005-0000-0000-00000B260000}"/>
    <cellStyle name="Accent2 84 3" xfId="10136" xr:uid="{00000000-0005-0000-0000-00000C260000}"/>
    <cellStyle name="Accent2 85" xfId="10137" xr:uid="{00000000-0005-0000-0000-00000D260000}"/>
    <cellStyle name="Accent2 85 2" xfId="10138" xr:uid="{00000000-0005-0000-0000-00000E260000}"/>
    <cellStyle name="Accent2 85 3" xfId="10139" xr:uid="{00000000-0005-0000-0000-00000F260000}"/>
    <cellStyle name="Accent2 86" xfId="10140" xr:uid="{00000000-0005-0000-0000-000010260000}"/>
    <cellStyle name="Accent2 86 2" xfId="10141" xr:uid="{00000000-0005-0000-0000-000011260000}"/>
    <cellStyle name="Accent2 86 3" xfId="10142" xr:uid="{00000000-0005-0000-0000-000012260000}"/>
    <cellStyle name="Accent2 87" xfId="10143" xr:uid="{00000000-0005-0000-0000-000013260000}"/>
    <cellStyle name="Accent2 87 2" xfId="10144" xr:uid="{00000000-0005-0000-0000-000014260000}"/>
    <cellStyle name="Accent2 87 3" xfId="10145" xr:uid="{00000000-0005-0000-0000-000015260000}"/>
    <cellStyle name="Accent2 88" xfId="10146" xr:uid="{00000000-0005-0000-0000-000016260000}"/>
    <cellStyle name="Accent2 88 2" xfId="10147" xr:uid="{00000000-0005-0000-0000-000017260000}"/>
    <cellStyle name="Accent2 88 3" xfId="10148" xr:uid="{00000000-0005-0000-0000-000018260000}"/>
    <cellStyle name="Accent2 89" xfId="10149" xr:uid="{00000000-0005-0000-0000-000019260000}"/>
    <cellStyle name="Accent2 89 2" xfId="10150" xr:uid="{00000000-0005-0000-0000-00001A260000}"/>
    <cellStyle name="Accent2 89 3" xfId="10151" xr:uid="{00000000-0005-0000-0000-00001B260000}"/>
    <cellStyle name="Accent2 9" xfId="10152" xr:uid="{00000000-0005-0000-0000-00001C260000}"/>
    <cellStyle name="Accent2 9 2" xfId="10153" xr:uid="{00000000-0005-0000-0000-00001D260000}"/>
    <cellStyle name="Accent2 9 2 2" xfId="10154" xr:uid="{00000000-0005-0000-0000-00001E260000}"/>
    <cellStyle name="Accent2 9 2 3" xfId="10155" xr:uid="{00000000-0005-0000-0000-00001F260000}"/>
    <cellStyle name="Accent2 9 3" xfId="10156" xr:uid="{00000000-0005-0000-0000-000020260000}"/>
    <cellStyle name="Accent2 9 3 2" xfId="10157" xr:uid="{00000000-0005-0000-0000-000021260000}"/>
    <cellStyle name="Accent2 9 4" xfId="10158" xr:uid="{00000000-0005-0000-0000-000022260000}"/>
    <cellStyle name="Accent2 9 5" xfId="10159" xr:uid="{00000000-0005-0000-0000-000023260000}"/>
    <cellStyle name="Accent2 90" xfId="10160" xr:uid="{00000000-0005-0000-0000-000024260000}"/>
    <cellStyle name="Accent2 90 2" xfId="10161" xr:uid="{00000000-0005-0000-0000-000025260000}"/>
    <cellStyle name="Accent2 90 3" xfId="10162" xr:uid="{00000000-0005-0000-0000-000026260000}"/>
    <cellStyle name="Accent2 91" xfId="10163" xr:uid="{00000000-0005-0000-0000-000027260000}"/>
    <cellStyle name="Accent2 91 2" xfId="10164" xr:uid="{00000000-0005-0000-0000-000028260000}"/>
    <cellStyle name="Accent2 91 3" xfId="10165" xr:uid="{00000000-0005-0000-0000-000029260000}"/>
    <cellStyle name="Accent2 92" xfId="10166" xr:uid="{00000000-0005-0000-0000-00002A260000}"/>
    <cellStyle name="Accent2 92 2" xfId="10167" xr:uid="{00000000-0005-0000-0000-00002B260000}"/>
    <cellStyle name="Accent2 92 3" xfId="10168" xr:uid="{00000000-0005-0000-0000-00002C260000}"/>
    <cellStyle name="Accent2 93" xfId="10169" xr:uid="{00000000-0005-0000-0000-00002D260000}"/>
    <cellStyle name="Accent2 93 2" xfId="10170" xr:uid="{00000000-0005-0000-0000-00002E260000}"/>
    <cellStyle name="Accent2 93 3" xfId="10171" xr:uid="{00000000-0005-0000-0000-00002F260000}"/>
    <cellStyle name="Accent2 94" xfId="10172" xr:uid="{00000000-0005-0000-0000-000030260000}"/>
    <cellStyle name="Accent2 94 2" xfId="10173" xr:uid="{00000000-0005-0000-0000-000031260000}"/>
    <cellStyle name="Accent2 94 3" xfId="10174" xr:uid="{00000000-0005-0000-0000-000032260000}"/>
    <cellStyle name="Accent2 95" xfId="10175" xr:uid="{00000000-0005-0000-0000-000033260000}"/>
    <cellStyle name="Accent2 95 2" xfId="10176" xr:uid="{00000000-0005-0000-0000-000034260000}"/>
    <cellStyle name="Accent2 95 3" xfId="10177" xr:uid="{00000000-0005-0000-0000-000035260000}"/>
    <cellStyle name="Accent2 96" xfId="10178" xr:uid="{00000000-0005-0000-0000-000036260000}"/>
    <cellStyle name="Accent2 96 2" xfId="10179" xr:uid="{00000000-0005-0000-0000-000037260000}"/>
    <cellStyle name="Accent2 96 3" xfId="10180" xr:uid="{00000000-0005-0000-0000-000038260000}"/>
    <cellStyle name="Accent2 97" xfId="10181" xr:uid="{00000000-0005-0000-0000-000039260000}"/>
    <cellStyle name="Accent2 97 2" xfId="10182" xr:uid="{00000000-0005-0000-0000-00003A260000}"/>
    <cellStyle name="Accent2 97 3" xfId="10183" xr:uid="{00000000-0005-0000-0000-00003B260000}"/>
    <cellStyle name="Accent2 98" xfId="10184" xr:uid="{00000000-0005-0000-0000-00003C260000}"/>
    <cellStyle name="Accent2 98 2" xfId="10185" xr:uid="{00000000-0005-0000-0000-00003D260000}"/>
    <cellStyle name="Accent2 98 3" xfId="10186" xr:uid="{00000000-0005-0000-0000-00003E260000}"/>
    <cellStyle name="Accent2 99" xfId="10187" xr:uid="{00000000-0005-0000-0000-00003F260000}"/>
    <cellStyle name="Accent2 99 2" xfId="10188" xr:uid="{00000000-0005-0000-0000-000040260000}"/>
    <cellStyle name="Accent2 99 3" xfId="10189" xr:uid="{00000000-0005-0000-0000-000041260000}"/>
    <cellStyle name="Accent3 - 20%" xfId="10190" xr:uid="{00000000-0005-0000-0000-000042260000}"/>
    <cellStyle name="Accent3 - 20% 2" xfId="10191" xr:uid="{00000000-0005-0000-0000-000043260000}"/>
    <cellStyle name="Accent3 - 20% 2 2" xfId="10192" xr:uid="{00000000-0005-0000-0000-000044260000}"/>
    <cellStyle name="Accent3 - 20% 2 2 2" xfId="10193" xr:uid="{00000000-0005-0000-0000-000045260000}"/>
    <cellStyle name="Accent3 - 20% 2 2 3" xfId="10194" xr:uid="{00000000-0005-0000-0000-000046260000}"/>
    <cellStyle name="Accent3 - 20% 2 3" xfId="10195" xr:uid="{00000000-0005-0000-0000-000047260000}"/>
    <cellStyle name="Accent3 - 20% 2 3 2" xfId="10196" xr:uid="{00000000-0005-0000-0000-000048260000}"/>
    <cellStyle name="Accent3 - 20% 2 4" xfId="10197" xr:uid="{00000000-0005-0000-0000-000049260000}"/>
    <cellStyle name="Accent3 - 20% 2 5" xfId="10198" xr:uid="{00000000-0005-0000-0000-00004A260000}"/>
    <cellStyle name="Accent3 - 20% 3" xfId="10199" xr:uid="{00000000-0005-0000-0000-00004B260000}"/>
    <cellStyle name="Accent3 - 20% 3 2" xfId="10200" xr:uid="{00000000-0005-0000-0000-00004C260000}"/>
    <cellStyle name="Accent3 - 20% 3 2 2" xfId="10201" xr:uid="{00000000-0005-0000-0000-00004D260000}"/>
    <cellStyle name="Accent3 - 20% 3 3" xfId="10202" xr:uid="{00000000-0005-0000-0000-00004E260000}"/>
    <cellStyle name="Accent3 - 20% 4" xfId="10203" xr:uid="{00000000-0005-0000-0000-00004F260000}"/>
    <cellStyle name="Accent3 - 20% 4 2" xfId="10204" xr:uid="{00000000-0005-0000-0000-000050260000}"/>
    <cellStyle name="Accent3 - 20% 5" xfId="10205" xr:uid="{00000000-0005-0000-0000-000051260000}"/>
    <cellStyle name="Accent3 - 20% 5 2" xfId="10206" xr:uid="{00000000-0005-0000-0000-000052260000}"/>
    <cellStyle name="Accent3 - 20% 6" xfId="10207" xr:uid="{00000000-0005-0000-0000-000053260000}"/>
    <cellStyle name="Accent3 - 20% 7" xfId="10208" xr:uid="{00000000-0005-0000-0000-000054260000}"/>
    <cellStyle name="Accent3 - 20% 8" xfId="10209" xr:uid="{00000000-0005-0000-0000-000055260000}"/>
    <cellStyle name="Accent3 - 20% 9" xfId="10210" xr:uid="{00000000-0005-0000-0000-000056260000}"/>
    <cellStyle name="Accent3 - 40%" xfId="10211" xr:uid="{00000000-0005-0000-0000-000057260000}"/>
    <cellStyle name="Accent3 - 40% 2" xfId="10212" xr:uid="{00000000-0005-0000-0000-000058260000}"/>
    <cellStyle name="Accent3 - 40% 2 2" xfId="10213" xr:uid="{00000000-0005-0000-0000-000059260000}"/>
    <cellStyle name="Accent3 - 40% 2 2 2" xfId="10214" xr:uid="{00000000-0005-0000-0000-00005A260000}"/>
    <cellStyle name="Accent3 - 40% 2 2 3" xfId="10215" xr:uid="{00000000-0005-0000-0000-00005B260000}"/>
    <cellStyle name="Accent3 - 40% 2 3" xfId="10216" xr:uid="{00000000-0005-0000-0000-00005C260000}"/>
    <cellStyle name="Accent3 - 40% 2 3 2" xfId="10217" xr:uid="{00000000-0005-0000-0000-00005D260000}"/>
    <cellStyle name="Accent3 - 40% 2 4" xfId="10218" xr:uid="{00000000-0005-0000-0000-00005E260000}"/>
    <cellStyle name="Accent3 - 40% 2 5" xfId="10219" xr:uid="{00000000-0005-0000-0000-00005F260000}"/>
    <cellStyle name="Accent3 - 40% 3" xfId="10220" xr:uid="{00000000-0005-0000-0000-000060260000}"/>
    <cellStyle name="Accent3 - 40% 3 2" xfId="10221" xr:uid="{00000000-0005-0000-0000-000061260000}"/>
    <cellStyle name="Accent3 - 40% 3 2 2" xfId="10222" xr:uid="{00000000-0005-0000-0000-000062260000}"/>
    <cellStyle name="Accent3 - 40% 3 3" xfId="10223" xr:uid="{00000000-0005-0000-0000-000063260000}"/>
    <cellStyle name="Accent3 - 40% 4" xfId="10224" xr:uid="{00000000-0005-0000-0000-000064260000}"/>
    <cellStyle name="Accent3 - 40% 4 2" xfId="10225" xr:uid="{00000000-0005-0000-0000-000065260000}"/>
    <cellStyle name="Accent3 - 40% 5" xfId="10226" xr:uid="{00000000-0005-0000-0000-000066260000}"/>
    <cellStyle name="Accent3 - 40% 5 2" xfId="10227" xr:uid="{00000000-0005-0000-0000-000067260000}"/>
    <cellStyle name="Accent3 - 40% 6" xfId="10228" xr:uid="{00000000-0005-0000-0000-000068260000}"/>
    <cellStyle name="Accent3 - 40% 7" xfId="10229" xr:uid="{00000000-0005-0000-0000-000069260000}"/>
    <cellStyle name="Accent3 - 40% 8" xfId="10230" xr:uid="{00000000-0005-0000-0000-00006A260000}"/>
    <cellStyle name="Accent3 - 40% 9" xfId="10231" xr:uid="{00000000-0005-0000-0000-00006B260000}"/>
    <cellStyle name="Accent3 - 60%" xfId="10232" xr:uid="{00000000-0005-0000-0000-00006C260000}"/>
    <cellStyle name="Accent3 - 60% 2" xfId="10233" xr:uid="{00000000-0005-0000-0000-00006D260000}"/>
    <cellStyle name="Accent3 - 60% 2 2" xfId="10234" xr:uid="{00000000-0005-0000-0000-00006E260000}"/>
    <cellStyle name="Accent3 - 60% 2 2 2" xfId="10235" xr:uid="{00000000-0005-0000-0000-00006F260000}"/>
    <cellStyle name="Accent3 - 60% 2 2 3" xfId="10236" xr:uid="{00000000-0005-0000-0000-000070260000}"/>
    <cellStyle name="Accent3 - 60% 2 3" xfId="10237" xr:uid="{00000000-0005-0000-0000-000071260000}"/>
    <cellStyle name="Accent3 - 60% 2 3 2" xfId="10238" xr:uid="{00000000-0005-0000-0000-000072260000}"/>
    <cellStyle name="Accent3 - 60% 2 4" xfId="10239" xr:uid="{00000000-0005-0000-0000-000073260000}"/>
    <cellStyle name="Accent3 - 60% 2 5" xfId="10240" xr:uid="{00000000-0005-0000-0000-000074260000}"/>
    <cellStyle name="Accent3 - 60% 3" xfId="10241" xr:uid="{00000000-0005-0000-0000-000075260000}"/>
    <cellStyle name="Accent3 - 60% 3 2" xfId="10242" xr:uid="{00000000-0005-0000-0000-000076260000}"/>
    <cellStyle name="Accent3 - 60% 3 2 2" xfId="10243" xr:uid="{00000000-0005-0000-0000-000077260000}"/>
    <cellStyle name="Accent3 - 60% 3 3" xfId="10244" xr:uid="{00000000-0005-0000-0000-000078260000}"/>
    <cellStyle name="Accent3 - 60% 4" xfId="10245" xr:uid="{00000000-0005-0000-0000-000079260000}"/>
    <cellStyle name="Accent3 - 60% 4 2" xfId="10246" xr:uid="{00000000-0005-0000-0000-00007A260000}"/>
    <cellStyle name="Accent3 - 60% 5" xfId="10247" xr:uid="{00000000-0005-0000-0000-00007B260000}"/>
    <cellStyle name="Accent3 - 60% 5 2" xfId="10248" xr:uid="{00000000-0005-0000-0000-00007C260000}"/>
    <cellStyle name="Accent3 - 60% 6" xfId="10249" xr:uid="{00000000-0005-0000-0000-00007D260000}"/>
    <cellStyle name="Accent3 - 60% 7" xfId="10250" xr:uid="{00000000-0005-0000-0000-00007E260000}"/>
    <cellStyle name="Accent3 - 60% 8" xfId="10251" xr:uid="{00000000-0005-0000-0000-00007F260000}"/>
    <cellStyle name="Accent3 - 60% 9" xfId="10252" xr:uid="{00000000-0005-0000-0000-000080260000}"/>
    <cellStyle name="Accent3 10" xfId="10253" xr:uid="{00000000-0005-0000-0000-000081260000}"/>
    <cellStyle name="Accent3 10 2" xfId="10254" xr:uid="{00000000-0005-0000-0000-000082260000}"/>
    <cellStyle name="Accent3 10 2 2" xfId="10255" xr:uid="{00000000-0005-0000-0000-000083260000}"/>
    <cellStyle name="Accent3 10 2 3" xfId="10256" xr:uid="{00000000-0005-0000-0000-000084260000}"/>
    <cellStyle name="Accent3 10 3" xfId="10257" xr:uid="{00000000-0005-0000-0000-000085260000}"/>
    <cellStyle name="Accent3 10 3 2" xfId="10258" xr:uid="{00000000-0005-0000-0000-000086260000}"/>
    <cellStyle name="Accent3 10 4" xfId="10259" xr:uid="{00000000-0005-0000-0000-000087260000}"/>
    <cellStyle name="Accent3 10 5" xfId="10260" xr:uid="{00000000-0005-0000-0000-000088260000}"/>
    <cellStyle name="Accent3 10 6" xfId="10261" xr:uid="{00000000-0005-0000-0000-000089260000}"/>
    <cellStyle name="Accent3 10 7" xfId="10262" xr:uid="{00000000-0005-0000-0000-00008A260000}"/>
    <cellStyle name="Accent3 100" xfId="10263" xr:uid="{00000000-0005-0000-0000-00008B260000}"/>
    <cellStyle name="Accent3 100 2" xfId="10264" xr:uid="{00000000-0005-0000-0000-00008C260000}"/>
    <cellStyle name="Accent3 101" xfId="10265" xr:uid="{00000000-0005-0000-0000-00008D260000}"/>
    <cellStyle name="Accent3 101 2" xfId="10266" xr:uid="{00000000-0005-0000-0000-00008E260000}"/>
    <cellStyle name="Accent3 102" xfId="10267" xr:uid="{00000000-0005-0000-0000-00008F260000}"/>
    <cellStyle name="Accent3 102 2" xfId="10268" xr:uid="{00000000-0005-0000-0000-000090260000}"/>
    <cellStyle name="Accent3 103" xfId="10269" xr:uid="{00000000-0005-0000-0000-000091260000}"/>
    <cellStyle name="Accent3 103 2" xfId="10270" xr:uid="{00000000-0005-0000-0000-000092260000}"/>
    <cellStyle name="Accent3 104" xfId="10271" xr:uid="{00000000-0005-0000-0000-000093260000}"/>
    <cellStyle name="Accent3 104 2" xfId="10272" xr:uid="{00000000-0005-0000-0000-000094260000}"/>
    <cellStyle name="Accent3 105" xfId="10273" xr:uid="{00000000-0005-0000-0000-000095260000}"/>
    <cellStyle name="Accent3 105 2" xfId="10274" xr:uid="{00000000-0005-0000-0000-000096260000}"/>
    <cellStyle name="Accent3 106" xfId="10275" xr:uid="{00000000-0005-0000-0000-000097260000}"/>
    <cellStyle name="Accent3 106 2" xfId="10276" xr:uid="{00000000-0005-0000-0000-000098260000}"/>
    <cellStyle name="Accent3 107" xfId="10277" xr:uid="{00000000-0005-0000-0000-000099260000}"/>
    <cellStyle name="Accent3 107 2" xfId="10278" xr:uid="{00000000-0005-0000-0000-00009A260000}"/>
    <cellStyle name="Accent3 108" xfId="10279" xr:uid="{00000000-0005-0000-0000-00009B260000}"/>
    <cellStyle name="Accent3 108 2" xfId="10280" xr:uid="{00000000-0005-0000-0000-00009C260000}"/>
    <cellStyle name="Accent3 109" xfId="10281" xr:uid="{00000000-0005-0000-0000-00009D260000}"/>
    <cellStyle name="Accent3 109 2" xfId="10282" xr:uid="{00000000-0005-0000-0000-00009E260000}"/>
    <cellStyle name="Accent3 11" xfId="10283" xr:uid="{00000000-0005-0000-0000-00009F260000}"/>
    <cellStyle name="Accent3 11 2" xfId="10284" xr:uid="{00000000-0005-0000-0000-0000A0260000}"/>
    <cellStyle name="Accent3 11 2 2" xfId="10285" xr:uid="{00000000-0005-0000-0000-0000A1260000}"/>
    <cellStyle name="Accent3 11 2 3" xfId="10286" xr:uid="{00000000-0005-0000-0000-0000A2260000}"/>
    <cellStyle name="Accent3 11 3" xfId="10287" xr:uid="{00000000-0005-0000-0000-0000A3260000}"/>
    <cellStyle name="Accent3 11 3 2" xfId="10288" xr:uid="{00000000-0005-0000-0000-0000A4260000}"/>
    <cellStyle name="Accent3 11 4" xfId="10289" xr:uid="{00000000-0005-0000-0000-0000A5260000}"/>
    <cellStyle name="Accent3 11 5" xfId="10290" xr:uid="{00000000-0005-0000-0000-0000A6260000}"/>
    <cellStyle name="Accent3 11 6" xfId="10291" xr:uid="{00000000-0005-0000-0000-0000A7260000}"/>
    <cellStyle name="Accent3 11 7" xfId="10292" xr:uid="{00000000-0005-0000-0000-0000A8260000}"/>
    <cellStyle name="Accent3 11 8" xfId="10293" xr:uid="{00000000-0005-0000-0000-0000A9260000}"/>
    <cellStyle name="Accent3 110" xfId="10294" xr:uid="{00000000-0005-0000-0000-0000AA260000}"/>
    <cellStyle name="Accent3 110 2" xfId="10295" xr:uid="{00000000-0005-0000-0000-0000AB260000}"/>
    <cellStyle name="Accent3 111" xfId="10296" xr:uid="{00000000-0005-0000-0000-0000AC260000}"/>
    <cellStyle name="Accent3 112" xfId="10297" xr:uid="{00000000-0005-0000-0000-0000AD260000}"/>
    <cellStyle name="Accent3 113" xfId="10298" xr:uid="{00000000-0005-0000-0000-0000AE260000}"/>
    <cellStyle name="Accent3 114" xfId="10299" xr:uid="{00000000-0005-0000-0000-0000AF260000}"/>
    <cellStyle name="Accent3 115" xfId="10300" xr:uid="{00000000-0005-0000-0000-0000B0260000}"/>
    <cellStyle name="Accent3 116" xfId="10301" xr:uid="{00000000-0005-0000-0000-0000B1260000}"/>
    <cellStyle name="Accent3 117" xfId="10302" xr:uid="{00000000-0005-0000-0000-0000B2260000}"/>
    <cellStyle name="Accent3 118" xfId="10303" xr:uid="{00000000-0005-0000-0000-0000B3260000}"/>
    <cellStyle name="Accent3 119" xfId="10304" xr:uid="{00000000-0005-0000-0000-0000B4260000}"/>
    <cellStyle name="Accent3 12" xfId="10305" xr:uid="{00000000-0005-0000-0000-0000B5260000}"/>
    <cellStyle name="Accent3 12 2" xfId="10306" xr:uid="{00000000-0005-0000-0000-0000B6260000}"/>
    <cellStyle name="Accent3 12 2 2" xfId="10307" xr:uid="{00000000-0005-0000-0000-0000B7260000}"/>
    <cellStyle name="Accent3 12 2 3" xfId="10308" xr:uid="{00000000-0005-0000-0000-0000B8260000}"/>
    <cellStyle name="Accent3 12 3" xfId="10309" xr:uid="{00000000-0005-0000-0000-0000B9260000}"/>
    <cellStyle name="Accent3 12 3 2" xfId="10310" xr:uid="{00000000-0005-0000-0000-0000BA260000}"/>
    <cellStyle name="Accent3 12 4" xfId="10311" xr:uid="{00000000-0005-0000-0000-0000BB260000}"/>
    <cellStyle name="Accent3 12 5" xfId="10312" xr:uid="{00000000-0005-0000-0000-0000BC260000}"/>
    <cellStyle name="Accent3 12 6" xfId="10313" xr:uid="{00000000-0005-0000-0000-0000BD260000}"/>
    <cellStyle name="Accent3 120" xfId="10314" xr:uid="{00000000-0005-0000-0000-0000BE260000}"/>
    <cellStyle name="Accent3 121" xfId="10315" xr:uid="{00000000-0005-0000-0000-0000BF260000}"/>
    <cellStyle name="Accent3 122" xfId="10316" xr:uid="{00000000-0005-0000-0000-0000C0260000}"/>
    <cellStyle name="Accent3 123" xfId="10317" xr:uid="{00000000-0005-0000-0000-0000C1260000}"/>
    <cellStyle name="Accent3 124" xfId="10318" xr:uid="{00000000-0005-0000-0000-0000C2260000}"/>
    <cellStyle name="Accent3 125" xfId="10319" xr:uid="{00000000-0005-0000-0000-0000C3260000}"/>
    <cellStyle name="Accent3 126" xfId="10320" xr:uid="{00000000-0005-0000-0000-0000C4260000}"/>
    <cellStyle name="Accent3 127" xfId="10321" xr:uid="{00000000-0005-0000-0000-0000C5260000}"/>
    <cellStyle name="Accent3 128" xfId="10322" xr:uid="{00000000-0005-0000-0000-0000C6260000}"/>
    <cellStyle name="Accent3 129" xfId="10323" xr:uid="{00000000-0005-0000-0000-0000C7260000}"/>
    <cellStyle name="Accent3 13" xfId="10324" xr:uid="{00000000-0005-0000-0000-0000C8260000}"/>
    <cellStyle name="Accent3 13 2" xfId="10325" xr:uid="{00000000-0005-0000-0000-0000C9260000}"/>
    <cellStyle name="Accent3 13 2 2" xfId="10326" xr:uid="{00000000-0005-0000-0000-0000CA260000}"/>
    <cellStyle name="Accent3 13 2 3" xfId="10327" xr:uid="{00000000-0005-0000-0000-0000CB260000}"/>
    <cellStyle name="Accent3 13 3" xfId="10328" xr:uid="{00000000-0005-0000-0000-0000CC260000}"/>
    <cellStyle name="Accent3 13 3 2" xfId="10329" xr:uid="{00000000-0005-0000-0000-0000CD260000}"/>
    <cellStyle name="Accent3 13 4" xfId="10330" xr:uid="{00000000-0005-0000-0000-0000CE260000}"/>
    <cellStyle name="Accent3 13 5" xfId="10331" xr:uid="{00000000-0005-0000-0000-0000CF260000}"/>
    <cellStyle name="Accent3 13 6" xfId="10332" xr:uid="{00000000-0005-0000-0000-0000D0260000}"/>
    <cellStyle name="Accent3 130" xfId="10333" xr:uid="{00000000-0005-0000-0000-0000D1260000}"/>
    <cellStyle name="Accent3 131" xfId="10334" xr:uid="{00000000-0005-0000-0000-0000D2260000}"/>
    <cellStyle name="Accent3 132" xfId="10335" xr:uid="{00000000-0005-0000-0000-0000D3260000}"/>
    <cellStyle name="Accent3 133" xfId="10336" xr:uid="{00000000-0005-0000-0000-0000D4260000}"/>
    <cellStyle name="Accent3 134" xfId="10337" xr:uid="{00000000-0005-0000-0000-0000D5260000}"/>
    <cellStyle name="Accent3 135" xfId="10338" xr:uid="{00000000-0005-0000-0000-0000D6260000}"/>
    <cellStyle name="Accent3 136" xfId="10339" xr:uid="{00000000-0005-0000-0000-0000D7260000}"/>
    <cellStyle name="Accent3 137" xfId="10340" xr:uid="{00000000-0005-0000-0000-0000D8260000}"/>
    <cellStyle name="Accent3 138" xfId="10341" xr:uid="{00000000-0005-0000-0000-0000D9260000}"/>
    <cellStyle name="Accent3 139" xfId="10342" xr:uid="{00000000-0005-0000-0000-0000DA260000}"/>
    <cellStyle name="Accent3 14" xfId="10343" xr:uid="{00000000-0005-0000-0000-0000DB260000}"/>
    <cellStyle name="Accent3 14 2" xfId="10344" xr:uid="{00000000-0005-0000-0000-0000DC260000}"/>
    <cellStyle name="Accent3 14 2 2" xfId="10345" xr:uid="{00000000-0005-0000-0000-0000DD260000}"/>
    <cellStyle name="Accent3 14 2 3" xfId="10346" xr:uid="{00000000-0005-0000-0000-0000DE260000}"/>
    <cellStyle name="Accent3 14 3" xfId="10347" xr:uid="{00000000-0005-0000-0000-0000DF260000}"/>
    <cellStyle name="Accent3 14 3 2" xfId="10348" xr:uid="{00000000-0005-0000-0000-0000E0260000}"/>
    <cellStyle name="Accent3 14 4" xfId="10349" xr:uid="{00000000-0005-0000-0000-0000E1260000}"/>
    <cellStyle name="Accent3 14 5" xfId="10350" xr:uid="{00000000-0005-0000-0000-0000E2260000}"/>
    <cellStyle name="Accent3 14 6" xfId="10351" xr:uid="{00000000-0005-0000-0000-0000E3260000}"/>
    <cellStyle name="Accent3 140" xfId="10352" xr:uid="{00000000-0005-0000-0000-0000E4260000}"/>
    <cellStyle name="Accent3 141" xfId="10353" xr:uid="{00000000-0005-0000-0000-0000E5260000}"/>
    <cellStyle name="Accent3 142" xfId="10354" xr:uid="{00000000-0005-0000-0000-0000E6260000}"/>
    <cellStyle name="Accent3 143" xfId="10355" xr:uid="{00000000-0005-0000-0000-0000E7260000}"/>
    <cellStyle name="Accent3 144" xfId="10356" xr:uid="{00000000-0005-0000-0000-0000E8260000}"/>
    <cellStyle name="Accent3 145" xfId="10357" xr:uid="{00000000-0005-0000-0000-0000E9260000}"/>
    <cellStyle name="Accent3 146" xfId="10358" xr:uid="{00000000-0005-0000-0000-0000EA260000}"/>
    <cellStyle name="Accent3 147" xfId="10359" xr:uid="{00000000-0005-0000-0000-0000EB260000}"/>
    <cellStyle name="Accent3 148" xfId="10360" xr:uid="{00000000-0005-0000-0000-0000EC260000}"/>
    <cellStyle name="Accent3 149" xfId="10361" xr:uid="{00000000-0005-0000-0000-0000ED260000}"/>
    <cellStyle name="Accent3 15" xfId="10362" xr:uid="{00000000-0005-0000-0000-0000EE260000}"/>
    <cellStyle name="Accent3 15 2" xfId="10363" xr:uid="{00000000-0005-0000-0000-0000EF260000}"/>
    <cellStyle name="Accent3 15 2 2" xfId="10364" xr:uid="{00000000-0005-0000-0000-0000F0260000}"/>
    <cellStyle name="Accent3 15 2 3" xfId="10365" xr:uid="{00000000-0005-0000-0000-0000F1260000}"/>
    <cellStyle name="Accent3 15 3" xfId="10366" xr:uid="{00000000-0005-0000-0000-0000F2260000}"/>
    <cellStyle name="Accent3 15 3 2" xfId="10367" xr:uid="{00000000-0005-0000-0000-0000F3260000}"/>
    <cellStyle name="Accent3 15 4" xfId="10368" xr:uid="{00000000-0005-0000-0000-0000F4260000}"/>
    <cellStyle name="Accent3 15 5" xfId="10369" xr:uid="{00000000-0005-0000-0000-0000F5260000}"/>
    <cellStyle name="Accent3 15 6" xfId="10370" xr:uid="{00000000-0005-0000-0000-0000F6260000}"/>
    <cellStyle name="Accent3 150" xfId="10371" xr:uid="{00000000-0005-0000-0000-0000F7260000}"/>
    <cellStyle name="Accent3 151" xfId="10372" xr:uid="{00000000-0005-0000-0000-0000F8260000}"/>
    <cellStyle name="Accent3 152" xfId="10373" xr:uid="{00000000-0005-0000-0000-0000F9260000}"/>
    <cellStyle name="Accent3 153" xfId="10374" xr:uid="{00000000-0005-0000-0000-0000FA260000}"/>
    <cellStyle name="Accent3 154" xfId="10375" xr:uid="{00000000-0005-0000-0000-0000FB260000}"/>
    <cellStyle name="Accent3 155" xfId="10376" xr:uid="{00000000-0005-0000-0000-0000FC260000}"/>
    <cellStyle name="Accent3 156" xfId="10377" xr:uid="{00000000-0005-0000-0000-0000FD260000}"/>
    <cellStyle name="Accent3 157" xfId="10378" xr:uid="{00000000-0005-0000-0000-0000FE260000}"/>
    <cellStyle name="Accent3 158" xfId="10379" xr:uid="{00000000-0005-0000-0000-0000FF260000}"/>
    <cellStyle name="Accent3 159" xfId="10380" xr:uid="{00000000-0005-0000-0000-000000270000}"/>
    <cellStyle name="Accent3 16" xfId="10381" xr:uid="{00000000-0005-0000-0000-000001270000}"/>
    <cellStyle name="Accent3 16 2" xfId="10382" xr:uid="{00000000-0005-0000-0000-000002270000}"/>
    <cellStyle name="Accent3 16 2 2" xfId="10383" xr:uid="{00000000-0005-0000-0000-000003270000}"/>
    <cellStyle name="Accent3 16 2 3" xfId="10384" xr:uid="{00000000-0005-0000-0000-000004270000}"/>
    <cellStyle name="Accent3 16 3" xfId="10385" xr:uid="{00000000-0005-0000-0000-000005270000}"/>
    <cellStyle name="Accent3 16 3 2" xfId="10386" xr:uid="{00000000-0005-0000-0000-000006270000}"/>
    <cellStyle name="Accent3 16 4" xfId="10387" xr:uid="{00000000-0005-0000-0000-000007270000}"/>
    <cellStyle name="Accent3 16 5" xfId="10388" xr:uid="{00000000-0005-0000-0000-000008270000}"/>
    <cellStyle name="Accent3 16 6" xfId="10389" xr:uid="{00000000-0005-0000-0000-000009270000}"/>
    <cellStyle name="Accent3 160" xfId="10390" xr:uid="{00000000-0005-0000-0000-00000A270000}"/>
    <cellStyle name="Accent3 161" xfId="10391" xr:uid="{00000000-0005-0000-0000-00000B270000}"/>
    <cellStyle name="Accent3 162" xfId="10392" xr:uid="{00000000-0005-0000-0000-00000C270000}"/>
    <cellStyle name="Accent3 163" xfId="10393" xr:uid="{00000000-0005-0000-0000-00000D270000}"/>
    <cellStyle name="Accent3 164" xfId="10394" xr:uid="{00000000-0005-0000-0000-00000E270000}"/>
    <cellStyle name="Accent3 165" xfId="10395" xr:uid="{00000000-0005-0000-0000-00000F270000}"/>
    <cellStyle name="Accent3 166" xfId="10396" xr:uid="{00000000-0005-0000-0000-000010270000}"/>
    <cellStyle name="Accent3 167" xfId="10397" xr:uid="{00000000-0005-0000-0000-000011270000}"/>
    <cellStyle name="Accent3 168" xfId="10398" xr:uid="{00000000-0005-0000-0000-000012270000}"/>
    <cellStyle name="Accent3 169" xfId="10399" xr:uid="{00000000-0005-0000-0000-000013270000}"/>
    <cellStyle name="Accent3 17" xfId="10400" xr:uid="{00000000-0005-0000-0000-000014270000}"/>
    <cellStyle name="Accent3 17 2" xfId="10401" xr:uid="{00000000-0005-0000-0000-000015270000}"/>
    <cellStyle name="Accent3 17 2 2" xfId="10402" xr:uid="{00000000-0005-0000-0000-000016270000}"/>
    <cellStyle name="Accent3 17 2 3" xfId="10403" xr:uid="{00000000-0005-0000-0000-000017270000}"/>
    <cellStyle name="Accent3 17 3" xfId="10404" xr:uid="{00000000-0005-0000-0000-000018270000}"/>
    <cellStyle name="Accent3 17 3 2" xfId="10405" xr:uid="{00000000-0005-0000-0000-000019270000}"/>
    <cellStyle name="Accent3 17 4" xfId="10406" xr:uid="{00000000-0005-0000-0000-00001A270000}"/>
    <cellStyle name="Accent3 17 5" xfId="10407" xr:uid="{00000000-0005-0000-0000-00001B270000}"/>
    <cellStyle name="Accent3 17 6" xfId="10408" xr:uid="{00000000-0005-0000-0000-00001C270000}"/>
    <cellStyle name="Accent3 170" xfId="10409" xr:uid="{00000000-0005-0000-0000-00001D270000}"/>
    <cellStyle name="Accent3 171" xfId="10410" xr:uid="{00000000-0005-0000-0000-00001E270000}"/>
    <cellStyle name="Accent3 172" xfId="10411" xr:uid="{00000000-0005-0000-0000-00001F270000}"/>
    <cellStyle name="Accent3 173" xfId="10412" xr:uid="{00000000-0005-0000-0000-000020270000}"/>
    <cellStyle name="Accent3 174" xfId="10413" xr:uid="{00000000-0005-0000-0000-000021270000}"/>
    <cellStyle name="Accent3 175" xfId="10414" xr:uid="{00000000-0005-0000-0000-000022270000}"/>
    <cellStyle name="Accent3 176" xfId="10415" xr:uid="{00000000-0005-0000-0000-000023270000}"/>
    <cellStyle name="Accent3 177" xfId="10416" xr:uid="{00000000-0005-0000-0000-000024270000}"/>
    <cellStyle name="Accent3 178" xfId="10417" xr:uid="{00000000-0005-0000-0000-000025270000}"/>
    <cellStyle name="Accent3 179" xfId="10418" xr:uid="{00000000-0005-0000-0000-000026270000}"/>
    <cellStyle name="Accent3 18" xfId="10419" xr:uid="{00000000-0005-0000-0000-000027270000}"/>
    <cellStyle name="Accent3 18 2" xfId="10420" xr:uid="{00000000-0005-0000-0000-000028270000}"/>
    <cellStyle name="Accent3 18 2 2" xfId="10421" xr:uid="{00000000-0005-0000-0000-000029270000}"/>
    <cellStyle name="Accent3 18 2 3" xfId="10422" xr:uid="{00000000-0005-0000-0000-00002A270000}"/>
    <cellStyle name="Accent3 18 3" xfId="10423" xr:uid="{00000000-0005-0000-0000-00002B270000}"/>
    <cellStyle name="Accent3 18 3 2" xfId="10424" xr:uid="{00000000-0005-0000-0000-00002C270000}"/>
    <cellStyle name="Accent3 18 4" xfId="10425" xr:uid="{00000000-0005-0000-0000-00002D270000}"/>
    <cellStyle name="Accent3 18 5" xfId="10426" xr:uid="{00000000-0005-0000-0000-00002E270000}"/>
    <cellStyle name="Accent3 180" xfId="10427" xr:uid="{00000000-0005-0000-0000-00002F270000}"/>
    <cellStyle name="Accent3 181" xfId="10428" xr:uid="{00000000-0005-0000-0000-000030270000}"/>
    <cellStyle name="Accent3 182" xfId="10429" xr:uid="{00000000-0005-0000-0000-000031270000}"/>
    <cellStyle name="Accent3 183" xfId="10430" xr:uid="{00000000-0005-0000-0000-000032270000}"/>
    <cellStyle name="Accent3 184" xfId="10431" xr:uid="{00000000-0005-0000-0000-000033270000}"/>
    <cellStyle name="Accent3 185" xfId="10432" xr:uid="{00000000-0005-0000-0000-000034270000}"/>
    <cellStyle name="Accent3 186" xfId="10433" xr:uid="{00000000-0005-0000-0000-000035270000}"/>
    <cellStyle name="Accent3 187" xfId="10434" xr:uid="{00000000-0005-0000-0000-000036270000}"/>
    <cellStyle name="Accent3 188" xfId="10435" xr:uid="{00000000-0005-0000-0000-000037270000}"/>
    <cellStyle name="Accent3 189" xfId="10436" xr:uid="{00000000-0005-0000-0000-000038270000}"/>
    <cellStyle name="Accent3 19" xfId="10437" xr:uid="{00000000-0005-0000-0000-000039270000}"/>
    <cellStyle name="Accent3 19 2" xfId="10438" xr:uid="{00000000-0005-0000-0000-00003A270000}"/>
    <cellStyle name="Accent3 19 2 2" xfId="10439" xr:uid="{00000000-0005-0000-0000-00003B270000}"/>
    <cellStyle name="Accent3 19 2 3" xfId="10440" xr:uid="{00000000-0005-0000-0000-00003C270000}"/>
    <cellStyle name="Accent3 19 3" xfId="10441" xr:uid="{00000000-0005-0000-0000-00003D270000}"/>
    <cellStyle name="Accent3 19 3 2" xfId="10442" xr:uid="{00000000-0005-0000-0000-00003E270000}"/>
    <cellStyle name="Accent3 19 4" xfId="10443" xr:uid="{00000000-0005-0000-0000-00003F270000}"/>
    <cellStyle name="Accent3 19 5" xfId="10444" xr:uid="{00000000-0005-0000-0000-000040270000}"/>
    <cellStyle name="Accent3 2" xfId="10445" xr:uid="{00000000-0005-0000-0000-000041270000}"/>
    <cellStyle name="Accent3 2 10" xfId="10446" xr:uid="{00000000-0005-0000-0000-000042270000}"/>
    <cellStyle name="Accent3 2 11" xfId="10447" xr:uid="{00000000-0005-0000-0000-000043270000}"/>
    <cellStyle name="Accent3 2 2" xfId="10448" xr:uid="{00000000-0005-0000-0000-000044270000}"/>
    <cellStyle name="Accent3 2 2 2" xfId="10449" xr:uid="{00000000-0005-0000-0000-000045270000}"/>
    <cellStyle name="Accent3 2 2 2 2" xfId="10450" xr:uid="{00000000-0005-0000-0000-000046270000}"/>
    <cellStyle name="Accent3 2 2 2 3" xfId="10451" xr:uid="{00000000-0005-0000-0000-000047270000}"/>
    <cellStyle name="Accent3 2 2 2 4" xfId="10452" xr:uid="{00000000-0005-0000-0000-000048270000}"/>
    <cellStyle name="Accent3 2 2 3" xfId="10453" xr:uid="{00000000-0005-0000-0000-000049270000}"/>
    <cellStyle name="Accent3 2 2 4" xfId="10454" xr:uid="{00000000-0005-0000-0000-00004A270000}"/>
    <cellStyle name="Accent3 2 2 5" xfId="10455" xr:uid="{00000000-0005-0000-0000-00004B270000}"/>
    <cellStyle name="Accent3 2 2 6" xfId="10456" xr:uid="{00000000-0005-0000-0000-00004C270000}"/>
    <cellStyle name="Accent3 2 3" xfId="10457" xr:uid="{00000000-0005-0000-0000-00004D270000}"/>
    <cellStyle name="Accent3 2 3 2" xfId="10458" xr:uid="{00000000-0005-0000-0000-00004E270000}"/>
    <cellStyle name="Accent3 2 3 3" xfId="10459" xr:uid="{00000000-0005-0000-0000-00004F270000}"/>
    <cellStyle name="Accent3 2 3 4" xfId="10460" xr:uid="{00000000-0005-0000-0000-000050270000}"/>
    <cellStyle name="Accent3 2 3 5" xfId="10461" xr:uid="{00000000-0005-0000-0000-000051270000}"/>
    <cellStyle name="Accent3 2 4" xfId="10462" xr:uid="{00000000-0005-0000-0000-000052270000}"/>
    <cellStyle name="Accent3 2 4 2" xfId="10463" xr:uid="{00000000-0005-0000-0000-000053270000}"/>
    <cellStyle name="Accent3 2 4 3" xfId="10464" xr:uid="{00000000-0005-0000-0000-000054270000}"/>
    <cellStyle name="Accent3 2 5" xfId="10465" xr:uid="{00000000-0005-0000-0000-000055270000}"/>
    <cellStyle name="Accent3 2 5 2" xfId="10466" xr:uid="{00000000-0005-0000-0000-000056270000}"/>
    <cellStyle name="Accent3 2 6" xfId="10467" xr:uid="{00000000-0005-0000-0000-000057270000}"/>
    <cellStyle name="Accent3 2 6 2" xfId="10468" xr:uid="{00000000-0005-0000-0000-000058270000}"/>
    <cellStyle name="Accent3 2 7" xfId="10469" xr:uid="{00000000-0005-0000-0000-000059270000}"/>
    <cellStyle name="Accent3 2 7 2" xfId="10470" xr:uid="{00000000-0005-0000-0000-00005A270000}"/>
    <cellStyle name="Accent3 2 8" xfId="10471" xr:uid="{00000000-0005-0000-0000-00005B270000}"/>
    <cellStyle name="Accent3 2 9" xfId="10472" xr:uid="{00000000-0005-0000-0000-00005C270000}"/>
    <cellStyle name="Accent3 20" xfId="10473" xr:uid="{00000000-0005-0000-0000-00005D270000}"/>
    <cellStyle name="Accent3 20 2" xfId="10474" xr:uid="{00000000-0005-0000-0000-00005E270000}"/>
    <cellStyle name="Accent3 20 2 2" xfId="10475" xr:uid="{00000000-0005-0000-0000-00005F270000}"/>
    <cellStyle name="Accent3 20 2 3" xfId="10476" xr:uid="{00000000-0005-0000-0000-000060270000}"/>
    <cellStyle name="Accent3 20 3" xfId="10477" xr:uid="{00000000-0005-0000-0000-000061270000}"/>
    <cellStyle name="Accent3 20 3 2" xfId="10478" xr:uid="{00000000-0005-0000-0000-000062270000}"/>
    <cellStyle name="Accent3 20 4" xfId="10479" xr:uid="{00000000-0005-0000-0000-000063270000}"/>
    <cellStyle name="Accent3 20 5" xfId="10480" xr:uid="{00000000-0005-0000-0000-000064270000}"/>
    <cellStyle name="Accent3 20 6" xfId="10481" xr:uid="{00000000-0005-0000-0000-000065270000}"/>
    <cellStyle name="Accent3 21" xfId="10482" xr:uid="{00000000-0005-0000-0000-000066270000}"/>
    <cellStyle name="Accent3 21 2" xfId="10483" xr:uid="{00000000-0005-0000-0000-000067270000}"/>
    <cellStyle name="Accent3 21 2 2" xfId="10484" xr:uid="{00000000-0005-0000-0000-000068270000}"/>
    <cellStyle name="Accent3 21 2 3" xfId="10485" xr:uid="{00000000-0005-0000-0000-000069270000}"/>
    <cellStyle name="Accent3 21 3" xfId="10486" xr:uid="{00000000-0005-0000-0000-00006A270000}"/>
    <cellStyle name="Accent3 21 3 2" xfId="10487" xr:uid="{00000000-0005-0000-0000-00006B270000}"/>
    <cellStyle name="Accent3 21 4" xfId="10488" xr:uid="{00000000-0005-0000-0000-00006C270000}"/>
    <cellStyle name="Accent3 21 5" xfId="10489" xr:uid="{00000000-0005-0000-0000-00006D270000}"/>
    <cellStyle name="Accent3 21 6" xfId="10490" xr:uid="{00000000-0005-0000-0000-00006E270000}"/>
    <cellStyle name="Accent3 22" xfId="10491" xr:uid="{00000000-0005-0000-0000-00006F270000}"/>
    <cellStyle name="Accent3 22 2" xfId="10492" xr:uid="{00000000-0005-0000-0000-000070270000}"/>
    <cellStyle name="Accent3 22 2 2" xfId="10493" xr:uid="{00000000-0005-0000-0000-000071270000}"/>
    <cellStyle name="Accent3 22 2 3" xfId="10494" xr:uid="{00000000-0005-0000-0000-000072270000}"/>
    <cellStyle name="Accent3 22 3" xfId="10495" xr:uid="{00000000-0005-0000-0000-000073270000}"/>
    <cellStyle name="Accent3 22 3 2" xfId="10496" xr:uid="{00000000-0005-0000-0000-000074270000}"/>
    <cellStyle name="Accent3 22 4" xfId="10497" xr:uid="{00000000-0005-0000-0000-000075270000}"/>
    <cellStyle name="Accent3 22 5" xfId="10498" xr:uid="{00000000-0005-0000-0000-000076270000}"/>
    <cellStyle name="Accent3 22 6" xfId="10499" xr:uid="{00000000-0005-0000-0000-000077270000}"/>
    <cellStyle name="Accent3 23" xfId="10500" xr:uid="{00000000-0005-0000-0000-000078270000}"/>
    <cellStyle name="Accent3 23 2" xfId="10501" xr:uid="{00000000-0005-0000-0000-000079270000}"/>
    <cellStyle name="Accent3 23 2 2" xfId="10502" xr:uid="{00000000-0005-0000-0000-00007A270000}"/>
    <cellStyle name="Accent3 23 2 3" xfId="10503" xr:uid="{00000000-0005-0000-0000-00007B270000}"/>
    <cellStyle name="Accent3 23 3" xfId="10504" xr:uid="{00000000-0005-0000-0000-00007C270000}"/>
    <cellStyle name="Accent3 23 3 2" xfId="10505" xr:uid="{00000000-0005-0000-0000-00007D270000}"/>
    <cellStyle name="Accent3 23 4" xfId="10506" xr:uid="{00000000-0005-0000-0000-00007E270000}"/>
    <cellStyle name="Accent3 23 5" xfId="10507" xr:uid="{00000000-0005-0000-0000-00007F270000}"/>
    <cellStyle name="Accent3 23 6" xfId="10508" xr:uid="{00000000-0005-0000-0000-000080270000}"/>
    <cellStyle name="Accent3 24" xfId="10509" xr:uid="{00000000-0005-0000-0000-000081270000}"/>
    <cellStyle name="Accent3 24 2" xfId="10510" xr:uid="{00000000-0005-0000-0000-000082270000}"/>
    <cellStyle name="Accent3 24 2 2" xfId="10511" xr:uid="{00000000-0005-0000-0000-000083270000}"/>
    <cellStyle name="Accent3 24 2 3" xfId="10512" xr:uid="{00000000-0005-0000-0000-000084270000}"/>
    <cellStyle name="Accent3 24 3" xfId="10513" xr:uid="{00000000-0005-0000-0000-000085270000}"/>
    <cellStyle name="Accent3 24 3 2" xfId="10514" xr:uid="{00000000-0005-0000-0000-000086270000}"/>
    <cellStyle name="Accent3 24 4" xfId="10515" xr:uid="{00000000-0005-0000-0000-000087270000}"/>
    <cellStyle name="Accent3 24 5" xfId="10516" xr:uid="{00000000-0005-0000-0000-000088270000}"/>
    <cellStyle name="Accent3 24 6" xfId="10517" xr:uid="{00000000-0005-0000-0000-000089270000}"/>
    <cellStyle name="Accent3 25" xfId="10518" xr:uid="{00000000-0005-0000-0000-00008A270000}"/>
    <cellStyle name="Accent3 25 2" xfId="10519" xr:uid="{00000000-0005-0000-0000-00008B270000}"/>
    <cellStyle name="Accent3 25 2 2" xfId="10520" xr:uid="{00000000-0005-0000-0000-00008C270000}"/>
    <cellStyle name="Accent3 25 2 3" xfId="10521" xr:uid="{00000000-0005-0000-0000-00008D270000}"/>
    <cellStyle name="Accent3 25 3" xfId="10522" xr:uid="{00000000-0005-0000-0000-00008E270000}"/>
    <cellStyle name="Accent3 25 3 2" xfId="10523" xr:uid="{00000000-0005-0000-0000-00008F270000}"/>
    <cellStyle name="Accent3 25 4" xfId="10524" xr:uid="{00000000-0005-0000-0000-000090270000}"/>
    <cellStyle name="Accent3 25 5" xfId="10525" xr:uid="{00000000-0005-0000-0000-000091270000}"/>
    <cellStyle name="Accent3 25 6" xfId="10526" xr:uid="{00000000-0005-0000-0000-000092270000}"/>
    <cellStyle name="Accent3 26" xfId="10527" xr:uid="{00000000-0005-0000-0000-000093270000}"/>
    <cellStyle name="Accent3 26 2" xfId="10528" xr:uid="{00000000-0005-0000-0000-000094270000}"/>
    <cellStyle name="Accent3 26 2 2" xfId="10529" xr:uid="{00000000-0005-0000-0000-000095270000}"/>
    <cellStyle name="Accent3 26 2 3" xfId="10530" xr:uid="{00000000-0005-0000-0000-000096270000}"/>
    <cellStyle name="Accent3 26 3" xfId="10531" xr:uid="{00000000-0005-0000-0000-000097270000}"/>
    <cellStyle name="Accent3 26 3 2" xfId="10532" xr:uid="{00000000-0005-0000-0000-000098270000}"/>
    <cellStyle name="Accent3 26 4" xfId="10533" xr:uid="{00000000-0005-0000-0000-000099270000}"/>
    <cellStyle name="Accent3 26 5" xfId="10534" xr:uid="{00000000-0005-0000-0000-00009A270000}"/>
    <cellStyle name="Accent3 26 6" xfId="10535" xr:uid="{00000000-0005-0000-0000-00009B270000}"/>
    <cellStyle name="Accent3 27" xfId="10536" xr:uid="{00000000-0005-0000-0000-00009C270000}"/>
    <cellStyle name="Accent3 27 2" xfId="10537" xr:uid="{00000000-0005-0000-0000-00009D270000}"/>
    <cellStyle name="Accent3 27 2 2" xfId="10538" xr:uid="{00000000-0005-0000-0000-00009E270000}"/>
    <cellStyle name="Accent3 27 2 3" xfId="10539" xr:uid="{00000000-0005-0000-0000-00009F270000}"/>
    <cellStyle name="Accent3 27 3" xfId="10540" xr:uid="{00000000-0005-0000-0000-0000A0270000}"/>
    <cellStyle name="Accent3 27 3 2" xfId="10541" xr:uid="{00000000-0005-0000-0000-0000A1270000}"/>
    <cellStyle name="Accent3 27 4" xfId="10542" xr:uid="{00000000-0005-0000-0000-0000A2270000}"/>
    <cellStyle name="Accent3 27 5" xfId="10543" xr:uid="{00000000-0005-0000-0000-0000A3270000}"/>
    <cellStyle name="Accent3 27 6" xfId="10544" xr:uid="{00000000-0005-0000-0000-0000A4270000}"/>
    <cellStyle name="Accent3 28" xfId="10545" xr:uid="{00000000-0005-0000-0000-0000A5270000}"/>
    <cellStyle name="Accent3 28 2" xfId="10546" xr:uid="{00000000-0005-0000-0000-0000A6270000}"/>
    <cellStyle name="Accent3 28 2 2" xfId="10547" xr:uid="{00000000-0005-0000-0000-0000A7270000}"/>
    <cellStyle name="Accent3 28 2 3" xfId="10548" xr:uid="{00000000-0005-0000-0000-0000A8270000}"/>
    <cellStyle name="Accent3 28 3" xfId="10549" xr:uid="{00000000-0005-0000-0000-0000A9270000}"/>
    <cellStyle name="Accent3 28 3 2" xfId="10550" xr:uid="{00000000-0005-0000-0000-0000AA270000}"/>
    <cellStyle name="Accent3 28 4" xfId="10551" xr:uid="{00000000-0005-0000-0000-0000AB270000}"/>
    <cellStyle name="Accent3 28 5" xfId="10552" xr:uid="{00000000-0005-0000-0000-0000AC270000}"/>
    <cellStyle name="Accent3 28 6" xfId="10553" xr:uid="{00000000-0005-0000-0000-0000AD270000}"/>
    <cellStyle name="Accent3 29" xfId="10554" xr:uid="{00000000-0005-0000-0000-0000AE270000}"/>
    <cellStyle name="Accent3 29 2" xfId="10555" xr:uid="{00000000-0005-0000-0000-0000AF270000}"/>
    <cellStyle name="Accent3 29 2 2" xfId="10556" xr:uid="{00000000-0005-0000-0000-0000B0270000}"/>
    <cellStyle name="Accent3 29 2 3" xfId="10557" xr:uid="{00000000-0005-0000-0000-0000B1270000}"/>
    <cellStyle name="Accent3 29 3" xfId="10558" xr:uid="{00000000-0005-0000-0000-0000B2270000}"/>
    <cellStyle name="Accent3 29 3 2" xfId="10559" xr:uid="{00000000-0005-0000-0000-0000B3270000}"/>
    <cellStyle name="Accent3 29 4" xfId="10560" xr:uid="{00000000-0005-0000-0000-0000B4270000}"/>
    <cellStyle name="Accent3 29 5" xfId="10561" xr:uid="{00000000-0005-0000-0000-0000B5270000}"/>
    <cellStyle name="Accent3 29 6" xfId="10562" xr:uid="{00000000-0005-0000-0000-0000B6270000}"/>
    <cellStyle name="Accent3 3" xfId="10563" xr:uid="{00000000-0005-0000-0000-0000B7270000}"/>
    <cellStyle name="Accent3 3 2" xfId="10564" xr:uid="{00000000-0005-0000-0000-0000B8270000}"/>
    <cellStyle name="Accent3 3 2 2" xfId="10565" xr:uid="{00000000-0005-0000-0000-0000B9270000}"/>
    <cellStyle name="Accent3 3 2 2 2" xfId="10566" xr:uid="{00000000-0005-0000-0000-0000BA270000}"/>
    <cellStyle name="Accent3 3 2 3" xfId="10567" xr:uid="{00000000-0005-0000-0000-0000BB270000}"/>
    <cellStyle name="Accent3 3 2 3 2" xfId="10568" xr:uid="{00000000-0005-0000-0000-0000BC270000}"/>
    <cellStyle name="Accent3 3 2 4" xfId="10569" xr:uid="{00000000-0005-0000-0000-0000BD270000}"/>
    <cellStyle name="Accent3 3 3" xfId="10570" xr:uid="{00000000-0005-0000-0000-0000BE270000}"/>
    <cellStyle name="Accent3 3 3 2" xfId="10571" xr:uid="{00000000-0005-0000-0000-0000BF270000}"/>
    <cellStyle name="Accent3 3 3 3" xfId="10572" xr:uid="{00000000-0005-0000-0000-0000C0270000}"/>
    <cellStyle name="Accent3 3 4" xfId="10573" xr:uid="{00000000-0005-0000-0000-0000C1270000}"/>
    <cellStyle name="Accent3 3 4 2" xfId="10574" xr:uid="{00000000-0005-0000-0000-0000C2270000}"/>
    <cellStyle name="Accent3 3 5" xfId="10575" xr:uid="{00000000-0005-0000-0000-0000C3270000}"/>
    <cellStyle name="Accent3 3 6" xfId="10576" xr:uid="{00000000-0005-0000-0000-0000C4270000}"/>
    <cellStyle name="Accent3 3 7" xfId="10577" xr:uid="{00000000-0005-0000-0000-0000C5270000}"/>
    <cellStyle name="Accent3 3 8" xfId="10578" xr:uid="{00000000-0005-0000-0000-0000C6270000}"/>
    <cellStyle name="Accent3 3 9" xfId="10579" xr:uid="{00000000-0005-0000-0000-0000C7270000}"/>
    <cellStyle name="Accent3 30" xfId="10580" xr:uid="{00000000-0005-0000-0000-0000C8270000}"/>
    <cellStyle name="Accent3 30 2" xfId="10581" xr:uid="{00000000-0005-0000-0000-0000C9270000}"/>
    <cellStyle name="Accent3 30 2 2" xfId="10582" xr:uid="{00000000-0005-0000-0000-0000CA270000}"/>
    <cellStyle name="Accent3 30 2 3" xfId="10583" xr:uid="{00000000-0005-0000-0000-0000CB270000}"/>
    <cellStyle name="Accent3 30 3" xfId="10584" xr:uid="{00000000-0005-0000-0000-0000CC270000}"/>
    <cellStyle name="Accent3 30 3 2" xfId="10585" xr:uid="{00000000-0005-0000-0000-0000CD270000}"/>
    <cellStyle name="Accent3 30 4" xfId="10586" xr:uid="{00000000-0005-0000-0000-0000CE270000}"/>
    <cellStyle name="Accent3 30 5" xfId="10587" xr:uid="{00000000-0005-0000-0000-0000CF270000}"/>
    <cellStyle name="Accent3 30 6" xfId="10588" xr:uid="{00000000-0005-0000-0000-0000D0270000}"/>
    <cellStyle name="Accent3 31" xfId="10589" xr:uid="{00000000-0005-0000-0000-0000D1270000}"/>
    <cellStyle name="Accent3 31 2" xfId="10590" xr:uid="{00000000-0005-0000-0000-0000D2270000}"/>
    <cellStyle name="Accent3 31 2 2" xfId="10591" xr:uid="{00000000-0005-0000-0000-0000D3270000}"/>
    <cellStyle name="Accent3 31 2 3" xfId="10592" xr:uid="{00000000-0005-0000-0000-0000D4270000}"/>
    <cellStyle name="Accent3 31 3" xfId="10593" xr:uid="{00000000-0005-0000-0000-0000D5270000}"/>
    <cellStyle name="Accent3 31 3 2" xfId="10594" xr:uid="{00000000-0005-0000-0000-0000D6270000}"/>
    <cellStyle name="Accent3 31 4" xfId="10595" xr:uid="{00000000-0005-0000-0000-0000D7270000}"/>
    <cellStyle name="Accent3 31 5" xfId="10596" xr:uid="{00000000-0005-0000-0000-0000D8270000}"/>
    <cellStyle name="Accent3 31 6" xfId="10597" xr:uid="{00000000-0005-0000-0000-0000D9270000}"/>
    <cellStyle name="Accent3 32" xfId="10598" xr:uid="{00000000-0005-0000-0000-0000DA270000}"/>
    <cellStyle name="Accent3 32 2" xfId="10599" xr:uid="{00000000-0005-0000-0000-0000DB270000}"/>
    <cellStyle name="Accent3 32 2 2" xfId="10600" xr:uid="{00000000-0005-0000-0000-0000DC270000}"/>
    <cellStyle name="Accent3 32 2 3" xfId="10601" xr:uid="{00000000-0005-0000-0000-0000DD270000}"/>
    <cellStyle name="Accent3 32 3" xfId="10602" xr:uid="{00000000-0005-0000-0000-0000DE270000}"/>
    <cellStyle name="Accent3 32 3 2" xfId="10603" xr:uid="{00000000-0005-0000-0000-0000DF270000}"/>
    <cellStyle name="Accent3 32 4" xfId="10604" xr:uid="{00000000-0005-0000-0000-0000E0270000}"/>
    <cellStyle name="Accent3 32 5" xfId="10605" xr:uid="{00000000-0005-0000-0000-0000E1270000}"/>
    <cellStyle name="Accent3 32 6" xfId="10606" xr:uid="{00000000-0005-0000-0000-0000E2270000}"/>
    <cellStyle name="Accent3 33" xfId="10607" xr:uid="{00000000-0005-0000-0000-0000E3270000}"/>
    <cellStyle name="Accent3 33 2" xfId="10608" xr:uid="{00000000-0005-0000-0000-0000E4270000}"/>
    <cellStyle name="Accent3 33 2 2" xfId="10609" xr:uid="{00000000-0005-0000-0000-0000E5270000}"/>
    <cellStyle name="Accent3 33 2 3" xfId="10610" xr:uid="{00000000-0005-0000-0000-0000E6270000}"/>
    <cellStyle name="Accent3 33 3" xfId="10611" xr:uid="{00000000-0005-0000-0000-0000E7270000}"/>
    <cellStyle name="Accent3 33 3 2" xfId="10612" xr:uid="{00000000-0005-0000-0000-0000E8270000}"/>
    <cellStyle name="Accent3 33 4" xfId="10613" xr:uid="{00000000-0005-0000-0000-0000E9270000}"/>
    <cellStyle name="Accent3 33 5" xfId="10614" xr:uid="{00000000-0005-0000-0000-0000EA270000}"/>
    <cellStyle name="Accent3 33 6" xfId="10615" xr:uid="{00000000-0005-0000-0000-0000EB270000}"/>
    <cellStyle name="Accent3 34" xfId="10616" xr:uid="{00000000-0005-0000-0000-0000EC270000}"/>
    <cellStyle name="Accent3 34 2" xfId="10617" xr:uid="{00000000-0005-0000-0000-0000ED270000}"/>
    <cellStyle name="Accent3 34 2 2" xfId="10618" xr:uid="{00000000-0005-0000-0000-0000EE270000}"/>
    <cellStyle name="Accent3 34 2 3" xfId="10619" xr:uid="{00000000-0005-0000-0000-0000EF270000}"/>
    <cellStyle name="Accent3 34 3" xfId="10620" xr:uid="{00000000-0005-0000-0000-0000F0270000}"/>
    <cellStyle name="Accent3 34 3 2" xfId="10621" xr:uid="{00000000-0005-0000-0000-0000F1270000}"/>
    <cellStyle name="Accent3 34 4" xfId="10622" xr:uid="{00000000-0005-0000-0000-0000F2270000}"/>
    <cellStyle name="Accent3 34 5" xfId="10623" xr:uid="{00000000-0005-0000-0000-0000F3270000}"/>
    <cellStyle name="Accent3 34 6" xfId="10624" xr:uid="{00000000-0005-0000-0000-0000F4270000}"/>
    <cellStyle name="Accent3 35" xfId="10625" xr:uid="{00000000-0005-0000-0000-0000F5270000}"/>
    <cellStyle name="Accent3 35 2" xfId="10626" xr:uid="{00000000-0005-0000-0000-0000F6270000}"/>
    <cellStyle name="Accent3 35 2 2" xfId="10627" xr:uid="{00000000-0005-0000-0000-0000F7270000}"/>
    <cellStyle name="Accent3 35 2 3" xfId="10628" xr:uid="{00000000-0005-0000-0000-0000F8270000}"/>
    <cellStyle name="Accent3 35 3" xfId="10629" xr:uid="{00000000-0005-0000-0000-0000F9270000}"/>
    <cellStyle name="Accent3 35 3 2" xfId="10630" xr:uid="{00000000-0005-0000-0000-0000FA270000}"/>
    <cellStyle name="Accent3 35 4" xfId="10631" xr:uid="{00000000-0005-0000-0000-0000FB270000}"/>
    <cellStyle name="Accent3 35 4 2" xfId="10632" xr:uid="{00000000-0005-0000-0000-0000FC270000}"/>
    <cellStyle name="Accent3 35 5" xfId="10633" xr:uid="{00000000-0005-0000-0000-0000FD270000}"/>
    <cellStyle name="Accent3 36" xfId="10634" xr:uid="{00000000-0005-0000-0000-0000FE270000}"/>
    <cellStyle name="Accent3 36 2" xfId="10635" xr:uid="{00000000-0005-0000-0000-0000FF270000}"/>
    <cellStyle name="Accent3 36 2 2" xfId="10636" xr:uid="{00000000-0005-0000-0000-000000280000}"/>
    <cellStyle name="Accent3 36 2 3" xfId="10637" xr:uid="{00000000-0005-0000-0000-000001280000}"/>
    <cellStyle name="Accent3 36 3" xfId="10638" xr:uid="{00000000-0005-0000-0000-000002280000}"/>
    <cellStyle name="Accent3 36 3 2" xfId="10639" xr:uid="{00000000-0005-0000-0000-000003280000}"/>
    <cellStyle name="Accent3 36 4" xfId="10640" xr:uid="{00000000-0005-0000-0000-000004280000}"/>
    <cellStyle name="Accent3 36 4 2" xfId="10641" xr:uid="{00000000-0005-0000-0000-000005280000}"/>
    <cellStyle name="Accent3 36 5" xfId="10642" xr:uid="{00000000-0005-0000-0000-000006280000}"/>
    <cellStyle name="Accent3 37" xfId="10643" xr:uid="{00000000-0005-0000-0000-000007280000}"/>
    <cellStyle name="Accent3 37 2" xfId="10644" xr:uid="{00000000-0005-0000-0000-000008280000}"/>
    <cellStyle name="Accent3 37 2 2" xfId="10645" xr:uid="{00000000-0005-0000-0000-000009280000}"/>
    <cellStyle name="Accent3 37 2 3" xfId="10646" xr:uid="{00000000-0005-0000-0000-00000A280000}"/>
    <cellStyle name="Accent3 37 3" xfId="10647" xr:uid="{00000000-0005-0000-0000-00000B280000}"/>
    <cellStyle name="Accent3 37 3 2" xfId="10648" xr:uid="{00000000-0005-0000-0000-00000C280000}"/>
    <cellStyle name="Accent3 37 4" xfId="10649" xr:uid="{00000000-0005-0000-0000-00000D280000}"/>
    <cellStyle name="Accent3 37 5" xfId="10650" xr:uid="{00000000-0005-0000-0000-00000E280000}"/>
    <cellStyle name="Accent3 38" xfId="10651" xr:uid="{00000000-0005-0000-0000-00000F280000}"/>
    <cellStyle name="Accent3 38 2" xfId="10652" xr:uid="{00000000-0005-0000-0000-000010280000}"/>
    <cellStyle name="Accent3 38 2 2" xfId="10653" xr:uid="{00000000-0005-0000-0000-000011280000}"/>
    <cellStyle name="Accent3 38 2 3" xfId="10654" xr:uid="{00000000-0005-0000-0000-000012280000}"/>
    <cellStyle name="Accent3 38 3" xfId="10655" xr:uid="{00000000-0005-0000-0000-000013280000}"/>
    <cellStyle name="Accent3 38 3 2" xfId="10656" xr:uid="{00000000-0005-0000-0000-000014280000}"/>
    <cellStyle name="Accent3 38 4" xfId="10657" xr:uid="{00000000-0005-0000-0000-000015280000}"/>
    <cellStyle name="Accent3 38 5" xfId="10658" xr:uid="{00000000-0005-0000-0000-000016280000}"/>
    <cellStyle name="Accent3 39" xfId="10659" xr:uid="{00000000-0005-0000-0000-000017280000}"/>
    <cellStyle name="Accent3 39 2" xfId="10660" xr:uid="{00000000-0005-0000-0000-000018280000}"/>
    <cellStyle name="Accent3 39 2 2" xfId="10661" xr:uid="{00000000-0005-0000-0000-000019280000}"/>
    <cellStyle name="Accent3 39 2 3" xfId="10662" xr:uid="{00000000-0005-0000-0000-00001A280000}"/>
    <cellStyle name="Accent3 39 3" xfId="10663" xr:uid="{00000000-0005-0000-0000-00001B280000}"/>
    <cellStyle name="Accent3 39 3 2" xfId="10664" xr:uid="{00000000-0005-0000-0000-00001C280000}"/>
    <cellStyle name="Accent3 39 4" xfId="10665" xr:uid="{00000000-0005-0000-0000-00001D280000}"/>
    <cellStyle name="Accent3 39 5" xfId="10666" xr:uid="{00000000-0005-0000-0000-00001E280000}"/>
    <cellStyle name="Accent3 39 6" xfId="10667" xr:uid="{00000000-0005-0000-0000-00001F280000}"/>
    <cellStyle name="Accent3 4" xfId="10668" xr:uid="{00000000-0005-0000-0000-000020280000}"/>
    <cellStyle name="Accent3 4 2" xfId="10669" xr:uid="{00000000-0005-0000-0000-000021280000}"/>
    <cellStyle name="Accent3 4 2 2" xfId="10670" xr:uid="{00000000-0005-0000-0000-000022280000}"/>
    <cellStyle name="Accent3 4 2 2 2" xfId="10671" xr:uid="{00000000-0005-0000-0000-000023280000}"/>
    <cellStyle name="Accent3 4 2 3" xfId="10672" xr:uid="{00000000-0005-0000-0000-000024280000}"/>
    <cellStyle name="Accent3 4 2 4" xfId="10673" xr:uid="{00000000-0005-0000-0000-000025280000}"/>
    <cellStyle name="Accent3 4 3" xfId="10674" xr:uid="{00000000-0005-0000-0000-000026280000}"/>
    <cellStyle name="Accent3 4 3 2" xfId="10675" xr:uid="{00000000-0005-0000-0000-000027280000}"/>
    <cellStyle name="Accent3 4 3 3" xfId="10676" xr:uid="{00000000-0005-0000-0000-000028280000}"/>
    <cellStyle name="Accent3 4 4" xfId="10677" xr:uid="{00000000-0005-0000-0000-000029280000}"/>
    <cellStyle name="Accent3 4 4 2" xfId="10678" xr:uid="{00000000-0005-0000-0000-00002A280000}"/>
    <cellStyle name="Accent3 4 4 3" xfId="10679" xr:uid="{00000000-0005-0000-0000-00002B280000}"/>
    <cellStyle name="Accent3 4 5" xfId="10680" xr:uid="{00000000-0005-0000-0000-00002C280000}"/>
    <cellStyle name="Accent3 4 6" xfId="10681" xr:uid="{00000000-0005-0000-0000-00002D280000}"/>
    <cellStyle name="Accent3 4 7" xfId="10682" xr:uid="{00000000-0005-0000-0000-00002E280000}"/>
    <cellStyle name="Accent3 4 8" xfId="10683" xr:uid="{00000000-0005-0000-0000-00002F280000}"/>
    <cellStyle name="Accent3 40" xfId="10684" xr:uid="{00000000-0005-0000-0000-000030280000}"/>
    <cellStyle name="Accent3 40 2" xfId="10685" xr:uid="{00000000-0005-0000-0000-000031280000}"/>
    <cellStyle name="Accent3 40 3" xfId="10686" xr:uid="{00000000-0005-0000-0000-000032280000}"/>
    <cellStyle name="Accent3 40 4" xfId="10687" xr:uid="{00000000-0005-0000-0000-000033280000}"/>
    <cellStyle name="Accent3 41" xfId="10688" xr:uid="{00000000-0005-0000-0000-000034280000}"/>
    <cellStyle name="Accent3 41 2" xfId="10689" xr:uid="{00000000-0005-0000-0000-000035280000}"/>
    <cellStyle name="Accent3 41 3" xfId="10690" xr:uid="{00000000-0005-0000-0000-000036280000}"/>
    <cellStyle name="Accent3 41 4" xfId="10691" xr:uid="{00000000-0005-0000-0000-000037280000}"/>
    <cellStyle name="Accent3 42" xfId="10692" xr:uid="{00000000-0005-0000-0000-000038280000}"/>
    <cellStyle name="Accent3 42 2" xfId="10693" xr:uid="{00000000-0005-0000-0000-000039280000}"/>
    <cellStyle name="Accent3 42 3" xfId="10694" xr:uid="{00000000-0005-0000-0000-00003A280000}"/>
    <cellStyle name="Accent3 42 4" xfId="10695" xr:uid="{00000000-0005-0000-0000-00003B280000}"/>
    <cellStyle name="Accent3 43" xfId="10696" xr:uid="{00000000-0005-0000-0000-00003C280000}"/>
    <cellStyle name="Accent3 43 2" xfId="10697" xr:uid="{00000000-0005-0000-0000-00003D280000}"/>
    <cellStyle name="Accent3 43 3" xfId="10698" xr:uid="{00000000-0005-0000-0000-00003E280000}"/>
    <cellStyle name="Accent3 43 4" xfId="10699" xr:uid="{00000000-0005-0000-0000-00003F280000}"/>
    <cellStyle name="Accent3 44" xfId="10700" xr:uid="{00000000-0005-0000-0000-000040280000}"/>
    <cellStyle name="Accent3 44 2" xfId="10701" xr:uid="{00000000-0005-0000-0000-000041280000}"/>
    <cellStyle name="Accent3 44 3" xfId="10702" xr:uid="{00000000-0005-0000-0000-000042280000}"/>
    <cellStyle name="Accent3 44 4" xfId="10703" xr:uid="{00000000-0005-0000-0000-000043280000}"/>
    <cellStyle name="Accent3 45" xfId="10704" xr:uid="{00000000-0005-0000-0000-000044280000}"/>
    <cellStyle name="Accent3 45 2" xfId="10705" xr:uid="{00000000-0005-0000-0000-000045280000}"/>
    <cellStyle name="Accent3 45 3" xfId="10706" xr:uid="{00000000-0005-0000-0000-000046280000}"/>
    <cellStyle name="Accent3 45 4" xfId="10707" xr:uid="{00000000-0005-0000-0000-000047280000}"/>
    <cellStyle name="Accent3 46" xfId="10708" xr:uid="{00000000-0005-0000-0000-000048280000}"/>
    <cellStyle name="Accent3 46 2" xfId="10709" xr:uid="{00000000-0005-0000-0000-000049280000}"/>
    <cellStyle name="Accent3 46 3" xfId="10710" xr:uid="{00000000-0005-0000-0000-00004A280000}"/>
    <cellStyle name="Accent3 46 4" xfId="10711" xr:uid="{00000000-0005-0000-0000-00004B280000}"/>
    <cellStyle name="Accent3 47" xfId="10712" xr:uid="{00000000-0005-0000-0000-00004C280000}"/>
    <cellStyle name="Accent3 47 2" xfId="10713" xr:uid="{00000000-0005-0000-0000-00004D280000}"/>
    <cellStyle name="Accent3 47 3" xfId="10714" xr:uid="{00000000-0005-0000-0000-00004E280000}"/>
    <cellStyle name="Accent3 47 4" xfId="10715" xr:uid="{00000000-0005-0000-0000-00004F280000}"/>
    <cellStyle name="Accent3 48" xfId="10716" xr:uid="{00000000-0005-0000-0000-000050280000}"/>
    <cellStyle name="Accent3 48 2" xfId="10717" xr:uid="{00000000-0005-0000-0000-000051280000}"/>
    <cellStyle name="Accent3 48 3" xfId="10718" xr:uid="{00000000-0005-0000-0000-000052280000}"/>
    <cellStyle name="Accent3 48 4" xfId="10719" xr:uid="{00000000-0005-0000-0000-000053280000}"/>
    <cellStyle name="Accent3 49" xfId="10720" xr:uid="{00000000-0005-0000-0000-000054280000}"/>
    <cellStyle name="Accent3 49 2" xfId="10721" xr:uid="{00000000-0005-0000-0000-000055280000}"/>
    <cellStyle name="Accent3 49 3" xfId="10722" xr:uid="{00000000-0005-0000-0000-000056280000}"/>
    <cellStyle name="Accent3 49 4" xfId="10723" xr:uid="{00000000-0005-0000-0000-000057280000}"/>
    <cellStyle name="Accent3 5" xfId="10724" xr:uid="{00000000-0005-0000-0000-000058280000}"/>
    <cellStyle name="Accent3 5 2" xfId="10725" xr:uid="{00000000-0005-0000-0000-000059280000}"/>
    <cellStyle name="Accent3 5 2 2" xfId="10726" xr:uid="{00000000-0005-0000-0000-00005A280000}"/>
    <cellStyle name="Accent3 5 2 2 2" xfId="10727" xr:uid="{00000000-0005-0000-0000-00005B280000}"/>
    <cellStyle name="Accent3 5 2 3" xfId="10728" xr:uid="{00000000-0005-0000-0000-00005C280000}"/>
    <cellStyle name="Accent3 5 3" xfId="10729" xr:uid="{00000000-0005-0000-0000-00005D280000}"/>
    <cellStyle name="Accent3 5 3 2" xfId="10730" xr:uid="{00000000-0005-0000-0000-00005E280000}"/>
    <cellStyle name="Accent3 5 4" xfId="10731" xr:uid="{00000000-0005-0000-0000-00005F280000}"/>
    <cellStyle name="Accent3 5 5" xfId="10732" xr:uid="{00000000-0005-0000-0000-000060280000}"/>
    <cellStyle name="Accent3 50" xfId="10733" xr:uid="{00000000-0005-0000-0000-000061280000}"/>
    <cellStyle name="Accent3 50 2" xfId="10734" xr:uid="{00000000-0005-0000-0000-000062280000}"/>
    <cellStyle name="Accent3 50 3" xfId="10735" xr:uid="{00000000-0005-0000-0000-000063280000}"/>
    <cellStyle name="Accent3 50 4" xfId="10736" xr:uid="{00000000-0005-0000-0000-000064280000}"/>
    <cellStyle name="Accent3 51" xfId="10737" xr:uid="{00000000-0005-0000-0000-000065280000}"/>
    <cellStyle name="Accent3 51 2" xfId="10738" xr:uid="{00000000-0005-0000-0000-000066280000}"/>
    <cellStyle name="Accent3 51 3" xfId="10739" xr:uid="{00000000-0005-0000-0000-000067280000}"/>
    <cellStyle name="Accent3 51 4" xfId="10740" xr:uid="{00000000-0005-0000-0000-000068280000}"/>
    <cellStyle name="Accent3 52" xfId="10741" xr:uid="{00000000-0005-0000-0000-000069280000}"/>
    <cellStyle name="Accent3 52 2" xfId="10742" xr:uid="{00000000-0005-0000-0000-00006A280000}"/>
    <cellStyle name="Accent3 52 3" xfId="10743" xr:uid="{00000000-0005-0000-0000-00006B280000}"/>
    <cellStyle name="Accent3 52 4" xfId="10744" xr:uid="{00000000-0005-0000-0000-00006C280000}"/>
    <cellStyle name="Accent3 53" xfId="10745" xr:uid="{00000000-0005-0000-0000-00006D280000}"/>
    <cellStyle name="Accent3 53 2" xfId="10746" xr:uid="{00000000-0005-0000-0000-00006E280000}"/>
    <cellStyle name="Accent3 53 3" xfId="10747" xr:uid="{00000000-0005-0000-0000-00006F280000}"/>
    <cellStyle name="Accent3 53 4" xfId="10748" xr:uid="{00000000-0005-0000-0000-000070280000}"/>
    <cellStyle name="Accent3 54" xfId="10749" xr:uid="{00000000-0005-0000-0000-000071280000}"/>
    <cellStyle name="Accent3 54 2" xfId="10750" xr:uid="{00000000-0005-0000-0000-000072280000}"/>
    <cellStyle name="Accent3 54 3" xfId="10751" xr:uid="{00000000-0005-0000-0000-000073280000}"/>
    <cellStyle name="Accent3 54 4" xfId="10752" xr:uid="{00000000-0005-0000-0000-000074280000}"/>
    <cellStyle name="Accent3 55" xfId="10753" xr:uid="{00000000-0005-0000-0000-000075280000}"/>
    <cellStyle name="Accent3 55 2" xfId="10754" xr:uid="{00000000-0005-0000-0000-000076280000}"/>
    <cellStyle name="Accent3 55 3" xfId="10755" xr:uid="{00000000-0005-0000-0000-000077280000}"/>
    <cellStyle name="Accent3 55 4" xfId="10756" xr:uid="{00000000-0005-0000-0000-000078280000}"/>
    <cellStyle name="Accent3 56" xfId="10757" xr:uid="{00000000-0005-0000-0000-000079280000}"/>
    <cellStyle name="Accent3 56 2" xfId="10758" xr:uid="{00000000-0005-0000-0000-00007A280000}"/>
    <cellStyle name="Accent3 56 3" xfId="10759" xr:uid="{00000000-0005-0000-0000-00007B280000}"/>
    <cellStyle name="Accent3 56 4" xfId="10760" xr:uid="{00000000-0005-0000-0000-00007C280000}"/>
    <cellStyle name="Accent3 57" xfId="10761" xr:uid="{00000000-0005-0000-0000-00007D280000}"/>
    <cellStyle name="Accent3 57 2" xfId="10762" xr:uid="{00000000-0005-0000-0000-00007E280000}"/>
    <cellStyle name="Accent3 57 3" xfId="10763" xr:uid="{00000000-0005-0000-0000-00007F280000}"/>
    <cellStyle name="Accent3 57 4" xfId="10764" xr:uid="{00000000-0005-0000-0000-000080280000}"/>
    <cellStyle name="Accent3 58" xfId="10765" xr:uid="{00000000-0005-0000-0000-000081280000}"/>
    <cellStyle name="Accent3 58 2" xfId="10766" xr:uid="{00000000-0005-0000-0000-000082280000}"/>
    <cellStyle name="Accent3 58 3" xfId="10767" xr:uid="{00000000-0005-0000-0000-000083280000}"/>
    <cellStyle name="Accent3 58 4" xfId="10768" xr:uid="{00000000-0005-0000-0000-000084280000}"/>
    <cellStyle name="Accent3 59" xfId="10769" xr:uid="{00000000-0005-0000-0000-000085280000}"/>
    <cellStyle name="Accent3 59 2" xfId="10770" xr:uid="{00000000-0005-0000-0000-000086280000}"/>
    <cellStyle name="Accent3 59 3" xfId="10771" xr:uid="{00000000-0005-0000-0000-000087280000}"/>
    <cellStyle name="Accent3 59 4" xfId="10772" xr:uid="{00000000-0005-0000-0000-000088280000}"/>
    <cellStyle name="Accent3 6" xfId="10773" xr:uid="{00000000-0005-0000-0000-000089280000}"/>
    <cellStyle name="Accent3 6 2" xfId="10774" xr:uid="{00000000-0005-0000-0000-00008A280000}"/>
    <cellStyle name="Accent3 6 2 2" xfId="10775" xr:uid="{00000000-0005-0000-0000-00008B280000}"/>
    <cellStyle name="Accent3 6 2 2 2" xfId="10776" xr:uid="{00000000-0005-0000-0000-00008C280000}"/>
    <cellStyle name="Accent3 6 2 3" xfId="10777" xr:uid="{00000000-0005-0000-0000-00008D280000}"/>
    <cellStyle name="Accent3 6 3" xfId="10778" xr:uid="{00000000-0005-0000-0000-00008E280000}"/>
    <cellStyle name="Accent3 6 3 2" xfId="10779" xr:uid="{00000000-0005-0000-0000-00008F280000}"/>
    <cellStyle name="Accent3 6 4" xfId="10780" xr:uid="{00000000-0005-0000-0000-000090280000}"/>
    <cellStyle name="Accent3 6 5" xfId="10781" xr:uid="{00000000-0005-0000-0000-000091280000}"/>
    <cellStyle name="Accent3 60" xfId="10782" xr:uid="{00000000-0005-0000-0000-000092280000}"/>
    <cellStyle name="Accent3 60 2" xfId="10783" xr:uid="{00000000-0005-0000-0000-000093280000}"/>
    <cellStyle name="Accent3 60 3" xfId="10784" xr:uid="{00000000-0005-0000-0000-000094280000}"/>
    <cellStyle name="Accent3 60 4" xfId="10785" xr:uid="{00000000-0005-0000-0000-000095280000}"/>
    <cellStyle name="Accent3 61" xfId="10786" xr:uid="{00000000-0005-0000-0000-000096280000}"/>
    <cellStyle name="Accent3 61 2" xfId="10787" xr:uid="{00000000-0005-0000-0000-000097280000}"/>
    <cellStyle name="Accent3 61 3" xfId="10788" xr:uid="{00000000-0005-0000-0000-000098280000}"/>
    <cellStyle name="Accent3 61 4" xfId="10789" xr:uid="{00000000-0005-0000-0000-000099280000}"/>
    <cellStyle name="Accent3 62" xfId="10790" xr:uid="{00000000-0005-0000-0000-00009A280000}"/>
    <cellStyle name="Accent3 62 2" xfId="10791" xr:uid="{00000000-0005-0000-0000-00009B280000}"/>
    <cellStyle name="Accent3 62 3" xfId="10792" xr:uid="{00000000-0005-0000-0000-00009C280000}"/>
    <cellStyle name="Accent3 62 4" xfId="10793" xr:uid="{00000000-0005-0000-0000-00009D280000}"/>
    <cellStyle name="Accent3 63" xfId="10794" xr:uid="{00000000-0005-0000-0000-00009E280000}"/>
    <cellStyle name="Accent3 63 2" xfId="10795" xr:uid="{00000000-0005-0000-0000-00009F280000}"/>
    <cellStyle name="Accent3 63 3" xfId="10796" xr:uid="{00000000-0005-0000-0000-0000A0280000}"/>
    <cellStyle name="Accent3 63 4" xfId="10797" xr:uid="{00000000-0005-0000-0000-0000A1280000}"/>
    <cellStyle name="Accent3 64" xfId="10798" xr:uid="{00000000-0005-0000-0000-0000A2280000}"/>
    <cellStyle name="Accent3 64 2" xfId="10799" xr:uid="{00000000-0005-0000-0000-0000A3280000}"/>
    <cellStyle name="Accent3 64 3" xfId="10800" xr:uid="{00000000-0005-0000-0000-0000A4280000}"/>
    <cellStyle name="Accent3 64 4" xfId="10801" xr:uid="{00000000-0005-0000-0000-0000A5280000}"/>
    <cellStyle name="Accent3 65" xfId="10802" xr:uid="{00000000-0005-0000-0000-0000A6280000}"/>
    <cellStyle name="Accent3 65 2" xfId="10803" xr:uid="{00000000-0005-0000-0000-0000A7280000}"/>
    <cellStyle name="Accent3 65 3" xfId="10804" xr:uid="{00000000-0005-0000-0000-0000A8280000}"/>
    <cellStyle name="Accent3 65 4" xfId="10805" xr:uid="{00000000-0005-0000-0000-0000A9280000}"/>
    <cellStyle name="Accent3 66" xfId="10806" xr:uid="{00000000-0005-0000-0000-0000AA280000}"/>
    <cellStyle name="Accent3 66 2" xfId="10807" xr:uid="{00000000-0005-0000-0000-0000AB280000}"/>
    <cellStyle name="Accent3 66 3" xfId="10808" xr:uid="{00000000-0005-0000-0000-0000AC280000}"/>
    <cellStyle name="Accent3 66 4" xfId="10809" xr:uid="{00000000-0005-0000-0000-0000AD280000}"/>
    <cellStyle name="Accent3 67" xfId="10810" xr:uid="{00000000-0005-0000-0000-0000AE280000}"/>
    <cellStyle name="Accent3 67 2" xfId="10811" xr:uid="{00000000-0005-0000-0000-0000AF280000}"/>
    <cellStyle name="Accent3 67 3" xfId="10812" xr:uid="{00000000-0005-0000-0000-0000B0280000}"/>
    <cellStyle name="Accent3 67 4" xfId="10813" xr:uid="{00000000-0005-0000-0000-0000B1280000}"/>
    <cellStyle name="Accent3 68" xfId="10814" xr:uid="{00000000-0005-0000-0000-0000B2280000}"/>
    <cellStyle name="Accent3 68 2" xfId="10815" xr:uid="{00000000-0005-0000-0000-0000B3280000}"/>
    <cellStyle name="Accent3 68 3" xfId="10816" xr:uid="{00000000-0005-0000-0000-0000B4280000}"/>
    <cellStyle name="Accent3 68 4" xfId="10817" xr:uid="{00000000-0005-0000-0000-0000B5280000}"/>
    <cellStyle name="Accent3 69" xfId="10818" xr:uid="{00000000-0005-0000-0000-0000B6280000}"/>
    <cellStyle name="Accent3 69 2" xfId="10819" xr:uid="{00000000-0005-0000-0000-0000B7280000}"/>
    <cellStyle name="Accent3 69 3" xfId="10820" xr:uid="{00000000-0005-0000-0000-0000B8280000}"/>
    <cellStyle name="Accent3 69 4" xfId="10821" xr:uid="{00000000-0005-0000-0000-0000B9280000}"/>
    <cellStyle name="Accent3 7" xfId="10822" xr:uid="{00000000-0005-0000-0000-0000BA280000}"/>
    <cellStyle name="Accent3 7 2" xfId="10823" xr:uid="{00000000-0005-0000-0000-0000BB280000}"/>
    <cellStyle name="Accent3 7 2 2" xfId="10824" xr:uid="{00000000-0005-0000-0000-0000BC280000}"/>
    <cellStyle name="Accent3 7 2 2 2" xfId="10825" xr:uid="{00000000-0005-0000-0000-0000BD280000}"/>
    <cellStyle name="Accent3 7 2 3" xfId="10826" xr:uid="{00000000-0005-0000-0000-0000BE280000}"/>
    <cellStyle name="Accent3 7 3" xfId="10827" xr:uid="{00000000-0005-0000-0000-0000BF280000}"/>
    <cellStyle name="Accent3 7 3 2" xfId="10828" xr:uid="{00000000-0005-0000-0000-0000C0280000}"/>
    <cellStyle name="Accent3 7 4" xfId="10829" xr:uid="{00000000-0005-0000-0000-0000C1280000}"/>
    <cellStyle name="Accent3 7 5" xfId="10830" xr:uid="{00000000-0005-0000-0000-0000C2280000}"/>
    <cellStyle name="Accent3 7 6" xfId="10831" xr:uid="{00000000-0005-0000-0000-0000C3280000}"/>
    <cellStyle name="Accent3 70" xfId="10832" xr:uid="{00000000-0005-0000-0000-0000C4280000}"/>
    <cellStyle name="Accent3 70 2" xfId="10833" xr:uid="{00000000-0005-0000-0000-0000C5280000}"/>
    <cellStyle name="Accent3 70 3" xfId="10834" xr:uid="{00000000-0005-0000-0000-0000C6280000}"/>
    <cellStyle name="Accent3 70 4" xfId="10835" xr:uid="{00000000-0005-0000-0000-0000C7280000}"/>
    <cellStyle name="Accent3 71" xfId="10836" xr:uid="{00000000-0005-0000-0000-0000C8280000}"/>
    <cellStyle name="Accent3 71 2" xfId="10837" xr:uid="{00000000-0005-0000-0000-0000C9280000}"/>
    <cellStyle name="Accent3 71 2 2" xfId="10838" xr:uid="{00000000-0005-0000-0000-0000CA280000}"/>
    <cellStyle name="Accent3 71 3" xfId="10839" xr:uid="{00000000-0005-0000-0000-0000CB280000}"/>
    <cellStyle name="Accent3 71 4" xfId="10840" xr:uid="{00000000-0005-0000-0000-0000CC280000}"/>
    <cellStyle name="Accent3 72" xfId="10841" xr:uid="{00000000-0005-0000-0000-0000CD280000}"/>
    <cellStyle name="Accent3 72 2" xfId="10842" xr:uid="{00000000-0005-0000-0000-0000CE280000}"/>
    <cellStyle name="Accent3 72 2 2" xfId="10843" xr:uid="{00000000-0005-0000-0000-0000CF280000}"/>
    <cellStyle name="Accent3 72 3" xfId="10844" xr:uid="{00000000-0005-0000-0000-0000D0280000}"/>
    <cellStyle name="Accent3 72 4" xfId="10845" xr:uid="{00000000-0005-0000-0000-0000D1280000}"/>
    <cellStyle name="Accent3 73" xfId="10846" xr:uid="{00000000-0005-0000-0000-0000D2280000}"/>
    <cellStyle name="Accent3 73 2" xfId="10847" xr:uid="{00000000-0005-0000-0000-0000D3280000}"/>
    <cellStyle name="Accent3 73 2 2" xfId="10848" xr:uid="{00000000-0005-0000-0000-0000D4280000}"/>
    <cellStyle name="Accent3 73 3" xfId="10849" xr:uid="{00000000-0005-0000-0000-0000D5280000}"/>
    <cellStyle name="Accent3 73 4" xfId="10850" xr:uid="{00000000-0005-0000-0000-0000D6280000}"/>
    <cellStyle name="Accent3 74" xfId="10851" xr:uid="{00000000-0005-0000-0000-0000D7280000}"/>
    <cellStyle name="Accent3 74 2" xfId="10852" xr:uid="{00000000-0005-0000-0000-0000D8280000}"/>
    <cellStyle name="Accent3 74 2 2" xfId="10853" xr:uid="{00000000-0005-0000-0000-0000D9280000}"/>
    <cellStyle name="Accent3 74 3" xfId="10854" xr:uid="{00000000-0005-0000-0000-0000DA280000}"/>
    <cellStyle name="Accent3 74 4" xfId="10855" xr:uid="{00000000-0005-0000-0000-0000DB280000}"/>
    <cellStyle name="Accent3 75" xfId="10856" xr:uid="{00000000-0005-0000-0000-0000DC280000}"/>
    <cellStyle name="Accent3 75 2" xfId="10857" xr:uid="{00000000-0005-0000-0000-0000DD280000}"/>
    <cellStyle name="Accent3 75 2 2" xfId="10858" xr:uid="{00000000-0005-0000-0000-0000DE280000}"/>
    <cellStyle name="Accent3 75 3" xfId="10859" xr:uid="{00000000-0005-0000-0000-0000DF280000}"/>
    <cellStyle name="Accent3 75 4" xfId="10860" xr:uid="{00000000-0005-0000-0000-0000E0280000}"/>
    <cellStyle name="Accent3 76" xfId="10861" xr:uid="{00000000-0005-0000-0000-0000E1280000}"/>
    <cellStyle name="Accent3 76 2" xfId="10862" xr:uid="{00000000-0005-0000-0000-0000E2280000}"/>
    <cellStyle name="Accent3 76 2 2" xfId="10863" xr:uid="{00000000-0005-0000-0000-0000E3280000}"/>
    <cellStyle name="Accent3 76 3" xfId="10864" xr:uid="{00000000-0005-0000-0000-0000E4280000}"/>
    <cellStyle name="Accent3 76 4" xfId="10865" xr:uid="{00000000-0005-0000-0000-0000E5280000}"/>
    <cellStyle name="Accent3 77" xfId="10866" xr:uid="{00000000-0005-0000-0000-0000E6280000}"/>
    <cellStyle name="Accent3 77 2" xfId="10867" xr:uid="{00000000-0005-0000-0000-0000E7280000}"/>
    <cellStyle name="Accent3 77 3" xfId="10868" xr:uid="{00000000-0005-0000-0000-0000E8280000}"/>
    <cellStyle name="Accent3 77 4" xfId="10869" xr:uid="{00000000-0005-0000-0000-0000E9280000}"/>
    <cellStyle name="Accent3 78" xfId="10870" xr:uid="{00000000-0005-0000-0000-0000EA280000}"/>
    <cellStyle name="Accent3 78 2" xfId="10871" xr:uid="{00000000-0005-0000-0000-0000EB280000}"/>
    <cellStyle name="Accent3 78 3" xfId="10872" xr:uid="{00000000-0005-0000-0000-0000EC280000}"/>
    <cellStyle name="Accent3 79" xfId="10873" xr:uid="{00000000-0005-0000-0000-0000ED280000}"/>
    <cellStyle name="Accent3 79 2" xfId="10874" xr:uid="{00000000-0005-0000-0000-0000EE280000}"/>
    <cellStyle name="Accent3 79 3" xfId="10875" xr:uid="{00000000-0005-0000-0000-0000EF280000}"/>
    <cellStyle name="Accent3 8" xfId="10876" xr:uid="{00000000-0005-0000-0000-0000F0280000}"/>
    <cellStyle name="Accent3 8 2" xfId="10877" xr:uid="{00000000-0005-0000-0000-0000F1280000}"/>
    <cellStyle name="Accent3 8 2 2" xfId="10878" xr:uid="{00000000-0005-0000-0000-0000F2280000}"/>
    <cellStyle name="Accent3 8 2 2 2" xfId="10879" xr:uid="{00000000-0005-0000-0000-0000F3280000}"/>
    <cellStyle name="Accent3 8 2 3" xfId="10880" xr:uid="{00000000-0005-0000-0000-0000F4280000}"/>
    <cellStyle name="Accent3 8 3" xfId="10881" xr:uid="{00000000-0005-0000-0000-0000F5280000}"/>
    <cellStyle name="Accent3 8 3 2" xfId="10882" xr:uid="{00000000-0005-0000-0000-0000F6280000}"/>
    <cellStyle name="Accent3 8 4" xfId="10883" xr:uid="{00000000-0005-0000-0000-0000F7280000}"/>
    <cellStyle name="Accent3 8 4 2" xfId="10884" xr:uid="{00000000-0005-0000-0000-0000F8280000}"/>
    <cellStyle name="Accent3 8 5" xfId="10885" xr:uid="{00000000-0005-0000-0000-0000F9280000}"/>
    <cellStyle name="Accent3 8 6" xfId="10886" xr:uid="{00000000-0005-0000-0000-0000FA280000}"/>
    <cellStyle name="Accent3 80" xfId="10887" xr:uid="{00000000-0005-0000-0000-0000FB280000}"/>
    <cellStyle name="Accent3 80 2" xfId="10888" xr:uid="{00000000-0005-0000-0000-0000FC280000}"/>
    <cellStyle name="Accent3 80 3" xfId="10889" xr:uid="{00000000-0005-0000-0000-0000FD280000}"/>
    <cellStyle name="Accent3 81" xfId="10890" xr:uid="{00000000-0005-0000-0000-0000FE280000}"/>
    <cellStyle name="Accent3 81 2" xfId="10891" xr:uid="{00000000-0005-0000-0000-0000FF280000}"/>
    <cellStyle name="Accent3 81 3" xfId="10892" xr:uid="{00000000-0005-0000-0000-000000290000}"/>
    <cellStyle name="Accent3 82" xfId="10893" xr:uid="{00000000-0005-0000-0000-000001290000}"/>
    <cellStyle name="Accent3 82 2" xfId="10894" xr:uid="{00000000-0005-0000-0000-000002290000}"/>
    <cellStyle name="Accent3 82 3" xfId="10895" xr:uid="{00000000-0005-0000-0000-000003290000}"/>
    <cellStyle name="Accent3 83" xfId="10896" xr:uid="{00000000-0005-0000-0000-000004290000}"/>
    <cellStyle name="Accent3 83 2" xfId="10897" xr:uid="{00000000-0005-0000-0000-000005290000}"/>
    <cellStyle name="Accent3 83 3" xfId="10898" xr:uid="{00000000-0005-0000-0000-000006290000}"/>
    <cellStyle name="Accent3 84" xfId="10899" xr:uid="{00000000-0005-0000-0000-000007290000}"/>
    <cellStyle name="Accent3 84 2" xfId="10900" xr:uid="{00000000-0005-0000-0000-000008290000}"/>
    <cellStyle name="Accent3 84 3" xfId="10901" xr:uid="{00000000-0005-0000-0000-000009290000}"/>
    <cellStyle name="Accent3 85" xfId="10902" xr:uid="{00000000-0005-0000-0000-00000A290000}"/>
    <cellStyle name="Accent3 85 2" xfId="10903" xr:uid="{00000000-0005-0000-0000-00000B290000}"/>
    <cellStyle name="Accent3 85 3" xfId="10904" xr:uid="{00000000-0005-0000-0000-00000C290000}"/>
    <cellStyle name="Accent3 86" xfId="10905" xr:uid="{00000000-0005-0000-0000-00000D290000}"/>
    <cellStyle name="Accent3 86 2" xfId="10906" xr:uid="{00000000-0005-0000-0000-00000E290000}"/>
    <cellStyle name="Accent3 86 3" xfId="10907" xr:uid="{00000000-0005-0000-0000-00000F290000}"/>
    <cellStyle name="Accent3 87" xfId="10908" xr:uid="{00000000-0005-0000-0000-000010290000}"/>
    <cellStyle name="Accent3 87 2" xfId="10909" xr:uid="{00000000-0005-0000-0000-000011290000}"/>
    <cellStyle name="Accent3 87 3" xfId="10910" xr:uid="{00000000-0005-0000-0000-000012290000}"/>
    <cellStyle name="Accent3 88" xfId="10911" xr:uid="{00000000-0005-0000-0000-000013290000}"/>
    <cellStyle name="Accent3 88 2" xfId="10912" xr:uid="{00000000-0005-0000-0000-000014290000}"/>
    <cellStyle name="Accent3 88 3" xfId="10913" xr:uid="{00000000-0005-0000-0000-000015290000}"/>
    <cellStyle name="Accent3 89" xfId="10914" xr:uid="{00000000-0005-0000-0000-000016290000}"/>
    <cellStyle name="Accent3 89 2" xfId="10915" xr:uid="{00000000-0005-0000-0000-000017290000}"/>
    <cellStyle name="Accent3 89 3" xfId="10916" xr:uid="{00000000-0005-0000-0000-000018290000}"/>
    <cellStyle name="Accent3 9" xfId="10917" xr:uid="{00000000-0005-0000-0000-000019290000}"/>
    <cellStyle name="Accent3 9 2" xfId="10918" xr:uid="{00000000-0005-0000-0000-00001A290000}"/>
    <cellStyle name="Accent3 9 2 2" xfId="10919" xr:uid="{00000000-0005-0000-0000-00001B290000}"/>
    <cellStyle name="Accent3 9 2 3" xfId="10920" xr:uid="{00000000-0005-0000-0000-00001C290000}"/>
    <cellStyle name="Accent3 9 3" xfId="10921" xr:uid="{00000000-0005-0000-0000-00001D290000}"/>
    <cellStyle name="Accent3 9 3 2" xfId="10922" xr:uid="{00000000-0005-0000-0000-00001E290000}"/>
    <cellStyle name="Accent3 9 4" xfId="10923" xr:uid="{00000000-0005-0000-0000-00001F290000}"/>
    <cellStyle name="Accent3 9 5" xfId="10924" xr:uid="{00000000-0005-0000-0000-000020290000}"/>
    <cellStyle name="Accent3 9 6" xfId="10925" xr:uid="{00000000-0005-0000-0000-000021290000}"/>
    <cellStyle name="Accent3 9 7" xfId="10926" xr:uid="{00000000-0005-0000-0000-000022290000}"/>
    <cellStyle name="Accent3 90" xfId="10927" xr:uid="{00000000-0005-0000-0000-000023290000}"/>
    <cellStyle name="Accent3 90 2" xfId="10928" xr:uid="{00000000-0005-0000-0000-000024290000}"/>
    <cellStyle name="Accent3 90 3" xfId="10929" xr:uid="{00000000-0005-0000-0000-000025290000}"/>
    <cellStyle name="Accent3 91" xfId="10930" xr:uid="{00000000-0005-0000-0000-000026290000}"/>
    <cellStyle name="Accent3 91 2" xfId="10931" xr:uid="{00000000-0005-0000-0000-000027290000}"/>
    <cellStyle name="Accent3 91 3" xfId="10932" xr:uid="{00000000-0005-0000-0000-000028290000}"/>
    <cellStyle name="Accent3 92" xfId="10933" xr:uid="{00000000-0005-0000-0000-000029290000}"/>
    <cellStyle name="Accent3 92 2" xfId="10934" xr:uid="{00000000-0005-0000-0000-00002A290000}"/>
    <cellStyle name="Accent3 92 3" xfId="10935" xr:uid="{00000000-0005-0000-0000-00002B290000}"/>
    <cellStyle name="Accent3 93" xfId="10936" xr:uid="{00000000-0005-0000-0000-00002C290000}"/>
    <cellStyle name="Accent3 93 2" xfId="10937" xr:uid="{00000000-0005-0000-0000-00002D290000}"/>
    <cellStyle name="Accent3 93 3" xfId="10938" xr:uid="{00000000-0005-0000-0000-00002E290000}"/>
    <cellStyle name="Accent3 94" xfId="10939" xr:uid="{00000000-0005-0000-0000-00002F290000}"/>
    <cellStyle name="Accent3 94 2" xfId="10940" xr:uid="{00000000-0005-0000-0000-000030290000}"/>
    <cellStyle name="Accent3 94 3" xfId="10941" xr:uid="{00000000-0005-0000-0000-000031290000}"/>
    <cellStyle name="Accent3 95" xfId="10942" xr:uid="{00000000-0005-0000-0000-000032290000}"/>
    <cellStyle name="Accent3 95 2" xfId="10943" xr:uid="{00000000-0005-0000-0000-000033290000}"/>
    <cellStyle name="Accent3 95 3" xfId="10944" xr:uid="{00000000-0005-0000-0000-000034290000}"/>
    <cellStyle name="Accent3 96" xfId="10945" xr:uid="{00000000-0005-0000-0000-000035290000}"/>
    <cellStyle name="Accent3 96 2" xfId="10946" xr:uid="{00000000-0005-0000-0000-000036290000}"/>
    <cellStyle name="Accent3 96 3" xfId="10947" xr:uid="{00000000-0005-0000-0000-000037290000}"/>
    <cellStyle name="Accent3 97" xfId="10948" xr:uid="{00000000-0005-0000-0000-000038290000}"/>
    <cellStyle name="Accent3 97 2" xfId="10949" xr:uid="{00000000-0005-0000-0000-000039290000}"/>
    <cellStyle name="Accent3 97 3" xfId="10950" xr:uid="{00000000-0005-0000-0000-00003A290000}"/>
    <cellStyle name="Accent3 98" xfId="10951" xr:uid="{00000000-0005-0000-0000-00003B290000}"/>
    <cellStyle name="Accent3 98 2" xfId="10952" xr:uid="{00000000-0005-0000-0000-00003C290000}"/>
    <cellStyle name="Accent3 98 3" xfId="10953" xr:uid="{00000000-0005-0000-0000-00003D290000}"/>
    <cellStyle name="Accent3 99" xfId="10954" xr:uid="{00000000-0005-0000-0000-00003E290000}"/>
    <cellStyle name="Accent3 99 2" xfId="10955" xr:uid="{00000000-0005-0000-0000-00003F290000}"/>
    <cellStyle name="Accent3 99 3" xfId="10956" xr:uid="{00000000-0005-0000-0000-000040290000}"/>
    <cellStyle name="Accent4 - 20%" xfId="10957" xr:uid="{00000000-0005-0000-0000-000041290000}"/>
    <cellStyle name="Accent4 - 20% 2" xfId="10958" xr:uid="{00000000-0005-0000-0000-000042290000}"/>
    <cellStyle name="Accent4 - 20% 2 2" xfId="10959" xr:uid="{00000000-0005-0000-0000-000043290000}"/>
    <cellStyle name="Accent4 - 20% 2 2 2" xfId="10960" xr:uid="{00000000-0005-0000-0000-000044290000}"/>
    <cellStyle name="Accent4 - 20% 2 2 3" xfId="10961" xr:uid="{00000000-0005-0000-0000-000045290000}"/>
    <cellStyle name="Accent4 - 20% 2 3" xfId="10962" xr:uid="{00000000-0005-0000-0000-000046290000}"/>
    <cellStyle name="Accent4 - 20% 2 3 2" xfId="10963" xr:uid="{00000000-0005-0000-0000-000047290000}"/>
    <cellStyle name="Accent4 - 20% 2 4" xfId="10964" xr:uid="{00000000-0005-0000-0000-000048290000}"/>
    <cellStyle name="Accent4 - 20% 2 5" xfId="10965" xr:uid="{00000000-0005-0000-0000-000049290000}"/>
    <cellStyle name="Accent4 - 20% 3" xfId="10966" xr:uid="{00000000-0005-0000-0000-00004A290000}"/>
    <cellStyle name="Accent4 - 20% 3 2" xfId="10967" xr:uid="{00000000-0005-0000-0000-00004B290000}"/>
    <cellStyle name="Accent4 - 20% 3 2 2" xfId="10968" xr:uid="{00000000-0005-0000-0000-00004C290000}"/>
    <cellStyle name="Accent4 - 20% 3 3" xfId="10969" xr:uid="{00000000-0005-0000-0000-00004D290000}"/>
    <cellStyle name="Accent4 - 20% 4" xfId="10970" xr:uid="{00000000-0005-0000-0000-00004E290000}"/>
    <cellStyle name="Accent4 - 20% 4 2" xfId="10971" xr:uid="{00000000-0005-0000-0000-00004F290000}"/>
    <cellStyle name="Accent4 - 20% 5" xfId="10972" xr:uid="{00000000-0005-0000-0000-000050290000}"/>
    <cellStyle name="Accent4 - 20% 5 2" xfId="10973" xr:uid="{00000000-0005-0000-0000-000051290000}"/>
    <cellStyle name="Accent4 - 20% 6" xfId="10974" xr:uid="{00000000-0005-0000-0000-000052290000}"/>
    <cellStyle name="Accent4 - 20% 7" xfId="10975" xr:uid="{00000000-0005-0000-0000-000053290000}"/>
    <cellStyle name="Accent4 - 20% 8" xfId="10976" xr:uid="{00000000-0005-0000-0000-000054290000}"/>
    <cellStyle name="Accent4 - 20% 9" xfId="10977" xr:uid="{00000000-0005-0000-0000-000055290000}"/>
    <cellStyle name="Accent4 - 40%" xfId="10978" xr:uid="{00000000-0005-0000-0000-000056290000}"/>
    <cellStyle name="Accent4 - 40% 2" xfId="10979" xr:uid="{00000000-0005-0000-0000-000057290000}"/>
    <cellStyle name="Accent4 - 40% 2 2" xfId="10980" xr:uid="{00000000-0005-0000-0000-000058290000}"/>
    <cellStyle name="Accent4 - 40% 2 2 2" xfId="10981" xr:uid="{00000000-0005-0000-0000-000059290000}"/>
    <cellStyle name="Accent4 - 40% 2 2 3" xfId="10982" xr:uid="{00000000-0005-0000-0000-00005A290000}"/>
    <cellStyle name="Accent4 - 40% 2 3" xfId="10983" xr:uid="{00000000-0005-0000-0000-00005B290000}"/>
    <cellStyle name="Accent4 - 40% 2 3 2" xfId="10984" xr:uid="{00000000-0005-0000-0000-00005C290000}"/>
    <cellStyle name="Accent4 - 40% 2 4" xfId="10985" xr:uid="{00000000-0005-0000-0000-00005D290000}"/>
    <cellStyle name="Accent4 - 40% 2 5" xfId="10986" xr:uid="{00000000-0005-0000-0000-00005E290000}"/>
    <cellStyle name="Accent4 - 40% 3" xfId="10987" xr:uid="{00000000-0005-0000-0000-00005F290000}"/>
    <cellStyle name="Accent4 - 40% 3 2" xfId="10988" xr:uid="{00000000-0005-0000-0000-000060290000}"/>
    <cellStyle name="Accent4 - 40% 3 2 2" xfId="10989" xr:uid="{00000000-0005-0000-0000-000061290000}"/>
    <cellStyle name="Accent4 - 40% 3 3" xfId="10990" xr:uid="{00000000-0005-0000-0000-000062290000}"/>
    <cellStyle name="Accent4 - 40% 4" xfId="10991" xr:uid="{00000000-0005-0000-0000-000063290000}"/>
    <cellStyle name="Accent4 - 40% 4 2" xfId="10992" xr:uid="{00000000-0005-0000-0000-000064290000}"/>
    <cellStyle name="Accent4 - 40% 5" xfId="10993" xr:uid="{00000000-0005-0000-0000-000065290000}"/>
    <cellStyle name="Accent4 - 40% 5 2" xfId="10994" xr:uid="{00000000-0005-0000-0000-000066290000}"/>
    <cellStyle name="Accent4 - 40% 6" xfId="10995" xr:uid="{00000000-0005-0000-0000-000067290000}"/>
    <cellStyle name="Accent4 - 40% 7" xfId="10996" xr:uid="{00000000-0005-0000-0000-000068290000}"/>
    <cellStyle name="Accent4 - 40% 8" xfId="10997" xr:uid="{00000000-0005-0000-0000-000069290000}"/>
    <cellStyle name="Accent4 - 40% 9" xfId="10998" xr:uid="{00000000-0005-0000-0000-00006A290000}"/>
    <cellStyle name="Accent4 - 60%" xfId="10999" xr:uid="{00000000-0005-0000-0000-00006B290000}"/>
    <cellStyle name="Accent4 - 60% 2" xfId="11000" xr:uid="{00000000-0005-0000-0000-00006C290000}"/>
    <cellStyle name="Accent4 - 60% 2 2" xfId="11001" xr:uid="{00000000-0005-0000-0000-00006D290000}"/>
    <cellStyle name="Accent4 - 60% 2 2 2" xfId="11002" xr:uid="{00000000-0005-0000-0000-00006E290000}"/>
    <cellStyle name="Accent4 - 60% 2 2 3" xfId="11003" xr:uid="{00000000-0005-0000-0000-00006F290000}"/>
    <cellStyle name="Accent4 - 60% 2 3" xfId="11004" xr:uid="{00000000-0005-0000-0000-000070290000}"/>
    <cellStyle name="Accent4 - 60% 2 3 2" xfId="11005" xr:uid="{00000000-0005-0000-0000-000071290000}"/>
    <cellStyle name="Accent4 - 60% 2 4" xfId="11006" xr:uid="{00000000-0005-0000-0000-000072290000}"/>
    <cellStyle name="Accent4 - 60% 2 5" xfId="11007" xr:uid="{00000000-0005-0000-0000-000073290000}"/>
    <cellStyle name="Accent4 - 60% 3" xfId="11008" xr:uid="{00000000-0005-0000-0000-000074290000}"/>
    <cellStyle name="Accent4 - 60% 3 2" xfId="11009" xr:uid="{00000000-0005-0000-0000-000075290000}"/>
    <cellStyle name="Accent4 - 60% 3 2 2" xfId="11010" xr:uid="{00000000-0005-0000-0000-000076290000}"/>
    <cellStyle name="Accent4 - 60% 3 3" xfId="11011" xr:uid="{00000000-0005-0000-0000-000077290000}"/>
    <cellStyle name="Accent4 - 60% 4" xfId="11012" xr:uid="{00000000-0005-0000-0000-000078290000}"/>
    <cellStyle name="Accent4 - 60% 4 2" xfId="11013" xr:uid="{00000000-0005-0000-0000-000079290000}"/>
    <cellStyle name="Accent4 - 60% 5" xfId="11014" xr:uid="{00000000-0005-0000-0000-00007A290000}"/>
    <cellStyle name="Accent4 - 60% 5 2" xfId="11015" xr:uid="{00000000-0005-0000-0000-00007B290000}"/>
    <cellStyle name="Accent4 - 60% 6" xfId="11016" xr:uid="{00000000-0005-0000-0000-00007C290000}"/>
    <cellStyle name="Accent4 - 60% 7" xfId="11017" xr:uid="{00000000-0005-0000-0000-00007D290000}"/>
    <cellStyle name="Accent4 - 60% 8" xfId="11018" xr:uid="{00000000-0005-0000-0000-00007E290000}"/>
    <cellStyle name="Accent4 - 60% 9" xfId="11019" xr:uid="{00000000-0005-0000-0000-00007F290000}"/>
    <cellStyle name="Accent4 10" xfId="11020" xr:uid="{00000000-0005-0000-0000-000080290000}"/>
    <cellStyle name="Accent4 10 2" xfId="11021" xr:uid="{00000000-0005-0000-0000-000081290000}"/>
    <cellStyle name="Accent4 10 2 2" xfId="11022" xr:uid="{00000000-0005-0000-0000-000082290000}"/>
    <cellStyle name="Accent4 10 2 3" xfId="11023" xr:uid="{00000000-0005-0000-0000-000083290000}"/>
    <cellStyle name="Accent4 10 3" xfId="11024" xr:uid="{00000000-0005-0000-0000-000084290000}"/>
    <cellStyle name="Accent4 10 3 2" xfId="11025" xr:uid="{00000000-0005-0000-0000-000085290000}"/>
    <cellStyle name="Accent4 10 4" xfId="11026" xr:uid="{00000000-0005-0000-0000-000086290000}"/>
    <cellStyle name="Accent4 10 5" xfId="11027" xr:uid="{00000000-0005-0000-0000-000087290000}"/>
    <cellStyle name="Accent4 10 6" xfId="11028" xr:uid="{00000000-0005-0000-0000-000088290000}"/>
    <cellStyle name="Accent4 10 7" xfId="11029" xr:uid="{00000000-0005-0000-0000-000089290000}"/>
    <cellStyle name="Accent4 100" xfId="11030" xr:uid="{00000000-0005-0000-0000-00008A290000}"/>
    <cellStyle name="Accent4 100 2" xfId="11031" xr:uid="{00000000-0005-0000-0000-00008B290000}"/>
    <cellStyle name="Accent4 101" xfId="11032" xr:uid="{00000000-0005-0000-0000-00008C290000}"/>
    <cellStyle name="Accent4 101 2" xfId="11033" xr:uid="{00000000-0005-0000-0000-00008D290000}"/>
    <cellStyle name="Accent4 102" xfId="11034" xr:uid="{00000000-0005-0000-0000-00008E290000}"/>
    <cellStyle name="Accent4 102 2" xfId="11035" xr:uid="{00000000-0005-0000-0000-00008F290000}"/>
    <cellStyle name="Accent4 103" xfId="11036" xr:uid="{00000000-0005-0000-0000-000090290000}"/>
    <cellStyle name="Accent4 103 2" xfId="11037" xr:uid="{00000000-0005-0000-0000-000091290000}"/>
    <cellStyle name="Accent4 104" xfId="11038" xr:uid="{00000000-0005-0000-0000-000092290000}"/>
    <cellStyle name="Accent4 104 2" xfId="11039" xr:uid="{00000000-0005-0000-0000-000093290000}"/>
    <cellStyle name="Accent4 105" xfId="11040" xr:uid="{00000000-0005-0000-0000-000094290000}"/>
    <cellStyle name="Accent4 105 2" xfId="11041" xr:uid="{00000000-0005-0000-0000-000095290000}"/>
    <cellStyle name="Accent4 106" xfId="11042" xr:uid="{00000000-0005-0000-0000-000096290000}"/>
    <cellStyle name="Accent4 106 2" xfId="11043" xr:uid="{00000000-0005-0000-0000-000097290000}"/>
    <cellStyle name="Accent4 107" xfId="11044" xr:uid="{00000000-0005-0000-0000-000098290000}"/>
    <cellStyle name="Accent4 107 2" xfId="11045" xr:uid="{00000000-0005-0000-0000-000099290000}"/>
    <cellStyle name="Accent4 108" xfId="11046" xr:uid="{00000000-0005-0000-0000-00009A290000}"/>
    <cellStyle name="Accent4 108 2" xfId="11047" xr:uid="{00000000-0005-0000-0000-00009B290000}"/>
    <cellStyle name="Accent4 109" xfId="11048" xr:uid="{00000000-0005-0000-0000-00009C290000}"/>
    <cellStyle name="Accent4 109 2" xfId="11049" xr:uid="{00000000-0005-0000-0000-00009D290000}"/>
    <cellStyle name="Accent4 11" xfId="11050" xr:uid="{00000000-0005-0000-0000-00009E290000}"/>
    <cellStyle name="Accent4 11 2" xfId="11051" xr:uid="{00000000-0005-0000-0000-00009F290000}"/>
    <cellStyle name="Accent4 11 2 2" xfId="11052" xr:uid="{00000000-0005-0000-0000-0000A0290000}"/>
    <cellStyle name="Accent4 11 2 3" xfId="11053" xr:uid="{00000000-0005-0000-0000-0000A1290000}"/>
    <cellStyle name="Accent4 11 3" xfId="11054" xr:uid="{00000000-0005-0000-0000-0000A2290000}"/>
    <cellStyle name="Accent4 11 3 2" xfId="11055" xr:uid="{00000000-0005-0000-0000-0000A3290000}"/>
    <cellStyle name="Accent4 11 4" xfId="11056" xr:uid="{00000000-0005-0000-0000-0000A4290000}"/>
    <cellStyle name="Accent4 11 5" xfId="11057" xr:uid="{00000000-0005-0000-0000-0000A5290000}"/>
    <cellStyle name="Accent4 11 6" xfId="11058" xr:uid="{00000000-0005-0000-0000-0000A6290000}"/>
    <cellStyle name="Accent4 11 7" xfId="11059" xr:uid="{00000000-0005-0000-0000-0000A7290000}"/>
    <cellStyle name="Accent4 11 8" xfId="11060" xr:uid="{00000000-0005-0000-0000-0000A8290000}"/>
    <cellStyle name="Accent4 110" xfId="11061" xr:uid="{00000000-0005-0000-0000-0000A9290000}"/>
    <cellStyle name="Accent4 110 2" xfId="11062" xr:uid="{00000000-0005-0000-0000-0000AA290000}"/>
    <cellStyle name="Accent4 111" xfId="11063" xr:uid="{00000000-0005-0000-0000-0000AB290000}"/>
    <cellStyle name="Accent4 112" xfId="11064" xr:uid="{00000000-0005-0000-0000-0000AC290000}"/>
    <cellStyle name="Accent4 113" xfId="11065" xr:uid="{00000000-0005-0000-0000-0000AD290000}"/>
    <cellStyle name="Accent4 114" xfId="11066" xr:uid="{00000000-0005-0000-0000-0000AE290000}"/>
    <cellStyle name="Accent4 115" xfId="11067" xr:uid="{00000000-0005-0000-0000-0000AF290000}"/>
    <cellStyle name="Accent4 116" xfId="11068" xr:uid="{00000000-0005-0000-0000-0000B0290000}"/>
    <cellStyle name="Accent4 117" xfId="11069" xr:uid="{00000000-0005-0000-0000-0000B1290000}"/>
    <cellStyle name="Accent4 118" xfId="11070" xr:uid="{00000000-0005-0000-0000-0000B2290000}"/>
    <cellStyle name="Accent4 119" xfId="11071" xr:uid="{00000000-0005-0000-0000-0000B3290000}"/>
    <cellStyle name="Accent4 12" xfId="11072" xr:uid="{00000000-0005-0000-0000-0000B4290000}"/>
    <cellStyle name="Accent4 12 2" xfId="11073" xr:uid="{00000000-0005-0000-0000-0000B5290000}"/>
    <cellStyle name="Accent4 12 2 2" xfId="11074" xr:uid="{00000000-0005-0000-0000-0000B6290000}"/>
    <cellStyle name="Accent4 12 2 3" xfId="11075" xr:uid="{00000000-0005-0000-0000-0000B7290000}"/>
    <cellStyle name="Accent4 12 3" xfId="11076" xr:uid="{00000000-0005-0000-0000-0000B8290000}"/>
    <cellStyle name="Accent4 12 3 2" xfId="11077" xr:uid="{00000000-0005-0000-0000-0000B9290000}"/>
    <cellStyle name="Accent4 12 4" xfId="11078" xr:uid="{00000000-0005-0000-0000-0000BA290000}"/>
    <cellStyle name="Accent4 12 5" xfId="11079" xr:uid="{00000000-0005-0000-0000-0000BB290000}"/>
    <cellStyle name="Accent4 12 6" xfId="11080" xr:uid="{00000000-0005-0000-0000-0000BC290000}"/>
    <cellStyle name="Accent4 120" xfId="11081" xr:uid="{00000000-0005-0000-0000-0000BD290000}"/>
    <cellStyle name="Accent4 121" xfId="11082" xr:uid="{00000000-0005-0000-0000-0000BE290000}"/>
    <cellStyle name="Accent4 122" xfId="11083" xr:uid="{00000000-0005-0000-0000-0000BF290000}"/>
    <cellStyle name="Accent4 123" xfId="11084" xr:uid="{00000000-0005-0000-0000-0000C0290000}"/>
    <cellStyle name="Accent4 124" xfId="11085" xr:uid="{00000000-0005-0000-0000-0000C1290000}"/>
    <cellStyle name="Accent4 125" xfId="11086" xr:uid="{00000000-0005-0000-0000-0000C2290000}"/>
    <cellStyle name="Accent4 126" xfId="11087" xr:uid="{00000000-0005-0000-0000-0000C3290000}"/>
    <cellStyle name="Accent4 127" xfId="11088" xr:uid="{00000000-0005-0000-0000-0000C4290000}"/>
    <cellStyle name="Accent4 128" xfId="11089" xr:uid="{00000000-0005-0000-0000-0000C5290000}"/>
    <cellStyle name="Accent4 129" xfId="11090" xr:uid="{00000000-0005-0000-0000-0000C6290000}"/>
    <cellStyle name="Accent4 13" xfId="11091" xr:uid="{00000000-0005-0000-0000-0000C7290000}"/>
    <cellStyle name="Accent4 13 2" xfId="11092" xr:uid="{00000000-0005-0000-0000-0000C8290000}"/>
    <cellStyle name="Accent4 13 2 2" xfId="11093" xr:uid="{00000000-0005-0000-0000-0000C9290000}"/>
    <cellStyle name="Accent4 13 2 3" xfId="11094" xr:uid="{00000000-0005-0000-0000-0000CA290000}"/>
    <cellStyle name="Accent4 13 3" xfId="11095" xr:uid="{00000000-0005-0000-0000-0000CB290000}"/>
    <cellStyle name="Accent4 13 3 2" xfId="11096" xr:uid="{00000000-0005-0000-0000-0000CC290000}"/>
    <cellStyle name="Accent4 13 4" xfId="11097" xr:uid="{00000000-0005-0000-0000-0000CD290000}"/>
    <cellStyle name="Accent4 13 5" xfId="11098" xr:uid="{00000000-0005-0000-0000-0000CE290000}"/>
    <cellStyle name="Accent4 13 6" xfId="11099" xr:uid="{00000000-0005-0000-0000-0000CF290000}"/>
    <cellStyle name="Accent4 130" xfId="11100" xr:uid="{00000000-0005-0000-0000-0000D0290000}"/>
    <cellStyle name="Accent4 131" xfId="11101" xr:uid="{00000000-0005-0000-0000-0000D1290000}"/>
    <cellStyle name="Accent4 132" xfId="11102" xr:uid="{00000000-0005-0000-0000-0000D2290000}"/>
    <cellStyle name="Accent4 133" xfId="11103" xr:uid="{00000000-0005-0000-0000-0000D3290000}"/>
    <cellStyle name="Accent4 134" xfId="11104" xr:uid="{00000000-0005-0000-0000-0000D4290000}"/>
    <cellStyle name="Accent4 135" xfId="11105" xr:uid="{00000000-0005-0000-0000-0000D5290000}"/>
    <cellStyle name="Accent4 136" xfId="11106" xr:uid="{00000000-0005-0000-0000-0000D6290000}"/>
    <cellStyle name="Accent4 137" xfId="11107" xr:uid="{00000000-0005-0000-0000-0000D7290000}"/>
    <cellStyle name="Accent4 138" xfId="11108" xr:uid="{00000000-0005-0000-0000-0000D8290000}"/>
    <cellStyle name="Accent4 139" xfId="11109" xr:uid="{00000000-0005-0000-0000-0000D9290000}"/>
    <cellStyle name="Accent4 14" xfId="11110" xr:uid="{00000000-0005-0000-0000-0000DA290000}"/>
    <cellStyle name="Accent4 14 2" xfId="11111" xr:uid="{00000000-0005-0000-0000-0000DB290000}"/>
    <cellStyle name="Accent4 14 2 2" xfId="11112" xr:uid="{00000000-0005-0000-0000-0000DC290000}"/>
    <cellStyle name="Accent4 14 2 3" xfId="11113" xr:uid="{00000000-0005-0000-0000-0000DD290000}"/>
    <cellStyle name="Accent4 14 3" xfId="11114" xr:uid="{00000000-0005-0000-0000-0000DE290000}"/>
    <cellStyle name="Accent4 14 3 2" xfId="11115" xr:uid="{00000000-0005-0000-0000-0000DF290000}"/>
    <cellStyle name="Accent4 14 4" xfId="11116" xr:uid="{00000000-0005-0000-0000-0000E0290000}"/>
    <cellStyle name="Accent4 14 5" xfId="11117" xr:uid="{00000000-0005-0000-0000-0000E1290000}"/>
    <cellStyle name="Accent4 14 6" xfId="11118" xr:uid="{00000000-0005-0000-0000-0000E2290000}"/>
    <cellStyle name="Accent4 140" xfId="11119" xr:uid="{00000000-0005-0000-0000-0000E3290000}"/>
    <cellStyle name="Accent4 141" xfId="11120" xr:uid="{00000000-0005-0000-0000-0000E4290000}"/>
    <cellStyle name="Accent4 142" xfId="11121" xr:uid="{00000000-0005-0000-0000-0000E5290000}"/>
    <cellStyle name="Accent4 143" xfId="11122" xr:uid="{00000000-0005-0000-0000-0000E6290000}"/>
    <cellStyle name="Accent4 144" xfId="11123" xr:uid="{00000000-0005-0000-0000-0000E7290000}"/>
    <cellStyle name="Accent4 145" xfId="11124" xr:uid="{00000000-0005-0000-0000-0000E8290000}"/>
    <cellStyle name="Accent4 146" xfId="11125" xr:uid="{00000000-0005-0000-0000-0000E9290000}"/>
    <cellStyle name="Accent4 147" xfId="11126" xr:uid="{00000000-0005-0000-0000-0000EA290000}"/>
    <cellStyle name="Accent4 148" xfId="11127" xr:uid="{00000000-0005-0000-0000-0000EB290000}"/>
    <cellStyle name="Accent4 149" xfId="11128" xr:uid="{00000000-0005-0000-0000-0000EC290000}"/>
    <cellStyle name="Accent4 15" xfId="11129" xr:uid="{00000000-0005-0000-0000-0000ED290000}"/>
    <cellStyle name="Accent4 15 2" xfId="11130" xr:uid="{00000000-0005-0000-0000-0000EE290000}"/>
    <cellStyle name="Accent4 15 2 2" xfId="11131" xr:uid="{00000000-0005-0000-0000-0000EF290000}"/>
    <cellStyle name="Accent4 15 2 3" xfId="11132" xr:uid="{00000000-0005-0000-0000-0000F0290000}"/>
    <cellStyle name="Accent4 15 3" xfId="11133" xr:uid="{00000000-0005-0000-0000-0000F1290000}"/>
    <cellStyle name="Accent4 15 3 2" xfId="11134" xr:uid="{00000000-0005-0000-0000-0000F2290000}"/>
    <cellStyle name="Accent4 15 4" xfId="11135" xr:uid="{00000000-0005-0000-0000-0000F3290000}"/>
    <cellStyle name="Accent4 15 5" xfId="11136" xr:uid="{00000000-0005-0000-0000-0000F4290000}"/>
    <cellStyle name="Accent4 15 6" xfId="11137" xr:uid="{00000000-0005-0000-0000-0000F5290000}"/>
    <cellStyle name="Accent4 150" xfId="11138" xr:uid="{00000000-0005-0000-0000-0000F6290000}"/>
    <cellStyle name="Accent4 151" xfId="11139" xr:uid="{00000000-0005-0000-0000-0000F7290000}"/>
    <cellStyle name="Accent4 152" xfId="11140" xr:uid="{00000000-0005-0000-0000-0000F8290000}"/>
    <cellStyle name="Accent4 153" xfId="11141" xr:uid="{00000000-0005-0000-0000-0000F9290000}"/>
    <cellStyle name="Accent4 154" xfId="11142" xr:uid="{00000000-0005-0000-0000-0000FA290000}"/>
    <cellStyle name="Accent4 155" xfId="11143" xr:uid="{00000000-0005-0000-0000-0000FB290000}"/>
    <cellStyle name="Accent4 156" xfId="11144" xr:uid="{00000000-0005-0000-0000-0000FC290000}"/>
    <cellStyle name="Accent4 157" xfId="11145" xr:uid="{00000000-0005-0000-0000-0000FD290000}"/>
    <cellStyle name="Accent4 158" xfId="11146" xr:uid="{00000000-0005-0000-0000-0000FE290000}"/>
    <cellStyle name="Accent4 159" xfId="11147" xr:uid="{00000000-0005-0000-0000-0000FF290000}"/>
    <cellStyle name="Accent4 16" xfId="11148" xr:uid="{00000000-0005-0000-0000-0000002A0000}"/>
    <cellStyle name="Accent4 16 2" xfId="11149" xr:uid="{00000000-0005-0000-0000-0000012A0000}"/>
    <cellStyle name="Accent4 16 2 2" xfId="11150" xr:uid="{00000000-0005-0000-0000-0000022A0000}"/>
    <cellStyle name="Accent4 16 2 3" xfId="11151" xr:uid="{00000000-0005-0000-0000-0000032A0000}"/>
    <cellStyle name="Accent4 16 3" xfId="11152" xr:uid="{00000000-0005-0000-0000-0000042A0000}"/>
    <cellStyle name="Accent4 16 3 2" xfId="11153" xr:uid="{00000000-0005-0000-0000-0000052A0000}"/>
    <cellStyle name="Accent4 16 4" xfId="11154" xr:uid="{00000000-0005-0000-0000-0000062A0000}"/>
    <cellStyle name="Accent4 16 5" xfId="11155" xr:uid="{00000000-0005-0000-0000-0000072A0000}"/>
    <cellStyle name="Accent4 16 6" xfId="11156" xr:uid="{00000000-0005-0000-0000-0000082A0000}"/>
    <cellStyle name="Accent4 160" xfId="11157" xr:uid="{00000000-0005-0000-0000-0000092A0000}"/>
    <cellStyle name="Accent4 161" xfId="11158" xr:uid="{00000000-0005-0000-0000-00000A2A0000}"/>
    <cellStyle name="Accent4 162" xfId="11159" xr:uid="{00000000-0005-0000-0000-00000B2A0000}"/>
    <cellStyle name="Accent4 163" xfId="11160" xr:uid="{00000000-0005-0000-0000-00000C2A0000}"/>
    <cellStyle name="Accent4 164" xfId="11161" xr:uid="{00000000-0005-0000-0000-00000D2A0000}"/>
    <cellStyle name="Accent4 165" xfId="11162" xr:uid="{00000000-0005-0000-0000-00000E2A0000}"/>
    <cellStyle name="Accent4 166" xfId="11163" xr:uid="{00000000-0005-0000-0000-00000F2A0000}"/>
    <cellStyle name="Accent4 167" xfId="11164" xr:uid="{00000000-0005-0000-0000-0000102A0000}"/>
    <cellStyle name="Accent4 168" xfId="11165" xr:uid="{00000000-0005-0000-0000-0000112A0000}"/>
    <cellStyle name="Accent4 169" xfId="11166" xr:uid="{00000000-0005-0000-0000-0000122A0000}"/>
    <cellStyle name="Accent4 17" xfId="11167" xr:uid="{00000000-0005-0000-0000-0000132A0000}"/>
    <cellStyle name="Accent4 17 2" xfId="11168" xr:uid="{00000000-0005-0000-0000-0000142A0000}"/>
    <cellStyle name="Accent4 17 2 2" xfId="11169" xr:uid="{00000000-0005-0000-0000-0000152A0000}"/>
    <cellStyle name="Accent4 17 2 3" xfId="11170" xr:uid="{00000000-0005-0000-0000-0000162A0000}"/>
    <cellStyle name="Accent4 17 3" xfId="11171" xr:uid="{00000000-0005-0000-0000-0000172A0000}"/>
    <cellStyle name="Accent4 17 3 2" xfId="11172" xr:uid="{00000000-0005-0000-0000-0000182A0000}"/>
    <cellStyle name="Accent4 17 4" xfId="11173" xr:uid="{00000000-0005-0000-0000-0000192A0000}"/>
    <cellStyle name="Accent4 17 5" xfId="11174" xr:uid="{00000000-0005-0000-0000-00001A2A0000}"/>
    <cellStyle name="Accent4 17 6" xfId="11175" xr:uid="{00000000-0005-0000-0000-00001B2A0000}"/>
    <cellStyle name="Accent4 170" xfId="11176" xr:uid="{00000000-0005-0000-0000-00001C2A0000}"/>
    <cellStyle name="Accent4 171" xfId="11177" xr:uid="{00000000-0005-0000-0000-00001D2A0000}"/>
    <cellStyle name="Accent4 172" xfId="11178" xr:uid="{00000000-0005-0000-0000-00001E2A0000}"/>
    <cellStyle name="Accent4 173" xfId="11179" xr:uid="{00000000-0005-0000-0000-00001F2A0000}"/>
    <cellStyle name="Accent4 174" xfId="11180" xr:uid="{00000000-0005-0000-0000-0000202A0000}"/>
    <cellStyle name="Accent4 175" xfId="11181" xr:uid="{00000000-0005-0000-0000-0000212A0000}"/>
    <cellStyle name="Accent4 176" xfId="11182" xr:uid="{00000000-0005-0000-0000-0000222A0000}"/>
    <cellStyle name="Accent4 177" xfId="11183" xr:uid="{00000000-0005-0000-0000-0000232A0000}"/>
    <cellStyle name="Accent4 178" xfId="11184" xr:uid="{00000000-0005-0000-0000-0000242A0000}"/>
    <cellStyle name="Accent4 179" xfId="11185" xr:uid="{00000000-0005-0000-0000-0000252A0000}"/>
    <cellStyle name="Accent4 18" xfId="11186" xr:uid="{00000000-0005-0000-0000-0000262A0000}"/>
    <cellStyle name="Accent4 18 2" xfId="11187" xr:uid="{00000000-0005-0000-0000-0000272A0000}"/>
    <cellStyle name="Accent4 18 2 2" xfId="11188" xr:uid="{00000000-0005-0000-0000-0000282A0000}"/>
    <cellStyle name="Accent4 18 2 3" xfId="11189" xr:uid="{00000000-0005-0000-0000-0000292A0000}"/>
    <cellStyle name="Accent4 18 3" xfId="11190" xr:uid="{00000000-0005-0000-0000-00002A2A0000}"/>
    <cellStyle name="Accent4 18 3 2" xfId="11191" xr:uid="{00000000-0005-0000-0000-00002B2A0000}"/>
    <cellStyle name="Accent4 18 4" xfId="11192" xr:uid="{00000000-0005-0000-0000-00002C2A0000}"/>
    <cellStyle name="Accent4 18 5" xfId="11193" xr:uid="{00000000-0005-0000-0000-00002D2A0000}"/>
    <cellStyle name="Accent4 180" xfId="11194" xr:uid="{00000000-0005-0000-0000-00002E2A0000}"/>
    <cellStyle name="Accent4 181" xfId="11195" xr:uid="{00000000-0005-0000-0000-00002F2A0000}"/>
    <cellStyle name="Accent4 182" xfId="11196" xr:uid="{00000000-0005-0000-0000-0000302A0000}"/>
    <cellStyle name="Accent4 183" xfId="11197" xr:uid="{00000000-0005-0000-0000-0000312A0000}"/>
    <cellStyle name="Accent4 184" xfId="11198" xr:uid="{00000000-0005-0000-0000-0000322A0000}"/>
    <cellStyle name="Accent4 185" xfId="11199" xr:uid="{00000000-0005-0000-0000-0000332A0000}"/>
    <cellStyle name="Accent4 186" xfId="11200" xr:uid="{00000000-0005-0000-0000-0000342A0000}"/>
    <cellStyle name="Accent4 187" xfId="11201" xr:uid="{00000000-0005-0000-0000-0000352A0000}"/>
    <cellStyle name="Accent4 188" xfId="11202" xr:uid="{00000000-0005-0000-0000-0000362A0000}"/>
    <cellStyle name="Accent4 189" xfId="11203" xr:uid="{00000000-0005-0000-0000-0000372A0000}"/>
    <cellStyle name="Accent4 19" xfId="11204" xr:uid="{00000000-0005-0000-0000-0000382A0000}"/>
    <cellStyle name="Accent4 19 2" xfId="11205" xr:uid="{00000000-0005-0000-0000-0000392A0000}"/>
    <cellStyle name="Accent4 19 2 2" xfId="11206" xr:uid="{00000000-0005-0000-0000-00003A2A0000}"/>
    <cellStyle name="Accent4 19 2 3" xfId="11207" xr:uid="{00000000-0005-0000-0000-00003B2A0000}"/>
    <cellStyle name="Accent4 19 3" xfId="11208" xr:uid="{00000000-0005-0000-0000-00003C2A0000}"/>
    <cellStyle name="Accent4 19 3 2" xfId="11209" xr:uid="{00000000-0005-0000-0000-00003D2A0000}"/>
    <cellStyle name="Accent4 19 4" xfId="11210" xr:uid="{00000000-0005-0000-0000-00003E2A0000}"/>
    <cellStyle name="Accent4 19 5" xfId="11211" xr:uid="{00000000-0005-0000-0000-00003F2A0000}"/>
    <cellStyle name="Accent4 2" xfId="11212" xr:uid="{00000000-0005-0000-0000-0000402A0000}"/>
    <cellStyle name="Accent4 2 10" xfId="11213" xr:uid="{00000000-0005-0000-0000-0000412A0000}"/>
    <cellStyle name="Accent4 2 11" xfId="11214" xr:uid="{00000000-0005-0000-0000-0000422A0000}"/>
    <cellStyle name="Accent4 2 2" xfId="11215" xr:uid="{00000000-0005-0000-0000-0000432A0000}"/>
    <cellStyle name="Accent4 2 2 2" xfId="11216" xr:uid="{00000000-0005-0000-0000-0000442A0000}"/>
    <cellStyle name="Accent4 2 2 2 2" xfId="11217" xr:uid="{00000000-0005-0000-0000-0000452A0000}"/>
    <cellStyle name="Accent4 2 2 2 3" xfId="11218" xr:uid="{00000000-0005-0000-0000-0000462A0000}"/>
    <cellStyle name="Accent4 2 2 2 4" xfId="11219" xr:uid="{00000000-0005-0000-0000-0000472A0000}"/>
    <cellStyle name="Accent4 2 2 3" xfId="11220" xr:uid="{00000000-0005-0000-0000-0000482A0000}"/>
    <cellStyle name="Accent4 2 2 4" xfId="11221" xr:uid="{00000000-0005-0000-0000-0000492A0000}"/>
    <cellStyle name="Accent4 2 2 5" xfId="11222" xr:uid="{00000000-0005-0000-0000-00004A2A0000}"/>
    <cellStyle name="Accent4 2 2 6" xfId="11223" xr:uid="{00000000-0005-0000-0000-00004B2A0000}"/>
    <cellStyle name="Accent4 2 3" xfId="11224" xr:uid="{00000000-0005-0000-0000-00004C2A0000}"/>
    <cellStyle name="Accent4 2 3 2" xfId="11225" xr:uid="{00000000-0005-0000-0000-00004D2A0000}"/>
    <cellStyle name="Accent4 2 3 3" xfId="11226" xr:uid="{00000000-0005-0000-0000-00004E2A0000}"/>
    <cellStyle name="Accent4 2 3 4" xfId="11227" xr:uid="{00000000-0005-0000-0000-00004F2A0000}"/>
    <cellStyle name="Accent4 2 3 5" xfId="11228" xr:uid="{00000000-0005-0000-0000-0000502A0000}"/>
    <cellStyle name="Accent4 2 4" xfId="11229" xr:uid="{00000000-0005-0000-0000-0000512A0000}"/>
    <cellStyle name="Accent4 2 4 2" xfId="11230" xr:uid="{00000000-0005-0000-0000-0000522A0000}"/>
    <cellStyle name="Accent4 2 4 3" xfId="11231" xr:uid="{00000000-0005-0000-0000-0000532A0000}"/>
    <cellStyle name="Accent4 2 5" xfId="11232" xr:uid="{00000000-0005-0000-0000-0000542A0000}"/>
    <cellStyle name="Accent4 2 5 2" xfId="11233" xr:uid="{00000000-0005-0000-0000-0000552A0000}"/>
    <cellStyle name="Accent4 2 6" xfId="11234" xr:uid="{00000000-0005-0000-0000-0000562A0000}"/>
    <cellStyle name="Accent4 2 6 2" xfId="11235" xr:uid="{00000000-0005-0000-0000-0000572A0000}"/>
    <cellStyle name="Accent4 2 7" xfId="11236" xr:uid="{00000000-0005-0000-0000-0000582A0000}"/>
    <cellStyle name="Accent4 2 7 2" xfId="11237" xr:uid="{00000000-0005-0000-0000-0000592A0000}"/>
    <cellStyle name="Accent4 2 8" xfId="11238" xr:uid="{00000000-0005-0000-0000-00005A2A0000}"/>
    <cellStyle name="Accent4 2 9" xfId="11239" xr:uid="{00000000-0005-0000-0000-00005B2A0000}"/>
    <cellStyle name="Accent4 20" xfId="11240" xr:uid="{00000000-0005-0000-0000-00005C2A0000}"/>
    <cellStyle name="Accent4 20 2" xfId="11241" xr:uid="{00000000-0005-0000-0000-00005D2A0000}"/>
    <cellStyle name="Accent4 20 2 2" xfId="11242" xr:uid="{00000000-0005-0000-0000-00005E2A0000}"/>
    <cellStyle name="Accent4 20 2 3" xfId="11243" xr:uid="{00000000-0005-0000-0000-00005F2A0000}"/>
    <cellStyle name="Accent4 20 3" xfId="11244" xr:uid="{00000000-0005-0000-0000-0000602A0000}"/>
    <cellStyle name="Accent4 20 3 2" xfId="11245" xr:uid="{00000000-0005-0000-0000-0000612A0000}"/>
    <cellStyle name="Accent4 20 4" xfId="11246" xr:uid="{00000000-0005-0000-0000-0000622A0000}"/>
    <cellStyle name="Accent4 20 5" xfId="11247" xr:uid="{00000000-0005-0000-0000-0000632A0000}"/>
    <cellStyle name="Accent4 20 6" xfId="11248" xr:uid="{00000000-0005-0000-0000-0000642A0000}"/>
    <cellStyle name="Accent4 21" xfId="11249" xr:uid="{00000000-0005-0000-0000-0000652A0000}"/>
    <cellStyle name="Accent4 21 2" xfId="11250" xr:uid="{00000000-0005-0000-0000-0000662A0000}"/>
    <cellStyle name="Accent4 21 2 2" xfId="11251" xr:uid="{00000000-0005-0000-0000-0000672A0000}"/>
    <cellStyle name="Accent4 21 2 3" xfId="11252" xr:uid="{00000000-0005-0000-0000-0000682A0000}"/>
    <cellStyle name="Accent4 21 3" xfId="11253" xr:uid="{00000000-0005-0000-0000-0000692A0000}"/>
    <cellStyle name="Accent4 21 3 2" xfId="11254" xr:uid="{00000000-0005-0000-0000-00006A2A0000}"/>
    <cellStyle name="Accent4 21 4" xfId="11255" xr:uid="{00000000-0005-0000-0000-00006B2A0000}"/>
    <cellStyle name="Accent4 21 5" xfId="11256" xr:uid="{00000000-0005-0000-0000-00006C2A0000}"/>
    <cellStyle name="Accent4 21 6" xfId="11257" xr:uid="{00000000-0005-0000-0000-00006D2A0000}"/>
    <cellStyle name="Accent4 22" xfId="11258" xr:uid="{00000000-0005-0000-0000-00006E2A0000}"/>
    <cellStyle name="Accent4 22 2" xfId="11259" xr:uid="{00000000-0005-0000-0000-00006F2A0000}"/>
    <cellStyle name="Accent4 22 2 2" xfId="11260" xr:uid="{00000000-0005-0000-0000-0000702A0000}"/>
    <cellStyle name="Accent4 22 2 3" xfId="11261" xr:uid="{00000000-0005-0000-0000-0000712A0000}"/>
    <cellStyle name="Accent4 22 3" xfId="11262" xr:uid="{00000000-0005-0000-0000-0000722A0000}"/>
    <cellStyle name="Accent4 22 3 2" xfId="11263" xr:uid="{00000000-0005-0000-0000-0000732A0000}"/>
    <cellStyle name="Accent4 22 4" xfId="11264" xr:uid="{00000000-0005-0000-0000-0000742A0000}"/>
    <cellStyle name="Accent4 22 5" xfId="11265" xr:uid="{00000000-0005-0000-0000-0000752A0000}"/>
    <cellStyle name="Accent4 22 6" xfId="11266" xr:uid="{00000000-0005-0000-0000-0000762A0000}"/>
    <cellStyle name="Accent4 23" xfId="11267" xr:uid="{00000000-0005-0000-0000-0000772A0000}"/>
    <cellStyle name="Accent4 23 2" xfId="11268" xr:uid="{00000000-0005-0000-0000-0000782A0000}"/>
    <cellStyle name="Accent4 23 2 2" xfId="11269" xr:uid="{00000000-0005-0000-0000-0000792A0000}"/>
    <cellStyle name="Accent4 23 2 3" xfId="11270" xr:uid="{00000000-0005-0000-0000-00007A2A0000}"/>
    <cellStyle name="Accent4 23 3" xfId="11271" xr:uid="{00000000-0005-0000-0000-00007B2A0000}"/>
    <cellStyle name="Accent4 23 3 2" xfId="11272" xr:uid="{00000000-0005-0000-0000-00007C2A0000}"/>
    <cellStyle name="Accent4 23 4" xfId="11273" xr:uid="{00000000-0005-0000-0000-00007D2A0000}"/>
    <cellStyle name="Accent4 23 5" xfId="11274" xr:uid="{00000000-0005-0000-0000-00007E2A0000}"/>
    <cellStyle name="Accent4 23 6" xfId="11275" xr:uid="{00000000-0005-0000-0000-00007F2A0000}"/>
    <cellStyle name="Accent4 24" xfId="11276" xr:uid="{00000000-0005-0000-0000-0000802A0000}"/>
    <cellStyle name="Accent4 24 2" xfId="11277" xr:uid="{00000000-0005-0000-0000-0000812A0000}"/>
    <cellStyle name="Accent4 24 2 2" xfId="11278" xr:uid="{00000000-0005-0000-0000-0000822A0000}"/>
    <cellStyle name="Accent4 24 2 3" xfId="11279" xr:uid="{00000000-0005-0000-0000-0000832A0000}"/>
    <cellStyle name="Accent4 24 3" xfId="11280" xr:uid="{00000000-0005-0000-0000-0000842A0000}"/>
    <cellStyle name="Accent4 24 3 2" xfId="11281" xr:uid="{00000000-0005-0000-0000-0000852A0000}"/>
    <cellStyle name="Accent4 24 4" xfId="11282" xr:uid="{00000000-0005-0000-0000-0000862A0000}"/>
    <cellStyle name="Accent4 24 5" xfId="11283" xr:uid="{00000000-0005-0000-0000-0000872A0000}"/>
    <cellStyle name="Accent4 24 6" xfId="11284" xr:uid="{00000000-0005-0000-0000-0000882A0000}"/>
    <cellStyle name="Accent4 25" xfId="11285" xr:uid="{00000000-0005-0000-0000-0000892A0000}"/>
    <cellStyle name="Accent4 25 2" xfId="11286" xr:uid="{00000000-0005-0000-0000-00008A2A0000}"/>
    <cellStyle name="Accent4 25 2 2" xfId="11287" xr:uid="{00000000-0005-0000-0000-00008B2A0000}"/>
    <cellStyle name="Accent4 25 2 3" xfId="11288" xr:uid="{00000000-0005-0000-0000-00008C2A0000}"/>
    <cellStyle name="Accent4 25 3" xfId="11289" xr:uid="{00000000-0005-0000-0000-00008D2A0000}"/>
    <cellStyle name="Accent4 25 3 2" xfId="11290" xr:uid="{00000000-0005-0000-0000-00008E2A0000}"/>
    <cellStyle name="Accent4 25 4" xfId="11291" xr:uid="{00000000-0005-0000-0000-00008F2A0000}"/>
    <cellStyle name="Accent4 25 5" xfId="11292" xr:uid="{00000000-0005-0000-0000-0000902A0000}"/>
    <cellStyle name="Accent4 25 6" xfId="11293" xr:uid="{00000000-0005-0000-0000-0000912A0000}"/>
    <cellStyle name="Accent4 26" xfId="11294" xr:uid="{00000000-0005-0000-0000-0000922A0000}"/>
    <cellStyle name="Accent4 26 2" xfId="11295" xr:uid="{00000000-0005-0000-0000-0000932A0000}"/>
    <cellStyle name="Accent4 26 2 2" xfId="11296" xr:uid="{00000000-0005-0000-0000-0000942A0000}"/>
    <cellStyle name="Accent4 26 2 3" xfId="11297" xr:uid="{00000000-0005-0000-0000-0000952A0000}"/>
    <cellStyle name="Accent4 26 3" xfId="11298" xr:uid="{00000000-0005-0000-0000-0000962A0000}"/>
    <cellStyle name="Accent4 26 3 2" xfId="11299" xr:uid="{00000000-0005-0000-0000-0000972A0000}"/>
    <cellStyle name="Accent4 26 4" xfId="11300" xr:uid="{00000000-0005-0000-0000-0000982A0000}"/>
    <cellStyle name="Accent4 26 5" xfId="11301" xr:uid="{00000000-0005-0000-0000-0000992A0000}"/>
    <cellStyle name="Accent4 26 6" xfId="11302" xr:uid="{00000000-0005-0000-0000-00009A2A0000}"/>
    <cellStyle name="Accent4 27" xfId="11303" xr:uid="{00000000-0005-0000-0000-00009B2A0000}"/>
    <cellStyle name="Accent4 27 2" xfId="11304" xr:uid="{00000000-0005-0000-0000-00009C2A0000}"/>
    <cellStyle name="Accent4 27 2 2" xfId="11305" xr:uid="{00000000-0005-0000-0000-00009D2A0000}"/>
    <cellStyle name="Accent4 27 2 3" xfId="11306" xr:uid="{00000000-0005-0000-0000-00009E2A0000}"/>
    <cellStyle name="Accent4 27 3" xfId="11307" xr:uid="{00000000-0005-0000-0000-00009F2A0000}"/>
    <cellStyle name="Accent4 27 3 2" xfId="11308" xr:uid="{00000000-0005-0000-0000-0000A02A0000}"/>
    <cellStyle name="Accent4 27 4" xfId="11309" xr:uid="{00000000-0005-0000-0000-0000A12A0000}"/>
    <cellStyle name="Accent4 27 5" xfId="11310" xr:uid="{00000000-0005-0000-0000-0000A22A0000}"/>
    <cellStyle name="Accent4 27 6" xfId="11311" xr:uid="{00000000-0005-0000-0000-0000A32A0000}"/>
    <cellStyle name="Accent4 28" xfId="11312" xr:uid="{00000000-0005-0000-0000-0000A42A0000}"/>
    <cellStyle name="Accent4 28 2" xfId="11313" xr:uid="{00000000-0005-0000-0000-0000A52A0000}"/>
    <cellStyle name="Accent4 28 2 2" xfId="11314" xr:uid="{00000000-0005-0000-0000-0000A62A0000}"/>
    <cellStyle name="Accent4 28 2 3" xfId="11315" xr:uid="{00000000-0005-0000-0000-0000A72A0000}"/>
    <cellStyle name="Accent4 28 3" xfId="11316" xr:uid="{00000000-0005-0000-0000-0000A82A0000}"/>
    <cellStyle name="Accent4 28 3 2" xfId="11317" xr:uid="{00000000-0005-0000-0000-0000A92A0000}"/>
    <cellStyle name="Accent4 28 4" xfId="11318" xr:uid="{00000000-0005-0000-0000-0000AA2A0000}"/>
    <cellStyle name="Accent4 28 5" xfId="11319" xr:uid="{00000000-0005-0000-0000-0000AB2A0000}"/>
    <cellStyle name="Accent4 28 6" xfId="11320" xr:uid="{00000000-0005-0000-0000-0000AC2A0000}"/>
    <cellStyle name="Accent4 29" xfId="11321" xr:uid="{00000000-0005-0000-0000-0000AD2A0000}"/>
    <cellStyle name="Accent4 29 2" xfId="11322" xr:uid="{00000000-0005-0000-0000-0000AE2A0000}"/>
    <cellStyle name="Accent4 29 2 2" xfId="11323" xr:uid="{00000000-0005-0000-0000-0000AF2A0000}"/>
    <cellStyle name="Accent4 29 2 3" xfId="11324" xr:uid="{00000000-0005-0000-0000-0000B02A0000}"/>
    <cellStyle name="Accent4 29 3" xfId="11325" xr:uid="{00000000-0005-0000-0000-0000B12A0000}"/>
    <cellStyle name="Accent4 29 3 2" xfId="11326" xr:uid="{00000000-0005-0000-0000-0000B22A0000}"/>
    <cellStyle name="Accent4 29 4" xfId="11327" xr:uid="{00000000-0005-0000-0000-0000B32A0000}"/>
    <cellStyle name="Accent4 29 5" xfId="11328" xr:uid="{00000000-0005-0000-0000-0000B42A0000}"/>
    <cellStyle name="Accent4 29 6" xfId="11329" xr:uid="{00000000-0005-0000-0000-0000B52A0000}"/>
    <cellStyle name="Accent4 3" xfId="11330" xr:uid="{00000000-0005-0000-0000-0000B62A0000}"/>
    <cellStyle name="Accent4 3 2" xfId="11331" xr:uid="{00000000-0005-0000-0000-0000B72A0000}"/>
    <cellStyle name="Accent4 3 2 2" xfId="11332" xr:uid="{00000000-0005-0000-0000-0000B82A0000}"/>
    <cellStyle name="Accent4 3 2 2 2" xfId="11333" xr:uid="{00000000-0005-0000-0000-0000B92A0000}"/>
    <cellStyle name="Accent4 3 2 3" xfId="11334" xr:uid="{00000000-0005-0000-0000-0000BA2A0000}"/>
    <cellStyle name="Accent4 3 2 3 2" xfId="11335" xr:uid="{00000000-0005-0000-0000-0000BB2A0000}"/>
    <cellStyle name="Accent4 3 2 4" xfId="11336" xr:uid="{00000000-0005-0000-0000-0000BC2A0000}"/>
    <cellStyle name="Accent4 3 3" xfId="11337" xr:uid="{00000000-0005-0000-0000-0000BD2A0000}"/>
    <cellStyle name="Accent4 3 3 2" xfId="11338" xr:uid="{00000000-0005-0000-0000-0000BE2A0000}"/>
    <cellStyle name="Accent4 3 3 3" xfId="11339" xr:uid="{00000000-0005-0000-0000-0000BF2A0000}"/>
    <cellStyle name="Accent4 3 4" xfId="11340" xr:uid="{00000000-0005-0000-0000-0000C02A0000}"/>
    <cellStyle name="Accent4 3 4 2" xfId="11341" xr:uid="{00000000-0005-0000-0000-0000C12A0000}"/>
    <cellStyle name="Accent4 3 5" xfId="11342" xr:uid="{00000000-0005-0000-0000-0000C22A0000}"/>
    <cellStyle name="Accent4 3 6" xfId="11343" xr:uid="{00000000-0005-0000-0000-0000C32A0000}"/>
    <cellStyle name="Accent4 3 7" xfId="11344" xr:uid="{00000000-0005-0000-0000-0000C42A0000}"/>
    <cellStyle name="Accent4 3 8" xfId="11345" xr:uid="{00000000-0005-0000-0000-0000C52A0000}"/>
    <cellStyle name="Accent4 3 9" xfId="11346" xr:uid="{00000000-0005-0000-0000-0000C62A0000}"/>
    <cellStyle name="Accent4 30" xfId="11347" xr:uid="{00000000-0005-0000-0000-0000C72A0000}"/>
    <cellStyle name="Accent4 30 2" xfId="11348" xr:uid="{00000000-0005-0000-0000-0000C82A0000}"/>
    <cellStyle name="Accent4 30 2 2" xfId="11349" xr:uid="{00000000-0005-0000-0000-0000C92A0000}"/>
    <cellStyle name="Accent4 30 2 3" xfId="11350" xr:uid="{00000000-0005-0000-0000-0000CA2A0000}"/>
    <cellStyle name="Accent4 30 3" xfId="11351" xr:uid="{00000000-0005-0000-0000-0000CB2A0000}"/>
    <cellStyle name="Accent4 30 3 2" xfId="11352" xr:uid="{00000000-0005-0000-0000-0000CC2A0000}"/>
    <cellStyle name="Accent4 30 4" xfId="11353" xr:uid="{00000000-0005-0000-0000-0000CD2A0000}"/>
    <cellStyle name="Accent4 30 5" xfId="11354" xr:uid="{00000000-0005-0000-0000-0000CE2A0000}"/>
    <cellStyle name="Accent4 30 6" xfId="11355" xr:uid="{00000000-0005-0000-0000-0000CF2A0000}"/>
    <cellStyle name="Accent4 31" xfId="11356" xr:uid="{00000000-0005-0000-0000-0000D02A0000}"/>
    <cellStyle name="Accent4 31 2" xfId="11357" xr:uid="{00000000-0005-0000-0000-0000D12A0000}"/>
    <cellStyle name="Accent4 31 2 2" xfId="11358" xr:uid="{00000000-0005-0000-0000-0000D22A0000}"/>
    <cellStyle name="Accent4 31 2 3" xfId="11359" xr:uid="{00000000-0005-0000-0000-0000D32A0000}"/>
    <cellStyle name="Accent4 31 3" xfId="11360" xr:uid="{00000000-0005-0000-0000-0000D42A0000}"/>
    <cellStyle name="Accent4 31 3 2" xfId="11361" xr:uid="{00000000-0005-0000-0000-0000D52A0000}"/>
    <cellStyle name="Accent4 31 4" xfId="11362" xr:uid="{00000000-0005-0000-0000-0000D62A0000}"/>
    <cellStyle name="Accent4 31 5" xfId="11363" xr:uid="{00000000-0005-0000-0000-0000D72A0000}"/>
    <cellStyle name="Accent4 31 6" xfId="11364" xr:uid="{00000000-0005-0000-0000-0000D82A0000}"/>
    <cellStyle name="Accent4 32" xfId="11365" xr:uid="{00000000-0005-0000-0000-0000D92A0000}"/>
    <cellStyle name="Accent4 32 2" xfId="11366" xr:uid="{00000000-0005-0000-0000-0000DA2A0000}"/>
    <cellStyle name="Accent4 32 2 2" xfId="11367" xr:uid="{00000000-0005-0000-0000-0000DB2A0000}"/>
    <cellStyle name="Accent4 32 2 3" xfId="11368" xr:uid="{00000000-0005-0000-0000-0000DC2A0000}"/>
    <cellStyle name="Accent4 32 3" xfId="11369" xr:uid="{00000000-0005-0000-0000-0000DD2A0000}"/>
    <cellStyle name="Accent4 32 3 2" xfId="11370" xr:uid="{00000000-0005-0000-0000-0000DE2A0000}"/>
    <cellStyle name="Accent4 32 4" xfId="11371" xr:uid="{00000000-0005-0000-0000-0000DF2A0000}"/>
    <cellStyle name="Accent4 32 5" xfId="11372" xr:uid="{00000000-0005-0000-0000-0000E02A0000}"/>
    <cellStyle name="Accent4 32 6" xfId="11373" xr:uid="{00000000-0005-0000-0000-0000E12A0000}"/>
    <cellStyle name="Accent4 33" xfId="11374" xr:uid="{00000000-0005-0000-0000-0000E22A0000}"/>
    <cellStyle name="Accent4 33 2" xfId="11375" xr:uid="{00000000-0005-0000-0000-0000E32A0000}"/>
    <cellStyle name="Accent4 33 2 2" xfId="11376" xr:uid="{00000000-0005-0000-0000-0000E42A0000}"/>
    <cellStyle name="Accent4 33 2 3" xfId="11377" xr:uid="{00000000-0005-0000-0000-0000E52A0000}"/>
    <cellStyle name="Accent4 33 3" xfId="11378" xr:uid="{00000000-0005-0000-0000-0000E62A0000}"/>
    <cellStyle name="Accent4 33 3 2" xfId="11379" xr:uid="{00000000-0005-0000-0000-0000E72A0000}"/>
    <cellStyle name="Accent4 33 4" xfId="11380" xr:uid="{00000000-0005-0000-0000-0000E82A0000}"/>
    <cellStyle name="Accent4 33 5" xfId="11381" xr:uid="{00000000-0005-0000-0000-0000E92A0000}"/>
    <cellStyle name="Accent4 33 6" xfId="11382" xr:uid="{00000000-0005-0000-0000-0000EA2A0000}"/>
    <cellStyle name="Accent4 34" xfId="11383" xr:uid="{00000000-0005-0000-0000-0000EB2A0000}"/>
    <cellStyle name="Accent4 34 2" xfId="11384" xr:uid="{00000000-0005-0000-0000-0000EC2A0000}"/>
    <cellStyle name="Accent4 34 2 2" xfId="11385" xr:uid="{00000000-0005-0000-0000-0000ED2A0000}"/>
    <cellStyle name="Accent4 34 2 3" xfId="11386" xr:uid="{00000000-0005-0000-0000-0000EE2A0000}"/>
    <cellStyle name="Accent4 34 3" xfId="11387" xr:uid="{00000000-0005-0000-0000-0000EF2A0000}"/>
    <cellStyle name="Accent4 34 3 2" xfId="11388" xr:uid="{00000000-0005-0000-0000-0000F02A0000}"/>
    <cellStyle name="Accent4 34 4" xfId="11389" xr:uid="{00000000-0005-0000-0000-0000F12A0000}"/>
    <cellStyle name="Accent4 34 5" xfId="11390" xr:uid="{00000000-0005-0000-0000-0000F22A0000}"/>
    <cellStyle name="Accent4 34 6" xfId="11391" xr:uid="{00000000-0005-0000-0000-0000F32A0000}"/>
    <cellStyle name="Accent4 35" xfId="11392" xr:uid="{00000000-0005-0000-0000-0000F42A0000}"/>
    <cellStyle name="Accent4 35 2" xfId="11393" xr:uid="{00000000-0005-0000-0000-0000F52A0000}"/>
    <cellStyle name="Accent4 35 2 2" xfId="11394" xr:uid="{00000000-0005-0000-0000-0000F62A0000}"/>
    <cellStyle name="Accent4 35 2 3" xfId="11395" xr:uid="{00000000-0005-0000-0000-0000F72A0000}"/>
    <cellStyle name="Accent4 35 3" xfId="11396" xr:uid="{00000000-0005-0000-0000-0000F82A0000}"/>
    <cellStyle name="Accent4 35 3 2" xfId="11397" xr:uid="{00000000-0005-0000-0000-0000F92A0000}"/>
    <cellStyle name="Accent4 35 4" xfId="11398" xr:uid="{00000000-0005-0000-0000-0000FA2A0000}"/>
    <cellStyle name="Accent4 35 4 2" xfId="11399" xr:uid="{00000000-0005-0000-0000-0000FB2A0000}"/>
    <cellStyle name="Accent4 35 5" xfId="11400" xr:uid="{00000000-0005-0000-0000-0000FC2A0000}"/>
    <cellStyle name="Accent4 36" xfId="11401" xr:uid="{00000000-0005-0000-0000-0000FD2A0000}"/>
    <cellStyle name="Accent4 36 2" xfId="11402" xr:uid="{00000000-0005-0000-0000-0000FE2A0000}"/>
    <cellStyle name="Accent4 36 2 2" xfId="11403" xr:uid="{00000000-0005-0000-0000-0000FF2A0000}"/>
    <cellStyle name="Accent4 36 2 3" xfId="11404" xr:uid="{00000000-0005-0000-0000-0000002B0000}"/>
    <cellStyle name="Accent4 36 3" xfId="11405" xr:uid="{00000000-0005-0000-0000-0000012B0000}"/>
    <cellStyle name="Accent4 36 3 2" xfId="11406" xr:uid="{00000000-0005-0000-0000-0000022B0000}"/>
    <cellStyle name="Accent4 36 4" xfId="11407" xr:uid="{00000000-0005-0000-0000-0000032B0000}"/>
    <cellStyle name="Accent4 36 4 2" xfId="11408" xr:uid="{00000000-0005-0000-0000-0000042B0000}"/>
    <cellStyle name="Accent4 36 5" xfId="11409" xr:uid="{00000000-0005-0000-0000-0000052B0000}"/>
    <cellStyle name="Accent4 37" xfId="11410" xr:uid="{00000000-0005-0000-0000-0000062B0000}"/>
    <cellStyle name="Accent4 37 2" xfId="11411" xr:uid="{00000000-0005-0000-0000-0000072B0000}"/>
    <cellStyle name="Accent4 37 2 2" xfId="11412" xr:uid="{00000000-0005-0000-0000-0000082B0000}"/>
    <cellStyle name="Accent4 37 2 3" xfId="11413" xr:uid="{00000000-0005-0000-0000-0000092B0000}"/>
    <cellStyle name="Accent4 37 3" xfId="11414" xr:uid="{00000000-0005-0000-0000-00000A2B0000}"/>
    <cellStyle name="Accent4 37 3 2" xfId="11415" xr:uid="{00000000-0005-0000-0000-00000B2B0000}"/>
    <cellStyle name="Accent4 37 4" xfId="11416" xr:uid="{00000000-0005-0000-0000-00000C2B0000}"/>
    <cellStyle name="Accent4 37 5" xfId="11417" xr:uid="{00000000-0005-0000-0000-00000D2B0000}"/>
    <cellStyle name="Accent4 38" xfId="11418" xr:uid="{00000000-0005-0000-0000-00000E2B0000}"/>
    <cellStyle name="Accent4 38 2" xfId="11419" xr:uid="{00000000-0005-0000-0000-00000F2B0000}"/>
    <cellStyle name="Accent4 38 2 2" xfId="11420" xr:uid="{00000000-0005-0000-0000-0000102B0000}"/>
    <cellStyle name="Accent4 38 2 3" xfId="11421" xr:uid="{00000000-0005-0000-0000-0000112B0000}"/>
    <cellStyle name="Accent4 38 3" xfId="11422" xr:uid="{00000000-0005-0000-0000-0000122B0000}"/>
    <cellStyle name="Accent4 38 3 2" xfId="11423" xr:uid="{00000000-0005-0000-0000-0000132B0000}"/>
    <cellStyle name="Accent4 38 4" xfId="11424" xr:uid="{00000000-0005-0000-0000-0000142B0000}"/>
    <cellStyle name="Accent4 38 5" xfId="11425" xr:uid="{00000000-0005-0000-0000-0000152B0000}"/>
    <cellStyle name="Accent4 39" xfId="11426" xr:uid="{00000000-0005-0000-0000-0000162B0000}"/>
    <cellStyle name="Accent4 39 2" xfId="11427" xr:uid="{00000000-0005-0000-0000-0000172B0000}"/>
    <cellStyle name="Accent4 39 2 2" xfId="11428" xr:uid="{00000000-0005-0000-0000-0000182B0000}"/>
    <cellStyle name="Accent4 39 2 3" xfId="11429" xr:uid="{00000000-0005-0000-0000-0000192B0000}"/>
    <cellStyle name="Accent4 39 3" xfId="11430" xr:uid="{00000000-0005-0000-0000-00001A2B0000}"/>
    <cellStyle name="Accent4 39 3 2" xfId="11431" xr:uid="{00000000-0005-0000-0000-00001B2B0000}"/>
    <cellStyle name="Accent4 39 4" xfId="11432" xr:uid="{00000000-0005-0000-0000-00001C2B0000}"/>
    <cellStyle name="Accent4 39 5" xfId="11433" xr:uid="{00000000-0005-0000-0000-00001D2B0000}"/>
    <cellStyle name="Accent4 39 6" xfId="11434" xr:uid="{00000000-0005-0000-0000-00001E2B0000}"/>
    <cellStyle name="Accent4 4" xfId="11435" xr:uid="{00000000-0005-0000-0000-00001F2B0000}"/>
    <cellStyle name="Accent4 4 2" xfId="11436" xr:uid="{00000000-0005-0000-0000-0000202B0000}"/>
    <cellStyle name="Accent4 4 2 2" xfId="11437" xr:uid="{00000000-0005-0000-0000-0000212B0000}"/>
    <cellStyle name="Accent4 4 2 2 2" xfId="11438" xr:uid="{00000000-0005-0000-0000-0000222B0000}"/>
    <cellStyle name="Accent4 4 2 3" xfId="11439" xr:uid="{00000000-0005-0000-0000-0000232B0000}"/>
    <cellStyle name="Accent4 4 2 4" xfId="11440" xr:uid="{00000000-0005-0000-0000-0000242B0000}"/>
    <cellStyle name="Accent4 4 3" xfId="11441" xr:uid="{00000000-0005-0000-0000-0000252B0000}"/>
    <cellStyle name="Accent4 4 3 2" xfId="11442" xr:uid="{00000000-0005-0000-0000-0000262B0000}"/>
    <cellStyle name="Accent4 4 3 3" xfId="11443" xr:uid="{00000000-0005-0000-0000-0000272B0000}"/>
    <cellStyle name="Accent4 4 4" xfId="11444" xr:uid="{00000000-0005-0000-0000-0000282B0000}"/>
    <cellStyle name="Accent4 4 4 2" xfId="11445" xr:uid="{00000000-0005-0000-0000-0000292B0000}"/>
    <cellStyle name="Accent4 4 4 3" xfId="11446" xr:uid="{00000000-0005-0000-0000-00002A2B0000}"/>
    <cellStyle name="Accent4 4 5" xfId="11447" xr:uid="{00000000-0005-0000-0000-00002B2B0000}"/>
    <cellStyle name="Accent4 4 6" xfId="11448" xr:uid="{00000000-0005-0000-0000-00002C2B0000}"/>
    <cellStyle name="Accent4 4 7" xfId="11449" xr:uid="{00000000-0005-0000-0000-00002D2B0000}"/>
    <cellStyle name="Accent4 4 8" xfId="11450" xr:uid="{00000000-0005-0000-0000-00002E2B0000}"/>
    <cellStyle name="Accent4 40" xfId="11451" xr:uid="{00000000-0005-0000-0000-00002F2B0000}"/>
    <cellStyle name="Accent4 40 2" xfId="11452" xr:uid="{00000000-0005-0000-0000-0000302B0000}"/>
    <cellStyle name="Accent4 40 3" xfId="11453" xr:uid="{00000000-0005-0000-0000-0000312B0000}"/>
    <cellStyle name="Accent4 40 4" xfId="11454" xr:uid="{00000000-0005-0000-0000-0000322B0000}"/>
    <cellStyle name="Accent4 41" xfId="11455" xr:uid="{00000000-0005-0000-0000-0000332B0000}"/>
    <cellStyle name="Accent4 41 2" xfId="11456" xr:uid="{00000000-0005-0000-0000-0000342B0000}"/>
    <cellStyle name="Accent4 41 3" xfId="11457" xr:uid="{00000000-0005-0000-0000-0000352B0000}"/>
    <cellStyle name="Accent4 41 4" xfId="11458" xr:uid="{00000000-0005-0000-0000-0000362B0000}"/>
    <cellStyle name="Accent4 42" xfId="11459" xr:uid="{00000000-0005-0000-0000-0000372B0000}"/>
    <cellStyle name="Accent4 42 2" xfId="11460" xr:uid="{00000000-0005-0000-0000-0000382B0000}"/>
    <cellStyle name="Accent4 42 3" xfId="11461" xr:uid="{00000000-0005-0000-0000-0000392B0000}"/>
    <cellStyle name="Accent4 42 4" xfId="11462" xr:uid="{00000000-0005-0000-0000-00003A2B0000}"/>
    <cellStyle name="Accent4 43" xfId="11463" xr:uid="{00000000-0005-0000-0000-00003B2B0000}"/>
    <cellStyle name="Accent4 43 2" xfId="11464" xr:uid="{00000000-0005-0000-0000-00003C2B0000}"/>
    <cellStyle name="Accent4 43 3" xfId="11465" xr:uid="{00000000-0005-0000-0000-00003D2B0000}"/>
    <cellStyle name="Accent4 43 4" xfId="11466" xr:uid="{00000000-0005-0000-0000-00003E2B0000}"/>
    <cellStyle name="Accent4 44" xfId="11467" xr:uid="{00000000-0005-0000-0000-00003F2B0000}"/>
    <cellStyle name="Accent4 44 2" xfId="11468" xr:uid="{00000000-0005-0000-0000-0000402B0000}"/>
    <cellStyle name="Accent4 44 3" xfId="11469" xr:uid="{00000000-0005-0000-0000-0000412B0000}"/>
    <cellStyle name="Accent4 44 4" xfId="11470" xr:uid="{00000000-0005-0000-0000-0000422B0000}"/>
    <cellStyle name="Accent4 45" xfId="11471" xr:uid="{00000000-0005-0000-0000-0000432B0000}"/>
    <cellStyle name="Accent4 45 2" xfId="11472" xr:uid="{00000000-0005-0000-0000-0000442B0000}"/>
    <cellStyle name="Accent4 45 3" xfId="11473" xr:uid="{00000000-0005-0000-0000-0000452B0000}"/>
    <cellStyle name="Accent4 45 4" xfId="11474" xr:uid="{00000000-0005-0000-0000-0000462B0000}"/>
    <cellStyle name="Accent4 46" xfId="11475" xr:uid="{00000000-0005-0000-0000-0000472B0000}"/>
    <cellStyle name="Accent4 46 2" xfId="11476" xr:uid="{00000000-0005-0000-0000-0000482B0000}"/>
    <cellStyle name="Accent4 46 3" xfId="11477" xr:uid="{00000000-0005-0000-0000-0000492B0000}"/>
    <cellStyle name="Accent4 46 4" xfId="11478" xr:uid="{00000000-0005-0000-0000-00004A2B0000}"/>
    <cellStyle name="Accent4 47" xfId="11479" xr:uid="{00000000-0005-0000-0000-00004B2B0000}"/>
    <cellStyle name="Accent4 47 2" xfId="11480" xr:uid="{00000000-0005-0000-0000-00004C2B0000}"/>
    <cellStyle name="Accent4 47 3" xfId="11481" xr:uid="{00000000-0005-0000-0000-00004D2B0000}"/>
    <cellStyle name="Accent4 47 4" xfId="11482" xr:uid="{00000000-0005-0000-0000-00004E2B0000}"/>
    <cellStyle name="Accent4 48" xfId="11483" xr:uid="{00000000-0005-0000-0000-00004F2B0000}"/>
    <cellStyle name="Accent4 48 2" xfId="11484" xr:uid="{00000000-0005-0000-0000-0000502B0000}"/>
    <cellStyle name="Accent4 48 3" xfId="11485" xr:uid="{00000000-0005-0000-0000-0000512B0000}"/>
    <cellStyle name="Accent4 48 4" xfId="11486" xr:uid="{00000000-0005-0000-0000-0000522B0000}"/>
    <cellStyle name="Accent4 49" xfId="11487" xr:uid="{00000000-0005-0000-0000-0000532B0000}"/>
    <cellStyle name="Accent4 49 2" xfId="11488" xr:uid="{00000000-0005-0000-0000-0000542B0000}"/>
    <cellStyle name="Accent4 49 3" xfId="11489" xr:uid="{00000000-0005-0000-0000-0000552B0000}"/>
    <cellStyle name="Accent4 49 4" xfId="11490" xr:uid="{00000000-0005-0000-0000-0000562B0000}"/>
    <cellStyle name="Accent4 5" xfId="11491" xr:uid="{00000000-0005-0000-0000-0000572B0000}"/>
    <cellStyle name="Accent4 5 2" xfId="11492" xr:uid="{00000000-0005-0000-0000-0000582B0000}"/>
    <cellStyle name="Accent4 5 2 2" xfId="11493" xr:uid="{00000000-0005-0000-0000-0000592B0000}"/>
    <cellStyle name="Accent4 5 2 2 2" xfId="11494" xr:uid="{00000000-0005-0000-0000-00005A2B0000}"/>
    <cellStyle name="Accent4 5 2 3" xfId="11495" xr:uid="{00000000-0005-0000-0000-00005B2B0000}"/>
    <cellStyle name="Accent4 5 3" xfId="11496" xr:uid="{00000000-0005-0000-0000-00005C2B0000}"/>
    <cellStyle name="Accent4 5 3 2" xfId="11497" xr:uid="{00000000-0005-0000-0000-00005D2B0000}"/>
    <cellStyle name="Accent4 5 4" xfId="11498" xr:uid="{00000000-0005-0000-0000-00005E2B0000}"/>
    <cellStyle name="Accent4 5 5" xfId="11499" xr:uid="{00000000-0005-0000-0000-00005F2B0000}"/>
    <cellStyle name="Accent4 50" xfId="11500" xr:uid="{00000000-0005-0000-0000-0000602B0000}"/>
    <cellStyle name="Accent4 50 2" xfId="11501" xr:uid="{00000000-0005-0000-0000-0000612B0000}"/>
    <cellStyle name="Accent4 50 3" xfId="11502" xr:uid="{00000000-0005-0000-0000-0000622B0000}"/>
    <cellStyle name="Accent4 50 4" xfId="11503" xr:uid="{00000000-0005-0000-0000-0000632B0000}"/>
    <cellStyle name="Accent4 51" xfId="11504" xr:uid="{00000000-0005-0000-0000-0000642B0000}"/>
    <cellStyle name="Accent4 51 2" xfId="11505" xr:uid="{00000000-0005-0000-0000-0000652B0000}"/>
    <cellStyle name="Accent4 51 3" xfId="11506" xr:uid="{00000000-0005-0000-0000-0000662B0000}"/>
    <cellStyle name="Accent4 51 4" xfId="11507" xr:uid="{00000000-0005-0000-0000-0000672B0000}"/>
    <cellStyle name="Accent4 52" xfId="11508" xr:uid="{00000000-0005-0000-0000-0000682B0000}"/>
    <cellStyle name="Accent4 52 2" xfId="11509" xr:uid="{00000000-0005-0000-0000-0000692B0000}"/>
    <cellStyle name="Accent4 52 3" xfId="11510" xr:uid="{00000000-0005-0000-0000-00006A2B0000}"/>
    <cellStyle name="Accent4 52 4" xfId="11511" xr:uid="{00000000-0005-0000-0000-00006B2B0000}"/>
    <cellStyle name="Accent4 53" xfId="11512" xr:uid="{00000000-0005-0000-0000-00006C2B0000}"/>
    <cellStyle name="Accent4 53 2" xfId="11513" xr:uid="{00000000-0005-0000-0000-00006D2B0000}"/>
    <cellStyle name="Accent4 53 3" xfId="11514" xr:uid="{00000000-0005-0000-0000-00006E2B0000}"/>
    <cellStyle name="Accent4 53 4" xfId="11515" xr:uid="{00000000-0005-0000-0000-00006F2B0000}"/>
    <cellStyle name="Accent4 54" xfId="11516" xr:uid="{00000000-0005-0000-0000-0000702B0000}"/>
    <cellStyle name="Accent4 54 2" xfId="11517" xr:uid="{00000000-0005-0000-0000-0000712B0000}"/>
    <cellStyle name="Accent4 54 3" xfId="11518" xr:uid="{00000000-0005-0000-0000-0000722B0000}"/>
    <cellStyle name="Accent4 54 4" xfId="11519" xr:uid="{00000000-0005-0000-0000-0000732B0000}"/>
    <cellStyle name="Accent4 55" xfId="11520" xr:uid="{00000000-0005-0000-0000-0000742B0000}"/>
    <cellStyle name="Accent4 55 2" xfId="11521" xr:uid="{00000000-0005-0000-0000-0000752B0000}"/>
    <cellStyle name="Accent4 55 3" xfId="11522" xr:uid="{00000000-0005-0000-0000-0000762B0000}"/>
    <cellStyle name="Accent4 55 4" xfId="11523" xr:uid="{00000000-0005-0000-0000-0000772B0000}"/>
    <cellStyle name="Accent4 56" xfId="11524" xr:uid="{00000000-0005-0000-0000-0000782B0000}"/>
    <cellStyle name="Accent4 56 2" xfId="11525" xr:uid="{00000000-0005-0000-0000-0000792B0000}"/>
    <cellStyle name="Accent4 56 3" xfId="11526" xr:uid="{00000000-0005-0000-0000-00007A2B0000}"/>
    <cellStyle name="Accent4 56 4" xfId="11527" xr:uid="{00000000-0005-0000-0000-00007B2B0000}"/>
    <cellStyle name="Accent4 57" xfId="11528" xr:uid="{00000000-0005-0000-0000-00007C2B0000}"/>
    <cellStyle name="Accent4 57 2" xfId="11529" xr:uid="{00000000-0005-0000-0000-00007D2B0000}"/>
    <cellStyle name="Accent4 57 3" xfId="11530" xr:uid="{00000000-0005-0000-0000-00007E2B0000}"/>
    <cellStyle name="Accent4 57 4" xfId="11531" xr:uid="{00000000-0005-0000-0000-00007F2B0000}"/>
    <cellStyle name="Accent4 58" xfId="11532" xr:uid="{00000000-0005-0000-0000-0000802B0000}"/>
    <cellStyle name="Accent4 58 2" xfId="11533" xr:uid="{00000000-0005-0000-0000-0000812B0000}"/>
    <cellStyle name="Accent4 58 3" xfId="11534" xr:uid="{00000000-0005-0000-0000-0000822B0000}"/>
    <cellStyle name="Accent4 58 4" xfId="11535" xr:uid="{00000000-0005-0000-0000-0000832B0000}"/>
    <cellStyle name="Accent4 59" xfId="11536" xr:uid="{00000000-0005-0000-0000-0000842B0000}"/>
    <cellStyle name="Accent4 59 2" xfId="11537" xr:uid="{00000000-0005-0000-0000-0000852B0000}"/>
    <cellStyle name="Accent4 59 3" xfId="11538" xr:uid="{00000000-0005-0000-0000-0000862B0000}"/>
    <cellStyle name="Accent4 59 4" xfId="11539" xr:uid="{00000000-0005-0000-0000-0000872B0000}"/>
    <cellStyle name="Accent4 6" xfId="11540" xr:uid="{00000000-0005-0000-0000-0000882B0000}"/>
    <cellStyle name="Accent4 6 2" xfId="11541" xr:uid="{00000000-0005-0000-0000-0000892B0000}"/>
    <cellStyle name="Accent4 6 2 2" xfId="11542" xr:uid="{00000000-0005-0000-0000-00008A2B0000}"/>
    <cellStyle name="Accent4 6 2 2 2" xfId="11543" xr:uid="{00000000-0005-0000-0000-00008B2B0000}"/>
    <cellStyle name="Accent4 6 2 3" xfId="11544" xr:uid="{00000000-0005-0000-0000-00008C2B0000}"/>
    <cellStyle name="Accent4 6 3" xfId="11545" xr:uid="{00000000-0005-0000-0000-00008D2B0000}"/>
    <cellStyle name="Accent4 6 3 2" xfId="11546" xr:uid="{00000000-0005-0000-0000-00008E2B0000}"/>
    <cellStyle name="Accent4 6 4" xfId="11547" xr:uid="{00000000-0005-0000-0000-00008F2B0000}"/>
    <cellStyle name="Accent4 6 5" xfId="11548" xr:uid="{00000000-0005-0000-0000-0000902B0000}"/>
    <cellStyle name="Accent4 60" xfId="11549" xr:uid="{00000000-0005-0000-0000-0000912B0000}"/>
    <cellStyle name="Accent4 60 2" xfId="11550" xr:uid="{00000000-0005-0000-0000-0000922B0000}"/>
    <cellStyle name="Accent4 60 3" xfId="11551" xr:uid="{00000000-0005-0000-0000-0000932B0000}"/>
    <cellStyle name="Accent4 60 4" xfId="11552" xr:uid="{00000000-0005-0000-0000-0000942B0000}"/>
    <cellStyle name="Accent4 61" xfId="11553" xr:uid="{00000000-0005-0000-0000-0000952B0000}"/>
    <cellStyle name="Accent4 61 2" xfId="11554" xr:uid="{00000000-0005-0000-0000-0000962B0000}"/>
    <cellStyle name="Accent4 61 3" xfId="11555" xr:uid="{00000000-0005-0000-0000-0000972B0000}"/>
    <cellStyle name="Accent4 61 4" xfId="11556" xr:uid="{00000000-0005-0000-0000-0000982B0000}"/>
    <cellStyle name="Accent4 62" xfId="11557" xr:uid="{00000000-0005-0000-0000-0000992B0000}"/>
    <cellStyle name="Accent4 62 2" xfId="11558" xr:uid="{00000000-0005-0000-0000-00009A2B0000}"/>
    <cellStyle name="Accent4 62 3" xfId="11559" xr:uid="{00000000-0005-0000-0000-00009B2B0000}"/>
    <cellStyle name="Accent4 62 4" xfId="11560" xr:uid="{00000000-0005-0000-0000-00009C2B0000}"/>
    <cellStyle name="Accent4 63" xfId="11561" xr:uid="{00000000-0005-0000-0000-00009D2B0000}"/>
    <cellStyle name="Accent4 63 2" xfId="11562" xr:uid="{00000000-0005-0000-0000-00009E2B0000}"/>
    <cellStyle name="Accent4 63 3" xfId="11563" xr:uid="{00000000-0005-0000-0000-00009F2B0000}"/>
    <cellStyle name="Accent4 63 4" xfId="11564" xr:uid="{00000000-0005-0000-0000-0000A02B0000}"/>
    <cellStyle name="Accent4 64" xfId="11565" xr:uid="{00000000-0005-0000-0000-0000A12B0000}"/>
    <cellStyle name="Accent4 64 2" xfId="11566" xr:uid="{00000000-0005-0000-0000-0000A22B0000}"/>
    <cellStyle name="Accent4 64 3" xfId="11567" xr:uid="{00000000-0005-0000-0000-0000A32B0000}"/>
    <cellStyle name="Accent4 64 4" xfId="11568" xr:uid="{00000000-0005-0000-0000-0000A42B0000}"/>
    <cellStyle name="Accent4 65" xfId="11569" xr:uid="{00000000-0005-0000-0000-0000A52B0000}"/>
    <cellStyle name="Accent4 65 2" xfId="11570" xr:uid="{00000000-0005-0000-0000-0000A62B0000}"/>
    <cellStyle name="Accent4 65 3" xfId="11571" xr:uid="{00000000-0005-0000-0000-0000A72B0000}"/>
    <cellStyle name="Accent4 65 4" xfId="11572" xr:uid="{00000000-0005-0000-0000-0000A82B0000}"/>
    <cellStyle name="Accent4 66" xfId="11573" xr:uid="{00000000-0005-0000-0000-0000A92B0000}"/>
    <cellStyle name="Accent4 66 2" xfId="11574" xr:uid="{00000000-0005-0000-0000-0000AA2B0000}"/>
    <cellStyle name="Accent4 66 3" xfId="11575" xr:uid="{00000000-0005-0000-0000-0000AB2B0000}"/>
    <cellStyle name="Accent4 66 4" xfId="11576" xr:uid="{00000000-0005-0000-0000-0000AC2B0000}"/>
    <cellStyle name="Accent4 67" xfId="11577" xr:uid="{00000000-0005-0000-0000-0000AD2B0000}"/>
    <cellStyle name="Accent4 67 2" xfId="11578" xr:uid="{00000000-0005-0000-0000-0000AE2B0000}"/>
    <cellStyle name="Accent4 67 3" xfId="11579" xr:uid="{00000000-0005-0000-0000-0000AF2B0000}"/>
    <cellStyle name="Accent4 67 4" xfId="11580" xr:uid="{00000000-0005-0000-0000-0000B02B0000}"/>
    <cellStyle name="Accent4 68" xfId="11581" xr:uid="{00000000-0005-0000-0000-0000B12B0000}"/>
    <cellStyle name="Accent4 68 2" xfId="11582" xr:uid="{00000000-0005-0000-0000-0000B22B0000}"/>
    <cellStyle name="Accent4 68 3" xfId="11583" xr:uid="{00000000-0005-0000-0000-0000B32B0000}"/>
    <cellStyle name="Accent4 68 4" xfId="11584" xr:uid="{00000000-0005-0000-0000-0000B42B0000}"/>
    <cellStyle name="Accent4 69" xfId="11585" xr:uid="{00000000-0005-0000-0000-0000B52B0000}"/>
    <cellStyle name="Accent4 69 2" xfId="11586" xr:uid="{00000000-0005-0000-0000-0000B62B0000}"/>
    <cellStyle name="Accent4 69 3" xfId="11587" xr:uid="{00000000-0005-0000-0000-0000B72B0000}"/>
    <cellStyle name="Accent4 69 4" xfId="11588" xr:uid="{00000000-0005-0000-0000-0000B82B0000}"/>
    <cellStyle name="Accent4 7" xfId="11589" xr:uid="{00000000-0005-0000-0000-0000B92B0000}"/>
    <cellStyle name="Accent4 7 2" xfId="11590" xr:uid="{00000000-0005-0000-0000-0000BA2B0000}"/>
    <cellStyle name="Accent4 7 2 2" xfId="11591" xr:uid="{00000000-0005-0000-0000-0000BB2B0000}"/>
    <cellStyle name="Accent4 7 2 2 2" xfId="11592" xr:uid="{00000000-0005-0000-0000-0000BC2B0000}"/>
    <cellStyle name="Accent4 7 2 3" xfId="11593" xr:uid="{00000000-0005-0000-0000-0000BD2B0000}"/>
    <cellStyle name="Accent4 7 3" xfId="11594" xr:uid="{00000000-0005-0000-0000-0000BE2B0000}"/>
    <cellStyle name="Accent4 7 3 2" xfId="11595" xr:uid="{00000000-0005-0000-0000-0000BF2B0000}"/>
    <cellStyle name="Accent4 7 4" xfId="11596" xr:uid="{00000000-0005-0000-0000-0000C02B0000}"/>
    <cellStyle name="Accent4 7 5" xfId="11597" xr:uid="{00000000-0005-0000-0000-0000C12B0000}"/>
    <cellStyle name="Accent4 7 6" xfId="11598" xr:uid="{00000000-0005-0000-0000-0000C22B0000}"/>
    <cellStyle name="Accent4 70" xfId="11599" xr:uid="{00000000-0005-0000-0000-0000C32B0000}"/>
    <cellStyle name="Accent4 70 2" xfId="11600" xr:uid="{00000000-0005-0000-0000-0000C42B0000}"/>
    <cellStyle name="Accent4 70 3" xfId="11601" xr:uid="{00000000-0005-0000-0000-0000C52B0000}"/>
    <cellStyle name="Accent4 70 4" xfId="11602" xr:uid="{00000000-0005-0000-0000-0000C62B0000}"/>
    <cellStyle name="Accent4 71" xfId="11603" xr:uid="{00000000-0005-0000-0000-0000C72B0000}"/>
    <cellStyle name="Accent4 71 2" xfId="11604" xr:uid="{00000000-0005-0000-0000-0000C82B0000}"/>
    <cellStyle name="Accent4 71 2 2" xfId="11605" xr:uid="{00000000-0005-0000-0000-0000C92B0000}"/>
    <cellStyle name="Accent4 71 3" xfId="11606" xr:uid="{00000000-0005-0000-0000-0000CA2B0000}"/>
    <cellStyle name="Accent4 71 4" xfId="11607" xr:uid="{00000000-0005-0000-0000-0000CB2B0000}"/>
    <cellStyle name="Accent4 72" xfId="11608" xr:uid="{00000000-0005-0000-0000-0000CC2B0000}"/>
    <cellStyle name="Accent4 72 2" xfId="11609" xr:uid="{00000000-0005-0000-0000-0000CD2B0000}"/>
    <cellStyle name="Accent4 72 2 2" xfId="11610" xr:uid="{00000000-0005-0000-0000-0000CE2B0000}"/>
    <cellStyle name="Accent4 72 3" xfId="11611" xr:uid="{00000000-0005-0000-0000-0000CF2B0000}"/>
    <cellStyle name="Accent4 72 4" xfId="11612" xr:uid="{00000000-0005-0000-0000-0000D02B0000}"/>
    <cellStyle name="Accent4 73" xfId="11613" xr:uid="{00000000-0005-0000-0000-0000D12B0000}"/>
    <cellStyle name="Accent4 73 2" xfId="11614" xr:uid="{00000000-0005-0000-0000-0000D22B0000}"/>
    <cellStyle name="Accent4 73 2 2" xfId="11615" xr:uid="{00000000-0005-0000-0000-0000D32B0000}"/>
    <cellStyle name="Accent4 73 3" xfId="11616" xr:uid="{00000000-0005-0000-0000-0000D42B0000}"/>
    <cellStyle name="Accent4 73 4" xfId="11617" xr:uid="{00000000-0005-0000-0000-0000D52B0000}"/>
    <cellStyle name="Accent4 74" xfId="11618" xr:uid="{00000000-0005-0000-0000-0000D62B0000}"/>
    <cellStyle name="Accent4 74 2" xfId="11619" xr:uid="{00000000-0005-0000-0000-0000D72B0000}"/>
    <cellStyle name="Accent4 74 2 2" xfId="11620" xr:uid="{00000000-0005-0000-0000-0000D82B0000}"/>
    <cellStyle name="Accent4 74 3" xfId="11621" xr:uid="{00000000-0005-0000-0000-0000D92B0000}"/>
    <cellStyle name="Accent4 74 4" xfId="11622" xr:uid="{00000000-0005-0000-0000-0000DA2B0000}"/>
    <cellStyle name="Accent4 75" xfId="11623" xr:uid="{00000000-0005-0000-0000-0000DB2B0000}"/>
    <cellStyle name="Accent4 75 2" xfId="11624" xr:uid="{00000000-0005-0000-0000-0000DC2B0000}"/>
    <cellStyle name="Accent4 75 2 2" xfId="11625" xr:uid="{00000000-0005-0000-0000-0000DD2B0000}"/>
    <cellStyle name="Accent4 75 3" xfId="11626" xr:uid="{00000000-0005-0000-0000-0000DE2B0000}"/>
    <cellStyle name="Accent4 75 4" xfId="11627" xr:uid="{00000000-0005-0000-0000-0000DF2B0000}"/>
    <cellStyle name="Accent4 76" xfId="11628" xr:uid="{00000000-0005-0000-0000-0000E02B0000}"/>
    <cellStyle name="Accent4 76 2" xfId="11629" xr:uid="{00000000-0005-0000-0000-0000E12B0000}"/>
    <cellStyle name="Accent4 76 2 2" xfId="11630" xr:uid="{00000000-0005-0000-0000-0000E22B0000}"/>
    <cellStyle name="Accent4 76 3" xfId="11631" xr:uid="{00000000-0005-0000-0000-0000E32B0000}"/>
    <cellStyle name="Accent4 76 4" xfId="11632" xr:uid="{00000000-0005-0000-0000-0000E42B0000}"/>
    <cellStyle name="Accent4 77" xfId="11633" xr:uid="{00000000-0005-0000-0000-0000E52B0000}"/>
    <cellStyle name="Accent4 77 2" xfId="11634" xr:uid="{00000000-0005-0000-0000-0000E62B0000}"/>
    <cellStyle name="Accent4 77 3" xfId="11635" xr:uid="{00000000-0005-0000-0000-0000E72B0000}"/>
    <cellStyle name="Accent4 77 4" xfId="11636" xr:uid="{00000000-0005-0000-0000-0000E82B0000}"/>
    <cellStyle name="Accent4 78" xfId="11637" xr:uid="{00000000-0005-0000-0000-0000E92B0000}"/>
    <cellStyle name="Accent4 78 2" xfId="11638" xr:uid="{00000000-0005-0000-0000-0000EA2B0000}"/>
    <cellStyle name="Accent4 78 3" xfId="11639" xr:uid="{00000000-0005-0000-0000-0000EB2B0000}"/>
    <cellStyle name="Accent4 79" xfId="11640" xr:uid="{00000000-0005-0000-0000-0000EC2B0000}"/>
    <cellStyle name="Accent4 79 2" xfId="11641" xr:uid="{00000000-0005-0000-0000-0000ED2B0000}"/>
    <cellStyle name="Accent4 79 3" xfId="11642" xr:uid="{00000000-0005-0000-0000-0000EE2B0000}"/>
    <cellStyle name="Accent4 8" xfId="11643" xr:uid="{00000000-0005-0000-0000-0000EF2B0000}"/>
    <cellStyle name="Accent4 8 2" xfId="11644" xr:uid="{00000000-0005-0000-0000-0000F02B0000}"/>
    <cellStyle name="Accent4 8 2 2" xfId="11645" xr:uid="{00000000-0005-0000-0000-0000F12B0000}"/>
    <cellStyle name="Accent4 8 2 2 2" xfId="11646" xr:uid="{00000000-0005-0000-0000-0000F22B0000}"/>
    <cellStyle name="Accent4 8 2 3" xfId="11647" xr:uid="{00000000-0005-0000-0000-0000F32B0000}"/>
    <cellStyle name="Accent4 8 3" xfId="11648" xr:uid="{00000000-0005-0000-0000-0000F42B0000}"/>
    <cellStyle name="Accent4 8 3 2" xfId="11649" xr:uid="{00000000-0005-0000-0000-0000F52B0000}"/>
    <cellStyle name="Accent4 8 4" xfId="11650" xr:uid="{00000000-0005-0000-0000-0000F62B0000}"/>
    <cellStyle name="Accent4 8 4 2" xfId="11651" xr:uid="{00000000-0005-0000-0000-0000F72B0000}"/>
    <cellStyle name="Accent4 8 5" xfId="11652" xr:uid="{00000000-0005-0000-0000-0000F82B0000}"/>
    <cellStyle name="Accent4 8 6" xfId="11653" xr:uid="{00000000-0005-0000-0000-0000F92B0000}"/>
    <cellStyle name="Accent4 80" xfId="11654" xr:uid="{00000000-0005-0000-0000-0000FA2B0000}"/>
    <cellStyle name="Accent4 80 2" xfId="11655" xr:uid="{00000000-0005-0000-0000-0000FB2B0000}"/>
    <cellStyle name="Accent4 80 3" xfId="11656" xr:uid="{00000000-0005-0000-0000-0000FC2B0000}"/>
    <cellStyle name="Accent4 81" xfId="11657" xr:uid="{00000000-0005-0000-0000-0000FD2B0000}"/>
    <cellStyle name="Accent4 81 2" xfId="11658" xr:uid="{00000000-0005-0000-0000-0000FE2B0000}"/>
    <cellStyle name="Accent4 81 3" xfId="11659" xr:uid="{00000000-0005-0000-0000-0000FF2B0000}"/>
    <cellStyle name="Accent4 82" xfId="11660" xr:uid="{00000000-0005-0000-0000-0000002C0000}"/>
    <cellStyle name="Accent4 82 2" xfId="11661" xr:uid="{00000000-0005-0000-0000-0000012C0000}"/>
    <cellStyle name="Accent4 82 3" xfId="11662" xr:uid="{00000000-0005-0000-0000-0000022C0000}"/>
    <cellStyle name="Accent4 83" xfId="11663" xr:uid="{00000000-0005-0000-0000-0000032C0000}"/>
    <cellStyle name="Accent4 83 2" xfId="11664" xr:uid="{00000000-0005-0000-0000-0000042C0000}"/>
    <cellStyle name="Accent4 83 3" xfId="11665" xr:uid="{00000000-0005-0000-0000-0000052C0000}"/>
    <cellStyle name="Accent4 84" xfId="11666" xr:uid="{00000000-0005-0000-0000-0000062C0000}"/>
    <cellStyle name="Accent4 84 2" xfId="11667" xr:uid="{00000000-0005-0000-0000-0000072C0000}"/>
    <cellStyle name="Accent4 84 3" xfId="11668" xr:uid="{00000000-0005-0000-0000-0000082C0000}"/>
    <cellStyle name="Accent4 85" xfId="11669" xr:uid="{00000000-0005-0000-0000-0000092C0000}"/>
    <cellStyle name="Accent4 85 2" xfId="11670" xr:uid="{00000000-0005-0000-0000-00000A2C0000}"/>
    <cellStyle name="Accent4 85 3" xfId="11671" xr:uid="{00000000-0005-0000-0000-00000B2C0000}"/>
    <cellStyle name="Accent4 86" xfId="11672" xr:uid="{00000000-0005-0000-0000-00000C2C0000}"/>
    <cellStyle name="Accent4 86 2" xfId="11673" xr:uid="{00000000-0005-0000-0000-00000D2C0000}"/>
    <cellStyle name="Accent4 86 3" xfId="11674" xr:uid="{00000000-0005-0000-0000-00000E2C0000}"/>
    <cellStyle name="Accent4 87" xfId="11675" xr:uid="{00000000-0005-0000-0000-00000F2C0000}"/>
    <cellStyle name="Accent4 87 2" xfId="11676" xr:uid="{00000000-0005-0000-0000-0000102C0000}"/>
    <cellStyle name="Accent4 87 3" xfId="11677" xr:uid="{00000000-0005-0000-0000-0000112C0000}"/>
    <cellStyle name="Accent4 88" xfId="11678" xr:uid="{00000000-0005-0000-0000-0000122C0000}"/>
    <cellStyle name="Accent4 88 2" xfId="11679" xr:uid="{00000000-0005-0000-0000-0000132C0000}"/>
    <cellStyle name="Accent4 88 3" xfId="11680" xr:uid="{00000000-0005-0000-0000-0000142C0000}"/>
    <cellStyle name="Accent4 89" xfId="11681" xr:uid="{00000000-0005-0000-0000-0000152C0000}"/>
    <cellStyle name="Accent4 89 2" xfId="11682" xr:uid="{00000000-0005-0000-0000-0000162C0000}"/>
    <cellStyle name="Accent4 89 3" xfId="11683" xr:uid="{00000000-0005-0000-0000-0000172C0000}"/>
    <cellStyle name="Accent4 9" xfId="11684" xr:uid="{00000000-0005-0000-0000-0000182C0000}"/>
    <cellStyle name="Accent4 9 2" xfId="11685" xr:uid="{00000000-0005-0000-0000-0000192C0000}"/>
    <cellStyle name="Accent4 9 2 2" xfId="11686" xr:uid="{00000000-0005-0000-0000-00001A2C0000}"/>
    <cellStyle name="Accent4 9 2 3" xfId="11687" xr:uid="{00000000-0005-0000-0000-00001B2C0000}"/>
    <cellStyle name="Accent4 9 3" xfId="11688" xr:uid="{00000000-0005-0000-0000-00001C2C0000}"/>
    <cellStyle name="Accent4 9 3 2" xfId="11689" xr:uid="{00000000-0005-0000-0000-00001D2C0000}"/>
    <cellStyle name="Accent4 9 4" xfId="11690" xr:uid="{00000000-0005-0000-0000-00001E2C0000}"/>
    <cellStyle name="Accent4 9 5" xfId="11691" xr:uid="{00000000-0005-0000-0000-00001F2C0000}"/>
    <cellStyle name="Accent4 9 6" xfId="11692" xr:uid="{00000000-0005-0000-0000-0000202C0000}"/>
    <cellStyle name="Accent4 9 7" xfId="11693" xr:uid="{00000000-0005-0000-0000-0000212C0000}"/>
    <cellStyle name="Accent4 90" xfId="11694" xr:uid="{00000000-0005-0000-0000-0000222C0000}"/>
    <cellStyle name="Accent4 90 2" xfId="11695" xr:uid="{00000000-0005-0000-0000-0000232C0000}"/>
    <cellStyle name="Accent4 90 3" xfId="11696" xr:uid="{00000000-0005-0000-0000-0000242C0000}"/>
    <cellStyle name="Accent4 91" xfId="11697" xr:uid="{00000000-0005-0000-0000-0000252C0000}"/>
    <cellStyle name="Accent4 91 2" xfId="11698" xr:uid="{00000000-0005-0000-0000-0000262C0000}"/>
    <cellStyle name="Accent4 91 3" xfId="11699" xr:uid="{00000000-0005-0000-0000-0000272C0000}"/>
    <cellStyle name="Accent4 92" xfId="11700" xr:uid="{00000000-0005-0000-0000-0000282C0000}"/>
    <cellStyle name="Accent4 92 2" xfId="11701" xr:uid="{00000000-0005-0000-0000-0000292C0000}"/>
    <cellStyle name="Accent4 92 3" xfId="11702" xr:uid="{00000000-0005-0000-0000-00002A2C0000}"/>
    <cellStyle name="Accent4 93" xfId="11703" xr:uid="{00000000-0005-0000-0000-00002B2C0000}"/>
    <cellStyle name="Accent4 93 2" xfId="11704" xr:uid="{00000000-0005-0000-0000-00002C2C0000}"/>
    <cellStyle name="Accent4 93 3" xfId="11705" xr:uid="{00000000-0005-0000-0000-00002D2C0000}"/>
    <cellStyle name="Accent4 94" xfId="11706" xr:uid="{00000000-0005-0000-0000-00002E2C0000}"/>
    <cellStyle name="Accent4 94 2" xfId="11707" xr:uid="{00000000-0005-0000-0000-00002F2C0000}"/>
    <cellStyle name="Accent4 94 3" xfId="11708" xr:uid="{00000000-0005-0000-0000-0000302C0000}"/>
    <cellStyle name="Accent4 95" xfId="11709" xr:uid="{00000000-0005-0000-0000-0000312C0000}"/>
    <cellStyle name="Accent4 95 2" xfId="11710" xr:uid="{00000000-0005-0000-0000-0000322C0000}"/>
    <cellStyle name="Accent4 95 3" xfId="11711" xr:uid="{00000000-0005-0000-0000-0000332C0000}"/>
    <cellStyle name="Accent4 96" xfId="11712" xr:uid="{00000000-0005-0000-0000-0000342C0000}"/>
    <cellStyle name="Accent4 96 2" xfId="11713" xr:uid="{00000000-0005-0000-0000-0000352C0000}"/>
    <cellStyle name="Accent4 96 3" xfId="11714" xr:uid="{00000000-0005-0000-0000-0000362C0000}"/>
    <cellStyle name="Accent4 97" xfId="11715" xr:uid="{00000000-0005-0000-0000-0000372C0000}"/>
    <cellStyle name="Accent4 97 2" xfId="11716" xr:uid="{00000000-0005-0000-0000-0000382C0000}"/>
    <cellStyle name="Accent4 97 3" xfId="11717" xr:uid="{00000000-0005-0000-0000-0000392C0000}"/>
    <cellStyle name="Accent4 98" xfId="11718" xr:uid="{00000000-0005-0000-0000-00003A2C0000}"/>
    <cellStyle name="Accent4 98 2" xfId="11719" xr:uid="{00000000-0005-0000-0000-00003B2C0000}"/>
    <cellStyle name="Accent4 98 3" xfId="11720" xr:uid="{00000000-0005-0000-0000-00003C2C0000}"/>
    <cellStyle name="Accent4 99" xfId="11721" xr:uid="{00000000-0005-0000-0000-00003D2C0000}"/>
    <cellStyle name="Accent4 99 2" xfId="11722" xr:uid="{00000000-0005-0000-0000-00003E2C0000}"/>
    <cellStyle name="Accent4 99 3" xfId="11723" xr:uid="{00000000-0005-0000-0000-00003F2C0000}"/>
    <cellStyle name="Accent5 - 20%" xfId="11724" xr:uid="{00000000-0005-0000-0000-0000402C0000}"/>
    <cellStyle name="Accent5 - 20% 2" xfId="11725" xr:uid="{00000000-0005-0000-0000-0000412C0000}"/>
    <cellStyle name="Accent5 - 20% 2 2" xfId="11726" xr:uid="{00000000-0005-0000-0000-0000422C0000}"/>
    <cellStyle name="Accent5 - 20% 2 2 2" xfId="11727" xr:uid="{00000000-0005-0000-0000-0000432C0000}"/>
    <cellStyle name="Accent5 - 20% 2 2 3" xfId="11728" xr:uid="{00000000-0005-0000-0000-0000442C0000}"/>
    <cellStyle name="Accent5 - 20% 2 3" xfId="11729" xr:uid="{00000000-0005-0000-0000-0000452C0000}"/>
    <cellStyle name="Accent5 - 20% 2 3 2" xfId="11730" xr:uid="{00000000-0005-0000-0000-0000462C0000}"/>
    <cellStyle name="Accent5 - 20% 2 4" xfId="11731" xr:uid="{00000000-0005-0000-0000-0000472C0000}"/>
    <cellStyle name="Accent5 - 20% 2 5" xfId="11732" xr:uid="{00000000-0005-0000-0000-0000482C0000}"/>
    <cellStyle name="Accent5 - 20% 3" xfId="11733" xr:uid="{00000000-0005-0000-0000-0000492C0000}"/>
    <cellStyle name="Accent5 - 20% 3 2" xfId="11734" xr:uid="{00000000-0005-0000-0000-00004A2C0000}"/>
    <cellStyle name="Accent5 - 20% 3 2 2" xfId="11735" xr:uid="{00000000-0005-0000-0000-00004B2C0000}"/>
    <cellStyle name="Accent5 - 20% 3 3" xfId="11736" xr:uid="{00000000-0005-0000-0000-00004C2C0000}"/>
    <cellStyle name="Accent5 - 20% 4" xfId="11737" xr:uid="{00000000-0005-0000-0000-00004D2C0000}"/>
    <cellStyle name="Accent5 - 20% 4 2" xfId="11738" xr:uid="{00000000-0005-0000-0000-00004E2C0000}"/>
    <cellStyle name="Accent5 - 20% 5" xfId="11739" xr:uid="{00000000-0005-0000-0000-00004F2C0000}"/>
    <cellStyle name="Accent5 - 20% 5 2" xfId="11740" xr:uid="{00000000-0005-0000-0000-0000502C0000}"/>
    <cellStyle name="Accent5 - 20% 6" xfId="11741" xr:uid="{00000000-0005-0000-0000-0000512C0000}"/>
    <cellStyle name="Accent5 - 20% 7" xfId="11742" xr:uid="{00000000-0005-0000-0000-0000522C0000}"/>
    <cellStyle name="Accent5 - 20% 8" xfId="11743" xr:uid="{00000000-0005-0000-0000-0000532C0000}"/>
    <cellStyle name="Accent5 - 20% 9" xfId="11744" xr:uid="{00000000-0005-0000-0000-0000542C0000}"/>
    <cellStyle name="Accent5 - 40%" xfId="11745" xr:uid="{00000000-0005-0000-0000-0000552C0000}"/>
    <cellStyle name="Accent5 - 40% 2" xfId="11746" xr:uid="{00000000-0005-0000-0000-0000562C0000}"/>
    <cellStyle name="Accent5 - 40% 2 2" xfId="11747" xr:uid="{00000000-0005-0000-0000-0000572C0000}"/>
    <cellStyle name="Accent5 - 40% 2 2 2" xfId="11748" xr:uid="{00000000-0005-0000-0000-0000582C0000}"/>
    <cellStyle name="Accent5 - 40% 2 3" xfId="11749" xr:uid="{00000000-0005-0000-0000-0000592C0000}"/>
    <cellStyle name="Accent5 - 40% 2 4" xfId="11750" xr:uid="{00000000-0005-0000-0000-00005A2C0000}"/>
    <cellStyle name="Accent5 - 40% 3" xfId="11751" xr:uid="{00000000-0005-0000-0000-00005B2C0000}"/>
    <cellStyle name="Accent5 - 40% 3 2" xfId="11752" xr:uid="{00000000-0005-0000-0000-00005C2C0000}"/>
    <cellStyle name="Accent5 - 40% 3 3" xfId="11753" xr:uid="{00000000-0005-0000-0000-00005D2C0000}"/>
    <cellStyle name="Accent5 - 40% 4" xfId="11754" xr:uid="{00000000-0005-0000-0000-00005E2C0000}"/>
    <cellStyle name="Accent5 - 40% 5" xfId="11755" xr:uid="{00000000-0005-0000-0000-00005F2C0000}"/>
    <cellStyle name="Accent5 - 40% 6" xfId="11756" xr:uid="{00000000-0005-0000-0000-0000602C0000}"/>
    <cellStyle name="Accent5 - 40% 7" xfId="11757" xr:uid="{00000000-0005-0000-0000-0000612C0000}"/>
    <cellStyle name="Accent5 - 40% 8" xfId="11758" xr:uid="{00000000-0005-0000-0000-0000622C0000}"/>
    <cellStyle name="Accent5 - 40% 9" xfId="11759" xr:uid="{00000000-0005-0000-0000-0000632C0000}"/>
    <cellStyle name="Accent5 - 60%" xfId="11760" xr:uid="{00000000-0005-0000-0000-0000642C0000}"/>
    <cellStyle name="Accent5 - 60% 2" xfId="11761" xr:uid="{00000000-0005-0000-0000-0000652C0000}"/>
    <cellStyle name="Accent5 - 60% 2 2" xfId="11762" xr:uid="{00000000-0005-0000-0000-0000662C0000}"/>
    <cellStyle name="Accent5 - 60% 2 2 2" xfId="11763" xr:uid="{00000000-0005-0000-0000-0000672C0000}"/>
    <cellStyle name="Accent5 - 60% 2 2 3" xfId="11764" xr:uid="{00000000-0005-0000-0000-0000682C0000}"/>
    <cellStyle name="Accent5 - 60% 2 3" xfId="11765" xr:uid="{00000000-0005-0000-0000-0000692C0000}"/>
    <cellStyle name="Accent5 - 60% 2 3 2" xfId="11766" xr:uid="{00000000-0005-0000-0000-00006A2C0000}"/>
    <cellStyle name="Accent5 - 60% 2 4" xfId="11767" xr:uid="{00000000-0005-0000-0000-00006B2C0000}"/>
    <cellStyle name="Accent5 - 60% 2 5" xfId="11768" xr:uid="{00000000-0005-0000-0000-00006C2C0000}"/>
    <cellStyle name="Accent5 - 60% 3" xfId="11769" xr:uid="{00000000-0005-0000-0000-00006D2C0000}"/>
    <cellStyle name="Accent5 - 60% 3 2" xfId="11770" xr:uid="{00000000-0005-0000-0000-00006E2C0000}"/>
    <cellStyle name="Accent5 - 60% 3 2 2" xfId="11771" xr:uid="{00000000-0005-0000-0000-00006F2C0000}"/>
    <cellStyle name="Accent5 - 60% 3 3" xfId="11772" xr:uid="{00000000-0005-0000-0000-0000702C0000}"/>
    <cellStyle name="Accent5 - 60% 4" xfId="11773" xr:uid="{00000000-0005-0000-0000-0000712C0000}"/>
    <cellStyle name="Accent5 - 60% 4 2" xfId="11774" xr:uid="{00000000-0005-0000-0000-0000722C0000}"/>
    <cellStyle name="Accent5 - 60% 5" xfId="11775" xr:uid="{00000000-0005-0000-0000-0000732C0000}"/>
    <cellStyle name="Accent5 - 60% 5 2" xfId="11776" xr:uid="{00000000-0005-0000-0000-0000742C0000}"/>
    <cellStyle name="Accent5 - 60% 6" xfId="11777" xr:uid="{00000000-0005-0000-0000-0000752C0000}"/>
    <cellStyle name="Accent5 - 60% 7" xfId="11778" xr:uid="{00000000-0005-0000-0000-0000762C0000}"/>
    <cellStyle name="Accent5 - 60% 8" xfId="11779" xr:uid="{00000000-0005-0000-0000-0000772C0000}"/>
    <cellStyle name="Accent5 - 60% 9" xfId="11780" xr:uid="{00000000-0005-0000-0000-0000782C0000}"/>
    <cellStyle name="Accent5 10" xfId="11781" xr:uid="{00000000-0005-0000-0000-0000792C0000}"/>
    <cellStyle name="Accent5 10 2" xfId="11782" xr:uid="{00000000-0005-0000-0000-00007A2C0000}"/>
    <cellStyle name="Accent5 10 2 2" xfId="11783" xr:uid="{00000000-0005-0000-0000-00007B2C0000}"/>
    <cellStyle name="Accent5 10 2 3" xfId="11784" xr:uid="{00000000-0005-0000-0000-00007C2C0000}"/>
    <cellStyle name="Accent5 10 3" xfId="11785" xr:uid="{00000000-0005-0000-0000-00007D2C0000}"/>
    <cellStyle name="Accent5 10 3 2" xfId="11786" xr:uid="{00000000-0005-0000-0000-00007E2C0000}"/>
    <cellStyle name="Accent5 10 4" xfId="11787" xr:uid="{00000000-0005-0000-0000-00007F2C0000}"/>
    <cellStyle name="Accent5 10 5" xfId="11788" xr:uid="{00000000-0005-0000-0000-0000802C0000}"/>
    <cellStyle name="Accent5 10 6" xfId="11789" xr:uid="{00000000-0005-0000-0000-0000812C0000}"/>
    <cellStyle name="Accent5 10 7" xfId="11790" xr:uid="{00000000-0005-0000-0000-0000822C0000}"/>
    <cellStyle name="Accent5 100" xfId="11791" xr:uid="{00000000-0005-0000-0000-0000832C0000}"/>
    <cellStyle name="Accent5 100 2" xfId="11792" xr:uid="{00000000-0005-0000-0000-0000842C0000}"/>
    <cellStyle name="Accent5 101" xfId="11793" xr:uid="{00000000-0005-0000-0000-0000852C0000}"/>
    <cellStyle name="Accent5 101 2" xfId="11794" xr:uid="{00000000-0005-0000-0000-0000862C0000}"/>
    <cellStyle name="Accent5 102" xfId="11795" xr:uid="{00000000-0005-0000-0000-0000872C0000}"/>
    <cellStyle name="Accent5 102 2" xfId="11796" xr:uid="{00000000-0005-0000-0000-0000882C0000}"/>
    <cellStyle name="Accent5 103" xfId="11797" xr:uid="{00000000-0005-0000-0000-0000892C0000}"/>
    <cellStyle name="Accent5 103 2" xfId="11798" xr:uid="{00000000-0005-0000-0000-00008A2C0000}"/>
    <cellStyle name="Accent5 104" xfId="11799" xr:uid="{00000000-0005-0000-0000-00008B2C0000}"/>
    <cellStyle name="Accent5 104 2" xfId="11800" xr:uid="{00000000-0005-0000-0000-00008C2C0000}"/>
    <cellStyle name="Accent5 105" xfId="11801" xr:uid="{00000000-0005-0000-0000-00008D2C0000}"/>
    <cellStyle name="Accent5 105 2" xfId="11802" xr:uid="{00000000-0005-0000-0000-00008E2C0000}"/>
    <cellStyle name="Accent5 106" xfId="11803" xr:uid="{00000000-0005-0000-0000-00008F2C0000}"/>
    <cellStyle name="Accent5 106 2" xfId="11804" xr:uid="{00000000-0005-0000-0000-0000902C0000}"/>
    <cellStyle name="Accent5 107" xfId="11805" xr:uid="{00000000-0005-0000-0000-0000912C0000}"/>
    <cellStyle name="Accent5 107 2" xfId="11806" xr:uid="{00000000-0005-0000-0000-0000922C0000}"/>
    <cellStyle name="Accent5 108" xfId="11807" xr:uid="{00000000-0005-0000-0000-0000932C0000}"/>
    <cellStyle name="Accent5 108 2" xfId="11808" xr:uid="{00000000-0005-0000-0000-0000942C0000}"/>
    <cellStyle name="Accent5 109" xfId="11809" xr:uid="{00000000-0005-0000-0000-0000952C0000}"/>
    <cellStyle name="Accent5 109 2" xfId="11810" xr:uid="{00000000-0005-0000-0000-0000962C0000}"/>
    <cellStyle name="Accent5 11" xfId="11811" xr:uid="{00000000-0005-0000-0000-0000972C0000}"/>
    <cellStyle name="Accent5 11 2" xfId="11812" xr:uid="{00000000-0005-0000-0000-0000982C0000}"/>
    <cellStyle name="Accent5 11 2 2" xfId="11813" xr:uid="{00000000-0005-0000-0000-0000992C0000}"/>
    <cellStyle name="Accent5 11 2 3" xfId="11814" xr:uid="{00000000-0005-0000-0000-00009A2C0000}"/>
    <cellStyle name="Accent5 11 3" xfId="11815" xr:uid="{00000000-0005-0000-0000-00009B2C0000}"/>
    <cellStyle name="Accent5 11 3 2" xfId="11816" xr:uid="{00000000-0005-0000-0000-00009C2C0000}"/>
    <cellStyle name="Accent5 11 4" xfId="11817" xr:uid="{00000000-0005-0000-0000-00009D2C0000}"/>
    <cellStyle name="Accent5 11 5" xfId="11818" xr:uid="{00000000-0005-0000-0000-00009E2C0000}"/>
    <cellStyle name="Accent5 11 6" xfId="11819" xr:uid="{00000000-0005-0000-0000-00009F2C0000}"/>
    <cellStyle name="Accent5 11 7" xfId="11820" xr:uid="{00000000-0005-0000-0000-0000A02C0000}"/>
    <cellStyle name="Accent5 11 8" xfId="11821" xr:uid="{00000000-0005-0000-0000-0000A12C0000}"/>
    <cellStyle name="Accent5 110" xfId="11822" xr:uid="{00000000-0005-0000-0000-0000A22C0000}"/>
    <cellStyle name="Accent5 110 2" xfId="11823" xr:uid="{00000000-0005-0000-0000-0000A32C0000}"/>
    <cellStyle name="Accent5 111" xfId="11824" xr:uid="{00000000-0005-0000-0000-0000A42C0000}"/>
    <cellStyle name="Accent5 112" xfId="11825" xr:uid="{00000000-0005-0000-0000-0000A52C0000}"/>
    <cellStyle name="Accent5 113" xfId="11826" xr:uid="{00000000-0005-0000-0000-0000A62C0000}"/>
    <cellStyle name="Accent5 114" xfId="11827" xr:uid="{00000000-0005-0000-0000-0000A72C0000}"/>
    <cellStyle name="Accent5 115" xfId="11828" xr:uid="{00000000-0005-0000-0000-0000A82C0000}"/>
    <cellStyle name="Accent5 116" xfId="11829" xr:uid="{00000000-0005-0000-0000-0000A92C0000}"/>
    <cellStyle name="Accent5 117" xfId="11830" xr:uid="{00000000-0005-0000-0000-0000AA2C0000}"/>
    <cellStyle name="Accent5 118" xfId="11831" xr:uid="{00000000-0005-0000-0000-0000AB2C0000}"/>
    <cellStyle name="Accent5 119" xfId="11832" xr:uid="{00000000-0005-0000-0000-0000AC2C0000}"/>
    <cellStyle name="Accent5 12" xfId="11833" xr:uid="{00000000-0005-0000-0000-0000AD2C0000}"/>
    <cellStyle name="Accent5 12 2" xfId="11834" xr:uid="{00000000-0005-0000-0000-0000AE2C0000}"/>
    <cellStyle name="Accent5 12 2 2" xfId="11835" xr:uid="{00000000-0005-0000-0000-0000AF2C0000}"/>
    <cellStyle name="Accent5 12 2 3" xfId="11836" xr:uid="{00000000-0005-0000-0000-0000B02C0000}"/>
    <cellStyle name="Accent5 12 3" xfId="11837" xr:uid="{00000000-0005-0000-0000-0000B12C0000}"/>
    <cellStyle name="Accent5 12 3 2" xfId="11838" xr:uid="{00000000-0005-0000-0000-0000B22C0000}"/>
    <cellStyle name="Accent5 12 4" xfId="11839" xr:uid="{00000000-0005-0000-0000-0000B32C0000}"/>
    <cellStyle name="Accent5 12 5" xfId="11840" xr:uid="{00000000-0005-0000-0000-0000B42C0000}"/>
    <cellStyle name="Accent5 12 6" xfId="11841" xr:uid="{00000000-0005-0000-0000-0000B52C0000}"/>
    <cellStyle name="Accent5 120" xfId="11842" xr:uid="{00000000-0005-0000-0000-0000B62C0000}"/>
    <cellStyle name="Accent5 121" xfId="11843" xr:uid="{00000000-0005-0000-0000-0000B72C0000}"/>
    <cellStyle name="Accent5 122" xfId="11844" xr:uid="{00000000-0005-0000-0000-0000B82C0000}"/>
    <cellStyle name="Accent5 123" xfId="11845" xr:uid="{00000000-0005-0000-0000-0000B92C0000}"/>
    <cellStyle name="Accent5 124" xfId="11846" xr:uid="{00000000-0005-0000-0000-0000BA2C0000}"/>
    <cellStyle name="Accent5 125" xfId="11847" xr:uid="{00000000-0005-0000-0000-0000BB2C0000}"/>
    <cellStyle name="Accent5 126" xfId="11848" xr:uid="{00000000-0005-0000-0000-0000BC2C0000}"/>
    <cellStyle name="Accent5 127" xfId="11849" xr:uid="{00000000-0005-0000-0000-0000BD2C0000}"/>
    <cellStyle name="Accent5 128" xfId="11850" xr:uid="{00000000-0005-0000-0000-0000BE2C0000}"/>
    <cellStyle name="Accent5 129" xfId="11851" xr:uid="{00000000-0005-0000-0000-0000BF2C0000}"/>
    <cellStyle name="Accent5 13" xfId="11852" xr:uid="{00000000-0005-0000-0000-0000C02C0000}"/>
    <cellStyle name="Accent5 13 2" xfId="11853" xr:uid="{00000000-0005-0000-0000-0000C12C0000}"/>
    <cellStyle name="Accent5 13 2 2" xfId="11854" xr:uid="{00000000-0005-0000-0000-0000C22C0000}"/>
    <cellStyle name="Accent5 13 2 3" xfId="11855" xr:uid="{00000000-0005-0000-0000-0000C32C0000}"/>
    <cellStyle name="Accent5 13 3" xfId="11856" xr:uid="{00000000-0005-0000-0000-0000C42C0000}"/>
    <cellStyle name="Accent5 13 3 2" xfId="11857" xr:uid="{00000000-0005-0000-0000-0000C52C0000}"/>
    <cellStyle name="Accent5 13 4" xfId="11858" xr:uid="{00000000-0005-0000-0000-0000C62C0000}"/>
    <cellStyle name="Accent5 13 5" xfId="11859" xr:uid="{00000000-0005-0000-0000-0000C72C0000}"/>
    <cellStyle name="Accent5 13 6" xfId="11860" xr:uid="{00000000-0005-0000-0000-0000C82C0000}"/>
    <cellStyle name="Accent5 130" xfId="11861" xr:uid="{00000000-0005-0000-0000-0000C92C0000}"/>
    <cellStyle name="Accent5 131" xfId="11862" xr:uid="{00000000-0005-0000-0000-0000CA2C0000}"/>
    <cellStyle name="Accent5 132" xfId="11863" xr:uid="{00000000-0005-0000-0000-0000CB2C0000}"/>
    <cellStyle name="Accent5 133" xfId="11864" xr:uid="{00000000-0005-0000-0000-0000CC2C0000}"/>
    <cellStyle name="Accent5 134" xfId="11865" xr:uid="{00000000-0005-0000-0000-0000CD2C0000}"/>
    <cellStyle name="Accent5 135" xfId="11866" xr:uid="{00000000-0005-0000-0000-0000CE2C0000}"/>
    <cellStyle name="Accent5 136" xfId="11867" xr:uid="{00000000-0005-0000-0000-0000CF2C0000}"/>
    <cellStyle name="Accent5 137" xfId="11868" xr:uid="{00000000-0005-0000-0000-0000D02C0000}"/>
    <cellStyle name="Accent5 138" xfId="11869" xr:uid="{00000000-0005-0000-0000-0000D12C0000}"/>
    <cellStyle name="Accent5 139" xfId="11870" xr:uid="{00000000-0005-0000-0000-0000D22C0000}"/>
    <cellStyle name="Accent5 14" xfId="11871" xr:uid="{00000000-0005-0000-0000-0000D32C0000}"/>
    <cellStyle name="Accent5 14 2" xfId="11872" xr:uid="{00000000-0005-0000-0000-0000D42C0000}"/>
    <cellStyle name="Accent5 14 2 2" xfId="11873" xr:uid="{00000000-0005-0000-0000-0000D52C0000}"/>
    <cellStyle name="Accent5 14 2 3" xfId="11874" xr:uid="{00000000-0005-0000-0000-0000D62C0000}"/>
    <cellStyle name="Accent5 14 3" xfId="11875" xr:uid="{00000000-0005-0000-0000-0000D72C0000}"/>
    <cellStyle name="Accent5 14 3 2" xfId="11876" xr:uid="{00000000-0005-0000-0000-0000D82C0000}"/>
    <cellStyle name="Accent5 14 4" xfId="11877" xr:uid="{00000000-0005-0000-0000-0000D92C0000}"/>
    <cellStyle name="Accent5 14 5" xfId="11878" xr:uid="{00000000-0005-0000-0000-0000DA2C0000}"/>
    <cellStyle name="Accent5 14 6" xfId="11879" xr:uid="{00000000-0005-0000-0000-0000DB2C0000}"/>
    <cellStyle name="Accent5 140" xfId="11880" xr:uid="{00000000-0005-0000-0000-0000DC2C0000}"/>
    <cellStyle name="Accent5 141" xfId="11881" xr:uid="{00000000-0005-0000-0000-0000DD2C0000}"/>
    <cellStyle name="Accent5 142" xfId="11882" xr:uid="{00000000-0005-0000-0000-0000DE2C0000}"/>
    <cellStyle name="Accent5 143" xfId="11883" xr:uid="{00000000-0005-0000-0000-0000DF2C0000}"/>
    <cellStyle name="Accent5 144" xfId="11884" xr:uid="{00000000-0005-0000-0000-0000E02C0000}"/>
    <cellStyle name="Accent5 145" xfId="11885" xr:uid="{00000000-0005-0000-0000-0000E12C0000}"/>
    <cellStyle name="Accent5 146" xfId="11886" xr:uid="{00000000-0005-0000-0000-0000E22C0000}"/>
    <cellStyle name="Accent5 147" xfId="11887" xr:uid="{00000000-0005-0000-0000-0000E32C0000}"/>
    <cellStyle name="Accent5 148" xfId="11888" xr:uid="{00000000-0005-0000-0000-0000E42C0000}"/>
    <cellStyle name="Accent5 149" xfId="11889" xr:uid="{00000000-0005-0000-0000-0000E52C0000}"/>
    <cellStyle name="Accent5 15" xfId="11890" xr:uid="{00000000-0005-0000-0000-0000E62C0000}"/>
    <cellStyle name="Accent5 15 2" xfId="11891" xr:uid="{00000000-0005-0000-0000-0000E72C0000}"/>
    <cellStyle name="Accent5 15 2 2" xfId="11892" xr:uid="{00000000-0005-0000-0000-0000E82C0000}"/>
    <cellStyle name="Accent5 15 2 3" xfId="11893" xr:uid="{00000000-0005-0000-0000-0000E92C0000}"/>
    <cellStyle name="Accent5 15 3" xfId="11894" xr:uid="{00000000-0005-0000-0000-0000EA2C0000}"/>
    <cellStyle name="Accent5 15 3 2" xfId="11895" xr:uid="{00000000-0005-0000-0000-0000EB2C0000}"/>
    <cellStyle name="Accent5 15 4" xfId="11896" xr:uid="{00000000-0005-0000-0000-0000EC2C0000}"/>
    <cellStyle name="Accent5 15 5" xfId="11897" xr:uid="{00000000-0005-0000-0000-0000ED2C0000}"/>
    <cellStyle name="Accent5 15 6" xfId="11898" xr:uid="{00000000-0005-0000-0000-0000EE2C0000}"/>
    <cellStyle name="Accent5 150" xfId="11899" xr:uid="{00000000-0005-0000-0000-0000EF2C0000}"/>
    <cellStyle name="Accent5 151" xfId="11900" xr:uid="{00000000-0005-0000-0000-0000F02C0000}"/>
    <cellStyle name="Accent5 152" xfId="11901" xr:uid="{00000000-0005-0000-0000-0000F12C0000}"/>
    <cellStyle name="Accent5 153" xfId="11902" xr:uid="{00000000-0005-0000-0000-0000F22C0000}"/>
    <cellStyle name="Accent5 154" xfId="11903" xr:uid="{00000000-0005-0000-0000-0000F32C0000}"/>
    <cellStyle name="Accent5 155" xfId="11904" xr:uid="{00000000-0005-0000-0000-0000F42C0000}"/>
    <cellStyle name="Accent5 156" xfId="11905" xr:uid="{00000000-0005-0000-0000-0000F52C0000}"/>
    <cellStyle name="Accent5 157" xfId="11906" xr:uid="{00000000-0005-0000-0000-0000F62C0000}"/>
    <cellStyle name="Accent5 158" xfId="11907" xr:uid="{00000000-0005-0000-0000-0000F72C0000}"/>
    <cellStyle name="Accent5 159" xfId="11908" xr:uid="{00000000-0005-0000-0000-0000F82C0000}"/>
    <cellStyle name="Accent5 16" xfId="11909" xr:uid="{00000000-0005-0000-0000-0000F92C0000}"/>
    <cellStyle name="Accent5 16 2" xfId="11910" xr:uid="{00000000-0005-0000-0000-0000FA2C0000}"/>
    <cellStyle name="Accent5 16 2 2" xfId="11911" xr:uid="{00000000-0005-0000-0000-0000FB2C0000}"/>
    <cellStyle name="Accent5 16 2 3" xfId="11912" xr:uid="{00000000-0005-0000-0000-0000FC2C0000}"/>
    <cellStyle name="Accent5 16 3" xfId="11913" xr:uid="{00000000-0005-0000-0000-0000FD2C0000}"/>
    <cellStyle name="Accent5 16 3 2" xfId="11914" xr:uid="{00000000-0005-0000-0000-0000FE2C0000}"/>
    <cellStyle name="Accent5 16 4" xfId="11915" xr:uid="{00000000-0005-0000-0000-0000FF2C0000}"/>
    <cellStyle name="Accent5 16 5" xfId="11916" xr:uid="{00000000-0005-0000-0000-0000002D0000}"/>
    <cellStyle name="Accent5 16 6" xfId="11917" xr:uid="{00000000-0005-0000-0000-0000012D0000}"/>
    <cellStyle name="Accent5 160" xfId="11918" xr:uid="{00000000-0005-0000-0000-0000022D0000}"/>
    <cellStyle name="Accent5 161" xfId="11919" xr:uid="{00000000-0005-0000-0000-0000032D0000}"/>
    <cellStyle name="Accent5 162" xfId="11920" xr:uid="{00000000-0005-0000-0000-0000042D0000}"/>
    <cellStyle name="Accent5 163" xfId="11921" xr:uid="{00000000-0005-0000-0000-0000052D0000}"/>
    <cellStyle name="Accent5 164" xfId="11922" xr:uid="{00000000-0005-0000-0000-0000062D0000}"/>
    <cellStyle name="Accent5 165" xfId="11923" xr:uid="{00000000-0005-0000-0000-0000072D0000}"/>
    <cellStyle name="Accent5 166" xfId="11924" xr:uid="{00000000-0005-0000-0000-0000082D0000}"/>
    <cellStyle name="Accent5 167" xfId="11925" xr:uid="{00000000-0005-0000-0000-0000092D0000}"/>
    <cellStyle name="Accent5 168" xfId="11926" xr:uid="{00000000-0005-0000-0000-00000A2D0000}"/>
    <cellStyle name="Accent5 169" xfId="11927" xr:uid="{00000000-0005-0000-0000-00000B2D0000}"/>
    <cellStyle name="Accent5 17" xfId="11928" xr:uid="{00000000-0005-0000-0000-00000C2D0000}"/>
    <cellStyle name="Accent5 17 2" xfId="11929" xr:uid="{00000000-0005-0000-0000-00000D2D0000}"/>
    <cellStyle name="Accent5 17 2 2" xfId="11930" xr:uid="{00000000-0005-0000-0000-00000E2D0000}"/>
    <cellStyle name="Accent5 17 2 3" xfId="11931" xr:uid="{00000000-0005-0000-0000-00000F2D0000}"/>
    <cellStyle name="Accent5 17 3" xfId="11932" xr:uid="{00000000-0005-0000-0000-0000102D0000}"/>
    <cellStyle name="Accent5 17 3 2" xfId="11933" xr:uid="{00000000-0005-0000-0000-0000112D0000}"/>
    <cellStyle name="Accent5 17 4" xfId="11934" xr:uid="{00000000-0005-0000-0000-0000122D0000}"/>
    <cellStyle name="Accent5 17 5" xfId="11935" xr:uid="{00000000-0005-0000-0000-0000132D0000}"/>
    <cellStyle name="Accent5 17 6" xfId="11936" xr:uid="{00000000-0005-0000-0000-0000142D0000}"/>
    <cellStyle name="Accent5 170" xfId="11937" xr:uid="{00000000-0005-0000-0000-0000152D0000}"/>
    <cellStyle name="Accent5 171" xfId="11938" xr:uid="{00000000-0005-0000-0000-0000162D0000}"/>
    <cellStyle name="Accent5 172" xfId="11939" xr:uid="{00000000-0005-0000-0000-0000172D0000}"/>
    <cellStyle name="Accent5 173" xfId="11940" xr:uid="{00000000-0005-0000-0000-0000182D0000}"/>
    <cellStyle name="Accent5 174" xfId="11941" xr:uid="{00000000-0005-0000-0000-0000192D0000}"/>
    <cellStyle name="Accent5 175" xfId="11942" xr:uid="{00000000-0005-0000-0000-00001A2D0000}"/>
    <cellStyle name="Accent5 176" xfId="11943" xr:uid="{00000000-0005-0000-0000-00001B2D0000}"/>
    <cellStyle name="Accent5 177" xfId="11944" xr:uid="{00000000-0005-0000-0000-00001C2D0000}"/>
    <cellStyle name="Accent5 178" xfId="11945" xr:uid="{00000000-0005-0000-0000-00001D2D0000}"/>
    <cellStyle name="Accent5 179" xfId="11946" xr:uid="{00000000-0005-0000-0000-00001E2D0000}"/>
    <cellStyle name="Accent5 18" xfId="11947" xr:uid="{00000000-0005-0000-0000-00001F2D0000}"/>
    <cellStyle name="Accent5 18 2" xfId="11948" xr:uid="{00000000-0005-0000-0000-0000202D0000}"/>
    <cellStyle name="Accent5 18 2 2" xfId="11949" xr:uid="{00000000-0005-0000-0000-0000212D0000}"/>
    <cellStyle name="Accent5 18 2 3" xfId="11950" xr:uid="{00000000-0005-0000-0000-0000222D0000}"/>
    <cellStyle name="Accent5 18 3" xfId="11951" xr:uid="{00000000-0005-0000-0000-0000232D0000}"/>
    <cellStyle name="Accent5 18 3 2" xfId="11952" xr:uid="{00000000-0005-0000-0000-0000242D0000}"/>
    <cellStyle name="Accent5 18 4" xfId="11953" xr:uid="{00000000-0005-0000-0000-0000252D0000}"/>
    <cellStyle name="Accent5 18 5" xfId="11954" xr:uid="{00000000-0005-0000-0000-0000262D0000}"/>
    <cellStyle name="Accent5 180" xfId="11955" xr:uid="{00000000-0005-0000-0000-0000272D0000}"/>
    <cellStyle name="Accent5 181" xfId="11956" xr:uid="{00000000-0005-0000-0000-0000282D0000}"/>
    <cellStyle name="Accent5 182" xfId="11957" xr:uid="{00000000-0005-0000-0000-0000292D0000}"/>
    <cellStyle name="Accent5 183" xfId="11958" xr:uid="{00000000-0005-0000-0000-00002A2D0000}"/>
    <cellStyle name="Accent5 184" xfId="11959" xr:uid="{00000000-0005-0000-0000-00002B2D0000}"/>
    <cellStyle name="Accent5 185" xfId="11960" xr:uid="{00000000-0005-0000-0000-00002C2D0000}"/>
    <cellStyle name="Accent5 186" xfId="11961" xr:uid="{00000000-0005-0000-0000-00002D2D0000}"/>
    <cellStyle name="Accent5 187" xfId="11962" xr:uid="{00000000-0005-0000-0000-00002E2D0000}"/>
    <cellStyle name="Accent5 188" xfId="11963" xr:uid="{00000000-0005-0000-0000-00002F2D0000}"/>
    <cellStyle name="Accent5 189" xfId="11964" xr:uid="{00000000-0005-0000-0000-0000302D0000}"/>
    <cellStyle name="Accent5 19" xfId="11965" xr:uid="{00000000-0005-0000-0000-0000312D0000}"/>
    <cellStyle name="Accent5 19 2" xfId="11966" xr:uid="{00000000-0005-0000-0000-0000322D0000}"/>
    <cellStyle name="Accent5 19 2 2" xfId="11967" xr:uid="{00000000-0005-0000-0000-0000332D0000}"/>
    <cellStyle name="Accent5 19 2 3" xfId="11968" xr:uid="{00000000-0005-0000-0000-0000342D0000}"/>
    <cellStyle name="Accent5 19 3" xfId="11969" xr:uid="{00000000-0005-0000-0000-0000352D0000}"/>
    <cellStyle name="Accent5 19 3 2" xfId="11970" xr:uid="{00000000-0005-0000-0000-0000362D0000}"/>
    <cellStyle name="Accent5 19 4" xfId="11971" xr:uid="{00000000-0005-0000-0000-0000372D0000}"/>
    <cellStyle name="Accent5 19 5" xfId="11972" xr:uid="{00000000-0005-0000-0000-0000382D0000}"/>
    <cellStyle name="Accent5 2" xfId="11973" xr:uid="{00000000-0005-0000-0000-0000392D0000}"/>
    <cellStyle name="Accent5 2 10" xfId="11974" xr:uid="{00000000-0005-0000-0000-00003A2D0000}"/>
    <cellStyle name="Accent5 2 11" xfId="11975" xr:uid="{00000000-0005-0000-0000-00003B2D0000}"/>
    <cellStyle name="Accent5 2 2" xfId="11976" xr:uid="{00000000-0005-0000-0000-00003C2D0000}"/>
    <cellStyle name="Accent5 2 2 2" xfId="11977" xr:uid="{00000000-0005-0000-0000-00003D2D0000}"/>
    <cellStyle name="Accent5 2 2 2 2" xfId="11978" xr:uid="{00000000-0005-0000-0000-00003E2D0000}"/>
    <cellStyle name="Accent5 2 2 2 3" xfId="11979" xr:uid="{00000000-0005-0000-0000-00003F2D0000}"/>
    <cellStyle name="Accent5 2 2 2 4" xfId="11980" xr:uid="{00000000-0005-0000-0000-0000402D0000}"/>
    <cellStyle name="Accent5 2 2 3" xfId="11981" xr:uid="{00000000-0005-0000-0000-0000412D0000}"/>
    <cellStyle name="Accent5 2 2 4" xfId="11982" xr:uid="{00000000-0005-0000-0000-0000422D0000}"/>
    <cellStyle name="Accent5 2 2 5" xfId="11983" xr:uid="{00000000-0005-0000-0000-0000432D0000}"/>
    <cellStyle name="Accent5 2 2 6" xfId="11984" xr:uid="{00000000-0005-0000-0000-0000442D0000}"/>
    <cellStyle name="Accent5 2 3" xfId="11985" xr:uid="{00000000-0005-0000-0000-0000452D0000}"/>
    <cellStyle name="Accent5 2 3 2" xfId="11986" xr:uid="{00000000-0005-0000-0000-0000462D0000}"/>
    <cellStyle name="Accent5 2 3 3" xfId="11987" xr:uid="{00000000-0005-0000-0000-0000472D0000}"/>
    <cellStyle name="Accent5 2 3 4" xfId="11988" xr:uid="{00000000-0005-0000-0000-0000482D0000}"/>
    <cellStyle name="Accent5 2 3 5" xfId="11989" xr:uid="{00000000-0005-0000-0000-0000492D0000}"/>
    <cellStyle name="Accent5 2 4" xfId="11990" xr:uid="{00000000-0005-0000-0000-00004A2D0000}"/>
    <cellStyle name="Accent5 2 4 2" xfId="11991" xr:uid="{00000000-0005-0000-0000-00004B2D0000}"/>
    <cellStyle name="Accent5 2 4 3" xfId="11992" xr:uid="{00000000-0005-0000-0000-00004C2D0000}"/>
    <cellStyle name="Accent5 2 5" xfId="11993" xr:uid="{00000000-0005-0000-0000-00004D2D0000}"/>
    <cellStyle name="Accent5 2 5 2" xfId="11994" xr:uid="{00000000-0005-0000-0000-00004E2D0000}"/>
    <cellStyle name="Accent5 2 6" xfId="11995" xr:uid="{00000000-0005-0000-0000-00004F2D0000}"/>
    <cellStyle name="Accent5 2 6 2" xfId="11996" xr:uid="{00000000-0005-0000-0000-0000502D0000}"/>
    <cellStyle name="Accent5 2 7" xfId="11997" xr:uid="{00000000-0005-0000-0000-0000512D0000}"/>
    <cellStyle name="Accent5 2 7 2" xfId="11998" xr:uid="{00000000-0005-0000-0000-0000522D0000}"/>
    <cellStyle name="Accent5 2 8" xfId="11999" xr:uid="{00000000-0005-0000-0000-0000532D0000}"/>
    <cellStyle name="Accent5 2 9" xfId="12000" xr:uid="{00000000-0005-0000-0000-0000542D0000}"/>
    <cellStyle name="Accent5 20" xfId="12001" xr:uid="{00000000-0005-0000-0000-0000552D0000}"/>
    <cellStyle name="Accent5 20 2" xfId="12002" xr:uid="{00000000-0005-0000-0000-0000562D0000}"/>
    <cellStyle name="Accent5 20 2 2" xfId="12003" xr:uid="{00000000-0005-0000-0000-0000572D0000}"/>
    <cellStyle name="Accent5 20 2 3" xfId="12004" xr:uid="{00000000-0005-0000-0000-0000582D0000}"/>
    <cellStyle name="Accent5 20 3" xfId="12005" xr:uid="{00000000-0005-0000-0000-0000592D0000}"/>
    <cellStyle name="Accent5 20 3 2" xfId="12006" xr:uid="{00000000-0005-0000-0000-00005A2D0000}"/>
    <cellStyle name="Accent5 20 4" xfId="12007" xr:uid="{00000000-0005-0000-0000-00005B2D0000}"/>
    <cellStyle name="Accent5 20 5" xfId="12008" xr:uid="{00000000-0005-0000-0000-00005C2D0000}"/>
    <cellStyle name="Accent5 20 6" xfId="12009" xr:uid="{00000000-0005-0000-0000-00005D2D0000}"/>
    <cellStyle name="Accent5 21" xfId="12010" xr:uid="{00000000-0005-0000-0000-00005E2D0000}"/>
    <cellStyle name="Accent5 21 2" xfId="12011" xr:uid="{00000000-0005-0000-0000-00005F2D0000}"/>
    <cellStyle name="Accent5 21 2 2" xfId="12012" xr:uid="{00000000-0005-0000-0000-0000602D0000}"/>
    <cellStyle name="Accent5 21 2 3" xfId="12013" xr:uid="{00000000-0005-0000-0000-0000612D0000}"/>
    <cellStyle name="Accent5 21 3" xfId="12014" xr:uid="{00000000-0005-0000-0000-0000622D0000}"/>
    <cellStyle name="Accent5 21 3 2" xfId="12015" xr:uid="{00000000-0005-0000-0000-0000632D0000}"/>
    <cellStyle name="Accent5 21 4" xfId="12016" xr:uid="{00000000-0005-0000-0000-0000642D0000}"/>
    <cellStyle name="Accent5 21 5" xfId="12017" xr:uid="{00000000-0005-0000-0000-0000652D0000}"/>
    <cellStyle name="Accent5 21 6" xfId="12018" xr:uid="{00000000-0005-0000-0000-0000662D0000}"/>
    <cellStyle name="Accent5 22" xfId="12019" xr:uid="{00000000-0005-0000-0000-0000672D0000}"/>
    <cellStyle name="Accent5 22 2" xfId="12020" xr:uid="{00000000-0005-0000-0000-0000682D0000}"/>
    <cellStyle name="Accent5 22 2 2" xfId="12021" xr:uid="{00000000-0005-0000-0000-0000692D0000}"/>
    <cellStyle name="Accent5 22 2 3" xfId="12022" xr:uid="{00000000-0005-0000-0000-00006A2D0000}"/>
    <cellStyle name="Accent5 22 3" xfId="12023" xr:uid="{00000000-0005-0000-0000-00006B2D0000}"/>
    <cellStyle name="Accent5 22 3 2" xfId="12024" xr:uid="{00000000-0005-0000-0000-00006C2D0000}"/>
    <cellStyle name="Accent5 22 4" xfId="12025" xr:uid="{00000000-0005-0000-0000-00006D2D0000}"/>
    <cellStyle name="Accent5 22 5" xfId="12026" xr:uid="{00000000-0005-0000-0000-00006E2D0000}"/>
    <cellStyle name="Accent5 22 6" xfId="12027" xr:uid="{00000000-0005-0000-0000-00006F2D0000}"/>
    <cellStyle name="Accent5 23" xfId="12028" xr:uid="{00000000-0005-0000-0000-0000702D0000}"/>
    <cellStyle name="Accent5 23 2" xfId="12029" xr:uid="{00000000-0005-0000-0000-0000712D0000}"/>
    <cellStyle name="Accent5 23 2 2" xfId="12030" xr:uid="{00000000-0005-0000-0000-0000722D0000}"/>
    <cellStyle name="Accent5 23 2 3" xfId="12031" xr:uid="{00000000-0005-0000-0000-0000732D0000}"/>
    <cellStyle name="Accent5 23 3" xfId="12032" xr:uid="{00000000-0005-0000-0000-0000742D0000}"/>
    <cellStyle name="Accent5 23 3 2" xfId="12033" xr:uid="{00000000-0005-0000-0000-0000752D0000}"/>
    <cellStyle name="Accent5 23 4" xfId="12034" xr:uid="{00000000-0005-0000-0000-0000762D0000}"/>
    <cellStyle name="Accent5 23 5" xfId="12035" xr:uid="{00000000-0005-0000-0000-0000772D0000}"/>
    <cellStyle name="Accent5 23 6" xfId="12036" xr:uid="{00000000-0005-0000-0000-0000782D0000}"/>
    <cellStyle name="Accent5 24" xfId="12037" xr:uid="{00000000-0005-0000-0000-0000792D0000}"/>
    <cellStyle name="Accent5 24 2" xfId="12038" xr:uid="{00000000-0005-0000-0000-00007A2D0000}"/>
    <cellStyle name="Accent5 24 2 2" xfId="12039" xr:uid="{00000000-0005-0000-0000-00007B2D0000}"/>
    <cellStyle name="Accent5 24 2 3" xfId="12040" xr:uid="{00000000-0005-0000-0000-00007C2D0000}"/>
    <cellStyle name="Accent5 24 3" xfId="12041" xr:uid="{00000000-0005-0000-0000-00007D2D0000}"/>
    <cellStyle name="Accent5 24 3 2" xfId="12042" xr:uid="{00000000-0005-0000-0000-00007E2D0000}"/>
    <cellStyle name="Accent5 24 4" xfId="12043" xr:uid="{00000000-0005-0000-0000-00007F2D0000}"/>
    <cellStyle name="Accent5 24 5" xfId="12044" xr:uid="{00000000-0005-0000-0000-0000802D0000}"/>
    <cellStyle name="Accent5 24 6" xfId="12045" xr:uid="{00000000-0005-0000-0000-0000812D0000}"/>
    <cellStyle name="Accent5 25" xfId="12046" xr:uid="{00000000-0005-0000-0000-0000822D0000}"/>
    <cellStyle name="Accent5 25 2" xfId="12047" xr:uid="{00000000-0005-0000-0000-0000832D0000}"/>
    <cellStyle name="Accent5 25 2 2" xfId="12048" xr:uid="{00000000-0005-0000-0000-0000842D0000}"/>
    <cellStyle name="Accent5 25 2 3" xfId="12049" xr:uid="{00000000-0005-0000-0000-0000852D0000}"/>
    <cellStyle name="Accent5 25 3" xfId="12050" xr:uid="{00000000-0005-0000-0000-0000862D0000}"/>
    <cellStyle name="Accent5 25 3 2" xfId="12051" xr:uid="{00000000-0005-0000-0000-0000872D0000}"/>
    <cellStyle name="Accent5 25 4" xfId="12052" xr:uid="{00000000-0005-0000-0000-0000882D0000}"/>
    <cellStyle name="Accent5 25 5" xfId="12053" xr:uid="{00000000-0005-0000-0000-0000892D0000}"/>
    <cellStyle name="Accent5 25 6" xfId="12054" xr:uid="{00000000-0005-0000-0000-00008A2D0000}"/>
    <cellStyle name="Accent5 26" xfId="12055" xr:uid="{00000000-0005-0000-0000-00008B2D0000}"/>
    <cellStyle name="Accent5 26 2" xfId="12056" xr:uid="{00000000-0005-0000-0000-00008C2D0000}"/>
    <cellStyle name="Accent5 26 2 2" xfId="12057" xr:uid="{00000000-0005-0000-0000-00008D2D0000}"/>
    <cellStyle name="Accent5 26 2 3" xfId="12058" xr:uid="{00000000-0005-0000-0000-00008E2D0000}"/>
    <cellStyle name="Accent5 26 3" xfId="12059" xr:uid="{00000000-0005-0000-0000-00008F2D0000}"/>
    <cellStyle name="Accent5 26 3 2" xfId="12060" xr:uid="{00000000-0005-0000-0000-0000902D0000}"/>
    <cellStyle name="Accent5 26 4" xfId="12061" xr:uid="{00000000-0005-0000-0000-0000912D0000}"/>
    <cellStyle name="Accent5 26 5" xfId="12062" xr:uid="{00000000-0005-0000-0000-0000922D0000}"/>
    <cellStyle name="Accent5 26 6" xfId="12063" xr:uid="{00000000-0005-0000-0000-0000932D0000}"/>
    <cellStyle name="Accent5 27" xfId="12064" xr:uid="{00000000-0005-0000-0000-0000942D0000}"/>
    <cellStyle name="Accent5 27 2" xfId="12065" xr:uid="{00000000-0005-0000-0000-0000952D0000}"/>
    <cellStyle name="Accent5 27 2 2" xfId="12066" xr:uid="{00000000-0005-0000-0000-0000962D0000}"/>
    <cellStyle name="Accent5 27 2 3" xfId="12067" xr:uid="{00000000-0005-0000-0000-0000972D0000}"/>
    <cellStyle name="Accent5 27 3" xfId="12068" xr:uid="{00000000-0005-0000-0000-0000982D0000}"/>
    <cellStyle name="Accent5 27 3 2" xfId="12069" xr:uid="{00000000-0005-0000-0000-0000992D0000}"/>
    <cellStyle name="Accent5 27 4" xfId="12070" xr:uid="{00000000-0005-0000-0000-00009A2D0000}"/>
    <cellStyle name="Accent5 27 5" xfId="12071" xr:uid="{00000000-0005-0000-0000-00009B2D0000}"/>
    <cellStyle name="Accent5 27 6" xfId="12072" xr:uid="{00000000-0005-0000-0000-00009C2D0000}"/>
    <cellStyle name="Accent5 28" xfId="12073" xr:uid="{00000000-0005-0000-0000-00009D2D0000}"/>
    <cellStyle name="Accent5 28 2" xfId="12074" xr:uid="{00000000-0005-0000-0000-00009E2D0000}"/>
    <cellStyle name="Accent5 28 2 2" xfId="12075" xr:uid="{00000000-0005-0000-0000-00009F2D0000}"/>
    <cellStyle name="Accent5 28 2 3" xfId="12076" xr:uid="{00000000-0005-0000-0000-0000A02D0000}"/>
    <cellStyle name="Accent5 28 3" xfId="12077" xr:uid="{00000000-0005-0000-0000-0000A12D0000}"/>
    <cellStyle name="Accent5 28 3 2" xfId="12078" xr:uid="{00000000-0005-0000-0000-0000A22D0000}"/>
    <cellStyle name="Accent5 28 4" xfId="12079" xr:uid="{00000000-0005-0000-0000-0000A32D0000}"/>
    <cellStyle name="Accent5 28 5" xfId="12080" xr:uid="{00000000-0005-0000-0000-0000A42D0000}"/>
    <cellStyle name="Accent5 28 6" xfId="12081" xr:uid="{00000000-0005-0000-0000-0000A52D0000}"/>
    <cellStyle name="Accent5 29" xfId="12082" xr:uid="{00000000-0005-0000-0000-0000A62D0000}"/>
    <cellStyle name="Accent5 29 2" xfId="12083" xr:uid="{00000000-0005-0000-0000-0000A72D0000}"/>
    <cellStyle name="Accent5 29 2 2" xfId="12084" xr:uid="{00000000-0005-0000-0000-0000A82D0000}"/>
    <cellStyle name="Accent5 29 2 3" xfId="12085" xr:uid="{00000000-0005-0000-0000-0000A92D0000}"/>
    <cellStyle name="Accent5 29 3" xfId="12086" xr:uid="{00000000-0005-0000-0000-0000AA2D0000}"/>
    <cellStyle name="Accent5 29 3 2" xfId="12087" xr:uid="{00000000-0005-0000-0000-0000AB2D0000}"/>
    <cellStyle name="Accent5 29 4" xfId="12088" xr:uid="{00000000-0005-0000-0000-0000AC2D0000}"/>
    <cellStyle name="Accent5 29 5" xfId="12089" xr:uid="{00000000-0005-0000-0000-0000AD2D0000}"/>
    <cellStyle name="Accent5 29 6" xfId="12090" xr:uid="{00000000-0005-0000-0000-0000AE2D0000}"/>
    <cellStyle name="Accent5 3" xfId="12091" xr:uid="{00000000-0005-0000-0000-0000AF2D0000}"/>
    <cellStyle name="Accent5 3 2" xfId="12092" xr:uid="{00000000-0005-0000-0000-0000B02D0000}"/>
    <cellStyle name="Accent5 3 2 2" xfId="12093" xr:uid="{00000000-0005-0000-0000-0000B12D0000}"/>
    <cellStyle name="Accent5 3 2 2 2" xfId="12094" xr:uid="{00000000-0005-0000-0000-0000B22D0000}"/>
    <cellStyle name="Accent5 3 2 3" xfId="12095" xr:uid="{00000000-0005-0000-0000-0000B32D0000}"/>
    <cellStyle name="Accent5 3 2 3 2" xfId="12096" xr:uid="{00000000-0005-0000-0000-0000B42D0000}"/>
    <cellStyle name="Accent5 3 2 4" xfId="12097" xr:uid="{00000000-0005-0000-0000-0000B52D0000}"/>
    <cellStyle name="Accent5 3 3" xfId="12098" xr:uid="{00000000-0005-0000-0000-0000B62D0000}"/>
    <cellStyle name="Accent5 3 3 2" xfId="12099" xr:uid="{00000000-0005-0000-0000-0000B72D0000}"/>
    <cellStyle name="Accent5 3 3 3" xfId="12100" xr:uid="{00000000-0005-0000-0000-0000B82D0000}"/>
    <cellStyle name="Accent5 3 4" xfId="12101" xr:uid="{00000000-0005-0000-0000-0000B92D0000}"/>
    <cellStyle name="Accent5 3 4 2" xfId="12102" xr:uid="{00000000-0005-0000-0000-0000BA2D0000}"/>
    <cellStyle name="Accent5 3 5" xfId="12103" xr:uid="{00000000-0005-0000-0000-0000BB2D0000}"/>
    <cellStyle name="Accent5 3 6" xfId="12104" xr:uid="{00000000-0005-0000-0000-0000BC2D0000}"/>
    <cellStyle name="Accent5 3 7" xfId="12105" xr:uid="{00000000-0005-0000-0000-0000BD2D0000}"/>
    <cellStyle name="Accent5 3 8" xfId="12106" xr:uid="{00000000-0005-0000-0000-0000BE2D0000}"/>
    <cellStyle name="Accent5 3 9" xfId="12107" xr:uid="{00000000-0005-0000-0000-0000BF2D0000}"/>
    <cellStyle name="Accent5 30" xfId="12108" xr:uid="{00000000-0005-0000-0000-0000C02D0000}"/>
    <cellStyle name="Accent5 30 2" xfId="12109" xr:uid="{00000000-0005-0000-0000-0000C12D0000}"/>
    <cellStyle name="Accent5 30 2 2" xfId="12110" xr:uid="{00000000-0005-0000-0000-0000C22D0000}"/>
    <cellStyle name="Accent5 30 2 3" xfId="12111" xr:uid="{00000000-0005-0000-0000-0000C32D0000}"/>
    <cellStyle name="Accent5 30 3" xfId="12112" xr:uid="{00000000-0005-0000-0000-0000C42D0000}"/>
    <cellStyle name="Accent5 30 3 2" xfId="12113" xr:uid="{00000000-0005-0000-0000-0000C52D0000}"/>
    <cellStyle name="Accent5 30 4" xfId="12114" xr:uid="{00000000-0005-0000-0000-0000C62D0000}"/>
    <cellStyle name="Accent5 30 5" xfId="12115" xr:uid="{00000000-0005-0000-0000-0000C72D0000}"/>
    <cellStyle name="Accent5 30 6" xfId="12116" xr:uid="{00000000-0005-0000-0000-0000C82D0000}"/>
    <cellStyle name="Accent5 31" xfId="12117" xr:uid="{00000000-0005-0000-0000-0000C92D0000}"/>
    <cellStyle name="Accent5 31 2" xfId="12118" xr:uid="{00000000-0005-0000-0000-0000CA2D0000}"/>
    <cellStyle name="Accent5 31 2 2" xfId="12119" xr:uid="{00000000-0005-0000-0000-0000CB2D0000}"/>
    <cellStyle name="Accent5 31 2 3" xfId="12120" xr:uid="{00000000-0005-0000-0000-0000CC2D0000}"/>
    <cellStyle name="Accent5 31 3" xfId="12121" xr:uid="{00000000-0005-0000-0000-0000CD2D0000}"/>
    <cellStyle name="Accent5 31 3 2" xfId="12122" xr:uid="{00000000-0005-0000-0000-0000CE2D0000}"/>
    <cellStyle name="Accent5 31 4" xfId="12123" xr:uid="{00000000-0005-0000-0000-0000CF2D0000}"/>
    <cellStyle name="Accent5 31 5" xfId="12124" xr:uid="{00000000-0005-0000-0000-0000D02D0000}"/>
    <cellStyle name="Accent5 31 6" xfId="12125" xr:uid="{00000000-0005-0000-0000-0000D12D0000}"/>
    <cellStyle name="Accent5 32" xfId="12126" xr:uid="{00000000-0005-0000-0000-0000D22D0000}"/>
    <cellStyle name="Accent5 32 2" xfId="12127" xr:uid="{00000000-0005-0000-0000-0000D32D0000}"/>
    <cellStyle name="Accent5 32 2 2" xfId="12128" xr:uid="{00000000-0005-0000-0000-0000D42D0000}"/>
    <cellStyle name="Accent5 32 2 3" xfId="12129" xr:uid="{00000000-0005-0000-0000-0000D52D0000}"/>
    <cellStyle name="Accent5 32 3" xfId="12130" xr:uid="{00000000-0005-0000-0000-0000D62D0000}"/>
    <cellStyle name="Accent5 32 3 2" xfId="12131" xr:uid="{00000000-0005-0000-0000-0000D72D0000}"/>
    <cellStyle name="Accent5 32 4" xfId="12132" xr:uid="{00000000-0005-0000-0000-0000D82D0000}"/>
    <cellStyle name="Accent5 32 5" xfId="12133" xr:uid="{00000000-0005-0000-0000-0000D92D0000}"/>
    <cellStyle name="Accent5 32 6" xfId="12134" xr:uid="{00000000-0005-0000-0000-0000DA2D0000}"/>
    <cellStyle name="Accent5 33" xfId="12135" xr:uid="{00000000-0005-0000-0000-0000DB2D0000}"/>
    <cellStyle name="Accent5 33 2" xfId="12136" xr:uid="{00000000-0005-0000-0000-0000DC2D0000}"/>
    <cellStyle name="Accent5 33 2 2" xfId="12137" xr:uid="{00000000-0005-0000-0000-0000DD2D0000}"/>
    <cellStyle name="Accent5 33 2 3" xfId="12138" xr:uid="{00000000-0005-0000-0000-0000DE2D0000}"/>
    <cellStyle name="Accent5 33 3" xfId="12139" xr:uid="{00000000-0005-0000-0000-0000DF2D0000}"/>
    <cellStyle name="Accent5 33 3 2" xfId="12140" xr:uid="{00000000-0005-0000-0000-0000E02D0000}"/>
    <cellStyle name="Accent5 33 4" xfId="12141" xr:uid="{00000000-0005-0000-0000-0000E12D0000}"/>
    <cellStyle name="Accent5 33 5" xfId="12142" xr:uid="{00000000-0005-0000-0000-0000E22D0000}"/>
    <cellStyle name="Accent5 33 6" xfId="12143" xr:uid="{00000000-0005-0000-0000-0000E32D0000}"/>
    <cellStyle name="Accent5 34" xfId="12144" xr:uid="{00000000-0005-0000-0000-0000E42D0000}"/>
    <cellStyle name="Accent5 34 2" xfId="12145" xr:uid="{00000000-0005-0000-0000-0000E52D0000}"/>
    <cellStyle name="Accent5 34 2 2" xfId="12146" xr:uid="{00000000-0005-0000-0000-0000E62D0000}"/>
    <cellStyle name="Accent5 34 2 3" xfId="12147" xr:uid="{00000000-0005-0000-0000-0000E72D0000}"/>
    <cellStyle name="Accent5 34 3" xfId="12148" xr:uid="{00000000-0005-0000-0000-0000E82D0000}"/>
    <cellStyle name="Accent5 34 3 2" xfId="12149" xr:uid="{00000000-0005-0000-0000-0000E92D0000}"/>
    <cellStyle name="Accent5 34 4" xfId="12150" xr:uid="{00000000-0005-0000-0000-0000EA2D0000}"/>
    <cellStyle name="Accent5 34 5" xfId="12151" xr:uid="{00000000-0005-0000-0000-0000EB2D0000}"/>
    <cellStyle name="Accent5 34 6" xfId="12152" xr:uid="{00000000-0005-0000-0000-0000EC2D0000}"/>
    <cellStyle name="Accent5 35" xfId="12153" xr:uid="{00000000-0005-0000-0000-0000ED2D0000}"/>
    <cellStyle name="Accent5 35 2" xfId="12154" xr:uid="{00000000-0005-0000-0000-0000EE2D0000}"/>
    <cellStyle name="Accent5 35 2 2" xfId="12155" xr:uid="{00000000-0005-0000-0000-0000EF2D0000}"/>
    <cellStyle name="Accent5 35 2 3" xfId="12156" xr:uid="{00000000-0005-0000-0000-0000F02D0000}"/>
    <cellStyle name="Accent5 35 3" xfId="12157" xr:uid="{00000000-0005-0000-0000-0000F12D0000}"/>
    <cellStyle name="Accent5 35 3 2" xfId="12158" xr:uid="{00000000-0005-0000-0000-0000F22D0000}"/>
    <cellStyle name="Accent5 35 4" xfId="12159" xr:uid="{00000000-0005-0000-0000-0000F32D0000}"/>
    <cellStyle name="Accent5 35 4 2" xfId="12160" xr:uid="{00000000-0005-0000-0000-0000F42D0000}"/>
    <cellStyle name="Accent5 35 5" xfId="12161" xr:uid="{00000000-0005-0000-0000-0000F52D0000}"/>
    <cellStyle name="Accent5 36" xfId="12162" xr:uid="{00000000-0005-0000-0000-0000F62D0000}"/>
    <cellStyle name="Accent5 36 2" xfId="12163" xr:uid="{00000000-0005-0000-0000-0000F72D0000}"/>
    <cellStyle name="Accent5 36 2 2" xfId="12164" xr:uid="{00000000-0005-0000-0000-0000F82D0000}"/>
    <cellStyle name="Accent5 36 2 3" xfId="12165" xr:uid="{00000000-0005-0000-0000-0000F92D0000}"/>
    <cellStyle name="Accent5 36 3" xfId="12166" xr:uid="{00000000-0005-0000-0000-0000FA2D0000}"/>
    <cellStyle name="Accent5 36 3 2" xfId="12167" xr:uid="{00000000-0005-0000-0000-0000FB2D0000}"/>
    <cellStyle name="Accent5 36 4" xfId="12168" xr:uid="{00000000-0005-0000-0000-0000FC2D0000}"/>
    <cellStyle name="Accent5 36 4 2" xfId="12169" xr:uid="{00000000-0005-0000-0000-0000FD2D0000}"/>
    <cellStyle name="Accent5 36 5" xfId="12170" xr:uid="{00000000-0005-0000-0000-0000FE2D0000}"/>
    <cellStyle name="Accent5 37" xfId="12171" xr:uid="{00000000-0005-0000-0000-0000FF2D0000}"/>
    <cellStyle name="Accent5 37 2" xfId="12172" xr:uid="{00000000-0005-0000-0000-0000002E0000}"/>
    <cellStyle name="Accent5 37 2 2" xfId="12173" xr:uid="{00000000-0005-0000-0000-0000012E0000}"/>
    <cellStyle name="Accent5 37 2 3" xfId="12174" xr:uid="{00000000-0005-0000-0000-0000022E0000}"/>
    <cellStyle name="Accent5 37 3" xfId="12175" xr:uid="{00000000-0005-0000-0000-0000032E0000}"/>
    <cellStyle name="Accent5 37 3 2" xfId="12176" xr:uid="{00000000-0005-0000-0000-0000042E0000}"/>
    <cellStyle name="Accent5 37 4" xfId="12177" xr:uid="{00000000-0005-0000-0000-0000052E0000}"/>
    <cellStyle name="Accent5 37 5" xfId="12178" xr:uid="{00000000-0005-0000-0000-0000062E0000}"/>
    <cellStyle name="Accent5 38" xfId="12179" xr:uid="{00000000-0005-0000-0000-0000072E0000}"/>
    <cellStyle name="Accent5 38 2" xfId="12180" xr:uid="{00000000-0005-0000-0000-0000082E0000}"/>
    <cellStyle name="Accent5 38 2 2" xfId="12181" xr:uid="{00000000-0005-0000-0000-0000092E0000}"/>
    <cellStyle name="Accent5 38 2 3" xfId="12182" xr:uid="{00000000-0005-0000-0000-00000A2E0000}"/>
    <cellStyle name="Accent5 38 3" xfId="12183" xr:uid="{00000000-0005-0000-0000-00000B2E0000}"/>
    <cellStyle name="Accent5 38 3 2" xfId="12184" xr:uid="{00000000-0005-0000-0000-00000C2E0000}"/>
    <cellStyle name="Accent5 38 4" xfId="12185" xr:uid="{00000000-0005-0000-0000-00000D2E0000}"/>
    <cellStyle name="Accent5 38 5" xfId="12186" xr:uid="{00000000-0005-0000-0000-00000E2E0000}"/>
    <cellStyle name="Accent5 39" xfId="12187" xr:uid="{00000000-0005-0000-0000-00000F2E0000}"/>
    <cellStyle name="Accent5 39 2" xfId="12188" xr:uid="{00000000-0005-0000-0000-0000102E0000}"/>
    <cellStyle name="Accent5 39 2 2" xfId="12189" xr:uid="{00000000-0005-0000-0000-0000112E0000}"/>
    <cellStyle name="Accent5 39 2 3" xfId="12190" xr:uid="{00000000-0005-0000-0000-0000122E0000}"/>
    <cellStyle name="Accent5 39 3" xfId="12191" xr:uid="{00000000-0005-0000-0000-0000132E0000}"/>
    <cellStyle name="Accent5 39 3 2" xfId="12192" xr:uid="{00000000-0005-0000-0000-0000142E0000}"/>
    <cellStyle name="Accent5 39 4" xfId="12193" xr:uid="{00000000-0005-0000-0000-0000152E0000}"/>
    <cellStyle name="Accent5 39 5" xfId="12194" xr:uid="{00000000-0005-0000-0000-0000162E0000}"/>
    <cellStyle name="Accent5 39 6" xfId="12195" xr:uid="{00000000-0005-0000-0000-0000172E0000}"/>
    <cellStyle name="Accent5 4" xfId="12196" xr:uid="{00000000-0005-0000-0000-0000182E0000}"/>
    <cellStyle name="Accent5 4 2" xfId="12197" xr:uid="{00000000-0005-0000-0000-0000192E0000}"/>
    <cellStyle name="Accent5 4 2 2" xfId="12198" xr:uid="{00000000-0005-0000-0000-00001A2E0000}"/>
    <cellStyle name="Accent5 4 2 2 2" xfId="12199" xr:uid="{00000000-0005-0000-0000-00001B2E0000}"/>
    <cellStyle name="Accent5 4 2 3" xfId="12200" xr:uid="{00000000-0005-0000-0000-00001C2E0000}"/>
    <cellStyle name="Accent5 4 2 4" xfId="12201" xr:uid="{00000000-0005-0000-0000-00001D2E0000}"/>
    <cellStyle name="Accent5 4 3" xfId="12202" xr:uid="{00000000-0005-0000-0000-00001E2E0000}"/>
    <cellStyle name="Accent5 4 3 2" xfId="12203" xr:uid="{00000000-0005-0000-0000-00001F2E0000}"/>
    <cellStyle name="Accent5 4 3 3" xfId="12204" xr:uid="{00000000-0005-0000-0000-0000202E0000}"/>
    <cellStyle name="Accent5 4 4" xfId="12205" xr:uid="{00000000-0005-0000-0000-0000212E0000}"/>
    <cellStyle name="Accent5 4 4 2" xfId="12206" xr:uid="{00000000-0005-0000-0000-0000222E0000}"/>
    <cellStyle name="Accent5 4 4 3" xfId="12207" xr:uid="{00000000-0005-0000-0000-0000232E0000}"/>
    <cellStyle name="Accent5 4 5" xfId="12208" xr:uid="{00000000-0005-0000-0000-0000242E0000}"/>
    <cellStyle name="Accent5 4 6" xfId="12209" xr:uid="{00000000-0005-0000-0000-0000252E0000}"/>
    <cellStyle name="Accent5 4 7" xfId="12210" xr:uid="{00000000-0005-0000-0000-0000262E0000}"/>
    <cellStyle name="Accent5 4 8" xfId="12211" xr:uid="{00000000-0005-0000-0000-0000272E0000}"/>
    <cellStyle name="Accent5 40" xfId="12212" xr:uid="{00000000-0005-0000-0000-0000282E0000}"/>
    <cellStyle name="Accent5 40 2" xfId="12213" xr:uid="{00000000-0005-0000-0000-0000292E0000}"/>
    <cellStyle name="Accent5 40 3" xfId="12214" xr:uid="{00000000-0005-0000-0000-00002A2E0000}"/>
    <cellStyle name="Accent5 40 4" xfId="12215" xr:uid="{00000000-0005-0000-0000-00002B2E0000}"/>
    <cellStyle name="Accent5 41" xfId="12216" xr:uid="{00000000-0005-0000-0000-00002C2E0000}"/>
    <cellStyle name="Accent5 41 2" xfId="12217" xr:uid="{00000000-0005-0000-0000-00002D2E0000}"/>
    <cellStyle name="Accent5 41 3" xfId="12218" xr:uid="{00000000-0005-0000-0000-00002E2E0000}"/>
    <cellStyle name="Accent5 41 4" xfId="12219" xr:uid="{00000000-0005-0000-0000-00002F2E0000}"/>
    <cellStyle name="Accent5 42" xfId="12220" xr:uid="{00000000-0005-0000-0000-0000302E0000}"/>
    <cellStyle name="Accent5 42 2" xfId="12221" xr:uid="{00000000-0005-0000-0000-0000312E0000}"/>
    <cellStyle name="Accent5 42 3" xfId="12222" xr:uid="{00000000-0005-0000-0000-0000322E0000}"/>
    <cellStyle name="Accent5 42 4" xfId="12223" xr:uid="{00000000-0005-0000-0000-0000332E0000}"/>
    <cellStyle name="Accent5 43" xfId="12224" xr:uid="{00000000-0005-0000-0000-0000342E0000}"/>
    <cellStyle name="Accent5 43 2" xfId="12225" xr:uid="{00000000-0005-0000-0000-0000352E0000}"/>
    <cellStyle name="Accent5 43 3" xfId="12226" xr:uid="{00000000-0005-0000-0000-0000362E0000}"/>
    <cellStyle name="Accent5 43 4" xfId="12227" xr:uid="{00000000-0005-0000-0000-0000372E0000}"/>
    <cellStyle name="Accent5 44" xfId="12228" xr:uid="{00000000-0005-0000-0000-0000382E0000}"/>
    <cellStyle name="Accent5 44 2" xfId="12229" xr:uid="{00000000-0005-0000-0000-0000392E0000}"/>
    <cellStyle name="Accent5 44 3" xfId="12230" xr:uid="{00000000-0005-0000-0000-00003A2E0000}"/>
    <cellStyle name="Accent5 44 4" xfId="12231" xr:uid="{00000000-0005-0000-0000-00003B2E0000}"/>
    <cellStyle name="Accent5 45" xfId="12232" xr:uid="{00000000-0005-0000-0000-00003C2E0000}"/>
    <cellStyle name="Accent5 45 2" xfId="12233" xr:uid="{00000000-0005-0000-0000-00003D2E0000}"/>
    <cellStyle name="Accent5 45 3" xfId="12234" xr:uid="{00000000-0005-0000-0000-00003E2E0000}"/>
    <cellStyle name="Accent5 45 4" xfId="12235" xr:uid="{00000000-0005-0000-0000-00003F2E0000}"/>
    <cellStyle name="Accent5 46" xfId="12236" xr:uid="{00000000-0005-0000-0000-0000402E0000}"/>
    <cellStyle name="Accent5 46 2" xfId="12237" xr:uid="{00000000-0005-0000-0000-0000412E0000}"/>
    <cellStyle name="Accent5 46 3" xfId="12238" xr:uid="{00000000-0005-0000-0000-0000422E0000}"/>
    <cellStyle name="Accent5 46 4" xfId="12239" xr:uid="{00000000-0005-0000-0000-0000432E0000}"/>
    <cellStyle name="Accent5 47" xfId="12240" xr:uid="{00000000-0005-0000-0000-0000442E0000}"/>
    <cellStyle name="Accent5 47 2" xfId="12241" xr:uid="{00000000-0005-0000-0000-0000452E0000}"/>
    <cellStyle name="Accent5 47 3" xfId="12242" xr:uid="{00000000-0005-0000-0000-0000462E0000}"/>
    <cellStyle name="Accent5 47 4" xfId="12243" xr:uid="{00000000-0005-0000-0000-0000472E0000}"/>
    <cellStyle name="Accent5 48" xfId="12244" xr:uid="{00000000-0005-0000-0000-0000482E0000}"/>
    <cellStyle name="Accent5 48 2" xfId="12245" xr:uid="{00000000-0005-0000-0000-0000492E0000}"/>
    <cellStyle name="Accent5 48 3" xfId="12246" xr:uid="{00000000-0005-0000-0000-00004A2E0000}"/>
    <cellStyle name="Accent5 48 4" xfId="12247" xr:uid="{00000000-0005-0000-0000-00004B2E0000}"/>
    <cellStyle name="Accent5 49" xfId="12248" xr:uid="{00000000-0005-0000-0000-00004C2E0000}"/>
    <cellStyle name="Accent5 49 2" xfId="12249" xr:uid="{00000000-0005-0000-0000-00004D2E0000}"/>
    <cellStyle name="Accent5 49 3" xfId="12250" xr:uid="{00000000-0005-0000-0000-00004E2E0000}"/>
    <cellStyle name="Accent5 49 4" xfId="12251" xr:uid="{00000000-0005-0000-0000-00004F2E0000}"/>
    <cellStyle name="Accent5 5" xfId="12252" xr:uid="{00000000-0005-0000-0000-0000502E0000}"/>
    <cellStyle name="Accent5 5 2" xfId="12253" xr:uid="{00000000-0005-0000-0000-0000512E0000}"/>
    <cellStyle name="Accent5 5 2 2" xfId="12254" xr:uid="{00000000-0005-0000-0000-0000522E0000}"/>
    <cellStyle name="Accent5 5 2 2 2" xfId="12255" xr:uid="{00000000-0005-0000-0000-0000532E0000}"/>
    <cellStyle name="Accent5 5 2 3" xfId="12256" xr:uid="{00000000-0005-0000-0000-0000542E0000}"/>
    <cellStyle name="Accent5 5 3" xfId="12257" xr:uid="{00000000-0005-0000-0000-0000552E0000}"/>
    <cellStyle name="Accent5 5 3 2" xfId="12258" xr:uid="{00000000-0005-0000-0000-0000562E0000}"/>
    <cellStyle name="Accent5 5 4" xfId="12259" xr:uid="{00000000-0005-0000-0000-0000572E0000}"/>
    <cellStyle name="Accent5 5 5" xfId="12260" xr:uid="{00000000-0005-0000-0000-0000582E0000}"/>
    <cellStyle name="Accent5 50" xfId="12261" xr:uid="{00000000-0005-0000-0000-0000592E0000}"/>
    <cellStyle name="Accent5 50 2" xfId="12262" xr:uid="{00000000-0005-0000-0000-00005A2E0000}"/>
    <cellStyle name="Accent5 50 3" xfId="12263" xr:uid="{00000000-0005-0000-0000-00005B2E0000}"/>
    <cellStyle name="Accent5 50 4" xfId="12264" xr:uid="{00000000-0005-0000-0000-00005C2E0000}"/>
    <cellStyle name="Accent5 51" xfId="12265" xr:uid="{00000000-0005-0000-0000-00005D2E0000}"/>
    <cellStyle name="Accent5 51 2" xfId="12266" xr:uid="{00000000-0005-0000-0000-00005E2E0000}"/>
    <cellStyle name="Accent5 51 3" xfId="12267" xr:uid="{00000000-0005-0000-0000-00005F2E0000}"/>
    <cellStyle name="Accent5 51 4" xfId="12268" xr:uid="{00000000-0005-0000-0000-0000602E0000}"/>
    <cellStyle name="Accent5 52" xfId="12269" xr:uid="{00000000-0005-0000-0000-0000612E0000}"/>
    <cellStyle name="Accent5 52 2" xfId="12270" xr:uid="{00000000-0005-0000-0000-0000622E0000}"/>
    <cellStyle name="Accent5 52 3" xfId="12271" xr:uid="{00000000-0005-0000-0000-0000632E0000}"/>
    <cellStyle name="Accent5 52 4" xfId="12272" xr:uid="{00000000-0005-0000-0000-0000642E0000}"/>
    <cellStyle name="Accent5 53" xfId="12273" xr:uid="{00000000-0005-0000-0000-0000652E0000}"/>
    <cellStyle name="Accent5 53 2" xfId="12274" xr:uid="{00000000-0005-0000-0000-0000662E0000}"/>
    <cellStyle name="Accent5 53 3" xfId="12275" xr:uid="{00000000-0005-0000-0000-0000672E0000}"/>
    <cellStyle name="Accent5 53 4" xfId="12276" xr:uid="{00000000-0005-0000-0000-0000682E0000}"/>
    <cellStyle name="Accent5 54" xfId="12277" xr:uid="{00000000-0005-0000-0000-0000692E0000}"/>
    <cellStyle name="Accent5 54 2" xfId="12278" xr:uid="{00000000-0005-0000-0000-00006A2E0000}"/>
    <cellStyle name="Accent5 54 3" xfId="12279" xr:uid="{00000000-0005-0000-0000-00006B2E0000}"/>
    <cellStyle name="Accent5 54 4" xfId="12280" xr:uid="{00000000-0005-0000-0000-00006C2E0000}"/>
    <cellStyle name="Accent5 55" xfId="12281" xr:uid="{00000000-0005-0000-0000-00006D2E0000}"/>
    <cellStyle name="Accent5 55 2" xfId="12282" xr:uid="{00000000-0005-0000-0000-00006E2E0000}"/>
    <cellStyle name="Accent5 55 3" xfId="12283" xr:uid="{00000000-0005-0000-0000-00006F2E0000}"/>
    <cellStyle name="Accent5 55 4" xfId="12284" xr:uid="{00000000-0005-0000-0000-0000702E0000}"/>
    <cellStyle name="Accent5 56" xfId="12285" xr:uid="{00000000-0005-0000-0000-0000712E0000}"/>
    <cellStyle name="Accent5 56 2" xfId="12286" xr:uid="{00000000-0005-0000-0000-0000722E0000}"/>
    <cellStyle name="Accent5 56 3" xfId="12287" xr:uid="{00000000-0005-0000-0000-0000732E0000}"/>
    <cellStyle name="Accent5 56 4" xfId="12288" xr:uid="{00000000-0005-0000-0000-0000742E0000}"/>
    <cellStyle name="Accent5 57" xfId="12289" xr:uid="{00000000-0005-0000-0000-0000752E0000}"/>
    <cellStyle name="Accent5 57 2" xfId="12290" xr:uid="{00000000-0005-0000-0000-0000762E0000}"/>
    <cellStyle name="Accent5 57 3" xfId="12291" xr:uid="{00000000-0005-0000-0000-0000772E0000}"/>
    <cellStyle name="Accent5 57 4" xfId="12292" xr:uid="{00000000-0005-0000-0000-0000782E0000}"/>
    <cellStyle name="Accent5 58" xfId="12293" xr:uid="{00000000-0005-0000-0000-0000792E0000}"/>
    <cellStyle name="Accent5 58 2" xfId="12294" xr:uid="{00000000-0005-0000-0000-00007A2E0000}"/>
    <cellStyle name="Accent5 58 3" xfId="12295" xr:uid="{00000000-0005-0000-0000-00007B2E0000}"/>
    <cellStyle name="Accent5 58 4" xfId="12296" xr:uid="{00000000-0005-0000-0000-00007C2E0000}"/>
    <cellStyle name="Accent5 59" xfId="12297" xr:uid="{00000000-0005-0000-0000-00007D2E0000}"/>
    <cellStyle name="Accent5 59 2" xfId="12298" xr:uid="{00000000-0005-0000-0000-00007E2E0000}"/>
    <cellStyle name="Accent5 59 3" xfId="12299" xr:uid="{00000000-0005-0000-0000-00007F2E0000}"/>
    <cellStyle name="Accent5 59 4" xfId="12300" xr:uid="{00000000-0005-0000-0000-0000802E0000}"/>
    <cellStyle name="Accent5 6" xfId="12301" xr:uid="{00000000-0005-0000-0000-0000812E0000}"/>
    <cellStyle name="Accent5 6 2" xfId="12302" xr:uid="{00000000-0005-0000-0000-0000822E0000}"/>
    <cellStyle name="Accent5 6 2 2" xfId="12303" xr:uid="{00000000-0005-0000-0000-0000832E0000}"/>
    <cellStyle name="Accent5 6 2 2 2" xfId="12304" xr:uid="{00000000-0005-0000-0000-0000842E0000}"/>
    <cellStyle name="Accent5 6 2 3" xfId="12305" xr:uid="{00000000-0005-0000-0000-0000852E0000}"/>
    <cellStyle name="Accent5 6 3" xfId="12306" xr:uid="{00000000-0005-0000-0000-0000862E0000}"/>
    <cellStyle name="Accent5 6 3 2" xfId="12307" xr:uid="{00000000-0005-0000-0000-0000872E0000}"/>
    <cellStyle name="Accent5 6 4" xfId="12308" xr:uid="{00000000-0005-0000-0000-0000882E0000}"/>
    <cellStyle name="Accent5 6 5" xfId="12309" xr:uid="{00000000-0005-0000-0000-0000892E0000}"/>
    <cellStyle name="Accent5 60" xfId="12310" xr:uid="{00000000-0005-0000-0000-00008A2E0000}"/>
    <cellStyle name="Accent5 60 2" xfId="12311" xr:uid="{00000000-0005-0000-0000-00008B2E0000}"/>
    <cellStyle name="Accent5 60 3" xfId="12312" xr:uid="{00000000-0005-0000-0000-00008C2E0000}"/>
    <cellStyle name="Accent5 60 4" xfId="12313" xr:uid="{00000000-0005-0000-0000-00008D2E0000}"/>
    <cellStyle name="Accent5 61" xfId="12314" xr:uid="{00000000-0005-0000-0000-00008E2E0000}"/>
    <cellStyle name="Accent5 61 2" xfId="12315" xr:uid="{00000000-0005-0000-0000-00008F2E0000}"/>
    <cellStyle name="Accent5 61 3" xfId="12316" xr:uid="{00000000-0005-0000-0000-0000902E0000}"/>
    <cellStyle name="Accent5 61 4" xfId="12317" xr:uid="{00000000-0005-0000-0000-0000912E0000}"/>
    <cellStyle name="Accent5 62" xfId="12318" xr:uid="{00000000-0005-0000-0000-0000922E0000}"/>
    <cellStyle name="Accent5 62 2" xfId="12319" xr:uid="{00000000-0005-0000-0000-0000932E0000}"/>
    <cellStyle name="Accent5 62 3" xfId="12320" xr:uid="{00000000-0005-0000-0000-0000942E0000}"/>
    <cellStyle name="Accent5 62 4" xfId="12321" xr:uid="{00000000-0005-0000-0000-0000952E0000}"/>
    <cellStyle name="Accent5 63" xfId="12322" xr:uid="{00000000-0005-0000-0000-0000962E0000}"/>
    <cellStyle name="Accent5 63 2" xfId="12323" xr:uid="{00000000-0005-0000-0000-0000972E0000}"/>
    <cellStyle name="Accent5 63 3" xfId="12324" xr:uid="{00000000-0005-0000-0000-0000982E0000}"/>
    <cellStyle name="Accent5 63 4" xfId="12325" xr:uid="{00000000-0005-0000-0000-0000992E0000}"/>
    <cellStyle name="Accent5 64" xfId="12326" xr:uid="{00000000-0005-0000-0000-00009A2E0000}"/>
    <cellStyle name="Accent5 64 2" xfId="12327" xr:uid="{00000000-0005-0000-0000-00009B2E0000}"/>
    <cellStyle name="Accent5 64 3" xfId="12328" xr:uid="{00000000-0005-0000-0000-00009C2E0000}"/>
    <cellStyle name="Accent5 64 4" xfId="12329" xr:uid="{00000000-0005-0000-0000-00009D2E0000}"/>
    <cellStyle name="Accent5 65" xfId="12330" xr:uid="{00000000-0005-0000-0000-00009E2E0000}"/>
    <cellStyle name="Accent5 65 2" xfId="12331" xr:uid="{00000000-0005-0000-0000-00009F2E0000}"/>
    <cellStyle name="Accent5 65 3" xfId="12332" xr:uid="{00000000-0005-0000-0000-0000A02E0000}"/>
    <cellStyle name="Accent5 65 4" xfId="12333" xr:uid="{00000000-0005-0000-0000-0000A12E0000}"/>
    <cellStyle name="Accent5 66" xfId="12334" xr:uid="{00000000-0005-0000-0000-0000A22E0000}"/>
    <cellStyle name="Accent5 66 2" xfId="12335" xr:uid="{00000000-0005-0000-0000-0000A32E0000}"/>
    <cellStyle name="Accent5 66 3" xfId="12336" xr:uid="{00000000-0005-0000-0000-0000A42E0000}"/>
    <cellStyle name="Accent5 66 4" xfId="12337" xr:uid="{00000000-0005-0000-0000-0000A52E0000}"/>
    <cellStyle name="Accent5 67" xfId="12338" xr:uid="{00000000-0005-0000-0000-0000A62E0000}"/>
    <cellStyle name="Accent5 67 2" xfId="12339" xr:uid="{00000000-0005-0000-0000-0000A72E0000}"/>
    <cellStyle name="Accent5 67 3" xfId="12340" xr:uid="{00000000-0005-0000-0000-0000A82E0000}"/>
    <cellStyle name="Accent5 67 4" xfId="12341" xr:uid="{00000000-0005-0000-0000-0000A92E0000}"/>
    <cellStyle name="Accent5 68" xfId="12342" xr:uid="{00000000-0005-0000-0000-0000AA2E0000}"/>
    <cellStyle name="Accent5 68 2" xfId="12343" xr:uid="{00000000-0005-0000-0000-0000AB2E0000}"/>
    <cellStyle name="Accent5 68 3" xfId="12344" xr:uid="{00000000-0005-0000-0000-0000AC2E0000}"/>
    <cellStyle name="Accent5 68 4" xfId="12345" xr:uid="{00000000-0005-0000-0000-0000AD2E0000}"/>
    <cellStyle name="Accent5 69" xfId="12346" xr:uid="{00000000-0005-0000-0000-0000AE2E0000}"/>
    <cellStyle name="Accent5 69 2" xfId="12347" xr:uid="{00000000-0005-0000-0000-0000AF2E0000}"/>
    <cellStyle name="Accent5 69 3" xfId="12348" xr:uid="{00000000-0005-0000-0000-0000B02E0000}"/>
    <cellStyle name="Accent5 69 4" xfId="12349" xr:uid="{00000000-0005-0000-0000-0000B12E0000}"/>
    <cellStyle name="Accent5 7" xfId="12350" xr:uid="{00000000-0005-0000-0000-0000B22E0000}"/>
    <cellStyle name="Accent5 7 2" xfId="12351" xr:uid="{00000000-0005-0000-0000-0000B32E0000}"/>
    <cellStyle name="Accent5 7 2 2" xfId="12352" xr:uid="{00000000-0005-0000-0000-0000B42E0000}"/>
    <cellStyle name="Accent5 7 2 2 2" xfId="12353" xr:uid="{00000000-0005-0000-0000-0000B52E0000}"/>
    <cellStyle name="Accent5 7 2 3" xfId="12354" xr:uid="{00000000-0005-0000-0000-0000B62E0000}"/>
    <cellStyle name="Accent5 7 3" xfId="12355" xr:uid="{00000000-0005-0000-0000-0000B72E0000}"/>
    <cellStyle name="Accent5 7 3 2" xfId="12356" xr:uid="{00000000-0005-0000-0000-0000B82E0000}"/>
    <cellStyle name="Accent5 7 4" xfId="12357" xr:uid="{00000000-0005-0000-0000-0000B92E0000}"/>
    <cellStyle name="Accent5 7 5" xfId="12358" xr:uid="{00000000-0005-0000-0000-0000BA2E0000}"/>
    <cellStyle name="Accent5 7 6" xfId="12359" xr:uid="{00000000-0005-0000-0000-0000BB2E0000}"/>
    <cellStyle name="Accent5 70" xfId="12360" xr:uid="{00000000-0005-0000-0000-0000BC2E0000}"/>
    <cellStyle name="Accent5 70 2" xfId="12361" xr:uid="{00000000-0005-0000-0000-0000BD2E0000}"/>
    <cellStyle name="Accent5 70 3" xfId="12362" xr:uid="{00000000-0005-0000-0000-0000BE2E0000}"/>
    <cellStyle name="Accent5 70 4" xfId="12363" xr:uid="{00000000-0005-0000-0000-0000BF2E0000}"/>
    <cellStyle name="Accent5 71" xfId="12364" xr:uid="{00000000-0005-0000-0000-0000C02E0000}"/>
    <cellStyle name="Accent5 71 2" xfId="12365" xr:uid="{00000000-0005-0000-0000-0000C12E0000}"/>
    <cellStyle name="Accent5 71 2 2" xfId="12366" xr:uid="{00000000-0005-0000-0000-0000C22E0000}"/>
    <cellStyle name="Accent5 71 3" xfId="12367" xr:uid="{00000000-0005-0000-0000-0000C32E0000}"/>
    <cellStyle name="Accent5 71 4" xfId="12368" xr:uid="{00000000-0005-0000-0000-0000C42E0000}"/>
    <cellStyle name="Accent5 72" xfId="12369" xr:uid="{00000000-0005-0000-0000-0000C52E0000}"/>
    <cellStyle name="Accent5 72 2" xfId="12370" xr:uid="{00000000-0005-0000-0000-0000C62E0000}"/>
    <cellStyle name="Accent5 72 2 2" xfId="12371" xr:uid="{00000000-0005-0000-0000-0000C72E0000}"/>
    <cellStyle name="Accent5 72 3" xfId="12372" xr:uid="{00000000-0005-0000-0000-0000C82E0000}"/>
    <cellStyle name="Accent5 72 4" xfId="12373" xr:uid="{00000000-0005-0000-0000-0000C92E0000}"/>
    <cellStyle name="Accent5 73" xfId="12374" xr:uid="{00000000-0005-0000-0000-0000CA2E0000}"/>
    <cellStyle name="Accent5 73 2" xfId="12375" xr:uid="{00000000-0005-0000-0000-0000CB2E0000}"/>
    <cellStyle name="Accent5 73 2 2" xfId="12376" xr:uid="{00000000-0005-0000-0000-0000CC2E0000}"/>
    <cellStyle name="Accent5 73 3" xfId="12377" xr:uid="{00000000-0005-0000-0000-0000CD2E0000}"/>
    <cellStyle name="Accent5 73 4" xfId="12378" xr:uid="{00000000-0005-0000-0000-0000CE2E0000}"/>
    <cellStyle name="Accent5 74" xfId="12379" xr:uid="{00000000-0005-0000-0000-0000CF2E0000}"/>
    <cellStyle name="Accent5 74 2" xfId="12380" xr:uid="{00000000-0005-0000-0000-0000D02E0000}"/>
    <cellStyle name="Accent5 74 2 2" xfId="12381" xr:uid="{00000000-0005-0000-0000-0000D12E0000}"/>
    <cellStyle name="Accent5 74 3" xfId="12382" xr:uid="{00000000-0005-0000-0000-0000D22E0000}"/>
    <cellStyle name="Accent5 74 4" xfId="12383" xr:uid="{00000000-0005-0000-0000-0000D32E0000}"/>
    <cellStyle name="Accent5 75" xfId="12384" xr:uid="{00000000-0005-0000-0000-0000D42E0000}"/>
    <cellStyle name="Accent5 75 2" xfId="12385" xr:uid="{00000000-0005-0000-0000-0000D52E0000}"/>
    <cellStyle name="Accent5 75 2 2" xfId="12386" xr:uid="{00000000-0005-0000-0000-0000D62E0000}"/>
    <cellStyle name="Accent5 75 3" xfId="12387" xr:uid="{00000000-0005-0000-0000-0000D72E0000}"/>
    <cellStyle name="Accent5 75 4" xfId="12388" xr:uid="{00000000-0005-0000-0000-0000D82E0000}"/>
    <cellStyle name="Accent5 76" xfId="12389" xr:uid="{00000000-0005-0000-0000-0000D92E0000}"/>
    <cellStyle name="Accent5 76 2" xfId="12390" xr:uid="{00000000-0005-0000-0000-0000DA2E0000}"/>
    <cellStyle name="Accent5 76 2 2" xfId="12391" xr:uid="{00000000-0005-0000-0000-0000DB2E0000}"/>
    <cellStyle name="Accent5 76 3" xfId="12392" xr:uid="{00000000-0005-0000-0000-0000DC2E0000}"/>
    <cellStyle name="Accent5 76 4" xfId="12393" xr:uid="{00000000-0005-0000-0000-0000DD2E0000}"/>
    <cellStyle name="Accent5 77" xfId="12394" xr:uid="{00000000-0005-0000-0000-0000DE2E0000}"/>
    <cellStyle name="Accent5 77 2" xfId="12395" xr:uid="{00000000-0005-0000-0000-0000DF2E0000}"/>
    <cellStyle name="Accent5 77 3" xfId="12396" xr:uid="{00000000-0005-0000-0000-0000E02E0000}"/>
    <cellStyle name="Accent5 77 4" xfId="12397" xr:uid="{00000000-0005-0000-0000-0000E12E0000}"/>
    <cellStyle name="Accent5 78" xfId="12398" xr:uid="{00000000-0005-0000-0000-0000E22E0000}"/>
    <cellStyle name="Accent5 78 2" xfId="12399" xr:uid="{00000000-0005-0000-0000-0000E32E0000}"/>
    <cellStyle name="Accent5 78 3" xfId="12400" xr:uid="{00000000-0005-0000-0000-0000E42E0000}"/>
    <cellStyle name="Accent5 79" xfId="12401" xr:uid="{00000000-0005-0000-0000-0000E52E0000}"/>
    <cellStyle name="Accent5 79 2" xfId="12402" xr:uid="{00000000-0005-0000-0000-0000E62E0000}"/>
    <cellStyle name="Accent5 79 3" xfId="12403" xr:uid="{00000000-0005-0000-0000-0000E72E0000}"/>
    <cellStyle name="Accent5 8" xfId="12404" xr:uid="{00000000-0005-0000-0000-0000E82E0000}"/>
    <cellStyle name="Accent5 8 2" xfId="12405" xr:uid="{00000000-0005-0000-0000-0000E92E0000}"/>
    <cellStyle name="Accent5 8 2 2" xfId="12406" xr:uid="{00000000-0005-0000-0000-0000EA2E0000}"/>
    <cellStyle name="Accent5 8 2 2 2" xfId="12407" xr:uid="{00000000-0005-0000-0000-0000EB2E0000}"/>
    <cellStyle name="Accent5 8 2 3" xfId="12408" xr:uid="{00000000-0005-0000-0000-0000EC2E0000}"/>
    <cellStyle name="Accent5 8 3" xfId="12409" xr:uid="{00000000-0005-0000-0000-0000ED2E0000}"/>
    <cellStyle name="Accent5 8 3 2" xfId="12410" xr:uid="{00000000-0005-0000-0000-0000EE2E0000}"/>
    <cellStyle name="Accent5 8 4" xfId="12411" xr:uid="{00000000-0005-0000-0000-0000EF2E0000}"/>
    <cellStyle name="Accent5 8 4 2" xfId="12412" xr:uid="{00000000-0005-0000-0000-0000F02E0000}"/>
    <cellStyle name="Accent5 8 5" xfId="12413" xr:uid="{00000000-0005-0000-0000-0000F12E0000}"/>
    <cellStyle name="Accent5 8 6" xfId="12414" xr:uid="{00000000-0005-0000-0000-0000F22E0000}"/>
    <cellStyle name="Accent5 80" xfId="12415" xr:uid="{00000000-0005-0000-0000-0000F32E0000}"/>
    <cellStyle name="Accent5 80 2" xfId="12416" xr:uid="{00000000-0005-0000-0000-0000F42E0000}"/>
    <cellStyle name="Accent5 80 3" xfId="12417" xr:uid="{00000000-0005-0000-0000-0000F52E0000}"/>
    <cellStyle name="Accent5 81" xfId="12418" xr:uid="{00000000-0005-0000-0000-0000F62E0000}"/>
    <cellStyle name="Accent5 81 2" xfId="12419" xr:uid="{00000000-0005-0000-0000-0000F72E0000}"/>
    <cellStyle name="Accent5 81 3" xfId="12420" xr:uid="{00000000-0005-0000-0000-0000F82E0000}"/>
    <cellStyle name="Accent5 82" xfId="12421" xr:uid="{00000000-0005-0000-0000-0000F92E0000}"/>
    <cellStyle name="Accent5 82 2" xfId="12422" xr:uid="{00000000-0005-0000-0000-0000FA2E0000}"/>
    <cellStyle name="Accent5 82 3" xfId="12423" xr:uid="{00000000-0005-0000-0000-0000FB2E0000}"/>
    <cellStyle name="Accent5 83" xfId="12424" xr:uid="{00000000-0005-0000-0000-0000FC2E0000}"/>
    <cellStyle name="Accent5 83 2" xfId="12425" xr:uid="{00000000-0005-0000-0000-0000FD2E0000}"/>
    <cellStyle name="Accent5 83 3" xfId="12426" xr:uid="{00000000-0005-0000-0000-0000FE2E0000}"/>
    <cellStyle name="Accent5 84" xfId="12427" xr:uid="{00000000-0005-0000-0000-0000FF2E0000}"/>
    <cellStyle name="Accent5 84 2" xfId="12428" xr:uid="{00000000-0005-0000-0000-0000002F0000}"/>
    <cellStyle name="Accent5 84 3" xfId="12429" xr:uid="{00000000-0005-0000-0000-0000012F0000}"/>
    <cellStyle name="Accent5 85" xfId="12430" xr:uid="{00000000-0005-0000-0000-0000022F0000}"/>
    <cellStyle name="Accent5 85 2" xfId="12431" xr:uid="{00000000-0005-0000-0000-0000032F0000}"/>
    <cellStyle name="Accent5 85 3" xfId="12432" xr:uid="{00000000-0005-0000-0000-0000042F0000}"/>
    <cellStyle name="Accent5 86" xfId="12433" xr:uid="{00000000-0005-0000-0000-0000052F0000}"/>
    <cellStyle name="Accent5 86 2" xfId="12434" xr:uid="{00000000-0005-0000-0000-0000062F0000}"/>
    <cellStyle name="Accent5 86 3" xfId="12435" xr:uid="{00000000-0005-0000-0000-0000072F0000}"/>
    <cellStyle name="Accent5 87" xfId="12436" xr:uid="{00000000-0005-0000-0000-0000082F0000}"/>
    <cellStyle name="Accent5 87 2" xfId="12437" xr:uid="{00000000-0005-0000-0000-0000092F0000}"/>
    <cellStyle name="Accent5 87 3" xfId="12438" xr:uid="{00000000-0005-0000-0000-00000A2F0000}"/>
    <cellStyle name="Accent5 88" xfId="12439" xr:uid="{00000000-0005-0000-0000-00000B2F0000}"/>
    <cellStyle name="Accent5 88 2" xfId="12440" xr:uid="{00000000-0005-0000-0000-00000C2F0000}"/>
    <cellStyle name="Accent5 88 3" xfId="12441" xr:uid="{00000000-0005-0000-0000-00000D2F0000}"/>
    <cellStyle name="Accent5 89" xfId="12442" xr:uid="{00000000-0005-0000-0000-00000E2F0000}"/>
    <cellStyle name="Accent5 89 2" xfId="12443" xr:uid="{00000000-0005-0000-0000-00000F2F0000}"/>
    <cellStyle name="Accent5 89 3" xfId="12444" xr:uid="{00000000-0005-0000-0000-0000102F0000}"/>
    <cellStyle name="Accent5 9" xfId="12445" xr:uid="{00000000-0005-0000-0000-0000112F0000}"/>
    <cellStyle name="Accent5 9 2" xfId="12446" xr:uid="{00000000-0005-0000-0000-0000122F0000}"/>
    <cellStyle name="Accent5 9 2 2" xfId="12447" xr:uid="{00000000-0005-0000-0000-0000132F0000}"/>
    <cellStyle name="Accent5 9 2 3" xfId="12448" xr:uid="{00000000-0005-0000-0000-0000142F0000}"/>
    <cellStyle name="Accent5 9 3" xfId="12449" xr:uid="{00000000-0005-0000-0000-0000152F0000}"/>
    <cellStyle name="Accent5 9 3 2" xfId="12450" xr:uid="{00000000-0005-0000-0000-0000162F0000}"/>
    <cellStyle name="Accent5 9 4" xfId="12451" xr:uid="{00000000-0005-0000-0000-0000172F0000}"/>
    <cellStyle name="Accent5 9 5" xfId="12452" xr:uid="{00000000-0005-0000-0000-0000182F0000}"/>
    <cellStyle name="Accent5 9 6" xfId="12453" xr:uid="{00000000-0005-0000-0000-0000192F0000}"/>
    <cellStyle name="Accent5 9 7" xfId="12454" xr:uid="{00000000-0005-0000-0000-00001A2F0000}"/>
    <cellStyle name="Accent5 90" xfId="12455" xr:uid="{00000000-0005-0000-0000-00001B2F0000}"/>
    <cellStyle name="Accent5 90 2" xfId="12456" xr:uid="{00000000-0005-0000-0000-00001C2F0000}"/>
    <cellStyle name="Accent5 90 3" xfId="12457" xr:uid="{00000000-0005-0000-0000-00001D2F0000}"/>
    <cellStyle name="Accent5 91" xfId="12458" xr:uid="{00000000-0005-0000-0000-00001E2F0000}"/>
    <cellStyle name="Accent5 91 2" xfId="12459" xr:uid="{00000000-0005-0000-0000-00001F2F0000}"/>
    <cellStyle name="Accent5 91 3" xfId="12460" xr:uid="{00000000-0005-0000-0000-0000202F0000}"/>
    <cellStyle name="Accent5 92" xfId="12461" xr:uid="{00000000-0005-0000-0000-0000212F0000}"/>
    <cellStyle name="Accent5 92 2" xfId="12462" xr:uid="{00000000-0005-0000-0000-0000222F0000}"/>
    <cellStyle name="Accent5 92 3" xfId="12463" xr:uid="{00000000-0005-0000-0000-0000232F0000}"/>
    <cellStyle name="Accent5 93" xfId="12464" xr:uid="{00000000-0005-0000-0000-0000242F0000}"/>
    <cellStyle name="Accent5 93 2" xfId="12465" xr:uid="{00000000-0005-0000-0000-0000252F0000}"/>
    <cellStyle name="Accent5 93 3" xfId="12466" xr:uid="{00000000-0005-0000-0000-0000262F0000}"/>
    <cellStyle name="Accent5 94" xfId="12467" xr:uid="{00000000-0005-0000-0000-0000272F0000}"/>
    <cellStyle name="Accent5 94 2" xfId="12468" xr:uid="{00000000-0005-0000-0000-0000282F0000}"/>
    <cellStyle name="Accent5 94 3" xfId="12469" xr:uid="{00000000-0005-0000-0000-0000292F0000}"/>
    <cellStyle name="Accent5 95" xfId="12470" xr:uid="{00000000-0005-0000-0000-00002A2F0000}"/>
    <cellStyle name="Accent5 95 2" xfId="12471" xr:uid="{00000000-0005-0000-0000-00002B2F0000}"/>
    <cellStyle name="Accent5 95 3" xfId="12472" xr:uid="{00000000-0005-0000-0000-00002C2F0000}"/>
    <cellStyle name="Accent5 96" xfId="12473" xr:uid="{00000000-0005-0000-0000-00002D2F0000}"/>
    <cellStyle name="Accent5 96 2" xfId="12474" xr:uid="{00000000-0005-0000-0000-00002E2F0000}"/>
    <cellStyle name="Accent5 96 3" xfId="12475" xr:uid="{00000000-0005-0000-0000-00002F2F0000}"/>
    <cellStyle name="Accent5 97" xfId="12476" xr:uid="{00000000-0005-0000-0000-0000302F0000}"/>
    <cellStyle name="Accent5 97 2" xfId="12477" xr:uid="{00000000-0005-0000-0000-0000312F0000}"/>
    <cellStyle name="Accent5 97 3" xfId="12478" xr:uid="{00000000-0005-0000-0000-0000322F0000}"/>
    <cellStyle name="Accent5 98" xfId="12479" xr:uid="{00000000-0005-0000-0000-0000332F0000}"/>
    <cellStyle name="Accent5 98 2" xfId="12480" xr:uid="{00000000-0005-0000-0000-0000342F0000}"/>
    <cellStyle name="Accent5 98 3" xfId="12481" xr:uid="{00000000-0005-0000-0000-0000352F0000}"/>
    <cellStyle name="Accent5 99" xfId="12482" xr:uid="{00000000-0005-0000-0000-0000362F0000}"/>
    <cellStyle name="Accent5 99 2" xfId="12483" xr:uid="{00000000-0005-0000-0000-0000372F0000}"/>
    <cellStyle name="Accent5 99 3" xfId="12484" xr:uid="{00000000-0005-0000-0000-0000382F0000}"/>
    <cellStyle name="Accent6 - 20%" xfId="12485" xr:uid="{00000000-0005-0000-0000-0000392F0000}"/>
    <cellStyle name="Accent6 - 20% 2" xfId="12486" xr:uid="{00000000-0005-0000-0000-00003A2F0000}"/>
    <cellStyle name="Accent6 - 20% 2 2" xfId="12487" xr:uid="{00000000-0005-0000-0000-00003B2F0000}"/>
    <cellStyle name="Accent6 - 20% 2 2 2" xfId="12488" xr:uid="{00000000-0005-0000-0000-00003C2F0000}"/>
    <cellStyle name="Accent6 - 20% 2 3" xfId="12489" xr:uid="{00000000-0005-0000-0000-00003D2F0000}"/>
    <cellStyle name="Accent6 - 20% 2 4" xfId="12490" xr:uid="{00000000-0005-0000-0000-00003E2F0000}"/>
    <cellStyle name="Accent6 - 20% 3" xfId="12491" xr:uid="{00000000-0005-0000-0000-00003F2F0000}"/>
    <cellStyle name="Accent6 - 20% 3 2" xfId="12492" xr:uid="{00000000-0005-0000-0000-0000402F0000}"/>
    <cellStyle name="Accent6 - 20% 3 3" xfId="12493" xr:uid="{00000000-0005-0000-0000-0000412F0000}"/>
    <cellStyle name="Accent6 - 20% 4" xfId="12494" xr:uid="{00000000-0005-0000-0000-0000422F0000}"/>
    <cellStyle name="Accent6 - 20% 5" xfId="12495" xr:uid="{00000000-0005-0000-0000-0000432F0000}"/>
    <cellStyle name="Accent6 - 20% 6" xfId="12496" xr:uid="{00000000-0005-0000-0000-0000442F0000}"/>
    <cellStyle name="Accent6 - 20% 7" xfId="12497" xr:uid="{00000000-0005-0000-0000-0000452F0000}"/>
    <cellStyle name="Accent6 - 20% 8" xfId="12498" xr:uid="{00000000-0005-0000-0000-0000462F0000}"/>
    <cellStyle name="Accent6 - 20% 9" xfId="12499" xr:uid="{00000000-0005-0000-0000-0000472F0000}"/>
    <cellStyle name="Accent6 - 40%" xfId="12500" xr:uid="{00000000-0005-0000-0000-0000482F0000}"/>
    <cellStyle name="Accent6 - 40% 2" xfId="12501" xr:uid="{00000000-0005-0000-0000-0000492F0000}"/>
    <cellStyle name="Accent6 - 40% 2 2" xfId="12502" xr:uid="{00000000-0005-0000-0000-00004A2F0000}"/>
    <cellStyle name="Accent6 - 40% 2 2 2" xfId="12503" xr:uid="{00000000-0005-0000-0000-00004B2F0000}"/>
    <cellStyle name="Accent6 - 40% 2 2 3" xfId="12504" xr:uid="{00000000-0005-0000-0000-00004C2F0000}"/>
    <cellStyle name="Accent6 - 40% 2 3" xfId="12505" xr:uid="{00000000-0005-0000-0000-00004D2F0000}"/>
    <cellStyle name="Accent6 - 40% 2 3 2" xfId="12506" xr:uid="{00000000-0005-0000-0000-00004E2F0000}"/>
    <cellStyle name="Accent6 - 40% 2 4" xfId="12507" xr:uid="{00000000-0005-0000-0000-00004F2F0000}"/>
    <cellStyle name="Accent6 - 40% 2 5" xfId="12508" xr:uid="{00000000-0005-0000-0000-0000502F0000}"/>
    <cellStyle name="Accent6 - 40% 3" xfId="12509" xr:uid="{00000000-0005-0000-0000-0000512F0000}"/>
    <cellStyle name="Accent6 - 40% 3 2" xfId="12510" xr:uid="{00000000-0005-0000-0000-0000522F0000}"/>
    <cellStyle name="Accent6 - 40% 3 2 2" xfId="12511" xr:uid="{00000000-0005-0000-0000-0000532F0000}"/>
    <cellStyle name="Accent6 - 40% 3 3" xfId="12512" xr:uid="{00000000-0005-0000-0000-0000542F0000}"/>
    <cellStyle name="Accent6 - 40% 4" xfId="12513" xr:uid="{00000000-0005-0000-0000-0000552F0000}"/>
    <cellStyle name="Accent6 - 40% 4 2" xfId="12514" xr:uid="{00000000-0005-0000-0000-0000562F0000}"/>
    <cellStyle name="Accent6 - 40% 5" xfId="12515" xr:uid="{00000000-0005-0000-0000-0000572F0000}"/>
    <cellStyle name="Accent6 - 40% 5 2" xfId="12516" xr:uid="{00000000-0005-0000-0000-0000582F0000}"/>
    <cellStyle name="Accent6 - 40% 6" xfId="12517" xr:uid="{00000000-0005-0000-0000-0000592F0000}"/>
    <cellStyle name="Accent6 - 40% 7" xfId="12518" xr:uid="{00000000-0005-0000-0000-00005A2F0000}"/>
    <cellStyle name="Accent6 - 40% 8" xfId="12519" xr:uid="{00000000-0005-0000-0000-00005B2F0000}"/>
    <cellStyle name="Accent6 - 40% 9" xfId="12520" xr:uid="{00000000-0005-0000-0000-00005C2F0000}"/>
    <cellStyle name="Accent6 - 60%" xfId="12521" xr:uid="{00000000-0005-0000-0000-00005D2F0000}"/>
    <cellStyle name="Accent6 - 60% 2" xfId="12522" xr:uid="{00000000-0005-0000-0000-00005E2F0000}"/>
    <cellStyle name="Accent6 - 60% 2 2" xfId="12523" xr:uid="{00000000-0005-0000-0000-00005F2F0000}"/>
    <cellStyle name="Accent6 - 60% 2 2 2" xfId="12524" xr:uid="{00000000-0005-0000-0000-0000602F0000}"/>
    <cellStyle name="Accent6 - 60% 2 2 3" xfId="12525" xr:uid="{00000000-0005-0000-0000-0000612F0000}"/>
    <cellStyle name="Accent6 - 60% 2 3" xfId="12526" xr:uid="{00000000-0005-0000-0000-0000622F0000}"/>
    <cellStyle name="Accent6 - 60% 2 3 2" xfId="12527" xr:uid="{00000000-0005-0000-0000-0000632F0000}"/>
    <cellStyle name="Accent6 - 60% 2 4" xfId="12528" xr:uid="{00000000-0005-0000-0000-0000642F0000}"/>
    <cellStyle name="Accent6 - 60% 2 5" xfId="12529" xr:uid="{00000000-0005-0000-0000-0000652F0000}"/>
    <cellStyle name="Accent6 - 60% 3" xfId="12530" xr:uid="{00000000-0005-0000-0000-0000662F0000}"/>
    <cellStyle name="Accent6 - 60% 3 2" xfId="12531" xr:uid="{00000000-0005-0000-0000-0000672F0000}"/>
    <cellStyle name="Accent6 - 60% 3 2 2" xfId="12532" xr:uid="{00000000-0005-0000-0000-0000682F0000}"/>
    <cellStyle name="Accent6 - 60% 3 3" xfId="12533" xr:uid="{00000000-0005-0000-0000-0000692F0000}"/>
    <cellStyle name="Accent6 - 60% 4" xfId="12534" xr:uid="{00000000-0005-0000-0000-00006A2F0000}"/>
    <cellStyle name="Accent6 - 60% 4 2" xfId="12535" xr:uid="{00000000-0005-0000-0000-00006B2F0000}"/>
    <cellStyle name="Accent6 - 60% 5" xfId="12536" xr:uid="{00000000-0005-0000-0000-00006C2F0000}"/>
    <cellStyle name="Accent6 - 60% 5 2" xfId="12537" xr:uid="{00000000-0005-0000-0000-00006D2F0000}"/>
    <cellStyle name="Accent6 - 60% 6" xfId="12538" xr:uid="{00000000-0005-0000-0000-00006E2F0000}"/>
    <cellStyle name="Accent6 - 60% 7" xfId="12539" xr:uid="{00000000-0005-0000-0000-00006F2F0000}"/>
    <cellStyle name="Accent6 - 60% 8" xfId="12540" xr:uid="{00000000-0005-0000-0000-0000702F0000}"/>
    <cellStyle name="Accent6 - 60% 9" xfId="12541" xr:uid="{00000000-0005-0000-0000-0000712F0000}"/>
    <cellStyle name="Accent6 10" xfId="12542" xr:uid="{00000000-0005-0000-0000-0000722F0000}"/>
    <cellStyle name="Accent6 10 2" xfId="12543" xr:uid="{00000000-0005-0000-0000-0000732F0000}"/>
    <cellStyle name="Accent6 10 2 2" xfId="12544" xr:uid="{00000000-0005-0000-0000-0000742F0000}"/>
    <cellStyle name="Accent6 10 2 3" xfId="12545" xr:uid="{00000000-0005-0000-0000-0000752F0000}"/>
    <cellStyle name="Accent6 10 3" xfId="12546" xr:uid="{00000000-0005-0000-0000-0000762F0000}"/>
    <cellStyle name="Accent6 10 3 2" xfId="12547" xr:uid="{00000000-0005-0000-0000-0000772F0000}"/>
    <cellStyle name="Accent6 10 4" xfId="12548" xr:uid="{00000000-0005-0000-0000-0000782F0000}"/>
    <cellStyle name="Accent6 10 5" xfId="12549" xr:uid="{00000000-0005-0000-0000-0000792F0000}"/>
    <cellStyle name="Accent6 10 6" xfId="12550" xr:uid="{00000000-0005-0000-0000-00007A2F0000}"/>
    <cellStyle name="Accent6 10 7" xfId="12551" xr:uid="{00000000-0005-0000-0000-00007B2F0000}"/>
    <cellStyle name="Accent6 100" xfId="12552" xr:uid="{00000000-0005-0000-0000-00007C2F0000}"/>
    <cellStyle name="Accent6 100 2" xfId="12553" xr:uid="{00000000-0005-0000-0000-00007D2F0000}"/>
    <cellStyle name="Accent6 101" xfId="12554" xr:uid="{00000000-0005-0000-0000-00007E2F0000}"/>
    <cellStyle name="Accent6 101 2" xfId="12555" xr:uid="{00000000-0005-0000-0000-00007F2F0000}"/>
    <cellStyle name="Accent6 102" xfId="12556" xr:uid="{00000000-0005-0000-0000-0000802F0000}"/>
    <cellStyle name="Accent6 102 2" xfId="12557" xr:uid="{00000000-0005-0000-0000-0000812F0000}"/>
    <cellStyle name="Accent6 103" xfId="12558" xr:uid="{00000000-0005-0000-0000-0000822F0000}"/>
    <cellStyle name="Accent6 103 2" xfId="12559" xr:uid="{00000000-0005-0000-0000-0000832F0000}"/>
    <cellStyle name="Accent6 104" xfId="12560" xr:uid="{00000000-0005-0000-0000-0000842F0000}"/>
    <cellStyle name="Accent6 104 2" xfId="12561" xr:uid="{00000000-0005-0000-0000-0000852F0000}"/>
    <cellStyle name="Accent6 105" xfId="12562" xr:uid="{00000000-0005-0000-0000-0000862F0000}"/>
    <cellStyle name="Accent6 105 2" xfId="12563" xr:uid="{00000000-0005-0000-0000-0000872F0000}"/>
    <cellStyle name="Accent6 106" xfId="12564" xr:uid="{00000000-0005-0000-0000-0000882F0000}"/>
    <cellStyle name="Accent6 106 2" xfId="12565" xr:uid="{00000000-0005-0000-0000-0000892F0000}"/>
    <cellStyle name="Accent6 107" xfId="12566" xr:uid="{00000000-0005-0000-0000-00008A2F0000}"/>
    <cellStyle name="Accent6 107 2" xfId="12567" xr:uid="{00000000-0005-0000-0000-00008B2F0000}"/>
    <cellStyle name="Accent6 108" xfId="12568" xr:uid="{00000000-0005-0000-0000-00008C2F0000}"/>
    <cellStyle name="Accent6 108 2" xfId="12569" xr:uid="{00000000-0005-0000-0000-00008D2F0000}"/>
    <cellStyle name="Accent6 109" xfId="12570" xr:uid="{00000000-0005-0000-0000-00008E2F0000}"/>
    <cellStyle name="Accent6 109 2" xfId="12571" xr:uid="{00000000-0005-0000-0000-00008F2F0000}"/>
    <cellStyle name="Accent6 11" xfId="12572" xr:uid="{00000000-0005-0000-0000-0000902F0000}"/>
    <cellStyle name="Accent6 11 2" xfId="12573" xr:uid="{00000000-0005-0000-0000-0000912F0000}"/>
    <cellStyle name="Accent6 11 2 2" xfId="12574" xr:uid="{00000000-0005-0000-0000-0000922F0000}"/>
    <cellStyle name="Accent6 11 2 3" xfId="12575" xr:uid="{00000000-0005-0000-0000-0000932F0000}"/>
    <cellStyle name="Accent6 11 3" xfId="12576" xr:uid="{00000000-0005-0000-0000-0000942F0000}"/>
    <cellStyle name="Accent6 11 3 2" xfId="12577" xr:uid="{00000000-0005-0000-0000-0000952F0000}"/>
    <cellStyle name="Accent6 11 4" xfId="12578" xr:uid="{00000000-0005-0000-0000-0000962F0000}"/>
    <cellStyle name="Accent6 11 5" xfId="12579" xr:uid="{00000000-0005-0000-0000-0000972F0000}"/>
    <cellStyle name="Accent6 11 6" xfId="12580" xr:uid="{00000000-0005-0000-0000-0000982F0000}"/>
    <cellStyle name="Accent6 11 7" xfId="12581" xr:uid="{00000000-0005-0000-0000-0000992F0000}"/>
    <cellStyle name="Accent6 11 8" xfId="12582" xr:uid="{00000000-0005-0000-0000-00009A2F0000}"/>
    <cellStyle name="Accent6 110" xfId="12583" xr:uid="{00000000-0005-0000-0000-00009B2F0000}"/>
    <cellStyle name="Accent6 110 2" xfId="12584" xr:uid="{00000000-0005-0000-0000-00009C2F0000}"/>
    <cellStyle name="Accent6 111" xfId="12585" xr:uid="{00000000-0005-0000-0000-00009D2F0000}"/>
    <cellStyle name="Accent6 112" xfId="12586" xr:uid="{00000000-0005-0000-0000-00009E2F0000}"/>
    <cellStyle name="Accent6 113" xfId="12587" xr:uid="{00000000-0005-0000-0000-00009F2F0000}"/>
    <cellStyle name="Accent6 114" xfId="12588" xr:uid="{00000000-0005-0000-0000-0000A02F0000}"/>
    <cellStyle name="Accent6 115" xfId="12589" xr:uid="{00000000-0005-0000-0000-0000A12F0000}"/>
    <cellStyle name="Accent6 116" xfId="12590" xr:uid="{00000000-0005-0000-0000-0000A22F0000}"/>
    <cellStyle name="Accent6 117" xfId="12591" xr:uid="{00000000-0005-0000-0000-0000A32F0000}"/>
    <cellStyle name="Accent6 118" xfId="12592" xr:uid="{00000000-0005-0000-0000-0000A42F0000}"/>
    <cellStyle name="Accent6 119" xfId="12593" xr:uid="{00000000-0005-0000-0000-0000A52F0000}"/>
    <cellStyle name="Accent6 12" xfId="12594" xr:uid="{00000000-0005-0000-0000-0000A62F0000}"/>
    <cellStyle name="Accent6 12 2" xfId="12595" xr:uid="{00000000-0005-0000-0000-0000A72F0000}"/>
    <cellStyle name="Accent6 12 2 2" xfId="12596" xr:uid="{00000000-0005-0000-0000-0000A82F0000}"/>
    <cellStyle name="Accent6 12 2 3" xfId="12597" xr:uid="{00000000-0005-0000-0000-0000A92F0000}"/>
    <cellStyle name="Accent6 12 3" xfId="12598" xr:uid="{00000000-0005-0000-0000-0000AA2F0000}"/>
    <cellStyle name="Accent6 12 3 2" xfId="12599" xr:uid="{00000000-0005-0000-0000-0000AB2F0000}"/>
    <cellStyle name="Accent6 12 4" xfId="12600" xr:uid="{00000000-0005-0000-0000-0000AC2F0000}"/>
    <cellStyle name="Accent6 12 5" xfId="12601" xr:uid="{00000000-0005-0000-0000-0000AD2F0000}"/>
    <cellStyle name="Accent6 12 6" xfId="12602" xr:uid="{00000000-0005-0000-0000-0000AE2F0000}"/>
    <cellStyle name="Accent6 120" xfId="12603" xr:uid="{00000000-0005-0000-0000-0000AF2F0000}"/>
    <cellStyle name="Accent6 121" xfId="12604" xr:uid="{00000000-0005-0000-0000-0000B02F0000}"/>
    <cellStyle name="Accent6 122" xfId="12605" xr:uid="{00000000-0005-0000-0000-0000B12F0000}"/>
    <cellStyle name="Accent6 123" xfId="12606" xr:uid="{00000000-0005-0000-0000-0000B22F0000}"/>
    <cellStyle name="Accent6 124" xfId="12607" xr:uid="{00000000-0005-0000-0000-0000B32F0000}"/>
    <cellStyle name="Accent6 125" xfId="12608" xr:uid="{00000000-0005-0000-0000-0000B42F0000}"/>
    <cellStyle name="Accent6 126" xfId="12609" xr:uid="{00000000-0005-0000-0000-0000B52F0000}"/>
    <cellStyle name="Accent6 127" xfId="12610" xr:uid="{00000000-0005-0000-0000-0000B62F0000}"/>
    <cellStyle name="Accent6 128" xfId="12611" xr:uid="{00000000-0005-0000-0000-0000B72F0000}"/>
    <cellStyle name="Accent6 129" xfId="12612" xr:uid="{00000000-0005-0000-0000-0000B82F0000}"/>
    <cellStyle name="Accent6 13" xfId="12613" xr:uid="{00000000-0005-0000-0000-0000B92F0000}"/>
    <cellStyle name="Accent6 13 2" xfId="12614" xr:uid="{00000000-0005-0000-0000-0000BA2F0000}"/>
    <cellStyle name="Accent6 13 2 2" xfId="12615" xr:uid="{00000000-0005-0000-0000-0000BB2F0000}"/>
    <cellStyle name="Accent6 13 2 3" xfId="12616" xr:uid="{00000000-0005-0000-0000-0000BC2F0000}"/>
    <cellStyle name="Accent6 13 3" xfId="12617" xr:uid="{00000000-0005-0000-0000-0000BD2F0000}"/>
    <cellStyle name="Accent6 13 3 2" xfId="12618" xr:uid="{00000000-0005-0000-0000-0000BE2F0000}"/>
    <cellStyle name="Accent6 13 4" xfId="12619" xr:uid="{00000000-0005-0000-0000-0000BF2F0000}"/>
    <cellStyle name="Accent6 13 5" xfId="12620" xr:uid="{00000000-0005-0000-0000-0000C02F0000}"/>
    <cellStyle name="Accent6 13 6" xfId="12621" xr:uid="{00000000-0005-0000-0000-0000C12F0000}"/>
    <cellStyle name="Accent6 130" xfId="12622" xr:uid="{00000000-0005-0000-0000-0000C22F0000}"/>
    <cellStyle name="Accent6 131" xfId="12623" xr:uid="{00000000-0005-0000-0000-0000C32F0000}"/>
    <cellStyle name="Accent6 132" xfId="12624" xr:uid="{00000000-0005-0000-0000-0000C42F0000}"/>
    <cellStyle name="Accent6 133" xfId="12625" xr:uid="{00000000-0005-0000-0000-0000C52F0000}"/>
    <cellStyle name="Accent6 134" xfId="12626" xr:uid="{00000000-0005-0000-0000-0000C62F0000}"/>
    <cellStyle name="Accent6 135" xfId="12627" xr:uid="{00000000-0005-0000-0000-0000C72F0000}"/>
    <cellStyle name="Accent6 136" xfId="12628" xr:uid="{00000000-0005-0000-0000-0000C82F0000}"/>
    <cellStyle name="Accent6 137" xfId="12629" xr:uid="{00000000-0005-0000-0000-0000C92F0000}"/>
    <cellStyle name="Accent6 138" xfId="12630" xr:uid="{00000000-0005-0000-0000-0000CA2F0000}"/>
    <cellStyle name="Accent6 139" xfId="12631" xr:uid="{00000000-0005-0000-0000-0000CB2F0000}"/>
    <cellStyle name="Accent6 14" xfId="12632" xr:uid="{00000000-0005-0000-0000-0000CC2F0000}"/>
    <cellStyle name="Accent6 14 2" xfId="12633" xr:uid="{00000000-0005-0000-0000-0000CD2F0000}"/>
    <cellStyle name="Accent6 14 2 2" xfId="12634" xr:uid="{00000000-0005-0000-0000-0000CE2F0000}"/>
    <cellStyle name="Accent6 14 2 3" xfId="12635" xr:uid="{00000000-0005-0000-0000-0000CF2F0000}"/>
    <cellStyle name="Accent6 14 3" xfId="12636" xr:uid="{00000000-0005-0000-0000-0000D02F0000}"/>
    <cellStyle name="Accent6 14 3 2" xfId="12637" xr:uid="{00000000-0005-0000-0000-0000D12F0000}"/>
    <cellStyle name="Accent6 14 4" xfId="12638" xr:uid="{00000000-0005-0000-0000-0000D22F0000}"/>
    <cellStyle name="Accent6 14 5" xfId="12639" xr:uid="{00000000-0005-0000-0000-0000D32F0000}"/>
    <cellStyle name="Accent6 14 6" xfId="12640" xr:uid="{00000000-0005-0000-0000-0000D42F0000}"/>
    <cellStyle name="Accent6 140" xfId="12641" xr:uid="{00000000-0005-0000-0000-0000D52F0000}"/>
    <cellStyle name="Accent6 141" xfId="12642" xr:uid="{00000000-0005-0000-0000-0000D62F0000}"/>
    <cellStyle name="Accent6 142" xfId="12643" xr:uid="{00000000-0005-0000-0000-0000D72F0000}"/>
    <cellStyle name="Accent6 143" xfId="12644" xr:uid="{00000000-0005-0000-0000-0000D82F0000}"/>
    <cellStyle name="Accent6 144" xfId="12645" xr:uid="{00000000-0005-0000-0000-0000D92F0000}"/>
    <cellStyle name="Accent6 145" xfId="12646" xr:uid="{00000000-0005-0000-0000-0000DA2F0000}"/>
    <cellStyle name="Accent6 146" xfId="12647" xr:uid="{00000000-0005-0000-0000-0000DB2F0000}"/>
    <cellStyle name="Accent6 147" xfId="12648" xr:uid="{00000000-0005-0000-0000-0000DC2F0000}"/>
    <cellStyle name="Accent6 148" xfId="12649" xr:uid="{00000000-0005-0000-0000-0000DD2F0000}"/>
    <cellStyle name="Accent6 149" xfId="12650" xr:uid="{00000000-0005-0000-0000-0000DE2F0000}"/>
    <cellStyle name="Accent6 15" xfId="12651" xr:uid="{00000000-0005-0000-0000-0000DF2F0000}"/>
    <cellStyle name="Accent6 15 2" xfId="12652" xr:uid="{00000000-0005-0000-0000-0000E02F0000}"/>
    <cellStyle name="Accent6 15 2 2" xfId="12653" xr:uid="{00000000-0005-0000-0000-0000E12F0000}"/>
    <cellStyle name="Accent6 15 2 3" xfId="12654" xr:uid="{00000000-0005-0000-0000-0000E22F0000}"/>
    <cellStyle name="Accent6 15 3" xfId="12655" xr:uid="{00000000-0005-0000-0000-0000E32F0000}"/>
    <cellStyle name="Accent6 15 3 2" xfId="12656" xr:uid="{00000000-0005-0000-0000-0000E42F0000}"/>
    <cellStyle name="Accent6 15 4" xfId="12657" xr:uid="{00000000-0005-0000-0000-0000E52F0000}"/>
    <cellStyle name="Accent6 15 5" xfId="12658" xr:uid="{00000000-0005-0000-0000-0000E62F0000}"/>
    <cellStyle name="Accent6 15 6" xfId="12659" xr:uid="{00000000-0005-0000-0000-0000E72F0000}"/>
    <cellStyle name="Accent6 150" xfId="12660" xr:uid="{00000000-0005-0000-0000-0000E82F0000}"/>
    <cellStyle name="Accent6 151" xfId="12661" xr:uid="{00000000-0005-0000-0000-0000E92F0000}"/>
    <cellStyle name="Accent6 152" xfId="12662" xr:uid="{00000000-0005-0000-0000-0000EA2F0000}"/>
    <cellStyle name="Accent6 153" xfId="12663" xr:uid="{00000000-0005-0000-0000-0000EB2F0000}"/>
    <cellStyle name="Accent6 154" xfId="12664" xr:uid="{00000000-0005-0000-0000-0000EC2F0000}"/>
    <cellStyle name="Accent6 155" xfId="12665" xr:uid="{00000000-0005-0000-0000-0000ED2F0000}"/>
    <cellStyle name="Accent6 156" xfId="12666" xr:uid="{00000000-0005-0000-0000-0000EE2F0000}"/>
    <cellStyle name="Accent6 157" xfId="12667" xr:uid="{00000000-0005-0000-0000-0000EF2F0000}"/>
    <cellStyle name="Accent6 158" xfId="12668" xr:uid="{00000000-0005-0000-0000-0000F02F0000}"/>
    <cellStyle name="Accent6 159" xfId="12669" xr:uid="{00000000-0005-0000-0000-0000F12F0000}"/>
    <cellStyle name="Accent6 16" xfId="12670" xr:uid="{00000000-0005-0000-0000-0000F22F0000}"/>
    <cellStyle name="Accent6 16 2" xfId="12671" xr:uid="{00000000-0005-0000-0000-0000F32F0000}"/>
    <cellStyle name="Accent6 16 2 2" xfId="12672" xr:uid="{00000000-0005-0000-0000-0000F42F0000}"/>
    <cellStyle name="Accent6 16 2 3" xfId="12673" xr:uid="{00000000-0005-0000-0000-0000F52F0000}"/>
    <cellStyle name="Accent6 16 3" xfId="12674" xr:uid="{00000000-0005-0000-0000-0000F62F0000}"/>
    <cellStyle name="Accent6 16 3 2" xfId="12675" xr:uid="{00000000-0005-0000-0000-0000F72F0000}"/>
    <cellStyle name="Accent6 16 4" xfId="12676" xr:uid="{00000000-0005-0000-0000-0000F82F0000}"/>
    <cellStyle name="Accent6 16 5" xfId="12677" xr:uid="{00000000-0005-0000-0000-0000F92F0000}"/>
    <cellStyle name="Accent6 16 6" xfId="12678" xr:uid="{00000000-0005-0000-0000-0000FA2F0000}"/>
    <cellStyle name="Accent6 160" xfId="12679" xr:uid="{00000000-0005-0000-0000-0000FB2F0000}"/>
    <cellStyle name="Accent6 161" xfId="12680" xr:uid="{00000000-0005-0000-0000-0000FC2F0000}"/>
    <cellStyle name="Accent6 162" xfId="12681" xr:uid="{00000000-0005-0000-0000-0000FD2F0000}"/>
    <cellStyle name="Accent6 163" xfId="12682" xr:uid="{00000000-0005-0000-0000-0000FE2F0000}"/>
    <cellStyle name="Accent6 164" xfId="12683" xr:uid="{00000000-0005-0000-0000-0000FF2F0000}"/>
    <cellStyle name="Accent6 165" xfId="12684" xr:uid="{00000000-0005-0000-0000-000000300000}"/>
    <cellStyle name="Accent6 166" xfId="12685" xr:uid="{00000000-0005-0000-0000-000001300000}"/>
    <cellStyle name="Accent6 167" xfId="12686" xr:uid="{00000000-0005-0000-0000-000002300000}"/>
    <cellStyle name="Accent6 168" xfId="12687" xr:uid="{00000000-0005-0000-0000-000003300000}"/>
    <cellStyle name="Accent6 169" xfId="12688" xr:uid="{00000000-0005-0000-0000-000004300000}"/>
    <cellStyle name="Accent6 17" xfId="12689" xr:uid="{00000000-0005-0000-0000-000005300000}"/>
    <cellStyle name="Accent6 17 2" xfId="12690" xr:uid="{00000000-0005-0000-0000-000006300000}"/>
    <cellStyle name="Accent6 17 2 2" xfId="12691" xr:uid="{00000000-0005-0000-0000-000007300000}"/>
    <cellStyle name="Accent6 17 2 3" xfId="12692" xr:uid="{00000000-0005-0000-0000-000008300000}"/>
    <cellStyle name="Accent6 17 3" xfId="12693" xr:uid="{00000000-0005-0000-0000-000009300000}"/>
    <cellStyle name="Accent6 17 3 2" xfId="12694" xr:uid="{00000000-0005-0000-0000-00000A300000}"/>
    <cellStyle name="Accent6 17 4" xfId="12695" xr:uid="{00000000-0005-0000-0000-00000B300000}"/>
    <cellStyle name="Accent6 17 5" xfId="12696" xr:uid="{00000000-0005-0000-0000-00000C300000}"/>
    <cellStyle name="Accent6 17 6" xfId="12697" xr:uid="{00000000-0005-0000-0000-00000D300000}"/>
    <cellStyle name="Accent6 170" xfId="12698" xr:uid="{00000000-0005-0000-0000-00000E300000}"/>
    <cellStyle name="Accent6 171" xfId="12699" xr:uid="{00000000-0005-0000-0000-00000F300000}"/>
    <cellStyle name="Accent6 172" xfId="12700" xr:uid="{00000000-0005-0000-0000-000010300000}"/>
    <cellStyle name="Accent6 173" xfId="12701" xr:uid="{00000000-0005-0000-0000-000011300000}"/>
    <cellStyle name="Accent6 174" xfId="12702" xr:uid="{00000000-0005-0000-0000-000012300000}"/>
    <cellStyle name="Accent6 175" xfId="12703" xr:uid="{00000000-0005-0000-0000-000013300000}"/>
    <cellStyle name="Accent6 176" xfId="12704" xr:uid="{00000000-0005-0000-0000-000014300000}"/>
    <cellStyle name="Accent6 177" xfId="12705" xr:uid="{00000000-0005-0000-0000-000015300000}"/>
    <cellStyle name="Accent6 178" xfId="12706" xr:uid="{00000000-0005-0000-0000-000016300000}"/>
    <cellStyle name="Accent6 179" xfId="12707" xr:uid="{00000000-0005-0000-0000-000017300000}"/>
    <cellStyle name="Accent6 18" xfId="12708" xr:uid="{00000000-0005-0000-0000-000018300000}"/>
    <cellStyle name="Accent6 18 2" xfId="12709" xr:uid="{00000000-0005-0000-0000-000019300000}"/>
    <cellStyle name="Accent6 18 2 2" xfId="12710" xr:uid="{00000000-0005-0000-0000-00001A300000}"/>
    <cellStyle name="Accent6 18 2 3" xfId="12711" xr:uid="{00000000-0005-0000-0000-00001B300000}"/>
    <cellStyle name="Accent6 18 3" xfId="12712" xr:uid="{00000000-0005-0000-0000-00001C300000}"/>
    <cellStyle name="Accent6 18 3 2" xfId="12713" xr:uid="{00000000-0005-0000-0000-00001D300000}"/>
    <cellStyle name="Accent6 18 4" xfId="12714" xr:uid="{00000000-0005-0000-0000-00001E300000}"/>
    <cellStyle name="Accent6 18 5" xfId="12715" xr:uid="{00000000-0005-0000-0000-00001F300000}"/>
    <cellStyle name="Accent6 180" xfId="12716" xr:uid="{00000000-0005-0000-0000-000020300000}"/>
    <cellStyle name="Accent6 181" xfId="12717" xr:uid="{00000000-0005-0000-0000-000021300000}"/>
    <cellStyle name="Accent6 182" xfId="12718" xr:uid="{00000000-0005-0000-0000-000022300000}"/>
    <cellStyle name="Accent6 183" xfId="12719" xr:uid="{00000000-0005-0000-0000-000023300000}"/>
    <cellStyle name="Accent6 184" xfId="12720" xr:uid="{00000000-0005-0000-0000-000024300000}"/>
    <cellStyle name="Accent6 185" xfId="12721" xr:uid="{00000000-0005-0000-0000-000025300000}"/>
    <cellStyle name="Accent6 186" xfId="12722" xr:uid="{00000000-0005-0000-0000-000026300000}"/>
    <cellStyle name="Accent6 187" xfId="12723" xr:uid="{00000000-0005-0000-0000-000027300000}"/>
    <cellStyle name="Accent6 188" xfId="12724" xr:uid="{00000000-0005-0000-0000-000028300000}"/>
    <cellStyle name="Accent6 189" xfId="12725" xr:uid="{00000000-0005-0000-0000-000029300000}"/>
    <cellStyle name="Accent6 19" xfId="12726" xr:uid="{00000000-0005-0000-0000-00002A300000}"/>
    <cellStyle name="Accent6 19 2" xfId="12727" xr:uid="{00000000-0005-0000-0000-00002B300000}"/>
    <cellStyle name="Accent6 19 2 2" xfId="12728" xr:uid="{00000000-0005-0000-0000-00002C300000}"/>
    <cellStyle name="Accent6 19 2 3" xfId="12729" xr:uid="{00000000-0005-0000-0000-00002D300000}"/>
    <cellStyle name="Accent6 19 3" xfId="12730" xr:uid="{00000000-0005-0000-0000-00002E300000}"/>
    <cellStyle name="Accent6 19 3 2" xfId="12731" xr:uid="{00000000-0005-0000-0000-00002F300000}"/>
    <cellStyle name="Accent6 19 4" xfId="12732" xr:uid="{00000000-0005-0000-0000-000030300000}"/>
    <cellStyle name="Accent6 19 5" xfId="12733" xr:uid="{00000000-0005-0000-0000-000031300000}"/>
    <cellStyle name="Accent6 2" xfId="12734" xr:uid="{00000000-0005-0000-0000-000032300000}"/>
    <cellStyle name="Accent6 2 10" xfId="12735" xr:uid="{00000000-0005-0000-0000-000033300000}"/>
    <cellStyle name="Accent6 2 11" xfId="12736" xr:uid="{00000000-0005-0000-0000-000034300000}"/>
    <cellStyle name="Accent6 2 2" xfId="12737" xr:uid="{00000000-0005-0000-0000-000035300000}"/>
    <cellStyle name="Accent6 2 2 2" xfId="12738" xr:uid="{00000000-0005-0000-0000-000036300000}"/>
    <cellStyle name="Accent6 2 2 2 2" xfId="12739" xr:uid="{00000000-0005-0000-0000-000037300000}"/>
    <cellStyle name="Accent6 2 2 2 3" xfId="12740" xr:uid="{00000000-0005-0000-0000-000038300000}"/>
    <cellStyle name="Accent6 2 2 2 4" xfId="12741" xr:uid="{00000000-0005-0000-0000-000039300000}"/>
    <cellStyle name="Accent6 2 2 3" xfId="12742" xr:uid="{00000000-0005-0000-0000-00003A300000}"/>
    <cellStyle name="Accent6 2 2 4" xfId="12743" xr:uid="{00000000-0005-0000-0000-00003B300000}"/>
    <cellStyle name="Accent6 2 2 5" xfId="12744" xr:uid="{00000000-0005-0000-0000-00003C300000}"/>
    <cellStyle name="Accent6 2 2 6" xfId="12745" xr:uid="{00000000-0005-0000-0000-00003D300000}"/>
    <cellStyle name="Accent6 2 3" xfId="12746" xr:uid="{00000000-0005-0000-0000-00003E300000}"/>
    <cellStyle name="Accent6 2 3 2" xfId="12747" xr:uid="{00000000-0005-0000-0000-00003F300000}"/>
    <cellStyle name="Accent6 2 3 3" xfId="12748" xr:uid="{00000000-0005-0000-0000-000040300000}"/>
    <cellStyle name="Accent6 2 3 4" xfId="12749" xr:uid="{00000000-0005-0000-0000-000041300000}"/>
    <cellStyle name="Accent6 2 3 5" xfId="12750" xr:uid="{00000000-0005-0000-0000-000042300000}"/>
    <cellStyle name="Accent6 2 4" xfId="12751" xr:uid="{00000000-0005-0000-0000-000043300000}"/>
    <cellStyle name="Accent6 2 4 2" xfId="12752" xr:uid="{00000000-0005-0000-0000-000044300000}"/>
    <cellStyle name="Accent6 2 4 3" xfId="12753" xr:uid="{00000000-0005-0000-0000-000045300000}"/>
    <cellStyle name="Accent6 2 5" xfId="12754" xr:uid="{00000000-0005-0000-0000-000046300000}"/>
    <cellStyle name="Accent6 2 5 2" xfId="12755" xr:uid="{00000000-0005-0000-0000-000047300000}"/>
    <cellStyle name="Accent6 2 6" xfId="12756" xr:uid="{00000000-0005-0000-0000-000048300000}"/>
    <cellStyle name="Accent6 2 6 2" xfId="12757" xr:uid="{00000000-0005-0000-0000-000049300000}"/>
    <cellStyle name="Accent6 2 7" xfId="12758" xr:uid="{00000000-0005-0000-0000-00004A300000}"/>
    <cellStyle name="Accent6 2 7 2" xfId="12759" xr:uid="{00000000-0005-0000-0000-00004B300000}"/>
    <cellStyle name="Accent6 2 8" xfId="12760" xr:uid="{00000000-0005-0000-0000-00004C300000}"/>
    <cellStyle name="Accent6 2 9" xfId="12761" xr:uid="{00000000-0005-0000-0000-00004D300000}"/>
    <cellStyle name="Accent6 20" xfId="12762" xr:uid="{00000000-0005-0000-0000-00004E300000}"/>
    <cellStyle name="Accent6 20 2" xfId="12763" xr:uid="{00000000-0005-0000-0000-00004F300000}"/>
    <cellStyle name="Accent6 20 2 2" xfId="12764" xr:uid="{00000000-0005-0000-0000-000050300000}"/>
    <cellStyle name="Accent6 20 2 3" xfId="12765" xr:uid="{00000000-0005-0000-0000-000051300000}"/>
    <cellStyle name="Accent6 20 3" xfId="12766" xr:uid="{00000000-0005-0000-0000-000052300000}"/>
    <cellStyle name="Accent6 20 3 2" xfId="12767" xr:uid="{00000000-0005-0000-0000-000053300000}"/>
    <cellStyle name="Accent6 20 4" xfId="12768" xr:uid="{00000000-0005-0000-0000-000054300000}"/>
    <cellStyle name="Accent6 20 5" xfId="12769" xr:uid="{00000000-0005-0000-0000-000055300000}"/>
    <cellStyle name="Accent6 20 6" xfId="12770" xr:uid="{00000000-0005-0000-0000-000056300000}"/>
    <cellStyle name="Accent6 21" xfId="12771" xr:uid="{00000000-0005-0000-0000-000057300000}"/>
    <cellStyle name="Accent6 21 2" xfId="12772" xr:uid="{00000000-0005-0000-0000-000058300000}"/>
    <cellStyle name="Accent6 21 2 2" xfId="12773" xr:uid="{00000000-0005-0000-0000-000059300000}"/>
    <cellStyle name="Accent6 21 2 3" xfId="12774" xr:uid="{00000000-0005-0000-0000-00005A300000}"/>
    <cellStyle name="Accent6 21 3" xfId="12775" xr:uid="{00000000-0005-0000-0000-00005B300000}"/>
    <cellStyle name="Accent6 21 3 2" xfId="12776" xr:uid="{00000000-0005-0000-0000-00005C300000}"/>
    <cellStyle name="Accent6 21 4" xfId="12777" xr:uid="{00000000-0005-0000-0000-00005D300000}"/>
    <cellStyle name="Accent6 21 5" xfId="12778" xr:uid="{00000000-0005-0000-0000-00005E300000}"/>
    <cellStyle name="Accent6 21 6" xfId="12779" xr:uid="{00000000-0005-0000-0000-00005F300000}"/>
    <cellStyle name="Accent6 22" xfId="12780" xr:uid="{00000000-0005-0000-0000-000060300000}"/>
    <cellStyle name="Accent6 22 2" xfId="12781" xr:uid="{00000000-0005-0000-0000-000061300000}"/>
    <cellStyle name="Accent6 22 2 2" xfId="12782" xr:uid="{00000000-0005-0000-0000-000062300000}"/>
    <cellStyle name="Accent6 22 2 3" xfId="12783" xr:uid="{00000000-0005-0000-0000-000063300000}"/>
    <cellStyle name="Accent6 22 3" xfId="12784" xr:uid="{00000000-0005-0000-0000-000064300000}"/>
    <cellStyle name="Accent6 22 3 2" xfId="12785" xr:uid="{00000000-0005-0000-0000-000065300000}"/>
    <cellStyle name="Accent6 22 4" xfId="12786" xr:uid="{00000000-0005-0000-0000-000066300000}"/>
    <cellStyle name="Accent6 22 5" xfId="12787" xr:uid="{00000000-0005-0000-0000-000067300000}"/>
    <cellStyle name="Accent6 22 6" xfId="12788" xr:uid="{00000000-0005-0000-0000-000068300000}"/>
    <cellStyle name="Accent6 23" xfId="12789" xr:uid="{00000000-0005-0000-0000-000069300000}"/>
    <cellStyle name="Accent6 23 2" xfId="12790" xr:uid="{00000000-0005-0000-0000-00006A300000}"/>
    <cellStyle name="Accent6 23 2 2" xfId="12791" xr:uid="{00000000-0005-0000-0000-00006B300000}"/>
    <cellStyle name="Accent6 23 2 3" xfId="12792" xr:uid="{00000000-0005-0000-0000-00006C300000}"/>
    <cellStyle name="Accent6 23 3" xfId="12793" xr:uid="{00000000-0005-0000-0000-00006D300000}"/>
    <cellStyle name="Accent6 23 3 2" xfId="12794" xr:uid="{00000000-0005-0000-0000-00006E300000}"/>
    <cellStyle name="Accent6 23 4" xfId="12795" xr:uid="{00000000-0005-0000-0000-00006F300000}"/>
    <cellStyle name="Accent6 23 5" xfId="12796" xr:uid="{00000000-0005-0000-0000-000070300000}"/>
    <cellStyle name="Accent6 23 6" xfId="12797" xr:uid="{00000000-0005-0000-0000-000071300000}"/>
    <cellStyle name="Accent6 24" xfId="12798" xr:uid="{00000000-0005-0000-0000-000072300000}"/>
    <cellStyle name="Accent6 24 2" xfId="12799" xr:uid="{00000000-0005-0000-0000-000073300000}"/>
    <cellStyle name="Accent6 24 2 2" xfId="12800" xr:uid="{00000000-0005-0000-0000-000074300000}"/>
    <cellStyle name="Accent6 24 2 3" xfId="12801" xr:uid="{00000000-0005-0000-0000-000075300000}"/>
    <cellStyle name="Accent6 24 3" xfId="12802" xr:uid="{00000000-0005-0000-0000-000076300000}"/>
    <cellStyle name="Accent6 24 3 2" xfId="12803" xr:uid="{00000000-0005-0000-0000-000077300000}"/>
    <cellStyle name="Accent6 24 4" xfId="12804" xr:uid="{00000000-0005-0000-0000-000078300000}"/>
    <cellStyle name="Accent6 24 5" xfId="12805" xr:uid="{00000000-0005-0000-0000-000079300000}"/>
    <cellStyle name="Accent6 24 6" xfId="12806" xr:uid="{00000000-0005-0000-0000-00007A300000}"/>
    <cellStyle name="Accent6 25" xfId="12807" xr:uid="{00000000-0005-0000-0000-00007B300000}"/>
    <cellStyle name="Accent6 25 2" xfId="12808" xr:uid="{00000000-0005-0000-0000-00007C300000}"/>
    <cellStyle name="Accent6 25 2 2" xfId="12809" xr:uid="{00000000-0005-0000-0000-00007D300000}"/>
    <cellStyle name="Accent6 25 2 3" xfId="12810" xr:uid="{00000000-0005-0000-0000-00007E300000}"/>
    <cellStyle name="Accent6 25 3" xfId="12811" xr:uid="{00000000-0005-0000-0000-00007F300000}"/>
    <cellStyle name="Accent6 25 3 2" xfId="12812" xr:uid="{00000000-0005-0000-0000-000080300000}"/>
    <cellStyle name="Accent6 25 4" xfId="12813" xr:uid="{00000000-0005-0000-0000-000081300000}"/>
    <cellStyle name="Accent6 25 5" xfId="12814" xr:uid="{00000000-0005-0000-0000-000082300000}"/>
    <cellStyle name="Accent6 25 6" xfId="12815" xr:uid="{00000000-0005-0000-0000-000083300000}"/>
    <cellStyle name="Accent6 26" xfId="12816" xr:uid="{00000000-0005-0000-0000-000084300000}"/>
    <cellStyle name="Accent6 26 2" xfId="12817" xr:uid="{00000000-0005-0000-0000-000085300000}"/>
    <cellStyle name="Accent6 26 2 2" xfId="12818" xr:uid="{00000000-0005-0000-0000-000086300000}"/>
    <cellStyle name="Accent6 26 2 3" xfId="12819" xr:uid="{00000000-0005-0000-0000-000087300000}"/>
    <cellStyle name="Accent6 26 3" xfId="12820" xr:uid="{00000000-0005-0000-0000-000088300000}"/>
    <cellStyle name="Accent6 26 3 2" xfId="12821" xr:uid="{00000000-0005-0000-0000-000089300000}"/>
    <cellStyle name="Accent6 26 4" xfId="12822" xr:uid="{00000000-0005-0000-0000-00008A300000}"/>
    <cellStyle name="Accent6 26 5" xfId="12823" xr:uid="{00000000-0005-0000-0000-00008B300000}"/>
    <cellStyle name="Accent6 26 6" xfId="12824" xr:uid="{00000000-0005-0000-0000-00008C300000}"/>
    <cellStyle name="Accent6 27" xfId="12825" xr:uid="{00000000-0005-0000-0000-00008D300000}"/>
    <cellStyle name="Accent6 27 2" xfId="12826" xr:uid="{00000000-0005-0000-0000-00008E300000}"/>
    <cellStyle name="Accent6 27 2 2" xfId="12827" xr:uid="{00000000-0005-0000-0000-00008F300000}"/>
    <cellStyle name="Accent6 27 2 3" xfId="12828" xr:uid="{00000000-0005-0000-0000-000090300000}"/>
    <cellStyle name="Accent6 27 3" xfId="12829" xr:uid="{00000000-0005-0000-0000-000091300000}"/>
    <cellStyle name="Accent6 27 3 2" xfId="12830" xr:uid="{00000000-0005-0000-0000-000092300000}"/>
    <cellStyle name="Accent6 27 4" xfId="12831" xr:uid="{00000000-0005-0000-0000-000093300000}"/>
    <cellStyle name="Accent6 27 5" xfId="12832" xr:uid="{00000000-0005-0000-0000-000094300000}"/>
    <cellStyle name="Accent6 27 6" xfId="12833" xr:uid="{00000000-0005-0000-0000-000095300000}"/>
    <cellStyle name="Accent6 28" xfId="12834" xr:uid="{00000000-0005-0000-0000-000096300000}"/>
    <cellStyle name="Accent6 28 2" xfId="12835" xr:uid="{00000000-0005-0000-0000-000097300000}"/>
    <cellStyle name="Accent6 28 2 2" xfId="12836" xr:uid="{00000000-0005-0000-0000-000098300000}"/>
    <cellStyle name="Accent6 28 2 3" xfId="12837" xr:uid="{00000000-0005-0000-0000-000099300000}"/>
    <cellStyle name="Accent6 28 3" xfId="12838" xr:uid="{00000000-0005-0000-0000-00009A300000}"/>
    <cellStyle name="Accent6 28 3 2" xfId="12839" xr:uid="{00000000-0005-0000-0000-00009B300000}"/>
    <cellStyle name="Accent6 28 4" xfId="12840" xr:uid="{00000000-0005-0000-0000-00009C300000}"/>
    <cellStyle name="Accent6 28 5" xfId="12841" xr:uid="{00000000-0005-0000-0000-00009D300000}"/>
    <cellStyle name="Accent6 28 6" xfId="12842" xr:uid="{00000000-0005-0000-0000-00009E300000}"/>
    <cellStyle name="Accent6 29" xfId="12843" xr:uid="{00000000-0005-0000-0000-00009F300000}"/>
    <cellStyle name="Accent6 29 2" xfId="12844" xr:uid="{00000000-0005-0000-0000-0000A0300000}"/>
    <cellStyle name="Accent6 29 2 2" xfId="12845" xr:uid="{00000000-0005-0000-0000-0000A1300000}"/>
    <cellStyle name="Accent6 29 2 3" xfId="12846" xr:uid="{00000000-0005-0000-0000-0000A2300000}"/>
    <cellStyle name="Accent6 29 3" xfId="12847" xr:uid="{00000000-0005-0000-0000-0000A3300000}"/>
    <cellStyle name="Accent6 29 3 2" xfId="12848" xr:uid="{00000000-0005-0000-0000-0000A4300000}"/>
    <cellStyle name="Accent6 29 4" xfId="12849" xr:uid="{00000000-0005-0000-0000-0000A5300000}"/>
    <cellStyle name="Accent6 29 5" xfId="12850" xr:uid="{00000000-0005-0000-0000-0000A6300000}"/>
    <cellStyle name="Accent6 29 6" xfId="12851" xr:uid="{00000000-0005-0000-0000-0000A7300000}"/>
    <cellStyle name="Accent6 3" xfId="12852" xr:uid="{00000000-0005-0000-0000-0000A8300000}"/>
    <cellStyle name="Accent6 3 2" xfId="12853" xr:uid="{00000000-0005-0000-0000-0000A9300000}"/>
    <cellStyle name="Accent6 3 2 2" xfId="12854" xr:uid="{00000000-0005-0000-0000-0000AA300000}"/>
    <cellStyle name="Accent6 3 2 2 2" xfId="12855" xr:uid="{00000000-0005-0000-0000-0000AB300000}"/>
    <cellStyle name="Accent6 3 2 3" xfId="12856" xr:uid="{00000000-0005-0000-0000-0000AC300000}"/>
    <cellStyle name="Accent6 3 2 3 2" xfId="12857" xr:uid="{00000000-0005-0000-0000-0000AD300000}"/>
    <cellStyle name="Accent6 3 2 4" xfId="12858" xr:uid="{00000000-0005-0000-0000-0000AE300000}"/>
    <cellStyle name="Accent6 3 3" xfId="12859" xr:uid="{00000000-0005-0000-0000-0000AF300000}"/>
    <cellStyle name="Accent6 3 3 2" xfId="12860" xr:uid="{00000000-0005-0000-0000-0000B0300000}"/>
    <cellStyle name="Accent6 3 3 3" xfId="12861" xr:uid="{00000000-0005-0000-0000-0000B1300000}"/>
    <cellStyle name="Accent6 3 4" xfId="12862" xr:uid="{00000000-0005-0000-0000-0000B2300000}"/>
    <cellStyle name="Accent6 3 4 2" xfId="12863" xr:uid="{00000000-0005-0000-0000-0000B3300000}"/>
    <cellStyle name="Accent6 3 5" xfId="12864" xr:uid="{00000000-0005-0000-0000-0000B4300000}"/>
    <cellStyle name="Accent6 3 6" xfId="12865" xr:uid="{00000000-0005-0000-0000-0000B5300000}"/>
    <cellStyle name="Accent6 3 7" xfId="12866" xr:uid="{00000000-0005-0000-0000-0000B6300000}"/>
    <cellStyle name="Accent6 3 8" xfId="12867" xr:uid="{00000000-0005-0000-0000-0000B7300000}"/>
    <cellStyle name="Accent6 3 9" xfId="12868" xr:uid="{00000000-0005-0000-0000-0000B8300000}"/>
    <cellStyle name="Accent6 30" xfId="12869" xr:uid="{00000000-0005-0000-0000-0000B9300000}"/>
    <cellStyle name="Accent6 30 2" xfId="12870" xr:uid="{00000000-0005-0000-0000-0000BA300000}"/>
    <cellStyle name="Accent6 30 2 2" xfId="12871" xr:uid="{00000000-0005-0000-0000-0000BB300000}"/>
    <cellStyle name="Accent6 30 2 3" xfId="12872" xr:uid="{00000000-0005-0000-0000-0000BC300000}"/>
    <cellStyle name="Accent6 30 3" xfId="12873" xr:uid="{00000000-0005-0000-0000-0000BD300000}"/>
    <cellStyle name="Accent6 30 3 2" xfId="12874" xr:uid="{00000000-0005-0000-0000-0000BE300000}"/>
    <cellStyle name="Accent6 30 4" xfId="12875" xr:uid="{00000000-0005-0000-0000-0000BF300000}"/>
    <cellStyle name="Accent6 30 5" xfId="12876" xr:uid="{00000000-0005-0000-0000-0000C0300000}"/>
    <cellStyle name="Accent6 30 6" xfId="12877" xr:uid="{00000000-0005-0000-0000-0000C1300000}"/>
    <cellStyle name="Accent6 31" xfId="12878" xr:uid="{00000000-0005-0000-0000-0000C2300000}"/>
    <cellStyle name="Accent6 31 2" xfId="12879" xr:uid="{00000000-0005-0000-0000-0000C3300000}"/>
    <cellStyle name="Accent6 31 2 2" xfId="12880" xr:uid="{00000000-0005-0000-0000-0000C4300000}"/>
    <cellStyle name="Accent6 31 2 3" xfId="12881" xr:uid="{00000000-0005-0000-0000-0000C5300000}"/>
    <cellStyle name="Accent6 31 3" xfId="12882" xr:uid="{00000000-0005-0000-0000-0000C6300000}"/>
    <cellStyle name="Accent6 31 3 2" xfId="12883" xr:uid="{00000000-0005-0000-0000-0000C7300000}"/>
    <cellStyle name="Accent6 31 4" xfId="12884" xr:uid="{00000000-0005-0000-0000-0000C8300000}"/>
    <cellStyle name="Accent6 31 5" xfId="12885" xr:uid="{00000000-0005-0000-0000-0000C9300000}"/>
    <cellStyle name="Accent6 31 6" xfId="12886" xr:uid="{00000000-0005-0000-0000-0000CA300000}"/>
    <cellStyle name="Accent6 32" xfId="12887" xr:uid="{00000000-0005-0000-0000-0000CB300000}"/>
    <cellStyle name="Accent6 32 2" xfId="12888" xr:uid="{00000000-0005-0000-0000-0000CC300000}"/>
    <cellStyle name="Accent6 32 2 2" xfId="12889" xr:uid="{00000000-0005-0000-0000-0000CD300000}"/>
    <cellStyle name="Accent6 32 2 3" xfId="12890" xr:uid="{00000000-0005-0000-0000-0000CE300000}"/>
    <cellStyle name="Accent6 32 3" xfId="12891" xr:uid="{00000000-0005-0000-0000-0000CF300000}"/>
    <cellStyle name="Accent6 32 3 2" xfId="12892" xr:uid="{00000000-0005-0000-0000-0000D0300000}"/>
    <cellStyle name="Accent6 32 4" xfId="12893" xr:uid="{00000000-0005-0000-0000-0000D1300000}"/>
    <cellStyle name="Accent6 32 5" xfId="12894" xr:uid="{00000000-0005-0000-0000-0000D2300000}"/>
    <cellStyle name="Accent6 32 6" xfId="12895" xr:uid="{00000000-0005-0000-0000-0000D3300000}"/>
    <cellStyle name="Accent6 33" xfId="12896" xr:uid="{00000000-0005-0000-0000-0000D4300000}"/>
    <cellStyle name="Accent6 33 2" xfId="12897" xr:uid="{00000000-0005-0000-0000-0000D5300000}"/>
    <cellStyle name="Accent6 33 2 2" xfId="12898" xr:uid="{00000000-0005-0000-0000-0000D6300000}"/>
    <cellStyle name="Accent6 33 2 3" xfId="12899" xr:uid="{00000000-0005-0000-0000-0000D7300000}"/>
    <cellStyle name="Accent6 33 3" xfId="12900" xr:uid="{00000000-0005-0000-0000-0000D8300000}"/>
    <cellStyle name="Accent6 33 3 2" xfId="12901" xr:uid="{00000000-0005-0000-0000-0000D9300000}"/>
    <cellStyle name="Accent6 33 4" xfId="12902" xr:uid="{00000000-0005-0000-0000-0000DA300000}"/>
    <cellStyle name="Accent6 33 5" xfId="12903" xr:uid="{00000000-0005-0000-0000-0000DB300000}"/>
    <cellStyle name="Accent6 33 6" xfId="12904" xr:uid="{00000000-0005-0000-0000-0000DC300000}"/>
    <cellStyle name="Accent6 34" xfId="12905" xr:uid="{00000000-0005-0000-0000-0000DD300000}"/>
    <cellStyle name="Accent6 34 2" xfId="12906" xr:uid="{00000000-0005-0000-0000-0000DE300000}"/>
    <cellStyle name="Accent6 34 2 2" xfId="12907" xr:uid="{00000000-0005-0000-0000-0000DF300000}"/>
    <cellStyle name="Accent6 34 2 3" xfId="12908" xr:uid="{00000000-0005-0000-0000-0000E0300000}"/>
    <cellStyle name="Accent6 34 3" xfId="12909" xr:uid="{00000000-0005-0000-0000-0000E1300000}"/>
    <cellStyle name="Accent6 34 3 2" xfId="12910" xr:uid="{00000000-0005-0000-0000-0000E2300000}"/>
    <cellStyle name="Accent6 34 4" xfId="12911" xr:uid="{00000000-0005-0000-0000-0000E3300000}"/>
    <cellStyle name="Accent6 34 5" xfId="12912" xr:uid="{00000000-0005-0000-0000-0000E4300000}"/>
    <cellStyle name="Accent6 34 6" xfId="12913" xr:uid="{00000000-0005-0000-0000-0000E5300000}"/>
    <cellStyle name="Accent6 35" xfId="12914" xr:uid="{00000000-0005-0000-0000-0000E6300000}"/>
    <cellStyle name="Accent6 35 2" xfId="12915" xr:uid="{00000000-0005-0000-0000-0000E7300000}"/>
    <cellStyle name="Accent6 35 2 2" xfId="12916" xr:uid="{00000000-0005-0000-0000-0000E8300000}"/>
    <cellStyle name="Accent6 35 2 3" xfId="12917" xr:uid="{00000000-0005-0000-0000-0000E9300000}"/>
    <cellStyle name="Accent6 35 3" xfId="12918" xr:uid="{00000000-0005-0000-0000-0000EA300000}"/>
    <cellStyle name="Accent6 35 3 2" xfId="12919" xr:uid="{00000000-0005-0000-0000-0000EB300000}"/>
    <cellStyle name="Accent6 35 4" xfId="12920" xr:uid="{00000000-0005-0000-0000-0000EC300000}"/>
    <cellStyle name="Accent6 35 4 2" xfId="12921" xr:uid="{00000000-0005-0000-0000-0000ED300000}"/>
    <cellStyle name="Accent6 35 5" xfId="12922" xr:uid="{00000000-0005-0000-0000-0000EE300000}"/>
    <cellStyle name="Accent6 36" xfId="12923" xr:uid="{00000000-0005-0000-0000-0000EF300000}"/>
    <cellStyle name="Accent6 36 2" xfId="12924" xr:uid="{00000000-0005-0000-0000-0000F0300000}"/>
    <cellStyle name="Accent6 36 2 2" xfId="12925" xr:uid="{00000000-0005-0000-0000-0000F1300000}"/>
    <cellStyle name="Accent6 36 2 3" xfId="12926" xr:uid="{00000000-0005-0000-0000-0000F2300000}"/>
    <cellStyle name="Accent6 36 3" xfId="12927" xr:uid="{00000000-0005-0000-0000-0000F3300000}"/>
    <cellStyle name="Accent6 36 3 2" xfId="12928" xr:uid="{00000000-0005-0000-0000-0000F4300000}"/>
    <cellStyle name="Accent6 36 4" xfId="12929" xr:uid="{00000000-0005-0000-0000-0000F5300000}"/>
    <cellStyle name="Accent6 36 4 2" xfId="12930" xr:uid="{00000000-0005-0000-0000-0000F6300000}"/>
    <cellStyle name="Accent6 36 5" xfId="12931" xr:uid="{00000000-0005-0000-0000-0000F7300000}"/>
    <cellStyle name="Accent6 37" xfId="12932" xr:uid="{00000000-0005-0000-0000-0000F8300000}"/>
    <cellStyle name="Accent6 37 2" xfId="12933" xr:uid="{00000000-0005-0000-0000-0000F9300000}"/>
    <cellStyle name="Accent6 37 2 2" xfId="12934" xr:uid="{00000000-0005-0000-0000-0000FA300000}"/>
    <cellStyle name="Accent6 37 2 3" xfId="12935" xr:uid="{00000000-0005-0000-0000-0000FB300000}"/>
    <cellStyle name="Accent6 37 3" xfId="12936" xr:uid="{00000000-0005-0000-0000-0000FC300000}"/>
    <cellStyle name="Accent6 37 3 2" xfId="12937" xr:uid="{00000000-0005-0000-0000-0000FD300000}"/>
    <cellStyle name="Accent6 37 4" xfId="12938" xr:uid="{00000000-0005-0000-0000-0000FE300000}"/>
    <cellStyle name="Accent6 37 5" xfId="12939" xr:uid="{00000000-0005-0000-0000-0000FF300000}"/>
    <cellStyle name="Accent6 38" xfId="12940" xr:uid="{00000000-0005-0000-0000-000000310000}"/>
    <cellStyle name="Accent6 38 2" xfId="12941" xr:uid="{00000000-0005-0000-0000-000001310000}"/>
    <cellStyle name="Accent6 38 2 2" xfId="12942" xr:uid="{00000000-0005-0000-0000-000002310000}"/>
    <cellStyle name="Accent6 38 2 3" xfId="12943" xr:uid="{00000000-0005-0000-0000-000003310000}"/>
    <cellStyle name="Accent6 38 3" xfId="12944" xr:uid="{00000000-0005-0000-0000-000004310000}"/>
    <cellStyle name="Accent6 38 3 2" xfId="12945" xr:uid="{00000000-0005-0000-0000-000005310000}"/>
    <cellStyle name="Accent6 38 4" xfId="12946" xr:uid="{00000000-0005-0000-0000-000006310000}"/>
    <cellStyle name="Accent6 38 5" xfId="12947" xr:uid="{00000000-0005-0000-0000-000007310000}"/>
    <cellStyle name="Accent6 39" xfId="12948" xr:uid="{00000000-0005-0000-0000-000008310000}"/>
    <cellStyle name="Accent6 39 2" xfId="12949" xr:uid="{00000000-0005-0000-0000-000009310000}"/>
    <cellStyle name="Accent6 39 2 2" xfId="12950" xr:uid="{00000000-0005-0000-0000-00000A310000}"/>
    <cellStyle name="Accent6 39 2 3" xfId="12951" xr:uid="{00000000-0005-0000-0000-00000B310000}"/>
    <cellStyle name="Accent6 39 3" xfId="12952" xr:uid="{00000000-0005-0000-0000-00000C310000}"/>
    <cellStyle name="Accent6 39 3 2" xfId="12953" xr:uid="{00000000-0005-0000-0000-00000D310000}"/>
    <cellStyle name="Accent6 39 4" xfId="12954" xr:uid="{00000000-0005-0000-0000-00000E310000}"/>
    <cellStyle name="Accent6 39 5" xfId="12955" xr:uid="{00000000-0005-0000-0000-00000F310000}"/>
    <cellStyle name="Accent6 39 6" xfId="12956" xr:uid="{00000000-0005-0000-0000-000010310000}"/>
    <cellStyle name="Accent6 4" xfId="12957" xr:uid="{00000000-0005-0000-0000-000011310000}"/>
    <cellStyle name="Accent6 4 2" xfId="12958" xr:uid="{00000000-0005-0000-0000-000012310000}"/>
    <cellStyle name="Accent6 4 2 2" xfId="12959" xr:uid="{00000000-0005-0000-0000-000013310000}"/>
    <cellStyle name="Accent6 4 2 2 2" xfId="12960" xr:uid="{00000000-0005-0000-0000-000014310000}"/>
    <cellStyle name="Accent6 4 2 3" xfId="12961" xr:uid="{00000000-0005-0000-0000-000015310000}"/>
    <cellStyle name="Accent6 4 2 4" xfId="12962" xr:uid="{00000000-0005-0000-0000-000016310000}"/>
    <cellStyle name="Accent6 4 3" xfId="12963" xr:uid="{00000000-0005-0000-0000-000017310000}"/>
    <cellStyle name="Accent6 4 3 2" xfId="12964" xr:uid="{00000000-0005-0000-0000-000018310000}"/>
    <cellStyle name="Accent6 4 3 3" xfId="12965" xr:uid="{00000000-0005-0000-0000-000019310000}"/>
    <cellStyle name="Accent6 4 4" xfId="12966" xr:uid="{00000000-0005-0000-0000-00001A310000}"/>
    <cellStyle name="Accent6 4 4 2" xfId="12967" xr:uid="{00000000-0005-0000-0000-00001B310000}"/>
    <cellStyle name="Accent6 4 4 3" xfId="12968" xr:uid="{00000000-0005-0000-0000-00001C310000}"/>
    <cellStyle name="Accent6 4 5" xfId="12969" xr:uid="{00000000-0005-0000-0000-00001D310000}"/>
    <cellStyle name="Accent6 4 6" xfId="12970" xr:uid="{00000000-0005-0000-0000-00001E310000}"/>
    <cellStyle name="Accent6 4 7" xfId="12971" xr:uid="{00000000-0005-0000-0000-00001F310000}"/>
    <cellStyle name="Accent6 4 8" xfId="12972" xr:uid="{00000000-0005-0000-0000-000020310000}"/>
    <cellStyle name="Accent6 40" xfId="12973" xr:uid="{00000000-0005-0000-0000-000021310000}"/>
    <cellStyle name="Accent6 40 2" xfId="12974" xr:uid="{00000000-0005-0000-0000-000022310000}"/>
    <cellStyle name="Accent6 40 3" xfId="12975" xr:uid="{00000000-0005-0000-0000-000023310000}"/>
    <cellStyle name="Accent6 40 4" xfId="12976" xr:uid="{00000000-0005-0000-0000-000024310000}"/>
    <cellStyle name="Accent6 41" xfId="12977" xr:uid="{00000000-0005-0000-0000-000025310000}"/>
    <cellStyle name="Accent6 41 2" xfId="12978" xr:uid="{00000000-0005-0000-0000-000026310000}"/>
    <cellStyle name="Accent6 41 3" xfId="12979" xr:uid="{00000000-0005-0000-0000-000027310000}"/>
    <cellStyle name="Accent6 41 4" xfId="12980" xr:uid="{00000000-0005-0000-0000-000028310000}"/>
    <cellStyle name="Accent6 42" xfId="12981" xr:uid="{00000000-0005-0000-0000-000029310000}"/>
    <cellStyle name="Accent6 42 2" xfId="12982" xr:uid="{00000000-0005-0000-0000-00002A310000}"/>
    <cellStyle name="Accent6 42 3" xfId="12983" xr:uid="{00000000-0005-0000-0000-00002B310000}"/>
    <cellStyle name="Accent6 42 4" xfId="12984" xr:uid="{00000000-0005-0000-0000-00002C310000}"/>
    <cellStyle name="Accent6 43" xfId="12985" xr:uid="{00000000-0005-0000-0000-00002D310000}"/>
    <cellStyle name="Accent6 43 2" xfId="12986" xr:uid="{00000000-0005-0000-0000-00002E310000}"/>
    <cellStyle name="Accent6 43 3" xfId="12987" xr:uid="{00000000-0005-0000-0000-00002F310000}"/>
    <cellStyle name="Accent6 43 4" xfId="12988" xr:uid="{00000000-0005-0000-0000-000030310000}"/>
    <cellStyle name="Accent6 44" xfId="12989" xr:uid="{00000000-0005-0000-0000-000031310000}"/>
    <cellStyle name="Accent6 44 2" xfId="12990" xr:uid="{00000000-0005-0000-0000-000032310000}"/>
    <cellStyle name="Accent6 44 3" xfId="12991" xr:uid="{00000000-0005-0000-0000-000033310000}"/>
    <cellStyle name="Accent6 44 4" xfId="12992" xr:uid="{00000000-0005-0000-0000-000034310000}"/>
    <cellStyle name="Accent6 45" xfId="12993" xr:uid="{00000000-0005-0000-0000-000035310000}"/>
    <cellStyle name="Accent6 45 2" xfId="12994" xr:uid="{00000000-0005-0000-0000-000036310000}"/>
    <cellStyle name="Accent6 45 3" xfId="12995" xr:uid="{00000000-0005-0000-0000-000037310000}"/>
    <cellStyle name="Accent6 45 4" xfId="12996" xr:uid="{00000000-0005-0000-0000-000038310000}"/>
    <cellStyle name="Accent6 46" xfId="12997" xr:uid="{00000000-0005-0000-0000-000039310000}"/>
    <cellStyle name="Accent6 46 2" xfId="12998" xr:uid="{00000000-0005-0000-0000-00003A310000}"/>
    <cellStyle name="Accent6 46 3" xfId="12999" xr:uid="{00000000-0005-0000-0000-00003B310000}"/>
    <cellStyle name="Accent6 46 4" xfId="13000" xr:uid="{00000000-0005-0000-0000-00003C310000}"/>
    <cellStyle name="Accent6 47" xfId="13001" xr:uid="{00000000-0005-0000-0000-00003D310000}"/>
    <cellStyle name="Accent6 47 2" xfId="13002" xr:uid="{00000000-0005-0000-0000-00003E310000}"/>
    <cellStyle name="Accent6 47 3" xfId="13003" xr:uid="{00000000-0005-0000-0000-00003F310000}"/>
    <cellStyle name="Accent6 47 4" xfId="13004" xr:uid="{00000000-0005-0000-0000-000040310000}"/>
    <cellStyle name="Accent6 48" xfId="13005" xr:uid="{00000000-0005-0000-0000-000041310000}"/>
    <cellStyle name="Accent6 48 2" xfId="13006" xr:uid="{00000000-0005-0000-0000-000042310000}"/>
    <cellStyle name="Accent6 48 3" xfId="13007" xr:uid="{00000000-0005-0000-0000-000043310000}"/>
    <cellStyle name="Accent6 48 4" xfId="13008" xr:uid="{00000000-0005-0000-0000-000044310000}"/>
    <cellStyle name="Accent6 49" xfId="13009" xr:uid="{00000000-0005-0000-0000-000045310000}"/>
    <cellStyle name="Accent6 49 2" xfId="13010" xr:uid="{00000000-0005-0000-0000-000046310000}"/>
    <cellStyle name="Accent6 49 3" xfId="13011" xr:uid="{00000000-0005-0000-0000-000047310000}"/>
    <cellStyle name="Accent6 49 4" xfId="13012" xr:uid="{00000000-0005-0000-0000-000048310000}"/>
    <cellStyle name="Accent6 5" xfId="13013" xr:uid="{00000000-0005-0000-0000-000049310000}"/>
    <cellStyle name="Accent6 5 2" xfId="13014" xr:uid="{00000000-0005-0000-0000-00004A310000}"/>
    <cellStyle name="Accent6 5 2 2" xfId="13015" xr:uid="{00000000-0005-0000-0000-00004B310000}"/>
    <cellStyle name="Accent6 5 2 2 2" xfId="13016" xr:uid="{00000000-0005-0000-0000-00004C310000}"/>
    <cellStyle name="Accent6 5 2 3" xfId="13017" xr:uid="{00000000-0005-0000-0000-00004D310000}"/>
    <cellStyle name="Accent6 5 3" xfId="13018" xr:uid="{00000000-0005-0000-0000-00004E310000}"/>
    <cellStyle name="Accent6 5 3 2" xfId="13019" xr:uid="{00000000-0005-0000-0000-00004F310000}"/>
    <cellStyle name="Accent6 5 4" xfId="13020" xr:uid="{00000000-0005-0000-0000-000050310000}"/>
    <cellStyle name="Accent6 5 5" xfId="13021" xr:uid="{00000000-0005-0000-0000-000051310000}"/>
    <cellStyle name="Accent6 50" xfId="13022" xr:uid="{00000000-0005-0000-0000-000052310000}"/>
    <cellStyle name="Accent6 50 2" xfId="13023" xr:uid="{00000000-0005-0000-0000-000053310000}"/>
    <cellStyle name="Accent6 50 3" xfId="13024" xr:uid="{00000000-0005-0000-0000-000054310000}"/>
    <cellStyle name="Accent6 50 4" xfId="13025" xr:uid="{00000000-0005-0000-0000-000055310000}"/>
    <cellStyle name="Accent6 51" xfId="13026" xr:uid="{00000000-0005-0000-0000-000056310000}"/>
    <cellStyle name="Accent6 51 2" xfId="13027" xr:uid="{00000000-0005-0000-0000-000057310000}"/>
    <cellStyle name="Accent6 51 3" xfId="13028" xr:uid="{00000000-0005-0000-0000-000058310000}"/>
    <cellStyle name="Accent6 51 4" xfId="13029" xr:uid="{00000000-0005-0000-0000-000059310000}"/>
    <cellStyle name="Accent6 52" xfId="13030" xr:uid="{00000000-0005-0000-0000-00005A310000}"/>
    <cellStyle name="Accent6 52 2" xfId="13031" xr:uid="{00000000-0005-0000-0000-00005B310000}"/>
    <cellStyle name="Accent6 52 3" xfId="13032" xr:uid="{00000000-0005-0000-0000-00005C310000}"/>
    <cellStyle name="Accent6 52 4" xfId="13033" xr:uid="{00000000-0005-0000-0000-00005D310000}"/>
    <cellStyle name="Accent6 53" xfId="13034" xr:uid="{00000000-0005-0000-0000-00005E310000}"/>
    <cellStyle name="Accent6 53 2" xfId="13035" xr:uid="{00000000-0005-0000-0000-00005F310000}"/>
    <cellStyle name="Accent6 53 3" xfId="13036" xr:uid="{00000000-0005-0000-0000-000060310000}"/>
    <cellStyle name="Accent6 53 4" xfId="13037" xr:uid="{00000000-0005-0000-0000-000061310000}"/>
    <cellStyle name="Accent6 54" xfId="13038" xr:uid="{00000000-0005-0000-0000-000062310000}"/>
    <cellStyle name="Accent6 54 2" xfId="13039" xr:uid="{00000000-0005-0000-0000-000063310000}"/>
    <cellStyle name="Accent6 54 3" xfId="13040" xr:uid="{00000000-0005-0000-0000-000064310000}"/>
    <cellStyle name="Accent6 54 4" xfId="13041" xr:uid="{00000000-0005-0000-0000-000065310000}"/>
    <cellStyle name="Accent6 55" xfId="13042" xr:uid="{00000000-0005-0000-0000-000066310000}"/>
    <cellStyle name="Accent6 55 2" xfId="13043" xr:uid="{00000000-0005-0000-0000-000067310000}"/>
    <cellStyle name="Accent6 55 3" xfId="13044" xr:uid="{00000000-0005-0000-0000-000068310000}"/>
    <cellStyle name="Accent6 55 4" xfId="13045" xr:uid="{00000000-0005-0000-0000-000069310000}"/>
    <cellStyle name="Accent6 56" xfId="13046" xr:uid="{00000000-0005-0000-0000-00006A310000}"/>
    <cellStyle name="Accent6 56 2" xfId="13047" xr:uid="{00000000-0005-0000-0000-00006B310000}"/>
    <cellStyle name="Accent6 56 3" xfId="13048" xr:uid="{00000000-0005-0000-0000-00006C310000}"/>
    <cellStyle name="Accent6 56 4" xfId="13049" xr:uid="{00000000-0005-0000-0000-00006D310000}"/>
    <cellStyle name="Accent6 57" xfId="13050" xr:uid="{00000000-0005-0000-0000-00006E310000}"/>
    <cellStyle name="Accent6 57 2" xfId="13051" xr:uid="{00000000-0005-0000-0000-00006F310000}"/>
    <cellStyle name="Accent6 57 3" xfId="13052" xr:uid="{00000000-0005-0000-0000-000070310000}"/>
    <cellStyle name="Accent6 57 4" xfId="13053" xr:uid="{00000000-0005-0000-0000-000071310000}"/>
    <cellStyle name="Accent6 58" xfId="13054" xr:uid="{00000000-0005-0000-0000-000072310000}"/>
    <cellStyle name="Accent6 58 2" xfId="13055" xr:uid="{00000000-0005-0000-0000-000073310000}"/>
    <cellStyle name="Accent6 58 3" xfId="13056" xr:uid="{00000000-0005-0000-0000-000074310000}"/>
    <cellStyle name="Accent6 58 4" xfId="13057" xr:uid="{00000000-0005-0000-0000-000075310000}"/>
    <cellStyle name="Accent6 59" xfId="13058" xr:uid="{00000000-0005-0000-0000-000076310000}"/>
    <cellStyle name="Accent6 59 2" xfId="13059" xr:uid="{00000000-0005-0000-0000-000077310000}"/>
    <cellStyle name="Accent6 59 3" xfId="13060" xr:uid="{00000000-0005-0000-0000-000078310000}"/>
    <cellStyle name="Accent6 59 4" xfId="13061" xr:uid="{00000000-0005-0000-0000-000079310000}"/>
    <cellStyle name="Accent6 6" xfId="13062" xr:uid="{00000000-0005-0000-0000-00007A310000}"/>
    <cellStyle name="Accent6 6 2" xfId="13063" xr:uid="{00000000-0005-0000-0000-00007B310000}"/>
    <cellStyle name="Accent6 6 2 2" xfId="13064" xr:uid="{00000000-0005-0000-0000-00007C310000}"/>
    <cellStyle name="Accent6 6 2 2 2" xfId="13065" xr:uid="{00000000-0005-0000-0000-00007D310000}"/>
    <cellStyle name="Accent6 6 2 3" xfId="13066" xr:uid="{00000000-0005-0000-0000-00007E310000}"/>
    <cellStyle name="Accent6 6 3" xfId="13067" xr:uid="{00000000-0005-0000-0000-00007F310000}"/>
    <cellStyle name="Accent6 6 3 2" xfId="13068" xr:uid="{00000000-0005-0000-0000-000080310000}"/>
    <cellStyle name="Accent6 6 4" xfId="13069" xr:uid="{00000000-0005-0000-0000-000081310000}"/>
    <cellStyle name="Accent6 6 5" xfId="13070" xr:uid="{00000000-0005-0000-0000-000082310000}"/>
    <cellStyle name="Accent6 60" xfId="13071" xr:uid="{00000000-0005-0000-0000-000083310000}"/>
    <cellStyle name="Accent6 60 2" xfId="13072" xr:uid="{00000000-0005-0000-0000-000084310000}"/>
    <cellStyle name="Accent6 60 3" xfId="13073" xr:uid="{00000000-0005-0000-0000-000085310000}"/>
    <cellStyle name="Accent6 60 4" xfId="13074" xr:uid="{00000000-0005-0000-0000-000086310000}"/>
    <cellStyle name="Accent6 61" xfId="13075" xr:uid="{00000000-0005-0000-0000-000087310000}"/>
    <cellStyle name="Accent6 61 2" xfId="13076" xr:uid="{00000000-0005-0000-0000-000088310000}"/>
    <cellStyle name="Accent6 61 3" xfId="13077" xr:uid="{00000000-0005-0000-0000-000089310000}"/>
    <cellStyle name="Accent6 61 4" xfId="13078" xr:uid="{00000000-0005-0000-0000-00008A310000}"/>
    <cellStyle name="Accent6 62" xfId="13079" xr:uid="{00000000-0005-0000-0000-00008B310000}"/>
    <cellStyle name="Accent6 62 2" xfId="13080" xr:uid="{00000000-0005-0000-0000-00008C310000}"/>
    <cellStyle name="Accent6 62 3" xfId="13081" xr:uid="{00000000-0005-0000-0000-00008D310000}"/>
    <cellStyle name="Accent6 62 4" xfId="13082" xr:uid="{00000000-0005-0000-0000-00008E310000}"/>
    <cellStyle name="Accent6 63" xfId="13083" xr:uid="{00000000-0005-0000-0000-00008F310000}"/>
    <cellStyle name="Accent6 63 2" xfId="13084" xr:uid="{00000000-0005-0000-0000-000090310000}"/>
    <cellStyle name="Accent6 63 3" xfId="13085" xr:uid="{00000000-0005-0000-0000-000091310000}"/>
    <cellStyle name="Accent6 63 4" xfId="13086" xr:uid="{00000000-0005-0000-0000-000092310000}"/>
    <cellStyle name="Accent6 64" xfId="13087" xr:uid="{00000000-0005-0000-0000-000093310000}"/>
    <cellStyle name="Accent6 64 2" xfId="13088" xr:uid="{00000000-0005-0000-0000-000094310000}"/>
    <cellStyle name="Accent6 64 3" xfId="13089" xr:uid="{00000000-0005-0000-0000-000095310000}"/>
    <cellStyle name="Accent6 64 4" xfId="13090" xr:uid="{00000000-0005-0000-0000-000096310000}"/>
    <cellStyle name="Accent6 65" xfId="13091" xr:uid="{00000000-0005-0000-0000-000097310000}"/>
    <cellStyle name="Accent6 65 2" xfId="13092" xr:uid="{00000000-0005-0000-0000-000098310000}"/>
    <cellStyle name="Accent6 65 3" xfId="13093" xr:uid="{00000000-0005-0000-0000-000099310000}"/>
    <cellStyle name="Accent6 65 4" xfId="13094" xr:uid="{00000000-0005-0000-0000-00009A310000}"/>
    <cellStyle name="Accent6 66" xfId="13095" xr:uid="{00000000-0005-0000-0000-00009B310000}"/>
    <cellStyle name="Accent6 66 2" xfId="13096" xr:uid="{00000000-0005-0000-0000-00009C310000}"/>
    <cellStyle name="Accent6 66 3" xfId="13097" xr:uid="{00000000-0005-0000-0000-00009D310000}"/>
    <cellStyle name="Accent6 66 4" xfId="13098" xr:uid="{00000000-0005-0000-0000-00009E310000}"/>
    <cellStyle name="Accent6 67" xfId="13099" xr:uid="{00000000-0005-0000-0000-00009F310000}"/>
    <cellStyle name="Accent6 67 2" xfId="13100" xr:uid="{00000000-0005-0000-0000-0000A0310000}"/>
    <cellStyle name="Accent6 67 3" xfId="13101" xr:uid="{00000000-0005-0000-0000-0000A1310000}"/>
    <cellStyle name="Accent6 67 4" xfId="13102" xr:uid="{00000000-0005-0000-0000-0000A2310000}"/>
    <cellStyle name="Accent6 68" xfId="13103" xr:uid="{00000000-0005-0000-0000-0000A3310000}"/>
    <cellStyle name="Accent6 68 2" xfId="13104" xr:uid="{00000000-0005-0000-0000-0000A4310000}"/>
    <cellStyle name="Accent6 68 3" xfId="13105" xr:uid="{00000000-0005-0000-0000-0000A5310000}"/>
    <cellStyle name="Accent6 68 4" xfId="13106" xr:uid="{00000000-0005-0000-0000-0000A6310000}"/>
    <cellStyle name="Accent6 69" xfId="13107" xr:uid="{00000000-0005-0000-0000-0000A7310000}"/>
    <cellStyle name="Accent6 69 2" xfId="13108" xr:uid="{00000000-0005-0000-0000-0000A8310000}"/>
    <cellStyle name="Accent6 69 3" xfId="13109" xr:uid="{00000000-0005-0000-0000-0000A9310000}"/>
    <cellStyle name="Accent6 69 4" xfId="13110" xr:uid="{00000000-0005-0000-0000-0000AA310000}"/>
    <cellStyle name="Accent6 7" xfId="13111" xr:uid="{00000000-0005-0000-0000-0000AB310000}"/>
    <cellStyle name="Accent6 7 2" xfId="13112" xr:uid="{00000000-0005-0000-0000-0000AC310000}"/>
    <cellStyle name="Accent6 7 2 2" xfId="13113" xr:uid="{00000000-0005-0000-0000-0000AD310000}"/>
    <cellStyle name="Accent6 7 2 2 2" xfId="13114" xr:uid="{00000000-0005-0000-0000-0000AE310000}"/>
    <cellStyle name="Accent6 7 2 3" xfId="13115" xr:uid="{00000000-0005-0000-0000-0000AF310000}"/>
    <cellStyle name="Accent6 7 3" xfId="13116" xr:uid="{00000000-0005-0000-0000-0000B0310000}"/>
    <cellStyle name="Accent6 7 3 2" xfId="13117" xr:uid="{00000000-0005-0000-0000-0000B1310000}"/>
    <cellStyle name="Accent6 7 4" xfId="13118" xr:uid="{00000000-0005-0000-0000-0000B2310000}"/>
    <cellStyle name="Accent6 7 5" xfId="13119" xr:uid="{00000000-0005-0000-0000-0000B3310000}"/>
    <cellStyle name="Accent6 7 6" xfId="13120" xr:uid="{00000000-0005-0000-0000-0000B4310000}"/>
    <cellStyle name="Accent6 70" xfId="13121" xr:uid="{00000000-0005-0000-0000-0000B5310000}"/>
    <cellStyle name="Accent6 70 2" xfId="13122" xr:uid="{00000000-0005-0000-0000-0000B6310000}"/>
    <cellStyle name="Accent6 70 3" xfId="13123" xr:uid="{00000000-0005-0000-0000-0000B7310000}"/>
    <cellStyle name="Accent6 70 4" xfId="13124" xr:uid="{00000000-0005-0000-0000-0000B8310000}"/>
    <cellStyle name="Accent6 71" xfId="13125" xr:uid="{00000000-0005-0000-0000-0000B9310000}"/>
    <cellStyle name="Accent6 71 2" xfId="13126" xr:uid="{00000000-0005-0000-0000-0000BA310000}"/>
    <cellStyle name="Accent6 71 2 2" xfId="13127" xr:uid="{00000000-0005-0000-0000-0000BB310000}"/>
    <cellStyle name="Accent6 71 3" xfId="13128" xr:uid="{00000000-0005-0000-0000-0000BC310000}"/>
    <cellStyle name="Accent6 71 4" xfId="13129" xr:uid="{00000000-0005-0000-0000-0000BD310000}"/>
    <cellStyle name="Accent6 72" xfId="13130" xr:uid="{00000000-0005-0000-0000-0000BE310000}"/>
    <cellStyle name="Accent6 72 2" xfId="13131" xr:uid="{00000000-0005-0000-0000-0000BF310000}"/>
    <cellStyle name="Accent6 72 2 2" xfId="13132" xr:uid="{00000000-0005-0000-0000-0000C0310000}"/>
    <cellStyle name="Accent6 72 3" xfId="13133" xr:uid="{00000000-0005-0000-0000-0000C1310000}"/>
    <cellStyle name="Accent6 72 4" xfId="13134" xr:uid="{00000000-0005-0000-0000-0000C2310000}"/>
    <cellStyle name="Accent6 73" xfId="13135" xr:uid="{00000000-0005-0000-0000-0000C3310000}"/>
    <cellStyle name="Accent6 73 2" xfId="13136" xr:uid="{00000000-0005-0000-0000-0000C4310000}"/>
    <cellStyle name="Accent6 73 2 2" xfId="13137" xr:uid="{00000000-0005-0000-0000-0000C5310000}"/>
    <cellStyle name="Accent6 73 3" xfId="13138" xr:uid="{00000000-0005-0000-0000-0000C6310000}"/>
    <cellStyle name="Accent6 73 4" xfId="13139" xr:uid="{00000000-0005-0000-0000-0000C7310000}"/>
    <cellStyle name="Accent6 74" xfId="13140" xr:uid="{00000000-0005-0000-0000-0000C8310000}"/>
    <cellStyle name="Accent6 74 2" xfId="13141" xr:uid="{00000000-0005-0000-0000-0000C9310000}"/>
    <cellStyle name="Accent6 74 2 2" xfId="13142" xr:uid="{00000000-0005-0000-0000-0000CA310000}"/>
    <cellStyle name="Accent6 74 3" xfId="13143" xr:uid="{00000000-0005-0000-0000-0000CB310000}"/>
    <cellStyle name="Accent6 74 4" xfId="13144" xr:uid="{00000000-0005-0000-0000-0000CC310000}"/>
    <cellStyle name="Accent6 75" xfId="13145" xr:uid="{00000000-0005-0000-0000-0000CD310000}"/>
    <cellStyle name="Accent6 75 2" xfId="13146" xr:uid="{00000000-0005-0000-0000-0000CE310000}"/>
    <cellStyle name="Accent6 75 2 2" xfId="13147" xr:uid="{00000000-0005-0000-0000-0000CF310000}"/>
    <cellStyle name="Accent6 75 3" xfId="13148" xr:uid="{00000000-0005-0000-0000-0000D0310000}"/>
    <cellStyle name="Accent6 75 4" xfId="13149" xr:uid="{00000000-0005-0000-0000-0000D1310000}"/>
    <cellStyle name="Accent6 76" xfId="13150" xr:uid="{00000000-0005-0000-0000-0000D2310000}"/>
    <cellStyle name="Accent6 76 2" xfId="13151" xr:uid="{00000000-0005-0000-0000-0000D3310000}"/>
    <cellStyle name="Accent6 76 2 2" xfId="13152" xr:uid="{00000000-0005-0000-0000-0000D4310000}"/>
    <cellStyle name="Accent6 76 3" xfId="13153" xr:uid="{00000000-0005-0000-0000-0000D5310000}"/>
    <cellStyle name="Accent6 76 4" xfId="13154" xr:uid="{00000000-0005-0000-0000-0000D6310000}"/>
    <cellStyle name="Accent6 77" xfId="13155" xr:uid="{00000000-0005-0000-0000-0000D7310000}"/>
    <cellStyle name="Accent6 77 2" xfId="13156" xr:uid="{00000000-0005-0000-0000-0000D8310000}"/>
    <cellStyle name="Accent6 77 3" xfId="13157" xr:uid="{00000000-0005-0000-0000-0000D9310000}"/>
    <cellStyle name="Accent6 77 4" xfId="13158" xr:uid="{00000000-0005-0000-0000-0000DA310000}"/>
    <cellStyle name="Accent6 78" xfId="13159" xr:uid="{00000000-0005-0000-0000-0000DB310000}"/>
    <cellStyle name="Accent6 78 2" xfId="13160" xr:uid="{00000000-0005-0000-0000-0000DC310000}"/>
    <cellStyle name="Accent6 78 3" xfId="13161" xr:uid="{00000000-0005-0000-0000-0000DD310000}"/>
    <cellStyle name="Accent6 79" xfId="13162" xr:uid="{00000000-0005-0000-0000-0000DE310000}"/>
    <cellStyle name="Accent6 79 2" xfId="13163" xr:uid="{00000000-0005-0000-0000-0000DF310000}"/>
    <cellStyle name="Accent6 79 3" xfId="13164" xr:uid="{00000000-0005-0000-0000-0000E0310000}"/>
    <cellStyle name="Accent6 8" xfId="13165" xr:uid="{00000000-0005-0000-0000-0000E1310000}"/>
    <cellStyle name="Accent6 8 2" xfId="13166" xr:uid="{00000000-0005-0000-0000-0000E2310000}"/>
    <cellStyle name="Accent6 8 2 2" xfId="13167" xr:uid="{00000000-0005-0000-0000-0000E3310000}"/>
    <cellStyle name="Accent6 8 2 2 2" xfId="13168" xr:uid="{00000000-0005-0000-0000-0000E4310000}"/>
    <cellStyle name="Accent6 8 2 3" xfId="13169" xr:uid="{00000000-0005-0000-0000-0000E5310000}"/>
    <cellStyle name="Accent6 8 3" xfId="13170" xr:uid="{00000000-0005-0000-0000-0000E6310000}"/>
    <cellStyle name="Accent6 8 3 2" xfId="13171" xr:uid="{00000000-0005-0000-0000-0000E7310000}"/>
    <cellStyle name="Accent6 8 4" xfId="13172" xr:uid="{00000000-0005-0000-0000-0000E8310000}"/>
    <cellStyle name="Accent6 8 4 2" xfId="13173" xr:uid="{00000000-0005-0000-0000-0000E9310000}"/>
    <cellStyle name="Accent6 8 5" xfId="13174" xr:uid="{00000000-0005-0000-0000-0000EA310000}"/>
    <cellStyle name="Accent6 8 6" xfId="13175" xr:uid="{00000000-0005-0000-0000-0000EB310000}"/>
    <cellStyle name="Accent6 80" xfId="13176" xr:uid="{00000000-0005-0000-0000-0000EC310000}"/>
    <cellStyle name="Accent6 80 2" xfId="13177" xr:uid="{00000000-0005-0000-0000-0000ED310000}"/>
    <cellStyle name="Accent6 80 3" xfId="13178" xr:uid="{00000000-0005-0000-0000-0000EE310000}"/>
    <cellStyle name="Accent6 81" xfId="13179" xr:uid="{00000000-0005-0000-0000-0000EF310000}"/>
    <cellStyle name="Accent6 81 2" xfId="13180" xr:uid="{00000000-0005-0000-0000-0000F0310000}"/>
    <cellStyle name="Accent6 81 3" xfId="13181" xr:uid="{00000000-0005-0000-0000-0000F1310000}"/>
    <cellStyle name="Accent6 82" xfId="13182" xr:uid="{00000000-0005-0000-0000-0000F2310000}"/>
    <cellStyle name="Accent6 82 2" xfId="13183" xr:uid="{00000000-0005-0000-0000-0000F3310000}"/>
    <cellStyle name="Accent6 82 3" xfId="13184" xr:uid="{00000000-0005-0000-0000-0000F4310000}"/>
    <cellStyle name="Accent6 83" xfId="13185" xr:uid="{00000000-0005-0000-0000-0000F5310000}"/>
    <cellStyle name="Accent6 83 2" xfId="13186" xr:uid="{00000000-0005-0000-0000-0000F6310000}"/>
    <cellStyle name="Accent6 83 3" xfId="13187" xr:uid="{00000000-0005-0000-0000-0000F7310000}"/>
    <cellStyle name="Accent6 84" xfId="13188" xr:uid="{00000000-0005-0000-0000-0000F8310000}"/>
    <cellStyle name="Accent6 84 2" xfId="13189" xr:uid="{00000000-0005-0000-0000-0000F9310000}"/>
    <cellStyle name="Accent6 84 3" xfId="13190" xr:uid="{00000000-0005-0000-0000-0000FA310000}"/>
    <cellStyle name="Accent6 85" xfId="13191" xr:uid="{00000000-0005-0000-0000-0000FB310000}"/>
    <cellStyle name="Accent6 85 2" xfId="13192" xr:uid="{00000000-0005-0000-0000-0000FC310000}"/>
    <cellStyle name="Accent6 85 3" xfId="13193" xr:uid="{00000000-0005-0000-0000-0000FD310000}"/>
    <cellStyle name="Accent6 86" xfId="13194" xr:uid="{00000000-0005-0000-0000-0000FE310000}"/>
    <cellStyle name="Accent6 86 2" xfId="13195" xr:uid="{00000000-0005-0000-0000-0000FF310000}"/>
    <cellStyle name="Accent6 86 3" xfId="13196" xr:uid="{00000000-0005-0000-0000-000000320000}"/>
    <cellStyle name="Accent6 87" xfId="13197" xr:uid="{00000000-0005-0000-0000-000001320000}"/>
    <cellStyle name="Accent6 87 2" xfId="13198" xr:uid="{00000000-0005-0000-0000-000002320000}"/>
    <cellStyle name="Accent6 87 3" xfId="13199" xr:uid="{00000000-0005-0000-0000-000003320000}"/>
    <cellStyle name="Accent6 88" xfId="13200" xr:uid="{00000000-0005-0000-0000-000004320000}"/>
    <cellStyle name="Accent6 88 2" xfId="13201" xr:uid="{00000000-0005-0000-0000-000005320000}"/>
    <cellStyle name="Accent6 88 3" xfId="13202" xr:uid="{00000000-0005-0000-0000-000006320000}"/>
    <cellStyle name="Accent6 89" xfId="13203" xr:uid="{00000000-0005-0000-0000-000007320000}"/>
    <cellStyle name="Accent6 89 2" xfId="13204" xr:uid="{00000000-0005-0000-0000-000008320000}"/>
    <cellStyle name="Accent6 89 3" xfId="13205" xr:uid="{00000000-0005-0000-0000-000009320000}"/>
    <cellStyle name="Accent6 9" xfId="13206" xr:uid="{00000000-0005-0000-0000-00000A320000}"/>
    <cellStyle name="Accent6 9 2" xfId="13207" xr:uid="{00000000-0005-0000-0000-00000B320000}"/>
    <cellStyle name="Accent6 9 2 2" xfId="13208" xr:uid="{00000000-0005-0000-0000-00000C320000}"/>
    <cellStyle name="Accent6 9 2 3" xfId="13209" xr:uid="{00000000-0005-0000-0000-00000D320000}"/>
    <cellStyle name="Accent6 9 3" xfId="13210" xr:uid="{00000000-0005-0000-0000-00000E320000}"/>
    <cellStyle name="Accent6 9 3 2" xfId="13211" xr:uid="{00000000-0005-0000-0000-00000F320000}"/>
    <cellStyle name="Accent6 9 4" xfId="13212" xr:uid="{00000000-0005-0000-0000-000010320000}"/>
    <cellStyle name="Accent6 9 5" xfId="13213" xr:uid="{00000000-0005-0000-0000-000011320000}"/>
    <cellStyle name="Accent6 9 6" xfId="13214" xr:uid="{00000000-0005-0000-0000-000012320000}"/>
    <cellStyle name="Accent6 9 7" xfId="13215" xr:uid="{00000000-0005-0000-0000-000013320000}"/>
    <cellStyle name="Accent6 90" xfId="13216" xr:uid="{00000000-0005-0000-0000-000014320000}"/>
    <cellStyle name="Accent6 90 2" xfId="13217" xr:uid="{00000000-0005-0000-0000-000015320000}"/>
    <cellStyle name="Accent6 90 3" xfId="13218" xr:uid="{00000000-0005-0000-0000-000016320000}"/>
    <cellStyle name="Accent6 91" xfId="13219" xr:uid="{00000000-0005-0000-0000-000017320000}"/>
    <cellStyle name="Accent6 91 2" xfId="13220" xr:uid="{00000000-0005-0000-0000-000018320000}"/>
    <cellStyle name="Accent6 91 3" xfId="13221" xr:uid="{00000000-0005-0000-0000-000019320000}"/>
    <cellStyle name="Accent6 92" xfId="13222" xr:uid="{00000000-0005-0000-0000-00001A320000}"/>
    <cellStyle name="Accent6 92 2" xfId="13223" xr:uid="{00000000-0005-0000-0000-00001B320000}"/>
    <cellStyle name="Accent6 92 3" xfId="13224" xr:uid="{00000000-0005-0000-0000-00001C320000}"/>
    <cellStyle name="Accent6 93" xfId="13225" xr:uid="{00000000-0005-0000-0000-00001D320000}"/>
    <cellStyle name="Accent6 93 2" xfId="13226" xr:uid="{00000000-0005-0000-0000-00001E320000}"/>
    <cellStyle name="Accent6 93 3" xfId="13227" xr:uid="{00000000-0005-0000-0000-00001F320000}"/>
    <cellStyle name="Accent6 94" xfId="13228" xr:uid="{00000000-0005-0000-0000-000020320000}"/>
    <cellStyle name="Accent6 94 2" xfId="13229" xr:uid="{00000000-0005-0000-0000-000021320000}"/>
    <cellStyle name="Accent6 94 3" xfId="13230" xr:uid="{00000000-0005-0000-0000-000022320000}"/>
    <cellStyle name="Accent6 95" xfId="13231" xr:uid="{00000000-0005-0000-0000-000023320000}"/>
    <cellStyle name="Accent6 95 2" xfId="13232" xr:uid="{00000000-0005-0000-0000-000024320000}"/>
    <cellStyle name="Accent6 95 3" xfId="13233" xr:uid="{00000000-0005-0000-0000-000025320000}"/>
    <cellStyle name="Accent6 96" xfId="13234" xr:uid="{00000000-0005-0000-0000-000026320000}"/>
    <cellStyle name="Accent6 96 2" xfId="13235" xr:uid="{00000000-0005-0000-0000-000027320000}"/>
    <cellStyle name="Accent6 96 3" xfId="13236" xr:uid="{00000000-0005-0000-0000-000028320000}"/>
    <cellStyle name="Accent6 97" xfId="13237" xr:uid="{00000000-0005-0000-0000-000029320000}"/>
    <cellStyle name="Accent6 97 2" xfId="13238" xr:uid="{00000000-0005-0000-0000-00002A320000}"/>
    <cellStyle name="Accent6 97 3" xfId="13239" xr:uid="{00000000-0005-0000-0000-00002B320000}"/>
    <cellStyle name="Accent6 98" xfId="13240" xr:uid="{00000000-0005-0000-0000-00002C320000}"/>
    <cellStyle name="Accent6 98 2" xfId="13241" xr:uid="{00000000-0005-0000-0000-00002D320000}"/>
    <cellStyle name="Accent6 98 3" xfId="13242" xr:uid="{00000000-0005-0000-0000-00002E320000}"/>
    <cellStyle name="Accent6 99" xfId="13243" xr:uid="{00000000-0005-0000-0000-00002F320000}"/>
    <cellStyle name="Accent6 99 2" xfId="13244" xr:uid="{00000000-0005-0000-0000-000030320000}"/>
    <cellStyle name="Accent6 99 3" xfId="13245" xr:uid="{00000000-0005-0000-0000-000031320000}"/>
    <cellStyle name="Actual Date" xfId="7" xr:uid="{00000000-0005-0000-0000-000032320000}"/>
    <cellStyle name="Actual Date 2" xfId="120" xr:uid="{00000000-0005-0000-0000-000033320000}"/>
    <cellStyle name="Actual Date 2 2" xfId="13246" xr:uid="{00000000-0005-0000-0000-000034320000}"/>
    <cellStyle name="Actual Date 2 3" xfId="13247" xr:uid="{00000000-0005-0000-0000-000035320000}"/>
    <cellStyle name="Actual Date 3" xfId="13248" xr:uid="{00000000-0005-0000-0000-000036320000}"/>
    <cellStyle name="Actual Date 3 2" xfId="13249" xr:uid="{00000000-0005-0000-0000-000037320000}"/>
    <cellStyle name="Actual Date 4" xfId="13250" xr:uid="{00000000-0005-0000-0000-000038320000}"/>
    <cellStyle name="Actual Date 4 2" xfId="13251" xr:uid="{00000000-0005-0000-0000-000039320000}"/>
    <cellStyle name="Actual Date 5" xfId="13252" xr:uid="{00000000-0005-0000-0000-00003A320000}"/>
    <cellStyle name="Actual Date 5 2" xfId="13253" xr:uid="{00000000-0005-0000-0000-00003B320000}"/>
    <cellStyle name="Actual Date 6" xfId="13254" xr:uid="{00000000-0005-0000-0000-00003C320000}"/>
    <cellStyle name="Actual Date 7" xfId="13255" xr:uid="{00000000-0005-0000-0000-00003D320000}"/>
    <cellStyle name="Actual Date_2010-2012 Program Workbook_Incent_FS" xfId="13256" xr:uid="{00000000-0005-0000-0000-00003E320000}"/>
    <cellStyle name="Address" xfId="8" xr:uid="{00000000-0005-0000-0000-00003F320000}"/>
    <cellStyle name="Address 2" xfId="121" xr:uid="{00000000-0005-0000-0000-000040320000}"/>
    <cellStyle name="Address 3" xfId="13257" xr:uid="{00000000-0005-0000-0000-000041320000}"/>
    <cellStyle name="ariel" xfId="13258" xr:uid="{00000000-0005-0000-0000-000042320000}"/>
    <cellStyle name="ariel 2" xfId="13259" xr:uid="{00000000-0005-0000-0000-000043320000}"/>
    <cellStyle name="ariel 3" xfId="13260" xr:uid="{00000000-0005-0000-0000-000044320000}"/>
    <cellStyle name="ariel_Table G-2" xfId="13261" xr:uid="{00000000-0005-0000-0000-000045320000}"/>
    <cellStyle name="Array Enter" xfId="13262" xr:uid="{00000000-0005-0000-0000-000046320000}"/>
    <cellStyle name="Array Enter 2" xfId="13263" xr:uid="{00000000-0005-0000-0000-000047320000}"/>
    <cellStyle name="Bad 10" xfId="13264" xr:uid="{00000000-0005-0000-0000-000048320000}"/>
    <cellStyle name="Bad 2" xfId="13265" xr:uid="{00000000-0005-0000-0000-000049320000}"/>
    <cellStyle name="Bad 2 10" xfId="13266" xr:uid="{00000000-0005-0000-0000-00004A320000}"/>
    <cellStyle name="Bad 2 11" xfId="13267" xr:uid="{00000000-0005-0000-0000-00004B320000}"/>
    <cellStyle name="Bad 2 2" xfId="13268" xr:uid="{00000000-0005-0000-0000-00004C320000}"/>
    <cellStyle name="Bad 2 2 2" xfId="13269" xr:uid="{00000000-0005-0000-0000-00004D320000}"/>
    <cellStyle name="Bad 2 2 2 2" xfId="13270" xr:uid="{00000000-0005-0000-0000-00004E320000}"/>
    <cellStyle name="Bad 2 2 2 3" xfId="13271" xr:uid="{00000000-0005-0000-0000-00004F320000}"/>
    <cellStyle name="Bad 2 2 2 4" xfId="13272" xr:uid="{00000000-0005-0000-0000-000050320000}"/>
    <cellStyle name="Bad 2 2 3" xfId="13273" xr:uid="{00000000-0005-0000-0000-000051320000}"/>
    <cellStyle name="Bad 2 2 4" xfId="13274" xr:uid="{00000000-0005-0000-0000-000052320000}"/>
    <cellStyle name="Bad 2 2 5" xfId="13275" xr:uid="{00000000-0005-0000-0000-000053320000}"/>
    <cellStyle name="Bad 2 2 6" xfId="13276" xr:uid="{00000000-0005-0000-0000-000054320000}"/>
    <cellStyle name="Bad 2 3" xfId="13277" xr:uid="{00000000-0005-0000-0000-000055320000}"/>
    <cellStyle name="Bad 2 3 2" xfId="13278" xr:uid="{00000000-0005-0000-0000-000056320000}"/>
    <cellStyle name="Bad 2 3 3" xfId="13279" xr:uid="{00000000-0005-0000-0000-000057320000}"/>
    <cellStyle name="Bad 2 3 4" xfId="13280" xr:uid="{00000000-0005-0000-0000-000058320000}"/>
    <cellStyle name="Bad 2 3 5" xfId="13281" xr:uid="{00000000-0005-0000-0000-000059320000}"/>
    <cellStyle name="Bad 2 4" xfId="13282" xr:uid="{00000000-0005-0000-0000-00005A320000}"/>
    <cellStyle name="Bad 2 4 2" xfId="13283" xr:uid="{00000000-0005-0000-0000-00005B320000}"/>
    <cellStyle name="Bad 2 4 3" xfId="13284" xr:uid="{00000000-0005-0000-0000-00005C320000}"/>
    <cellStyle name="Bad 2 5" xfId="13285" xr:uid="{00000000-0005-0000-0000-00005D320000}"/>
    <cellStyle name="Bad 2 5 2" xfId="13286" xr:uid="{00000000-0005-0000-0000-00005E320000}"/>
    <cellStyle name="Bad 2 6" xfId="13287" xr:uid="{00000000-0005-0000-0000-00005F320000}"/>
    <cellStyle name="Bad 2 6 2" xfId="13288" xr:uid="{00000000-0005-0000-0000-000060320000}"/>
    <cellStyle name="Bad 2 7" xfId="13289" xr:uid="{00000000-0005-0000-0000-000061320000}"/>
    <cellStyle name="Bad 2 7 2" xfId="13290" xr:uid="{00000000-0005-0000-0000-000062320000}"/>
    <cellStyle name="Bad 2 8" xfId="13291" xr:uid="{00000000-0005-0000-0000-000063320000}"/>
    <cellStyle name="Bad 2 9" xfId="13292" xr:uid="{00000000-0005-0000-0000-000064320000}"/>
    <cellStyle name="Bad 3" xfId="13293" xr:uid="{00000000-0005-0000-0000-000065320000}"/>
    <cellStyle name="Bad 3 2" xfId="13294" xr:uid="{00000000-0005-0000-0000-000066320000}"/>
    <cellStyle name="Bad 3 2 2" xfId="13295" xr:uid="{00000000-0005-0000-0000-000067320000}"/>
    <cellStyle name="Bad 3 2 2 2" xfId="13296" xr:uid="{00000000-0005-0000-0000-000068320000}"/>
    <cellStyle name="Bad 3 2 3" xfId="13297" xr:uid="{00000000-0005-0000-0000-000069320000}"/>
    <cellStyle name="Bad 3 2 3 2" xfId="13298" xr:uid="{00000000-0005-0000-0000-00006A320000}"/>
    <cellStyle name="Bad 3 2 4" xfId="13299" xr:uid="{00000000-0005-0000-0000-00006B320000}"/>
    <cellStyle name="Bad 3 2 5" xfId="13300" xr:uid="{00000000-0005-0000-0000-00006C320000}"/>
    <cellStyle name="Bad 3 3" xfId="13301" xr:uid="{00000000-0005-0000-0000-00006D320000}"/>
    <cellStyle name="Bad 3 3 2" xfId="13302" xr:uid="{00000000-0005-0000-0000-00006E320000}"/>
    <cellStyle name="Bad 3 3 3" xfId="13303" xr:uid="{00000000-0005-0000-0000-00006F320000}"/>
    <cellStyle name="Bad 3 4" xfId="13304" xr:uid="{00000000-0005-0000-0000-000070320000}"/>
    <cellStyle name="Bad 3 4 2" xfId="13305" xr:uid="{00000000-0005-0000-0000-000071320000}"/>
    <cellStyle name="Bad 3 5" xfId="13306" xr:uid="{00000000-0005-0000-0000-000072320000}"/>
    <cellStyle name="Bad 3 5 2" xfId="13307" xr:uid="{00000000-0005-0000-0000-000073320000}"/>
    <cellStyle name="Bad 3 6" xfId="13308" xr:uid="{00000000-0005-0000-0000-000074320000}"/>
    <cellStyle name="Bad 3 7" xfId="13309" xr:uid="{00000000-0005-0000-0000-000075320000}"/>
    <cellStyle name="Bad 4" xfId="13310" xr:uid="{00000000-0005-0000-0000-000076320000}"/>
    <cellStyle name="Bad 4 2" xfId="13311" xr:uid="{00000000-0005-0000-0000-000077320000}"/>
    <cellStyle name="Bad 4 3" xfId="13312" xr:uid="{00000000-0005-0000-0000-000078320000}"/>
    <cellStyle name="Bad 4 4" xfId="13313" xr:uid="{00000000-0005-0000-0000-000079320000}"/>
    <cellStyle name="Bad 4 5" xfId="13314" xr:uid="{00000000-0005-0000-0000-00007A320000}"/>
    <cellStyle name="Bad 5" xfId="13315" xr:uid="{00000000-0005-0000-0000-00007B320000}"/>
    <cellStyle name="Bad 5 2" xfId="13316" xr:uid="{00000000-0005-0000-0000-00007C320000}"/>
    <cellStyle name="Bad 5 3" xfId="13317" xr:uid="{00000000-0005-0000-0000-00007D320000}"/>
    <cellStyle name="Bad 5 4" xfId="13318" xr:uid="{00000000-0005-0000-0000-00007E320000}"/>
    <cellStyle name="Bad 6" xfId="13319" xr:uid="{00000000-0005-0000-0000-00007F320000}"/>
    <cellStyle name="Bad 6 2" xfId="13320" xr:uid="{00000000-0005-0000-0000-000080320000}"/>
    <cellStyle name="Bad 6 3" xfId="13321" xr:uid="{00000000-0005-0000-0000-000081320000}"/>
    <cellStyle name="Bad 7" xfId="13322" xr:uid="{00000000-0005-0000-0000-000082320000}"/>
    <cellStyle name="Bad 7 2" xfId="13323" xr:uid="{00000000-0005-0000-0000-000083320000}"/>
    <cellStyle name="Bad 8" xfId="13324" xr:uid="{00000000-0005-0000-0000-000084320000}"/>
    <cellStyle name="Bad 9" xfId="13325" xr:uid="{00000000-0005-0000-0000-000085320000}"/>
    <cellStyle name="basic" xfId="9" xr:uid="{00000000-0005-0000-0000-000086320000}"/>
    <cellStyle name="billion" xfId="13326" xr:uid="{00000000-0005-0000-0000-000087320000}"/>
    <cellStyle name="Calc Currency (0)" xfId="10" xr:uid="{00000000-0005-0000-0000-000088320000}"/>
    <cellStyle name="Calculation 10" xfId="13327" xr:uid="{00000000-0005-0000-0000-000089320000}"/>
    <cellStyle name="Calculation 11" xfId="13328" xr:uid="{00000000-0005-0000-0000-00008A320000}"/>
    <cellStyle name="Calculation 2" xfId="13329" xr:uid="{00000000-0005-0000-0000-00008B320000}"/>
    <cellStyle name="Calculation 2 10" xfId="13330" xr:uid="{00000000-0005-0000-0000-00008C320000}"/>
    <cellStyle name="Calculation 2 10 2" xfId="13331" xr:uid="{00000000-0005-0000-0000-00008D320000}"/>
    <cellStyle name="Calculation 2 11" xfId="13332" xr:uid="{00000000-0005-0000-0000-00008E320000}"/>
    <cellStyle name="Calculation 2 11 2" xfId="13333" xr:uid="{00000000-0005-0000-0000-00008F320000}"/>
    <cellStyle name="Calculation 2 12" xfId="13334" xr:uid="{00000000-0005-0000-0000-000090320000}"/>
    <cellStyle name="Calculation 2 12 2" xfId="13335" xr:uid="{00000000-0005-0000-0000-000091320000}"/>
    <cellStyle name="Calculation 2 13" xfId="13336" xr:uid="{00000000-0005-0000-0000-000092320000}"/>
    <cellStyle name="Calculation 2 13 2" xfId="13337" xr:uid="{00000000-0005-0000-0000-000093320000}"/>
    <cellStyle name="Calculation 2 14" xfId="13338" xr:uid="{00000000-0005-0000-0000-000094320000}"/>
    <cellStyle name="Calculation 2 15" xfId="13339" xr:uid="{00000000-0005-0000-0000-000095320000}"/>
    <cellStyle name="Calculation 2 16" xfId="13340" xr:uid="{00000000-0005-0000-0000-000096320000}"/>
    <cellStyle name="Calculation 2 2" xfId="13341" xr:uid="{00000000-0005-0000-0000-000097320000}"/>
    <cellStyle name="Calculation 2 2 10" xfId="13342" xr:uid="{00000000-0005-0000-0000-000098320000}"/>
    <cellStyle name="Calculation 2 2 11" xfId="13343" xr:uid="{00000000-0005-0000-0000-000099320000}"/>
    <cellStyle name="Calculation 2 2 2" xfId="13344" xr:uid="{00000000-0005-0000-0000-00009A320000}"/>
    <cellStyle name="Calculation 2 2 2 2" xfId="13345" xr:uid="{00000000-0005-0000-0000-00009B320000}"/>
    <cellStyle name="Calculation 2 2 2 2 2" xfId="13346" xr:uid="{00000000-0005-0000-0000-00009C320000}"/>
    <cellStyle name="Calculation 2 2 2 2 2 2" xfId="13347" xr:uid="{00000000-0005-0000-0000-00009D320000}"/>
    <cellStyle name="Calculation 2 2 2 2 3" xfId="13348" xr:uid="{00000000-0005-0000-0000-00009E320000}"/>
    <cellStyle name="Calculation 2 2 2 2 3 2" xfId="13349" xr:uid="{00000000-0005-0000-0000-00009F320000}"/>
    <cellStyle name="Calculation 2 2 2 2 4" xfId="13350" xr:uid="{00000000-0005-0000-0000-0000A0320000}"/>
    <cellStyle name="Calculation 2 2 2 2 4 2" xfId="13351" xr:uid="{00000000-0005-0000-0000-0000A1320000}"/>
    <cellStyle name="Calculation 2 2 2 2 5" xfId="13352" xr:uid="{00000000-0005-0000-0000-0000A2320000}"/>
    <cellStyle name="Calculation 2 2 2 3" xfId="13353" xr:uid="{00000000-0005-0000-0000-0000A3320000}"/>
    <cellStyle name="Calculation 2 2 2 3 2" xfId="13354" xr:uid="{00000000-0005-0000-0000-0000A4320000}"/>
    <cellStyle name="Calculation 2 2 2 3 2 2" xfId="13355" xr:uid="{00000000-0005-0000-0000-0000A5320000}"/>
    <cellStyle name="Calculation 2 2 2 3 3" xfId="13356" xr:uid="{00000000-0005-0000-0000-0000A6320000}"/>
    <cellStyle name="Calculation 2 2 2 3 3 2" xfId="13357" xr:uid="{00000000-0005-0000-0000-0000A7320000}"/>
    <cellStyle name="Calculation 2 2 2 3 4" xfId="13358" xr:uid="{00000000-0005-0000-0000-0000A8320000}"/>
    <cellStyle name="Calculation 2 2 2 4" xfId="13359" xr:uid="{00000000-0005-0000-0000-0000A9320000}"/>
    <cellStyle name="Calculation 2 2 2 4 2" xfId="13360" xr:uid="{00000000-0005-0000-0000-0000AA320000}"/>
    <cellStyle name="Calculation 2 2 2 5" xfId="13361" xr:uid="{00000000-0005-0000-0000-0000AB320000}"/>
    <cellStyle name="Calculation 2 2 2 5 2" xfId="13362" xr:uid="{00000000-0005-0000-0000-0000AC320000}"/>
    <cellStyle name="Calculation 2 2 2 6" xfId="13363" xr:uid="{00000000-0005-0000-0000-0000AD320000}"/>
    <cellStyle name="Calculation 2 2 2 6 2" xfId="13364" xr:uid="{00000000-0005-0000-0000-0000AE320000}"/>
    <cellStyle name="Calculation 2 2 2 7" xfId="13365" xr:uid="{00000000-0005-0000-0000-0000AF320000}"/>
    <cellStyle name="Calculation 2 2 2 8" xfId="13366" xr:uid="{00000000-0005-0000-0000-0000B0320000}"/>
    <cellStyle name="Calculation 2 2 2 9" xfId="13367" xr:uid="{00000000-0005-0000-0000-0000B1320000}"/>
    <cellStyle name="Calculation 2 2 3" xfId="13368" xr:uid="{00000000-0005-0000-0000-0000B2320000}"/>
    <cellStyle name="Calculation 2 2 3 2" xfId="13369" xr:uid="{00000000-0005-0000-0000-0000B3320000}"/>
    <cellStyle name="Calculation 2 2 3 2 2" xfId="13370" xr:uid="{00000000-0005-0000-0000-0000B4320000}"/>
    <cellStyle name="Calculation 2 2 3 3" xfId="13371" xr:uid="{00000000-0005-0000-0000-0000B5320000}"/>
    <cellStyle name="Calculation 2 2 3 3 2" xfId="13372" xr:uid="{00000000-0005-0000-0000-0000B6320000}"/>
    <cellStyle name="Calculation 2 2 3 4" xfId="13373" xr:uid="{00000000-0005-0000-0000-0000B7320000}"/>
    <cellStyle name="Calculation 2 2 3 4 2" xfId="13374" xr:uid="{00000000-0005-0000-0000-0000B8320000}"/>
    <cellStyle name="Calculation 2 2 4" xfId="13375" xr:uid="{00000000-0005-0000-0000-0000B9320000}"/>
    <cellStyle name="Calculation 2 2 4 2" xfId="13376" xr:uid="{00000000-0005-0000-0000-0000BA320000}"/>
    <cellStyle name="Calculation 2 2 4 2 2" xfId="13377" xr:uid="{00000000-0005-0000-0000-0000BB320000}"/>
    <cellStyle name="Calculation 2 2 4 3" xfId="13378" xr:uid="{00000000-0005-0000-0000-0000BC320000}"/>
    <cellStyle name="Calculation 2 2 4 3 2" xfId="13379" xr:uid="{00000000-0005-0000-0000-0000BD320000}"/>
    <cellStyle name="Calculation 2 2 4 4" xfId="13380" xr:uid="{00000000-0005-0000-0000-0000BE320000}"/>
    <cellStyle name="Calculation 2 2 4 4 2" xfId="13381" xr:uid="{00000000-0005-0000-0000-0000BF320000}"/>
    <cellStyle name="Calculation 2 2 4 5" xfId="13382" xr:uid="{00000000-0005-0000-0000-0000C0320000}"/>
    <cellStyle name="Calculation 2 2 5" xfId="13383" xr:uid="{00000000-0005-0000-0000-0000C1320000}"/>
    <cellStyle name="Calculation 2 2 5 2" xfId="13384" xr:uid="{00000000-0005-0000-0000-0000C2320000}"/>
    <cellStyle name="Calculation 2 2 5 2 2" xfId="13385" xr:uid="{00000000-0005-0000-0000-0000C3320000}"/>
    <cellStyle name="Calculation 2 2 5 3" xfId="13386" xr:uid="{00000000-0005-0000-0000-0000C4320000}"/>
    <cellStyle name="Calculation 2 2 5 3 2" xfId="13387" xr:uid="{00000000-0005-0000-0000-0000C5320000}"/>
    <cellStyle name="Calculation 2 2 5 4" xfId="13388" xr:uid="{00000000-0005-0000-0000-0000C6320000}"/>
    <cellStyle name="Calculation 2 2 6" xfId="13389" xr:uid="{00000000-0005-0000-0000-0000C7320000}"/>
    <cellStyle name="Calculation 2 2 6 2" xfId="13390" xr:uid="{00000000-0005-0000-0000-0000C8320000}"/>
    <cellStyle name="Calculation 2 2 7" xfId="13391" xr:uid="{00000000-0005-0000-0000-0000C9320000}"/>
    <cellStyle name="Calculation 2 2 7 2" xfId="13392" xr:uid="{00000000-0005-0000-0000-0000CA320000}"/>
    <cellStyle name="Calculation 2 2 8" xfId="13393" xr:uid="{00000000-0005-0000-0000-0000CB320000}"/>
    <cellStyle name="Calculation 2 2 8 2" xfId="13394" xr:uid="{00000000-0005-0000-0000-0000CC320000}"/>
    <cellStyle name="Calculation 2 2 9" xfId="13395" xr:uid="{00000000-0005-0000-0000-0000CD320000}"/>
    <cellStyle name="Calculation 2 2 9 2" xfId="13396" xr:uid="{00000000-0005-0000-0000-0000CE320000}"/>
    <cellStyle name="Calculation 2 3" xfId="13397" xr:uid="{00000000-0005-0000-0000-0000CF320000}"/>
    <cellStyle name="Calculation 2 3 2" xfId="13398" xr:uid="{00000000-0005-0000-0000-0000D0320000}"/>
    <cellStyle name="Calculation 2 3 2 2" xfId="13399" xr:uid="{00000000-0005-0000-0000-0000D1320000}"/>
    <cellStyle name="Calculation 2 3 2 2 2" xfId="13400" xr:uid="{00000000-0005-0000-0000-0000D2320000}"/>
    <cellStyle name="Calculation 2 3 2 3" xfId="13401" xr:uid="{00000000-0005-0000-0000-0000D3320000}"/>
    <cellStyle name="Calculation 2 3 2 3 2" xfId="13402" xr:uid="{00000000-0005-0000-0000-0000D4320000}"/>
    <cellStyle name="Calculation 2 3 2 4" xfId="13403" xr:uid="{00000000-0005-0000-0000-0000D5320000}"/>
    <cellStyle name="Calculation 2 3 2 4 2" xfId="13404" xr:uid="{00000000-0005-0000-0000-0000D6320000}"/>
    <cellStyle name="Calculation 2 3 2 5" xfId="13405" xr:uid="{00000000-0005-0000-0000-0000D7320000}"/>
    <cellStyle name="Calculation 2 3 3" xfId="13406" xr:uid="{00000000-0005-0000-0000-0000D8320000}"/>
    <cellStyle name="Calculation 2 3 3 2" xfId="13407" xr:uid="{00000000-0005-0000-0000-0000D9320000}"/>
    <cellStyle name="Calculation 2 3 3 2 2" xfId="13408" xr:uid="{00000000-0005-0000-0000-0000DA320000}"/>
    <cellStyle name="Calculation 2 3 3 3" xfId="13409" xr:uid="{00000000-0005-0000-0000-0000DB320000}"/>
    <cellStyle name="Calculation 2 3 3 3 2" xfId="13410" xr:uid="{00000000-0005-0000-0000-0000DC320000}"/>
    <cellStyle name="Calculation 2 3 3 4" xfId="13411" xr:uid="{00000000-0005-0000-0000-0000DD320000}"/>
    <cellStyle name="Calculation 2 3 3 4 2" xfId="13412" xr:uid="{00000000-0005-0000-0000-0000DE320000}"/>
    <cellStyle name="Calculation 2 3 4" xfId="13413" xr:uid="{00000000-0005-0000-0000-0000DF320000}"/>
    <cellStyle name="Calculation 2 3 4 2" xfId="13414" xr:uid="{00000000-0005-0000-0000-0000E0320000}"/>
    <cellStyle name="Calculation 2 3 5" xfId="13415" xr:uid="{00000000-0005-0000-0000-0000E1320000}"/>
    <cellStyle name="Calculation 2 3 5 2" xfId="13416" xr:uid="{00000000-0005-0000-0000-0000E2320000}"/>
    <cellStyle name="Calculation 2 3 6" xfId="13417" xr:uid="{00000000-0005-0000-0000-0000E3320000}"/>
    <cellStyle name="Calculation 2 3 6 2" xfId="13418" xr:uid="{00000000-0005-0000-0000-0000E4320000}"/>
    <cellStyle name="Calculation 2 3 7" xfId="13419" xr:uid="{00000000-0005-0000-0000-0000E5320000}"/>
    <cellStyle name="Calculation 2 3 8" xfId="13420" xr:uid="{00000000-0005-0000-0000-0000E6320000}"/>
    <cellStyle name="Calculation 2 3 9" xfId="13421" xr:uid="{00000000-0005-0000-0000-0000E7320000}"/>
    <cellStyle name="Calculation 2 4" xfId="13422" xr:uid="{00000000-0005-0000-0000-0000E8320000}"/>
    <cellStyle name="Calculation 2 4 2" xfId="13423" xr:uid="{00000000-0005-0000-0000-0000E9320000}"/>
    <cellStyle name="Calculation 2 4 3" xfId="13424" xr:uid="{00000000-0005-0000-0000-0000EA320000}"/>
    <cellStyle name="Calculation 2 4 3 2" xfId="13425" xr:uid="{00000000-0005-0000-0000-0000EB320000}"/>
    <cellStyle name="Calculation 2 4 4" xfId="13426" xr:uid="{00000000-0005-0000-0000-0000EC320000}"/>
    <cellStyle name="Calculation 2 4 4 2" xfId="13427" xr:uid="{00000000-0005-0000-0000-0000ED320000}"/>
    <cellStyle name="Calculation 2 4 5" xfId="13428" xr:uid="{00000000-0005-0000-0000-0000EE320000}"/>
    <cellStyle name="Calculation 2 4 5 2" xfId="13429" xr:uid="{00000000-0005-0000-0000-0000EF320000}"/>
    <cellStyle name="Calculation 2 4 6" xfId="13430" xr:uid="{00000000-0005-0000-0000-0000F0320000}"/>
    <cellStyle name="Calculation 2 4 7" xfId="13431" xr:uid="{00000000-0005-0000-0000-0000F1320000}"/>
    <cellStyle name="Calculation 2 5" xfId="13432" xr:uid="{00000000-0005-0000-0000-0000F2320000}"/>
    <cellStyle name="Calculation 2 5 2" xfId="13433" xr:uid="{00000000-0005-0000-0000-0000F3320000}"/>
    <cellStyle name="Calculation 2 5 2 2" xfId="13434" xr:uid="{00000000-0005-0000-0000-0000F4320000}"/>
    <cellStyle name="Calculation 2 5 3" xfId="13435" xr:uid="{00000000-0005-0000-0000-0000F5320000}"/>
    <cellStyle name="Calculation 2 5 3 2" xfId="13436" xr:uid="{00000000-0005-0000-0000-0000F6320000}"/>
    <cellStyle name="Calculation 2 5 4" xfId="13437" xr:uid="{00000000-0005-0000-0000-0000F7320000}"/>
    <cellStyle name="Calculation 2 5 4 2" xfId="13438" xr:uid="{00000000-0005-0000-0000-0000F8320000}"/>
    <cellStyle name="Calculation 2 5 5" xfId="13439" xr:uid="{00000000-0005-0000-0000-0000F9320000}"/>
    <cellStyle name="Calculation 2 5 5 2" xfId="13440" xr:uid="{00000000-0005-0000-0000-0000FA320000}"/>
    <cellStyle name="Calculation 2 5 6" xfId="13441" xr:uid="{00000000-0005-0000-0000-0000FB320000}"/>
    <cellStyle name="Calculation 2 6" xfId="13442" xr:uid="{00000000-0005-0000-0000-0000FC320000}"/>
    <cellStyle name="Calculation 2 6 2" xfId="13443" xr:uid="{00000000-0005-0000-0000-0000FD320000}"/>
    <cellStyle name="Calculation 2 6 3" xfId="13444" xr:uid="{00000000-0005-0000-0000-0000FE320000}"/>
    <cellStyle name="Calculation 2 6 3 2" xfId="13445" xr:uid="{00000000-0005-0000-0000-0000FF320000}"/>
    <cellStyle name="Calculation 2 6 4" xfId="13446" xr:uid="{00000000-0005-0000-0000-000000330000}"/>
    <cellStyle name="Calculation 2 6 4 2" xfId="13447" xr:uid="{00000000-0005-0000-0000-000001330000}"/>
    <cellStyle name="Calculation 2 6 5" xfId="13448" xr:uid="{00000000-0005-0000-0000-000002330000}"/>
    <cellStyle name="Calculation 2 6 5 2" xfId="13449" xr:uid="{00000000-0005-0000-0000-000003330000}"/>
    <cellStyle name="Calculation 2 7" xfId="13450" xr:uid="{00000000-0005-0000-0000-000004330000}"/>
    <cellStyle name="Calculation 2 7 2" xfId="13451" xr:uid="{00000000-0005-0000-0000-000005330000}"/>
    <cellStyle name="Calculation 2 7 2 2" xfId="13452" xr:uid="{00000000-0005-0000-0000-000006330000}"/>
    <cellStyle name="Calculation 2 8" xfId="13453" xr:uid="{00000000-0005-0000-0000-000007330000}"/>
    <cellStyle name="Calculation 2 8 2" xfId="13454" xr:uid="{00000000-0005-0000-0000-000008330000}"/>
    <cellStyle name="Calculation 2 9" xfId="13455" xr:uid="{00000000-0005-0000-0000-000009330000}"/>
    <cellStyle name="Calculation 2 9 2" xfId="13456" xr:uid="{00000000-0005-0000-0000-00000A330000}"/>
    <cellStyle name="Calculation 3" xfId="13457" xr:uid="{00000000-0005-0000-0000-00000B330000}"/>
    <cellStyle name="Calculation 3 10" xfId="13458" xr:uid="{00000000-0005-0000-0000-00000C330000}"/>
    <cellStyle name="Calculation 3 11" xfId="13459" xr:uid="{00000000-0005-0000-0000-00000D330000}"/>
    <cellStyle name="Calculation 3 2" xfId="13460" xr:uid="{00000000-0005-0000-0000-00000E330000}"/>
    <cellStyle name="Calculation 3 2 2" xfId="13461" xr:uid="{00000000-0005-0000-0000-00000F330000}"/>
    <cellStyle name="Calculation 3 2 2 2" xfId="13462" xr:uid="{00000000-0005-0000-0000-000010330000}"/>
    <cellStyle name="Calculation 3 2 2 2 2" xfId="13463" xr:uid="{00000000-0005-0000-0000-000011330000}"/>
    <cellStyle name="Calculation 3 2 2 3" xfId="13464" xr:uid="{00000000-0005-0000-0000-000012330000}"/>
    <cellStyle name="Calculation 3 2 2 3 2" xfId="13465" xr:uid="{00000000-0005-0000-0000-000013330000}"/>
    <cellStyle name="Calculation 3 2 2 4" xfId="13466" xr:uid="{00000000-0005-0000-0000-000014330000}"/>
    <cellStyle name="Calculation 3 2 2 4 2" xfId="13467" xr:uid="{00000000-0005-0000-0000-000015330000}"/>
    <cellStyle name="Calculation 3 2 2 5" xfId="13468" xr:uid="{00000000-0005-0000-0000-000016330000}"/>
    <cellStyle name="Calculation 3 2 2 6" xfId="13469" xr:uid="{00000000-0005-0000-0000-000017330000}"/>
    <cellStyle name="Calculation 3 2 3" xfId="13470" xr:uid="{00000000-0005-0000-0000-000018330000}"/>
    <cellStyle name="Calculation 3 2 3 2" xfId="13471" xr:uid="{00000000-0005-0000-0000-000019330000}"/>
    <cellStyle name="Calculation 3 2 3 3" xfId="13472" xr:uid="{00000000-0005-0000-0000-00001A330000}"/>
    <cellStyle name="Calculation 3 2 4" xfId="13473" xr:uid="{00000000-0005-0000-0000-00001B330000}"/>
    <cellStyle name="Calculation 3 2 4 2" xfId="13474" xr:uid="{00000000-0005-0000-0000-00001C330000}"/>
    <cellStyle name="Calculation 3 2 5" xfId="13475" xr:uid="{00000000-0005-0000-0000-00001D330000}"/>
    <cellStyle name="Calculation 3 2 5 2" xfId="13476" xr:uid="{00000000-0005-0000-0000-00001E330000}"/>
    <cellStyle name="Calculation 3 2 6" xfId="13477" xr:uid="{00000000-0005-0000-0000-00001F330000}"/>
    <cellStyle name="Calculation 3 2 6 2" xfId="13478" xr:uid="{00000000-0005-0000-0000-000020330000}"/>
    <cellStyle name="Calculation 3 2 7" xfId="13479" xr:uid="{00000000-0005-0000-0000-000021330000}"/>
    <cellStyle name="Calculation 3 2 7 2" xfId="13480" xr:uid="{00000000-0005-0000-0000-000022330000}"/>
    <cellStyle name="Calculation 3 2 8" xfId="13481" xr:uid="{00000000-0005-0000-0000-000023330000}"/>
    <cellStyle name="Calculation 3 2 9" xfId="13482" xr:uid="{00000000-0005-0000-0000-000024330000}"/>
    <cellStyle name="Calculation 3 3" xfId="13483" xr:uid="{00000000-0005-0000-0000-000025330000}"/>
    <cellStyle name="Calculation 3 3 2" xfId="13484" xr:uid="{00000000-0005-0000-0000-000026330000}"/>
    <cellStyle name="Calculation 3 3 2 2" xfId="13485" xr:uid="{00000000-0005-0000-0000-000027330000}"/>
    <cellStyle name="Calculation 3 3 3" xfId="13486" xr:uid="{00000000-0005-0000-0000-000028330000}"/>
    <cellStyle name="Calculation 3 3 3 2" xfId="13487" xr:uid="{00000000-0005-0000-0000-000029330000}"/>
    <cellStyle name="Calculation 3 3 4" xfId="13488" xr:uid="{00000000-0005-0000-0000-00002A330000}"/>
    <cellStyle name="Calculation 3 3 4 2" xfId="13489" xr:uid="{00000000-0005-0000-0000-00002B330000}"/>
    <cellStyle name="Calculation 3 3 5" xfId="13490" xr:uid="{00000000-0005-0000-0000-00002C330000}"/>
    <cellStyle name="Calculation 3 3 5 2" xfId="13491" xr:uid="{00000000-0005-0000-0000-00002D330000}"/>
    <cellStyle name="Calculation 3 3 6" xfId="13492" xr:uid="{00000000-0005-0000-0000-00002E330000}"/>
    <cellStyle name="Calculation 3 3 7" xfId="13493" xr:uid="{00000000-0005-0000-0000-00002F330000}"/>
    <cellStyle name="Calculation 3 3 8" xfId="13494" xr:uid="{00000000-0005-0000-0000-000030330000}"/>
    <cellStyle name="Calculation 3 4" xfId="13495" xr:uid="{00000000-0005-0000-0000-000031330000}"/>
    <cellStyle name="Calculation 3 4 2" xfId="13496" xr:uid="{00000000-0005-0000-0000-000032330000}"/>
    <cellStyle name="Calculation 3 4 2 2" xfId="13497" xr:uid="{00000000-0005-0000-0000-000033330000}"/>
    <cellStyle name="Calculation 3 4 3" xfId="13498" xr:uid="{00000000-0005-0000-0000-000034330000}"/>
    <cellStyle name="Calculation 3 4 3 2" xfId="13499" xr:uid="{00000000-0005-0000-0000-000035330000}"/>
    <cellStyle name="Calculation 3 4 4" xfId="13500" xr:uid="{00000000-0005-0000-0000-000036330000}"/>
    <cellStyle name="Calculation 3 4 4 2" xfId="13501" xr:uid="{00000000-0005-0000-0000-000037330000}"/>
    <cellStyle name="Calculation 3 4 5" xfId="13502" xr:uid="{00000000-0005-0000-0000-000038330000}"/>
    <cellStyle name="Calculation 3 4 6" xfId="13503" xr:uid="{00000000-0005-0000-0000-000039330000}"/>
    <cellStyle name="Calculation 3 5" xfId="13504" xr:uid="{00000000-0005-0000-0000-00003A330000}"/>
    <cellStyle name="Calculation 3 5 2" xfId="13505" xr:uid="{00000000-0005-0000-0000-00003B330000}"/>
    <cellStyle name="Calculation 3 5 2 2" xfId="13506" xr:uid="{00000000-0005-0000-0000-00003C330000}"/>
    <cellStyle name="Calculation 3 5 3" xfId="13507" xr:uid="{00000000-0005-0000-0000-00003D330000}"/>
    <cellStyle name="Calculation 3 5 3 2" xfId="13508" xr:uid="{00000000-0005-0000-0000-00003E330000}"/>
    <cellStyle name="Calculation 3 5 4" xfId="13509" xr:uid="{00000000-0005-0000-0000-00003F330000}"/>
    <cellStyle name="Calculation 3 5 4 2" xfId="13510" xr:uid="{00000000-0005-0000-0000-000040330000}"/>
    <cellStyle name="Calculation 3 5 5" xfId="13511" xr:uid="{00000000-0005-0000-0000-000041330000}"/>
    <cellStyle name="Calculation 3 5 6" xfId="13512" xr:uid="{00000000-0005-0000-0000-000042330000}"/>
    <cellStyle name="Calculation 3 6" xfId="13513" xr:uid="{00000000-0005-0000-0000-000043330000}"/>
    <cellStyle name="Calculation 3 6 2" xfId="13514" xr:uid="{00000000-0005-0000-0000-000044330000}"/>
    <cellStyle name="Calculation 3 7" xfId="13515" xr:uid="{00000000-0005-0000-0000-000045330000}"/>
    <cellStyle name="Calculation 3 7 2" xfId="13516" xr:uid="{00000000-0005-0000-0000-000046330000}"/>
    <cellStyle name="Calculation 3 8" xfId="13517" xr:uid="{00000000-0005-0000-0000-000047330000}"/>
    <cellStyle name="Calculation 3 8 2" xfId="13518" xr:uid="{00000000-0005-0000-0000-000048330000}"/>
    <cellStyle name="Calculation 3 9" xfId="13519" xr:uid="{00000000-0005-0000-0000-000049330000}"/>
    <cellStyle name="Calculation 3 9 2" xfId="13520" xr:uid="{00000000-0005-0000-0000-00004A330000}"/>
    <cellStyle name="Calculation 4" xfId="13521" xr:uid="{00000000-0005-0000-0000-00004B330000}"/>
    <cellStyle name="Calculation 4 10" xfId="13522" xr:uid="{00000000-0005-0000-0000-00004C330000}"/>
    <cellStyle name="Calculation 4 2" xfId="13523" xr:uid="{00000000-0005-0000-0000-00004D330000}"/>
    <cellStyle name="Calculation 4 2 2" xfId="13524" xr:uid="{00000000-0005-0000-0000-00004E330000}"/>
    <cellStyle name="Calculation 4 2 2 2" xfId="13525" xr:uid="{00000000-0005-0000-0000-00004F330000}"/>
    <cellStyle name="Calculation 4 2 2 3" xfId="13526" xr:uid="{00000000-0005-0000-0000-000050330000}"/>
    <cellStyle name="Calculation 4 2 3" xfId="13527" xr:uid="{00000000-0005-0000-0000-000051330000}"/>
    <cellStyle name="Calculation 4 2 3 2" xfId="13528" xr:uid="{00000000-0005-0000-0000-000052330000}"/>
    <cellStyle name="Calculation 4 2 3 3" xfId="13529" xr:uid="{00000000-0005-0000-0000-000053330000}"/>
    <cellStyle name="Calculation 4 2 4" xfId="13530" xr:uid="{00000000-0005-0000-0000-000054330000}"/>
    <cellStyle name="Calculation 4 2 5" xfId="13531" xr:uid="{00000000-0005-0000-0000-000055330000}"/>
    <cellStyle name="Calculation 4 3" xfId="13532" xr:uid="{00000000-0005-0000-0000-000056330000}"/>
    <cellStyle name="Calculation 4 3 2" xfId="13533" xr:uid="{00000000-0005-0000-0000-000057330000}"/>
    <cellStyle name="Calculation 4 3 3" xfId="13534" xr:uid="{00000000-0005-0000-0000-000058330000}"/>
    <cellStyle name="Calculation 4 4" xfId="13535" xr:uid="{00000000-0005-0000-0000-000059330000}"/>
    <cellStyle name="Calculation 4 4 2" xfId="13536" xr:uid="{00000000-0005-0000-0000-00005A330000}"/>
    <cellStyle name="Calculation 4 4 3" xfId="13537" xr:uid="{00000000-0005-0000-0000-00005B330000}"/>
    <cellStyle name="Calculation 4 5" xfId="13538" xr:uid="{00000000-0005-0000-0000-00005C330000}"/>
    <cellStyle name="Calculation 4 5 2" xfId="13539" xr:uid="{00000000-0005-0000-0000-00005D330000}"/>
    <cellStyle name="Calculation 4 6" xfId="13540" xr:uid="{00000000-0005-0000-0000-00005E330000}"/>
    <cellStyle name="Calculation 4 6 2" xfId="13541" xr:uid="{00000000-0005-0000-0000-00005F330000}"/>
    <cellStyle name="Calculation 4 7" xfId="13542" xr:uid="{00000000-0005-0000-0000-000060330000}"/>
    <cellStyle name="Calculation 4 7 2" xfId="13543" xr:uid="{00000000-0005-0000-0000-000061330000}"/>
    <cellStyle name="Calculation 4 8" xfId="13544" xr:uid="{00000000-0005-0000-0000-000062330000}"/>
    <cellStyle name="Calculation 4 9" xfId="13545" xr:uid="{00000000-0005-0000-0000-000063330000}"/>
    <cellStyle name="Calculation 5" xfId="13546" xr:uid="{00000000-0005-0000-0000-000064330000}"/>
    <cellStyle name="Calculation 5 2" xfId="13547" xr:uid="{00000000-0005-0000-0000-000065330000}"/>
    <cellStyle name="Calculation 5 2 2" xfId="13548" xr:uid="{00000000-0005-0000-0000-000066330000}"/>
    <cellStyle name="Calculation 5 2 2 2" xfId="13549" xr:uid="{00000000-0005-0000-0000-000067330000}"/>
    <cellStyle name="Calculation 5 2 2 3" xfId="13550" xr:uid="{00000000-0005-0000-0000-000068330000}"/>
    <cellStyle name="Calculation 5 2 3" xfId="13551" xr:uid="{00000000-0005-0000-0000-000069330000}"/>
    <cellStyle name="Calculation 5 2 3 2" xfId="13552" xr:uid="{00000000-0005-0000-0000-00006A330000}"/>
    <cellStyle name="Calculation 5 2 3 3" xfId="13553" xr:uid="{00000000-0005-0000-0000-00006B330000}"/>
    <cellStyle name="Calculation 5 2 4" xfId="13554" xr:uid="{00000000-0005-0000-0000-00006C330000}"/>
    <cellStyle name="Calculation 5 2 5" xfId="13555" xr:uid="{00000000-0005-0000-0000-00006D330000}"/>
    <cellStyle name="Calculation 5 3" xfId="13556" xr:uid="{00000000-0005-0000-0000-00006E330000}"/>
    <cellStyle name="Calculation 5 3 2" xfId="13557" xr:uid="{00000000-0005-0000-0000-00006F330000}"/>
    <cellStyle name="Calculation 5 3 3" xfId="13558" xr:uid="{00000000-0005-0000-0000-000070330000}"/>
    <cellStyle name="Calculation 5 4" xfId="13559" xr:uid="{00000000-0005-0000-0000-000071330000}"/>
    <cellStyle name="Calculation 5 4 2" xfId="13560" xr:uid="{00000000-0005-0000-0000-000072330000}"/>
    <cellStyle name="Calculation 5 4 3" xfId="13561" xr:uid="{00000000-0005-0000-0000-000073330000}"/>
    <cellStyle name="Calculation 5 5" xfId="13562" xr:uid="{00000000-0005-0000-0000-000074330000}"/>
    <cellStyle name="Calculation 5 6" xfId="13563" xr:uid="{00000000-0005-0000-0000-000075330000}"/>
    <cellStyle name="Calculation 5 7" xfId="13564" xr:uid="{00000000-0005-0000-0000-000076330000}"/>
    <cellStyle name="Calculation 5 8" xfId="13565" xr:uid="{00000000-0005-0000-0000-000077330000}"/>
    <cellStyle name="Calculation 5 9" xfId="13566" xr:uid="{00000000-0005-0000-0000-000078330000}"/>
    <cellStyle name="Calculation 6" xfId="13567" xr:uid="{00000000-0005-0000-0000-000079330000}"/>
    <cellStyle name="Calculation 6 2" xfId="13568" xr:uid="{00000000-0005-0000-0000-00007A330000}"/>
    <cellStyle name="Calculation 6 2 2" xfId="13569" xr:uid="{00000000-0005-0000-0000-00007B330000}"/>
    <cellStyle name="Calculation 6 2 2 2" xfId="13570" xr:uid="{00000000-0005-0000-0000-00007C330000}"/>
    <cellStyle name="Calculation 6 2 2 3" xfId="13571" xr:uid="{00000000-0005-0000-0000-00007D330000}"/>
    <cellStyle name="Calculation 6 2 3" xfId="13572" xr:uid="{00000000-0005-0000-0000-00007E330000}"/>
    <cellStyle name="Calculation 6 2 3 2" xfId="13573" xr:uid="{00000000-0005-0000-0000-00007F330000}"/>
    <cellStyle name="Calculation 6 2 3 3" xfId="13574" xr:uid="{00000000-0005-0000-0000-000080330000}"/>
    <cellStyle name="Calculation 6 2 4" xfId="13575" xr:uid="{00000000-0005-0000-0000-000081330000}"/>
    <cellStyle name="Calculation 6 2 5" xfId="13576" xr:uid="{00000000-0005-0000-0000-000082330000}"/>
    <cellStyle name="Calculation 6 3" xfId="13577" xr:uid="{00000000-0005-0000-0000-000083330000}"/>
    <cellStyle name="Calculation 6 3 2" xfId="13578" xr:uid="{00000000-0005-0000-0000-000084330000}"/>
    <cellStyle name="Calculation 6 3 3" xfId="13579" xr:uid="{00000000-0005-0000-0000-000085330000}"/>
    <cellStyle name="Calculation 6 4" xfId="13580" xr:uid="{00000000-0005-0000-0000-000086330000}"/>
    <cellStyle name="Calculation 6 4 2" xfId="13581" xr:uid="{00000000-0005-0000-0000-000087330000}"/>
    <cellStyle name="Calculation 6 4 3" xfId="13582" xr:uid="{00000000-0005-0000-0000-000088330000}"/>
    <cellStyle name="Calculation 6 5" xfId="13583" xr:uid="{00000000-0005-0000-0000-000089330000}"/>
    <cellStyle name="Calculation 6 5 2" xfId="13584" xr:uid="{00000000-0005-0000-0000-00008A330000}"/>
    <cellStyle name="Calculation 6 6" xfId="13585" xr:uid="{00000000-0005-0000-0000-00008B330000}"/>
    <cellStyle name="Calculation 6 7" xfId="13586" xr:uid="{00000000-0005-0000-0000-00008C330000}"/>
    <cellStyle name="Calculation 6 8" xfId="13587" xr:uid="{00000000-0005-0000-0000-00008D330000}"/>
    <cellStyle name="Calculation 6 9" xfId="13588" xr:uid="{00000000-0005-0000-0000-00008E330000}"/>
    <cellStyle name="Calculation 7" xfId="13589" xr:uid="{00000000-0005-0000-0000-00008F330000}"/>
    <cellStyle name="Calculation 7 2" xfId="13590" xr:uid="{00000000-0005-0000-0000-000090330000}"/>
    <cellStyle name="Calculation 7 2 2" xfId="13591" xr:uid="{00000000-0005-0000-0000-000091330000}"/>
    <cellStyle name="Calculation 7 2 2 2" xfId="13592" xr:uid="{00000000-0005-0000-0000-000092330000}"/>
    <cellStyle name="Calculation 7 2 2 3" xfId="13593" xr:uid="{00000000-0005-0000-0000-000093330000}"/>
    <cellStyle name="Calculation 7 2 3" xfId="13594" xr:uid="{00000000-0005-0000-0000-000094330000}"/>
    <cellStyle name="Calculation 7 2 3 2" xfId="13595" xr:uid="{00000000-0005-0000-0000-000095330000}"/>
    <cellStyle name="Calculation 7 2 3 3" xfId="13596" xr:uid="{00000000-0005-0000-0000-000096330000}"/>
    <cellStyle name="Calculation 7 2 4" xfId="13597" xr:uid="{00000000-0005-0000-0000-000097330000}"/>
    <cellStyle name="Calculation 7 2 5" xfId="13598" xr:uid="{00000000-0005-0000-0000-000098330000}"/>
    <cellStyle name="Calculation 7 3" xfId="13599" xr:uid="{00000000-0005-0000-0000-000099330000}"/>
    <cellStyle name="Calculation 7 3 2" xfId="13600" xr:uid="{00000000-0005-0000-0000-00009A330000}"/>
    <cellStyle name="Calculation 7 3 3" xfId="13601" xr:uid="{00000000-0005-0000-0000-00009B330000}"/>
    <cellStyle name="Calculation 7 4" xfId="13602" xr:uid="{00000000-0005-0000-0000-00009C330000}"/>
    <cellStyle name="Calculation 7 4 2" xfId="13603" xr:uid="{00000000-0005-0000-0000-00009D330000}"/>
    <cellStyle name="Calculation 7 4 3" xfId="13604" xr:uid="{00000000-0005-0000-0000-00009E330000}"/>
    <cellStyle name="Calculation 7 5" xfId="13605" xr:uid="{00000000-0005-0000-0000-00009F330000}"/>
    <cellStyle name="Calculation 7 6" xfId="13606" xr:uid="{00000000-0005-0000-0000-0000A0330000}"/>
    <cellStyle name="Calculation 7 7" xfId="13607" xr:uid="{00000000-0005-0000-0000-0000A1330000}"/>
    <cellStyle name="Calculation 7 8" xfId="13608" xr:uid="{00000000-0005-0000-0000-0000A2330000}"/>
    <cellStyle name="Calculation 7 9" xfId="13609" xr:uid="{00000000-0005-0000-0000-0000A3330000}"/>
    <cellStyle name="Calculation 8" xfId="13610" xr:uid="{00000000-0005-0000-0000-0000A4330000}"/>
    <cellStyle name="Calculation 9" xfId="13611" xr:uid="{00000000-0005-0000-0000-0000A5330000}"/>
    <cellStyle name="Check Cell 10" xfId="13612" xr:uid="{00000000-0005-0000-0000-0000A6330000}"/>
    <cellStyle name="Check Cell 2" xfId="13613" xr:uid="{00000000-0005-0000-0000-0000A7330000}"/>
    <cellStyle name="Check Cell 2 10" xfId="13614" xr:uid="{00000000-0005-0000-0000-0000A8330000}"/>
    <cellStyle name="Check Cell 2 11" xfId="13615" xr:uid="{00000000-0005-0000-0000-0000A9330000}"/>
    <cellStyle name="Check Cell 2 2" xfId="13616" xr:uid="{00000000-0005-0000-0000-0000AA330000}"/>
    <cellStyle name="Check Cell 2 2 2" xfId="13617" xr:uid="{00000000-0005-0000-0000-0000AB330000}"/>
    <cellStyle name="Check Cell 2 2 2 2" xfId="13618" xr:uid="{00000000-0005-0000-0000-0000AC330000}"/>
    <cellStyle name="Check Cell 2 2 2 3" xfId="13619" xr:uid="{00000000-0005-0000-0000-0000AD330000}"/>
    <cellStyle name="Check Cell 2 2 2 4" xfId="13620" xr:uid="{00000000-0005-0000-0000-0000AE330000}"/>
    <cellStyle name="Check Cell 2 2 3" xfId="13621" xr:uid="{00000000-0005-0000-0000-0000AF330000}"/>
    <cellStyle name="Check Cell 2 2 4" xfId="13622" xr:uid="{00000000-0005-0000-0000-0000B0330000}"/>
    <cellStyle name="Check Cell 2 2 5" xfId="13623" xr:uid="{00000000-0005-0000-0000-0000B1330000}"/>
    <cellStyle name="Check Cell 2 2 6" xfId="13624" xr:uid="{00000000-0005-0000-0000-0000B2330000}"/>
    <cellStyle name="Check Cell 2 3" xfId="13625" xr:uid="{00000000-0005-0000-0000-0000B3330000}"/>
    <cellStyle name="Check Cell 2 3 2" xfId="13626" xr:uid="{00000000-0005-0000-0000-0000B4330000}"/>
    <cellStyle name="Check Cell 2 3 3" xfId="13627" xr:uid="{00000000-0005-0000-0000-0000B5330000}"/>
    <cellStyle name="Check Cell 2 3 4" xfId="13628" xr:uid="{00000000-0005-0000-0000-0000B6330000}"/>
    <cellStyle name="Check Cell 2 3 5" xfId="13629" xr:uid="{00000000-0005-0000-0000-0000B7330000}"/>
    <cellStyle name="Check Cell 2 4" xfId="13630" xr:uid="{00000000-0005-0000-0000-0000B8330000}"/>
    <cellStyle name="Check Cell 2 4 2" xfId="13631" xr:uid="{00000000-0005-0000-0000-0000B9330000}"/>
    <cellStyle name="Check Cell 2 4 3" xfId="13632" xr:uid="{00000000-0005-0000-0000-0000BA330000}"/>
    <cellStyle name="Check Cell 2 4 4" xfId="13633" xr:uid="{00000000-0005-0000-0000-0000BB330000}"/>
    <cellStyle name="Check Cell 2 5" xfId="13634" xr:uid="{00000000-0005-0000-0000-0000BC330000}"/>
    <cellStyle name="Check Cell 2 5 2" xfId="13635" xr:uid="{00000000-0005-0000-0000-0000BD330000}"/>
    <cellStyle name="Check Cell 2 6" xfId="13636" xr:uid="{00000000-0005-0000-0000-0000BE330000}"/>
    <cellStyle name="Check Cell 2 6 2" xfId="13637" xr:uid="{00000000-0005-0000-0000-0000BF330000}"/>
    <cellStyle name="Check Cell 2 7" xfId="13638" xr:uid="{00000000-0005-0000-0000-0000C0330000}"/>
    <cellStyle name="Check Cell 2 7 2" xfId="13639" xr:uid="{00000000-0005-0000-0000-0000C1330000}"/>
    <cellStyle name="Check Cell 2 8" xfId="13640" xr:uid="{00000000-0005-0000-0000-0000C2330000}"/>
    <cellStyle name="Check Cell 2 9" xfId="13641" xr:uid="{00000000-0005-0000-0000-0000C3330000}"/>
    <cellStyle name="Check Cell 3" xfId="13642" xr:uid="{00000000-0005-0000-0000-0000C4330000}"/>
    <cellStyle name="Check Cell 3 2" xfId="13643" xr:uid="{00000000-0005-0000-0000-0000C5330000}"/>
    <cellStyle name="Check Cell 3 2 2" xfId="13644" xr:uid="{00000000-0005-0000-0000-0000C6330000}"/>
    <cellStyle name="Check Cell 3 2 2 2" xfId="13645" xr:uid="{00000000-0005-0000-0000-0000C7330000}"/>
    <cellStyle name="Check Cell 3 2 3" xfId="13646" xr:uid="{00000000-0005-0000-0000-0000C8330000}"/>
    <cellStyle name="Check Cell 3 2 3 2" xfId="13647" xr:uid="{00000000-0005-0000-0000-0000C9330000}"/>
    <cellStyle name="Check Cell 3 2 4" xfId="13648" xr:uid="{00000000-0005-0000-0000-0000CA330000}"/>
    <cellStyle name="Check Cell 3 2 5" xfId="13649" xr:uid="{00000000-0005-0000-0000-0000CB330000}"/>
    <cellStyle name="Check Cell 3 3" xfId="13650" xr:uid="{00000000-0005-0000-0000-0000CC330000}"/>
    <cellStyle name="Check Cell 3 3 2" xfId="13651" xr:uid="{00000000-0005-0000-0000-0000CD330000}"/>
    <cellStyle name="Check Cell 3 3 3" xfId="13652" xr:uid="{00000000-0005-0000-0000-0000CE330000}"/>
    <cellStyle name="Check Cell 3 3 4" xfId="13653" xr:uid="{00000000-0005-0000-0000-0000CF330000}"/>
    <cellStyle name="Check Cell 3 4" xfId="13654" xr:uid="{00000000-0005-0000-0000-0000D0330000}"/>
    <cellStyle name="Check Cell 3 4 2" xfId="13655" xr:uid="{00000000-0005-0000-0000-0000D1330000}"/>
    <cellStyle name="Check Cell 3 5" xfId="13656" xr:uid="{00000000-0005-0000-0000-0000D2330000}"/>
    <cellStyle name="Check Cell 3 5 2" xfId="13657" xr:uid="{00000000-0005-0000-0000-0000D3330000}"/>
    <cellStyle name="Check Cell 3 6" xfId="13658" xr:uid="{00000000-0005-0000-0000-0000D4330000}"/>
    <cellStyle name="Check Cell 3 7" xfId="13659" xr:uid="{00000000-0005-0000-0000-0000D5330000}"/>
    <cellStyle name="Check Cell 4" xfId="13660" xr:uid="{00000000-0005-0000-0000-0000D6330000}"/>
    <cellStyle name="Check Cell 4 2" xfId="13661" xr:uid="{00000000-0005-0000-0000-0000D7330000}"/>
    <cellStyle name="Check Cell 4 3" xfId="13662" xr:uid="{00000000-0005-0000-0000-0000D8330000}"/>
    <cellStyle name="Check Cell 4 4" xfId="13663" xr:uid="{00000000-0005-0000-0000-0000D9330000}"/>
    <cellStyle name="Check Cell 4 5" xfId="13664" xr:uid="{00000000-0005-0000-0000-0000DA330000}"/>
    <cellStyle name="Check Cell 5" xfId="13665" xr:uid="{00000000-0005-0000-0000-0000DB330000}"/>
    <cellStyle name="Check Cell 5 2" xfId="13666" xr:uid="{00000000-0005-0000-0000-0000DC330000}"/>
    <cellStyle name="Check Cell 5 3" xfId="13667" xr:uid="{00000000-0005-0000-0000-0000DD330000}"/>
    <cellStyle name="Check Cell 5 4" xfId="13668" xr:uid="{00000000-0005-0000-0000-0000DE330000}"/>
    <cellStyle name="Check Cell 6" xfId="13669" xr:uid="{00000000-0005-0000-0000-0000DF330000}"/>
    <cellStyle name="Check Cell 6 2" xfId="13670" xr:uid="{00000000-0005-0000-0000-0000E0330000}"/>
    <cellStyle name="Check Cell 6 3" xfId="13671" xr:uid="{00000000-0005-0000-0000-0000E1330000}"/>
    <cellStyle name="Check Cell 7" xfId="13672" xr:uid="{00000000-0005-0000-0000-0000E2330000}"/>
    <cellStyle name="Check Cell 7 2" xfId="13673" xr:uid="{00000000-0005-0000-0000-0000E3330000}"/>
    <cellStyle name="Check Cell 8" xfId="13674" xr:uid="{00000000-0005-0000-0000-0000E4330000}"/>
    <cellStyle name="Check Cell 9" xfId="13675" xr:uid="{00000000-0005-0000-0000-0000E5330000}"/>
    <cellStyle name="City" xfId="11" xr:uid="{00000000-0005-0000-0000-0000E6330000}"/>
    <cellStyle name="City 2" xfId="122" xr:uid="{00000000-0005-0000-0000-0000E7330000}"/>
    <cellStyle name="City 3" xfId="13676" xr:uid="{00000000-0005-0000-0000-0000E8330000}"/>
    <cellStyle name="Comma" xfId="12" builtinId="3"/>
    <cellStyle name="Comma  - Style1" xfId="13" xr:uid="{00000000-0005-0000-0000-0000EA330000}"/>
    <cellStyle name="Comma  - Style1 2" xfId="123" xr:uid="{00000000-0005-0000-0000-0000EB330000}"/>
    <cellStyle name="Comma  - Style2" xfId="14" xr:uid="{00000000-0005-0000-0000-0000EC330000}"/>
    <cellStyle name="Comma  - Style2 2" xfId="124" xr:uid="{00000000-0005-0000-0000-0000ED330000}"/>
    <cellStyle name="Comma  - Style3" xfId="15" xr:uid="{00000000-0005-0000-0000-0000EE330000}"/>
    <cellStyle name="Comma  - Style3 2" xfId="125" xr:uid="{00000000-0005-0000-0000-0000EF330000}"/>
    <cellStyle name="Comma  - Style4" xfId="16" xr:uid="{00000000-0005-0000-0000-0000F0330000}"/>
    <cellStyle name="Comma  - Style4 2" xfId="126" xr:uid="{00000000-0005-0000-0000-0000F1330000}"/>
    <cellStyle name="Comma  - Style5" xfId="17" xr:uid="{00000000-0005-0000-0000-0000F2330000}"/>
    <cellStyle name="Comma  - Style5 2" xfId="127" xr:uid="{00000000-0005-0000-0000-0000F3330000}"/>
    <cellStyle name="Comma  - Style6" xfId="18" xr:uid="{00000000-0005-0000-0000-0000F4330000}"/>
    <cellStyle name="Comma  - Style6 2" xfId="128" xr:uid="{00000000-0005-0000-0000-0000F5330000}"/>
    <cellStyle name="Comma  - Style7" xfId="19" xr:uid="{00000000-0005-0000-0000-0000F6330000}"/>
    <cellStyle name="Comma  - Style7 2" xfId="129" xr:uid="{00000000-0005-0000-0000-0000F7330000}"/>
    <cellStyle name="Comma  - Style8" xfId="20" xr:uid="{00000000-0005-0000-0000-0000F8330000}"/>
    <cellStyle name="Comma  - Style8 2" xfId="130" xr:uid="{00000000-0005-0000-0000-0000F9330000}"/>
    <cellStyle name="Comma [0] 2" xfId="13677" xr:uid="{00000000-0005-0000-0000-0000FA330000}"/>
    <cellStyle name="Comma [0] 2 2" xfId="13678" xr:uid="{00000000-0005-0000-0000-0000FB330000}"/>
    <cellStyle name="Comma [0] 2 2 2" xfId="13679" xr:uid="{00000000-0005-0000-0000-0000FC330000}"/>
    <cellStyle name="Comma [0] 2 3" xfId="13680" xr:uid="{00000000-0005-0000-0000-0000FD330000}"/>
    <cellStyle name="Comma [0] 3" xfId="13681" xr:uid="{00000000-0005-0000-0000-0000FE330000}"/>
    <cellStyle name="Comma 10" xfId="131" xr:uid="{00000000-0005-0000-0000-0000FF330000}"/>
    <cellStyle name="Comma 10 2" xfId="132" xr:uid="{00000000-0005-0000-0000-000000340000}"/>
    <cellStyle name="Comma 10 2 2" xfId="13682" xr:uid="{00000000-0005-0000-0000-000001340000}"/>
    <cellStyle name="Comma 10 2 2 2" xfId="13683" xr:uid="{00000000-0005-0000-0000-000002340000}"/>
    <cellStyle name="Comma 10 2 3" xfId="13684" xr:uid="{00000000-0005-0000-0000-000003340000}"/>
    <cellStyle name="Comma 10 2 3 2" xfId="13685" xr:uid="{00000000-0005-0000-0000-000004340000}"/>
    <cellStyle name="Comma 10 2 4" xfId="401" xr:uid="{00000000-0005-0000-0000-000005340000}"/>
    <cellStyle name="Comma 10 2_2015 Annual Rpt" xfId="13686" xr:uid="{00000000-0005-0000-0000-000006340000}"/>
    <cellStyle name="Comma 10 3" xfId="13687" xr:uid="{00000000-0005-0000-0000-000007340000}"/>
    <cellStyle name="Comma 10 3 2" xfId="13688" xr:uid="{00000000-0005-0000-0000-000008340000}"/>
    <cellStyle name="Comma 10 4" xfId="13689" xr:uid="{00000000-0005-0000-0000-000009340000}"/>
    <cellStyle name="Comma 10 5" xfId="13690" xr:uid="{00000000-0005-0000-0000-00000A340000}"/>
    <cellStyle name="Comma 10 6" xfId="13691" xr:uid="{00000000-0005-0000-0000-00000B340000}"/>
    <cellStyle name="Comma 10_Dec monthly report" xfId="13692" xr:uid="{00000000-0005-0000-0000-00000C340000}"/>
    <cellStyle name="Comma 100" xfId="13693" xr:uid="{00000000-0005-0000-0000-00000D340000}"/>
    <cellStyle name="Comma 101" xfId="13694" xr:uid="{00000000-0005-0000-0000-00000E340000}"/>
    <cellStyle name="Comma 102" xfId="13695" xr:uid="{00000000-0005-0000-0000-00000F340000}"/>
    <cellStyle name="Comma 103" xfId="13696" xr:uid="{00000000-0005-0000-0000-000010340000}"/>
    <cellStyle name="Comma 104" xfId="13697" xr:uid="{00000000-0005-0000-0000-000011340000}"/>
    <cellStyle name="Comma 105" xfId="13698" xr:uid="{00000000-0005-0000-0000-000012340000}"/>
    <cellStyle name="Comma 106" xfId="13699" xr:uid="{00000000-0005-0000-0000-000013340000}"/>
    <cellStyle name="Comma 107" xfId="13700" xr:uid="{00000000-0005-0000-0000-000014340000}"/>
    <cellStyle name="Comma 108" xfId="13701" xr:uid="{00000000-0005-0000-0000-000015340000}"/>
    <cellStyle name="Comma 109" xfId="13702" xr:uid="{00000000-0005-0000-0000-000016340000}"/>
    <cellStyle name="Comma 11" xfId="133" xr:uid="{00000000-0005-0000-0000-000017340000}"/>
    <cellStyle name="Comma 11 2" xfId="134" xr:uid="{00000000-0005-0000-0000-000018340000}"/>
    <cellStyle name="Comma 11 2 2" xfId="13703" xr:uid="{00000000-0005-0000-0000-000019340000}"/>
    <cellStyle name="Comma 11 2 2 2" xfId="13704" xr:uid="{00000000-0005-0000-0000-00001A340000}"/>
    <cellStyle name="Comma 11 2 3" xfId="13705" xr:uid="{00000000-0005-0000-0000-00001B340000}"/>
    <cellStyle name="Comma 11 3" xfId="13706" xr:uid="{00000000-0005-0000-0000-00001C340000}"/>
    <cellStyle name="Comma 11 3 2" xfId="13707" xr:uid="{00000000-0005-0000-0000-00001D340000}"/>
    <cellStyle name="Comma 11 4" xfId="13708" xr:uid="{00000000-0005-0000-0000-00001E340000}"/>
    <cellStyle name="Comma 11 4 2" xfId="13709" xr:uid="{00000000-0005-0000-0000-00001F340000}"/>
    <cellStyle name="Comma 11 5" xfId="13710" xr:uid="{00000000-0005-0000-0000-000020340000}"/>
    <cellStyle name="Comma 11_Dec monthly report" xfId="13711" xr:uid="{00000000-0005-0000-0000-000021340000}"/>
    <cellStyle name="Comma 110" xfId="13712" xr:uid="{00000000-0005-0000-0000-000022340000}"/>
    <cellStyle name="Comma 111" xfId="13713" xr:uid="{00000000-0005-0000-0000-000023340000}"/>
    <cellStyle name="Comma 112" xfId="13714" xr:uid="{00000000-0005-0000-0000-000024340000}"/>
    <cellStyle name="Comma 113" xfId="13715" xr:uid="{00000000-0005-0000-0000-000025340000}"/>
    <cellStyle name="Comma 114" xfId="13716" xr:uid="{00000000-0005-0000-0000-000026340000}"/>
    <cellStyle name="Comma 115" xfId="13717" xr:uid="{00000000-0005-0000-0000-000027340000}"/>
    <cellStyle name="Comma 116" xfId="13718" xr:uid="{00000000-0005-0000-0000-000028340000}"/>
    <cellStyle name="Comma 117" xfId="13719" xr:uid="{00000000-0005-0000-0000-000029340000}"/>
    <cellStyle name="Comma 118" xfId="13720" xr:uid="{00000000-0005-0000-0000-00002A340000}"/>
    <cellStyle name="Comma 119" xfId="13721" xr:uid="{00000000-0005-0000-0000-00002B340000}"/>
    <cellStyle name="Comma 12" xfId="135" xr:uid="{00000000-0005-0000-0000-00002C340000}"/>
    <cellStyle name="Comma 12 2" xfId="136" xr:uid="{00000000-0005-0000-0000-00002D340000}"/>
    <cellStyle name="Comma 12 2 2" xfId="13722" xr:uid="{00000000-0005-0000-0000-00002E340000}"/>
    <cellStyle name="Comma 12 2 2 2" xfId="13723" xr:uid="{00000000-0005-0000-0000-00002F340000}"/>
    <cellStyle name="Comma 12 2 3" xfId="13724" xr:uid="{00000000-0005-0000-0000-000030340000}"/>
    <cellStyle name="Comma 12 2 3 2" xfId="13725" xr:uid="{00000000-0005-0000-0000-000031340000}"/>
    <cellStyle name="Comma 12 2_2015 Annual Rpt" xfId="13726" xr:uid="{00000000-0005-0000-0000-000032340000}"/>
    <cellStyle name="Comma 12 3" xfId="13727" xr:uid="{00000000-0005-0000-0000-000033340000}"/>
    <cellStyle name="Comma 12 3 2" xfId="13728" xr:uid="{00000000-0005-0000-0000-000034340000}"/>
    <cellStyle name="Comma 12 3 2 2" xfId="13729" xr:uid="{00000000-0005-0000-0000-000035340000}"/>
    <cellStyle name="Comma 12 3 3" xfId="13730" xr:uid="{00000000-0005-0000-0000-000036340000}"/>
    <cellStyle name="Comma 12 3 4" xfId="13731" xr:uid="{00000000-0005-0000-0000-000037340000}"/>
    <cellStyle name="Comma 12 4" xfId="13732" xr:uid="{00000000-0005-0000-0000-000038340000}"/>
    <cellStyle name="Comma 12 4 2" xfId="13733" xr:uid="{00000000-0005-0000-0000-000039340000}"/>
    <cellStyle name="Comma 12 5" xfId="13734" xr:uid="{00000000-0005-0000-0000-00003A340000}"/>
    <cellStyle name="Comma 12 5 2" xfId="13735" xr:uid="{00000000-0005-0000-0000-00003B340000}"/>
    <cellStyle name="Comma 12 6" xfId="13736" xr:uid="{00000000-0005-0000-0000-00003C340000}"/>
    <cellStyle name="Comma 12 7" xfId="13737" xr:uid="{00000000-0005-0000-0000-00003D340000}"/>
    <cellStyle name="Comma 12_Dec monthly report" xfId="13738" xr:uid="{00000000-0005-0000-0000-00003E340000}"/>
    <cellStyle name="Comma 120" xfId="13739" xr:uid="{00000000-0005-0000-0000-00003F340000}"/>
    <cellStyle name="Comma 121" xfId="13740" xr:uid="{00000000-0005-0000-0000-000040340000}"/>
    <cellStyle name="Comma 122" xfId="13741" xr:uid="{00000000-0005-0000-0000-000041340000}"/>
    <cellStyle name="Comma 123" xfId="13742" xr:uid="{00000000-0005-0000-0000-000042340000}"/>
    <cellStyle name="Comma 124" xfId="13743" xr:uid="{00000000-0005-0000-0000-000043340000}"/>
    <cellStyle name="Comma 125" xfId="13744" xr:uid="{00000000-0005-0000-0000-000044340000}"/>
    <cellStyle name="Comma 126" xfId="13745" xr:uid="{00000000-0005-0000-0000-000045340000}"/>
    <cellStyle name="Comma 127" xfId="13746" xr:uid="{00000000-0005-0000-0000-000046340000}"/>
    <cellStyle name="Comma 128" xfId="13747" xr:uid="{00000000-0005-0000-0000-000047340000}"/>
    <cellStyle name="Comma 129" xfId="13748" xr:uid="{00000000-0005-0000-0000-000048340000}"/>
    <cellStyle name="Comma 13" xfId="137" xr:uid="{00000000-0005-0000-0000-000049340000}"/>
    <cellStyle name="Comma 13 2" xfId="138" xr:uid="{00000000-0005-0000-0000-00004A340000}"/>
    <cellStyle name="Comma 13 2 2" xfId="13749" xr:uid="{00000000-0005-0000-0000-00004B340000}"/>
    <cellStyle name="Comma 13 2 2 2" xfId="13750" xr:uid="{00000000-0005-0000-0000-00004C340000}"/>
    <cellStyle name="Comma 13 3" xfId="13751" xr:uid="{00000000-0005-0000-0000-00004D340000}"/>
    <cellStyle name="Comma 13 3 2" xfId="13752" xr:uid="{00000000-0005-0000-0000-00004E340000}"/>
    <cellStyle name="Comma 13 4" xfId="13753" xr:uid="{00000000-0005-0000-0000-00004F340000}"/>
    <cellStyle name="Comma 13 5" xfId="13754" xr:uid="{00000000-0005-0000-0000-000050340000}"/>
    <cellStyle name="Comma 13 6" xfId="13755" xr:uid="{00000000-0005-0000-0000-000051340000}"/>
    <cellStyle name="Comma 13_Dec monthly report" xfId="13756" xr:uid="{00000000-0005-0000-0000-000052340000}"/>
    <cellStyle name="Comma 130" xfId="13757" xr:uid="{00000000-0005-0000-0000-000053340000}"/>
    <cellStyle name="Comma 131" xfId="13758" xr:uid="{00000000-0005-0000-0000-000054340000}"/>
    <cellStyle name="Comma 132" xfId="13759" xr:uid="{00000000-0005-0000-0000-000055340000}"/>
    <cellStyle name="Comma 133" xfId="13760" xr:uid="{00000000-0005-0000-0000-000056340000}"/>
    <cellStyle name="Comma 134" xfId="13761" xr:uid="{00000000-0005-0000-0000-000057340000}"/>
    <cellStyle name="Comma 135" xfId="13762" xr:uid="{00000000-0005-0000-0000-000058340000}"/>
    <cellStyle name="Comma 136" xfId="13763" xr:uid="{00000000-0005-0000-0000-000059340000}"/>
    <cellStyle name="Comma 137" xfId="13764" xr:uid="{00000000-0005-0000-0000-00005A340000}"/>
    <cellStyle name="Comma 138" xfId="13765" xr:uid="{00000000-0005-0000-0000-00005B340000}"/>
    <cellStyle name="Comma 139" xfId="13766" xr:uid="{00000000-0005-0000-0000-00005C340000}"/>
    <cellStyle name="Comma 14" xfId="139" xr:uid="{00000000-0005-0000-0000-00005D340000}"/>
    <cellStyle name="Comma 14 2" xfId="140" xr:uid="{00000000-0005-0000-0000-00005E340000}"/>
    <cellStyle name="Comma 14 2 2" xfId="13767" xr:uid="{00000000-0005-0000-0000-00005F340000}"/>
    <cellStyle name="Comma 14 3" xfId="13768" xr:uid="{00000000-0005-0000-0000-000060340000}"/>
    <cellStyle name="Comma 14 3 2" xfId="13769" xr:uid="{00000000-0005-0000-0000-000061340000}"/>
    <cellStyle name="Comma 14 4" xfId="13770" xr:uid="{00000000-0005-0000-0000-000062340000}"/>
    <cellStyle name="Comma 14 5" xfId="13771" xr:uid="{00000000-0005-0000-0000-000063340000}"/>
    <cellStyle name="Comma 14 6" xfId="13772" xr:uid="{00000000-0005-0000-0000-000064340000}"/>
    <cellStyle name="Comma 14_Dec monthly report" xfId="13773" xr:uid="{00000000-0005-0000-0000-000065340000}"/>
    <cellStyle name="Comma 140" xfId="13774" xr:uid="{00000000-0005-0000-0000-000066340000}"/>
    <cellStyle name="Comma 141" xfId="13775" xr:uid="{00000000-0005-0000-0000-000067340000}"/>
    <cellStyle name="Comma 142" xfId="13776" xr:uid="{00000000-0005-0000-0000-000068340000}"/>
    <cellStyle name="Comma 143" xfId="13777" xr:uid="{00000000-0005-0000-0000-000069340000}"/>
    <cellStyle name="Comma 144" xfId="13778" xr:uid="{00000000-0005-0000-0000-00006A340000}"/>
    <cellStyle name="Comma 145" xfId="13779" xr:uid="{00000000-0005-0000-0000-00006B340000}"/>
    <cellStyle name="Comma 146" xfId="13780" xr:uid="{00000000-0005-0000-0000-00006C340000}"/>
    <cellStyle name="Comma 147" xfId="13781" xr:uid="{00000000-0005-0000-0000-00006D340000}"/>
    <cellStyle name="Comma 148" xfId="13782" xr:uid="{00000000-0005-0000-0000-00006E340000}"/>
    <cellStyle name="Comma 148 2" xfId="13783" xr:uid="{00000000-0005-0000-0000-00006F340000}"/>
    <cellStyle name="Comma 148 3" xfId="13784" xr:uid="{00000000-0005-0000-0000-000070340000}"/>
    <cellStyle name="Comma 148 4" xfId="13785" xr:uid="{00000000-0005-0000-0000-000071340000}"/>
    <cellStyle name="Comma 149" xfId="13786" xr:uid="{00000000-0005-0000-0000-000072340000}"/>
    <cellStyle name="Comma 149 2" xfId="13787" xr:uid="{00000000-0005-0000-0000-000073340000}"/>
    <cellStyle name="Comma 149 2 2" xfId="13788" xr:uid="{00000000-0005-0000-0000-000074340000}"/>
    <cellStyle name="Comma 149 2 2 2" xfId="13789" xr:uid="{00000000-0005-0000-0000-000075340000}"/>
    <cellStyle name="Comma 149 2 2 2 2" xfId="13790" xr:uid="{00000000-0005-0000-0000-000076340000}"/>
    <cellStyle name="Comma 149 2 2 2 3" xfId="13791" xr:uid="{00000000-0005-0000-0000-000077340000}"/>
    <cellStyle name="Comma 149 2 2 3" xfId="13792" xr:uid="{00000000-0005-0000-0000-000078340000}"/>
    <cellStyle name="Comma 149 2 2 3 2" xfId="13793" xr:uid="{00000000-0005-0000-0000-000079340000}"/>
    <cellStyle name="Comma 149 2 2 4" xfId="13794" xr:uid="{00000000-0005-0000-0000-00007A340000}"/>
    <cellStyle name="Comma 149 2 3" xfId="13795" xr:uid="{00000000-0005-0000-0000-00007B340000}"/>
    <cellStyle name="Comma 149 3" xfId="13796" xr:uid="{00000000-0005-0000-0000-00007C340000}"/>
    <cellStyle name="Comma 149 4" xfId="13797" xr:uid="{00000000-0005-0000-0000-00007D340000}"/>
    <cellStyle name="Comma 149 5" xfId="13798" xr:uid="{00000000-0005-0000-0000-00007E340000}"/>
    <cellStyle name="Comma 15" xfId="141" xr:uid="{00000000-0005-0000-0000-00007F340000}"/>
    <cellStyle name="Comma 15 2" xfId="142" xr:uid="{00000000-0005-0000-0000-000080340000}"/>
    <cellStyle name="Comma 15 2 2" xfId="13799" xr:uid="{00000000-0005-0000-0000-000081340000}"/>
    <cellStyle name="Comma 15 3" xfId="13800" xr:uid="{00000000-0005-0000-0000-000082340000}"/>
    <cellStyle name="Comma 15 3 2" xfId="13801" xr:uid="{00000000-0005-0000-0000-000083340000}"/>
    <cellStyle name="Comma 15 4" xfId="13802" xr:uid="{00000000-0005-0000-0000-000084340000}"/>
    <cellStyle name="Comma 15 5" xfId="13803" xr:uid="{00000000-0005-0000-0000-000085340000}"/>
    <cellStyle name="Comma 15_2015 Annual Rpt" xfId="13804" xr:uid="{00000000-0005-0000-0000-000086340000}"/>
    <cellStyle name="Comma 150" xfId="13805" xr:uid="{00000000-0005-0000-0000-000087340000}"/>
    <cellStyle name="Comma 150 2" xfId="13806" xr:uid="{00000000-0005-0000-0000-000088340000}"/>
    <cellStyle name="Comma 150 3" xfId="13807" xr:uid="{00000000-0005-0000-0000-000089340000}"/>
    <cellStyle name="Comma 150 4" xfId="13808" xr:uid="{00000000-0005-0000-0000-00008A340000}"/>
    <cellStyle name="Comma 151" xfId="13809" xr:uid="{00000000-0005-0000-0000-00008B340000}"/>
    <cellStyle name="Comma 151 2" xfId="13810" xr:uid="{00000000-0005-0000-0000-00008C340000}"/>
    <cellStyle name="Comma 151 3" xfId="13811" xr:uid="{00000000-0005-0000-0000-00008D340000}"/>
    <cellStyle name="Comma 151 4" xfId="13812" xr:uid="{00000000-0005-0000-0000-00008E340000}"/>
    <cellStyle name="Comma 152" xfId="13813" xr:uid="{00000000-0005-0000-0000-00008F340000}"/>
    <cellStyle name="Comma 153" xfId="13814" xr:uid="{00000000-0005-0000-0000-000090340000}"/>
    <cellStyle name="Comma 153 2" xfId="13815" xr:uid="{00000000-0005-0000-0000-000091340000}"/>
    <cellStyle name="Comma 153 2 2" xfId="13816" xr:uid="{00000000-0005-0000-0000-000092340000}"/>
    <cellStyle name="Comma 153 2 2 2" xfId="13817" xr:uid="{00000000-0005-0000-0000-000093340000}"/>
    <cellStyle name="Comma 153 2 3" xfId="13818" xr:uid="{00000000-0005-0000-0000-000094340000}"/>
    <cellStyle name="Comma 153 2 3 2" xfId="13819" xr:uid="{00000000-0005-0000-0000-000095340000}"/>
    <cellStyle name="Comma 153 2 4" xfId="13820" xr:uid="{00000000-0005-0000-0000-000096340000}"/>
    <cellStyle name="Comma 153 2 5" xfId="13821" xr:uid="{00000000-0005-0000-0000-000097340000}"/>
    <cellStyle name="Comma 153 2 6" xfId="13822" xr:uid="{00000000-0005-0000-0000-000098340000}"/>
    <cellStyle name="Comma 153 2 7" xfId="13823" xr:uid="{00000000-0005-0000-0000-000099340000}"/>
    <cellStyle name="Comma 153 3" xfId="13824" xr:uid="{00000000-0005-0000-0000-00009A340000}"/>
    <cellStyle name="Comma 153 4" xfId="13825" xr:uid="{00000000-0005-0000-0000-00009B340000}"/>
    <cellStyle name="Comma 153 4 2" xfId="13826" xr:uid="{00000000-0005-0000-0000-00009C340000}"/>
    <cellStyle name="Comma 153 5" xfId="13827" xr:uid="{00000000-0005-0000-0000-00009D340000}"/>
    <cellStyle name="Comma 153 5 2" xfId="13828" xr:uid="{00000000-0005-0000-0000-00009E340000}"/>
    <cellStyle name="Comma 153 6" xfId="13829" xr:uid="{00000000-0005-0000-0000-00009F340000}"/>
    <cellStyle name="Comma 153 6 2" xfId="13830" xr:uid="{00000000-0005-0000-0000-0000A0340000}"/>
    <cellStyle name="Comma 153 7" xfId="13831" xr:uid="{00000000-0005-0000-0000-0000A1340000}"/>
    <cellStyle name="Comma 153 8" xfId="13832" xr:uid="{00000000-0005-0000-0000-0000A2340000}"/>
    <cellStyle name="Comma 153 9" xfId="13833" xr:uid="{00000000-0005-0000-0000-0000A3340000}"/>
    <cellStyle name="Comma 154" xfId="13834" xr:uid="{00000000-0005-0000-0000-0000A4340000}"/>
    <cellStyle name="Comma 154 2" xfId="13835" xr:uid="{00000000-0005-0000-0000-0000A5340000}"/>
    <cellStyle name="Comma 154 2 2" xfId="13836" xr:uid="{00000000-0005-0000-0000-0000A6340000}"/>
    <cellStyle name="Comma 154 2 2 2" xfId="13837" xr:uid="{00000000-0005-0000-0000-0000A7340000}"/>
    <cellStyle name="Comma 154 2 3" xfId="13838" xr:uid="{00000000-0005-0000-0000-0000A8340000}"/>
    <cellStyle name="Comma 154 2 3 2" xfId="13839" xr:uid="{00000000-0005-0000-0000-0000A9340000}"/>
    <cellStyle name="Comma 154 2 4" xfId="13840" xr:uid="{00000000-0005-0000-0000-0000AA340000}"/>
    <cellStyle name="Comma 154 2 5" xfId="13841" xr:uid="{00000000-0005-0000-0000-0000AB340000}"/>
    <cellStyle name="Comma 154 2 6" xfId="13842" xr:uid="{00000000-0005-0000-0000-0000AC340000}"/>
    <cellStyle name="Comma 154 2 7" xfId="13843" xr:uid="{00000000-0005-0000-0000-0000AD340000}"/>
    <cellStyle name="Comma 154 3" xfId="13844" xr:uid="{00000000-0005-0000-0000-0000AE340000}"/>
    <cellStyle name="Comma 154 4" xfId="13845" xr:uid="{00000000-0005-0000-0000-0000AF340000}"/>
    <cellStyle name="Comma 154 4 2" xfId="13846" xr:uid="{00000000-0005-0000-0000-0000B0340000}"/>
    <cellStyle name="Comma 154 5" xfId="13847" xr:uid="{00000000-0005-0000-0000-0000B1340000}"/>
    <cellStyle name="Comma 154 5 2" xfId="13848" xr:uid="{00000000-0005-0000-0000-0000B2340000}"/>
    <cellStyle name="Comma 154 6" xfId="13849" xr:uid="{00000000-0005-0000-0000-0000B3340000}"/>
    <cellStyle name="Comma 154 6 2" xfId="13850" xr:uid="{00000000-0005-0000-0000-0000B4340000}"/>
    <cellStyle name="Comma 154 7" xfId="13851" xr:uid="{00000000-0005-0000-0000-0000B5340000}"/>
    <cellStyle name="Comma 154 8" xfId="13852" xr:uid="{00000000-0005-0000-0000-0000B6340000}"/>
    <cellStyle name="Comma 154 9" xfId="13853" xr:uid="{00000000-0005-0000-0000-0000B7340000}"/>
    <cellStyle name="Comma 155" xfId="13854" xr:uid="{00000000-0005-0000-0000-0000B8340000}"/>
    <cellStyle name="Comma 156" xfId="13855" xr:uid="{00000000-0005-0000-0000-0000B9340000}"/>
    <cellStyle name="Comma 157" xfId="13856" xr:uid="{00000000-0005-0000-0000-0000BA340000}"/>
    <cellStyle name="Comma 158" xfId="13857" xr:uid="{00000000-0005-0000-0000-0000BB340000}"/>
    <cellStyle name="Comma 159" xfId="13858" xr:uid="{00000000-0005-0000-0000-0000BC340000}"/>
    <cellStyle name="Comma 16" xfId="143" xr:uid="{00000000-0005-0000-0000-0000BD340000}"/>
    <cellStyle name="Comma 16 2" xfId="144" xr:uid="{00000000-0005-0000-0000-0000BE340000}"/>
    <cellStyle name="Comma 16 2 2" xfId="13859" xr:uid="{00000000-0005-0000-0000-0000BF340000}"/>
    <cellStyle name="Comma 16 3" xfId="13860" xr:uid="{00000000-0005-0000-0000-0000C0340000}"/>
    <cellStyle name="Comma 16 3 2" xfId="13861" xr:uid="{00000000-0005-0000-0000-0000C1340000}"/>
    <cellStyle name="Comma 16 4" xfId="13862" xr:uid="{00000000-0005-0000-0000-0000C2340000}"/>
    <cellStyle name="Comma 16 5" xfId="13863" xr:uid="{00000000-0005-0000-0000-0000C3340000}"/>
    <cellStyle name="Comma 16 6" xfId="13864" xr:uid="{00000000-0005-0000-0000-0000C4340000}"/>
    <cellStyle name="Comma 16_Dec monthly report" xfId="13865" xr:uid="{00000000-0005-0000-0000-0000C5340000}"/>
    <cellStyle name="Comma 160" xfId="13866" xr:uid="{00000000-0005-0000-0000-0000C6340000}"/>
    <cellStyle name="Comma 161" xfId="13867" xr:uid="{00000000-0005-0000-0000-0000C7340000}"/>
    <cellStyle name="Comma 162" xfId="13868" xr:uid="{00000000-0005-0000-0000-0000C8340000}"/>
    <cellStyle name="Comma 163" xfId="13869" xr:uid="{00000000-0005-0000-0000-0000C9340000}"/>
    <cellStyle name="Comma 164" xfId="13870" xr:uid="{00000000-0005-0000-0000-0000CA340000}"/>
    <cellStyle name="Comma 165" xfId="13871" xr:uid="{00000000-0005-0000-0000-0000CB340000}"/>
    <cellStyle name="Comma 166" xfId="13872" xr:uid="{00000000-0005-0000-0000-0000CC340000}"/>
    <cellStyle name="Comma 167" xfId="13873" xr:uid="{00000000-0005-0000-0000-0000CD340000}"/>
    <cellStyle name="Comma 168" xfId="13874" xr:uid="{00000000-0005-0000-0000-0000CE340000}"/>
    <cellStyle name="Comma 169" xfId="13875" xr:uid="{00000000-0005-0000-0000-0000CF340000}"/>
    <cellStyle name="Comma 17" xfId="145" xr:uid="{00000000-0005-0000-0000-0000D0340000}"/>
    <cellStyle name="Comma 17 10" xfId="13876" xr:uid="{00000000-0005-0000-0000-0000D1340000}"/>
    <cellStyle name="Comma 17 10 2" xfId="13877" xr:uid="{00000000-0005-0000-0000-0000D2340000}"/>
    <cellStyle name="Comma 17 10 2 2" xfId="13878" xr:uid="{00000000-0005-0000-0000-0000D3340000}"/>
    <cellStyle name="Comma 17 10 3" xfId="13879" xr:uid="{00000000-0005-0000-0000-0000D4340000}"/>
    <cellStyle name="Comma 17 10 3 2" xfId="13880" xr:uid="{00000000-0005-0000-0000-0000D5340000}"/>
    <cellStyle name="Comma 17 11" xfId="13881" xr:uid="{00000000-0005-0000-0000-0000D6340000}"/>
    <cellStyle name="Comma 17 12" xfId="13882" xr:uid="{00000000-0005-0000-0000-0000D7340000}"/>
    <cellStyle name="Comma 17 2" xfId="146" xr:uid="{00000000-0005-0000-0000-0000D8340000}"/>
    <cellStyle name="Comma 17 2 10" xfId="13883" xr:uid="{00000000-0005-0000-0000-0000D9340000}"/>
    <cellStyle name="Comma 17 2 2" xfId="13884" xr:uid="{00000000-0005-0000-0000-0000DA340000}"/>
    <cellStyle name="Comma 17 2 2 2" xfId="13885" xr:uid="{00000000-0005-0000-0000-0000DB340000}"/>
    <cellStyle name="Comma 17 2 2 2 2" xfId="13886" xr:uid="{00000000-0005-0000-0000-0000DC340000}"/>
    <cellStyle name="Comma 17 2 2 2 2 2" xfId="13887" xr:uid="{00000000-0005-0000-0000-0000DD340000}"/>
    <cellStyle name="Comma 17 2 2 2 3" xfId="13888" xr:uid="{00000000-0005-0000-0000-0000DE340000}"/>
    <cellStyle name="Comma 17 2 2 2 3 2" xfId="13889" xr:uid="{00000000-0005-0000-0000-0000DF340000}"/>
    <cellStyle name="Comma 17 2 2 2 4" xfId="13890" xr:uid="{00000000-0005-0000-0000-0000E0340000}"/>
    <cellStyle name="Comma 17 2 2 2 4 2" xfId="13891" xr:uid="{00000000-0005-0000-0000-0000E1340000}"/>
    <cellStyle name="Comma 17 2 2 2 5" xfId="13892" xr:uid="{00000000-0005-0000-0000-0000E2340000}"/>
    <cellStyle name="Comma 17 2 2 2 5 2" xfId="13893" xr:uid="{00000000-0005-0000-0000-0000E3340000}"/>
    <cellStyle name="Comma 17 2 2 2 5 2 2" xfId="13894" xr:uid="{00000000-0005-0000-0000-0000E4340000}"/>
    <cellStyle name="Comma 17 2 2 2 5 3" xfId="13895" xr:uid="{00000000-0005-0000-0000-0000E5340000}"/>
    <cellStyle name="Comma 17 2 2 2 5 3 2" xfId="13896" xr:uid="{00000000-0005-0000-0000-0000E6340000}"/>
    <cellStyle name="Comma 17 2 2 3" xfId="13897" xr:uid="{00000000-0005-0000-0000-0000E7340000}"/>
    <cellStyle name="Comma 17 2 2 3 2" xfId="13898" xr:uid="{00000000-0005-0000-0000-0000E8340000}"/>
    <cellStyle name="Comma 17 2 2 3 2 2" xfId="13899" xr:uid="{00000000-0005-0000-0000-0000E9340000}"/>
    <cellStyle name="Comma 17 2 2 3 2 3" xfId="13900" xr:uid="{00000000-0005-0000-0000-0000EA340000}"/>
    <cellStyle name="Comma 17 2 2 3 3" xfId="13901" xr:uid="{00000000-0005-0000-0000-0000EB340000}"/>
    <cellStyle name="Comma 17 2 2 3 4" xfId="13902" xr:uid="{00000000-0005-0000-0000-0000EC340000}"/>
    <cellStyle name="Comma 17 2 2 4" xfId="13903" xr:uid="{00000000-0005-0000-0000-0000ED340000}"/>
    <cellStyle name="Comma 17 2 2 4 2" xfId="13904" xr:uid="{00000000-0005-0000-0000-0000EE340000}"/>
    <cellStyle name="Comma 17 2 2 5" xfId="13905" xr:uid="{00000000-0005-0000-0000-0000EF340000}"/>
    <cellStyle name="Comma 17 2 2 5 2" xfId="13906" xr:uid="{00000000-0005-0000-0000-0000F0340000}"/>
    <cellStyle name="Comma 17 2 2 5 3" xfId="13907" xr:uid="{00000000-0005-0000-0000-0000F1340000}"/>
    <cellStyle name="Comma 17 2 2 5 4" xfId="13908" xr:uid="{00000000-0005-0000-0000-0000F2340000}"/>
    <cellStyle name="Comma 17 2 2 6" xfId="13909" xr:uid="{00000000-0005-0000-0000-0000F3340000}"/>
    <cellStyle name="Comma 17 2 2 6 2" xfId="13910" xr:uid="{00000000-0005-0000-0000-0000F4340000}"/>
    <cellStyle name="Comma 17 2 2 7" xfId="13911" xr:uid="{00000000-0005-0000-0000-0000F5340000}"/>
    <cellStyle name="Comma 17 2 2 7 2" xfId="13912" xr:uid="{00000000-0005-0000-0000-0000F6340000}"/>
    <cellStyle name="Comma 17 2 2 7 2 2" xfId="13913" xr:uid="{00000000-0005-0000-0000-0000F7340000}"/>
    <cellStyle name="Comma 17 2 2 7 3" xfId="13914" xr:uid="{00000000-0005-0000-0000-0000F8340000}"/>
    <cellStyle name="Comma 17 2 2 7 3 2" xfId="13915" xr:uid="{00000000-0005-0000-0000-0000F9340000}"/>
    <cellStyle name="Comma 17 2 2 8" xfId="13916" xr:uid="{00000000-0005-0000-0000-0000FA340000}"/>
    <cellStyle name="Comma 17 2 3" xfId="13917" xr:uid="{00000000-0005-0000-0000-0000FB340000}"/>
    <cellStyle name="Comma 17 2 3 2" xfId="13918" xr:uid="{00000000-0005-0000-0000-0000FC340000}"/>
    <cellStyle name="Comma 17 2 3 3" xfId="13919" xr:uid="{00000000-0005-0000-0000-0000FD340000}"/>
    <cellStyle name="Comma 17 2 3 3 2" xfId="13920" xr:uid="{00000000-0005-0000-0000-0000FE340000}"/>
    <cellStyle name="Comma 17 2 3 4" xfId="13921" xr:uid="{00000000-0005-0000-0000-0000FF340000}"/>
    <cellStyle name="Comma 17 2 3 4 2" xfId="13922" xr:uid="{00000000-0005-0000-0000-000000350000}"/>
    <cellStyle name="Comma 17 2 3 5" xfId="13923" xr:uid="{00000000-0005-0000-0000-000001350000}"/>
    <cellStyle name="Comma 17 2 3 5 2" xfId="13924" xr:uid="{00000000-0005-0000-0000-000002350000}"/>
    <cellStyle name="Comma 17 2 3 6" xfId="13925" xr:uid="{00000000-0005-0000-0000-000003350000}"/>
    <cellStyle name="Comma 17 2 3 6 2" xfId="13926" xr:uid="{00000000-0005-0000-0000-000004350000}"/>
    <cellStyle name="Comma 17 2 3 6 2 2" xfId="13927" xr:uid="{00000000-0005-0000-0000-000005350000}"/>
    <cellStyle name="Comma 17 2 3 6 3" xfId="13928" xr:uid="{00000000-0005-0000-0000-000006350000}"/>
    <cellStyle name="Comma 17 2 3 6 3 2" xfId="13929" xr:uid="{00000000-0005-0000-0000-000007350000}"/>
    <cellStyle name="Comma 17 2 4" xfId="13930" xr:uid="{00000000-0005-0000-0000-000008350000}"/>
    <cellStyle name="Comma 17 2 5" xfId="13931" xr:uid="{00000000-0005-0000-0000-000009350000}"/>
    <cellStyle name="Comma 17 2 5 2" xfId="13932" xr:uid="{00000000-0005-0000-0000-00000A350000}"/>
    <cellStyle name="Comma 17 2 5 2 2" xfId="13933" xr:uid="{00000000-0005-0000-0000-00000B350000}"/>
    <cellStyle name="Comma 17 2 5 2 3" xfId="13934" xr:uid="{00000000-0005-0000-0000-00000C350000}"/>
    <cellStyle name="Comma 17 2 5 3" xfId="13935" xr:uid="{00000000-0005-0000-0000-00000D350000}"/>
    <cellStyle name="Comma 17 2 5 4" xfId="13936" xr:uid="{00000000-0005-0000-0000-00000E350000}"/>
    <cellStyle name="Comma 17 2 6" xfId="13937" xr:uid="{00000000-0005-0000-0000-00000F350000}"/>
    <cellStyle name="Comma 17 2 6 2" xfId="13938" xr:uid="{00000000-0005-0000-0000-000010350000}"/>
    <cellStyle name="Comma 17 2 7" xfId="13939" xr:uid="{00000000-0005-0000-0000-000011350000}"/>
    <cellStyle name="Comma 17 2 7 2" xfId="13940" xr:uid="{00000000-0005-0000-0000-000012350000}"/>
    <cellStyle name="Comma 17 2 7 3" xfId="13941" xr:uid="{00000000-0005-0000-0000-000013350000}"/>
    <cellStyle name="Comma 17 2 7 4" xfId="13942" xr:uid="{00000000-0005-0000-0000-000014350000}"/>
    <cellStyle name="Comma 17 2 8" xfId="13943" xr:uid="{00000000-0005-0000-0000-000015350000}"/>
    <cellStyle name="Comma 17 2 8 2" xfId="13944" xr:uid="{00000000-0005-0000-0000-000016350000}"/>
    <cellStyle name="Comma 17 2 8 3" xfId="13945" xr:uid="{00000000-0005-0000-0000-000017350000}"/>
    <cellStyle name="Comma 17 2 8 4" xfId="13946" xr:uid="{00000000-0005-0000-0000-000018350000}"/>
    <cellStyle name="Comma 17 2 9" xfId="13947" xr:uid="{00000000-0005-0000-0000-000019350000}"/>
    <cellStyle name="Comma 17 2 9 2" xfId="13948" xr:uid="{00000000-0005-0000-0000-00001A350000}"/>
    <cellStyle name="Comma 17 2 9 2 2" xfId="13949" xr:uid="{00000000-0005-0000-0000-00001B350000}"/>
    <cellStyle name="Comma 17 2 9 3" xfId="13950" xr:uid="{00000000-0005-0000-0000-00001C350000}"/>
    <cellStyle name="Comma 17 2 9 3 2" xfId="13951" xr:uid="{00000000-0005-0000-0000-00001D350000}"/>
    <cellStyle name="Comma 17 2_2015 Annual Rpt" xfId="13952" xr:uid="{00000000-0005-0000-0000-00001E350000}"/>
    <cellStyle name="Comma 17 3" xfId="13953" xr:uid="{00000000-0005-0000-0000-00001F350000}"/>
    <cellStyle name="Comma 17 3 2" xfId="13954" xr:uid="{00000000-0005-0000-0000-000020350000}"/>
    <cellStyle name="Comma 17 3 2 2" xfId="13955" xr:uid="{00000000-0005-0000-0000-000021350000}"/>
    <cellStyle name="Comma 17 3 2 2 2" xfId="13956" xr:uid="{00000000-0005-0000-0000-000022350000}"/>
    <cellStyle name="Comma 17 3 2 3" xfId="13957" xr:uid="{00000000-0005-0000-0000-000023350000}"/>
    <cellStyle name="Comma 17 3 2 3 2" xfId="13958" xr:uid="{00000000-0005-0000-0000-000024350000}"/>
    <cellStyle name="Comma 17 3 2 4" xfId="13959" xr:uid="{00000000-0005-0000-0000-000025350000}"/>
    <cellStyle name="Comma 17 3 2 4 2" xfId="13960" xr:uid="{00000000-0005-0000-0000-000026350000}"/>
    <cellStyle name="Comma 17 3 2 5" xfId="13961" xr:uid="{00000000-0005-0000-0000-000027350000}"/>
    <cellStyle name="Comma 17 3 2 5 2" xfId="13962" xr:uid="{00000000-0005-0000-0000-000028350000}"/>
    <cellStyle name="Comma 17 3 2 5 2 2" xfId="13963" xr:uid="{00000000-0005-0000-0000-000029350000}"/>
    <cellStyle name="Comma 17 3 2 5 3" xfId="13964" xr:uid="{00000000-0005-0000-0000-00002A350000}"/>
    <cellStyle name="Comma 17 3 2 5 3 2" xfId="13965" xr:uid="{00000000-0005-0000-0000-00002B350000}"/>
    <cellStyle name="Comma 17 3 3" xfId="13966" xr:uid="{00000000-0005-0000-0000-00002C350000}"/>
    <cellStyle name="Comma 17 3 3 2" xfId="13967" xr:uid="{00000000-0005-0000-0000-00002D350000}"/>
    <cellStyle name="Comma 17 3 3 2 2" xfId="13968" xr:uid="{00000000-0005-0000-0000-00002E350000}"/>
    <cellStyle name="Comma 17 3 3 2 3" xfId="13969" xr:uid="{00000000-0005-0000-0000-00002F350000}"/>
    <cellStyle name="Comma 17 3 3 3" xfId="13970" xr:uid="{00000000-0005-0000-0000-000030350000}"/>
    <cellStyle name="Comma 17 3 3 4" xfId="13971" xr:uid="{00000000-0005-0000-0000-000031350000}"/>
    <cellStyle name="Comma 17 3 4" xfId="13972" xr:uid="{00000000-0005-0000-0000-000032350000}"/>
    <cellStyle name="Comma 17 3 4 2" xfId="13973" xr:uid="{00000000-0005-0000-0000-000033350000}"/>
    <cellStyle name="Comma 17 3 5" xfId="13974" xr:uid="{00000000-0005-0000-0000-000034350000}"/>
    <cellStyle name="Comma 17 3 5 2" xfId="13975" xr:uid="{00000000-0005-0000-0000-000035350000}"/>
    <cellStyle name="Comma 17 3 5 3" xfId="13976" xr:uid="{00000000-0005-0000-0000-000036350000}"/>
    <cellStyle name="Comma 17 3 5 4" xfId="13977" xr:uid="{00000000-0005-0000-0000-000037350000}"/>
    <cellStyle name="Comma 17 3 6" xfId="13978" xr:uid="{00000000-0005-0000-0000-000038350000}"/>
    <cellStyle name="Comma 17 3 6 2" xfId="13979" xr:uid="{00000000-0005-0000-0000-000039350000}"/>
    <cellStyle name="Comma 17 3 7" xfId="13980" xr:uid="{00000000-0005-0000-0000-00003A350000}"/>
    <cellStyle name="Comma 17 3 7 2" xfId="13981" xr:uid="{00000000-0005-0000-0000-00003B350000}"/>
    <cellStyle name="Comma 17 3 7 2 2" xfId="13982" xr:uid="{00000000-0005-0000-0000-00003C350000}"/>
    <cellStyle name="Comma 17 3 7 3" xfId="13983" xr:uid="{00000000-0005-0000-0000-00003D350000}"/>
    <cellStyle name="Comma 17 3 7 3 2" xfId="13984" xr:uid="{00000000-0005-0000-0000-00003E350000}"/>
    <cellStyle name="Comma 17 3 8" xfId="13985" xr:uid="{00000000-0005-0000-0000-00003F350000}"/>
    <cellStyle name="Comma 17 4" xfId="13986" xr:uid="{00000000-0005-0000-0000-000040350000}"/>
    <cellStyle name="Comma 17 4 2" xfId="13987" xr:uid="{00000000-0005-0000-0000-000041350000}"/>
    <cellStyle name="Comma 17 4 3" xfId="13988" xr:uid="{00000000-0005-0000-0000-000042350000}"/>
    <cellStyle name="Comma 17 4 3 2" xfId="13989" xr:uid="{00000000-0005-0000-0000-000043350000}"/>
    <cellStyle name="Comma 17 4 4" xfId="13990" xr:uid="{00000000-0005-0000-0000-000044350000}"/>
    <cellStyle name="Comma 17 4 4 2" xfId="13991" xr:uid="{00000000-0005-0000-0000-000045350000}"/>
    <cellStyle name="Comma 17 4 4 3" xfId="13992" xr:uid="{00000000-0005-0000-0000-000046350000}"/>
    <cellStyle name="Comma 17 4 4 4" xfId="13993" xr:uid="{00000000-0005-0000-0000-000047350000}"/>
    <cellStyle name="Comma 17 4 5" xfId="13994" xr:uid="{00000000-0005-0000-0000-000048350000}"/>
    <cellStyle name="Comma 17 4 5 2" xfId="13995" xr:uid="{00000000-0005-0000-0000-000049350000}"/>
    <cellStyle name="Comma 17 4 6" xfId="13996" xr:uid="{00000000-0005-0000-0000-00004A350000}"/>
    <cellStyle name="Comma 17 4 6 2" xfId="13997" xr:uid="{00000000-0005-0000-0000-00004B350000}"/>
    <cellStyle name="Comma 17 4 6 2 2" xfId="13998" xr:uid="{00000000-0005-0000-0000-00004C350000}"/>
    <cellStyle name="Comma 17 4 6 3" xfId="13999" xr:uid="{00000000-0005-0000-0000-00004D350000}"/>
    <cellStyle name="Comma 17 4 6 3 2" xfId="14000" xr:uid="{00000000-0005-0000-0000-00004E350000}"/>
    <cellStyle name="Comma 17 4 7" xfId="14001" xr:uid="{00000000-0005-0000-0000-00004F350000}"/>
    <cellStyle name="Comma 17 5" xfId="14002" xr:uid="{00000000-0005-0000-0000-000050350000}"/>
    <cellStyle name="Comma 17 6" xfId="14003" xr:uid="{00000000-0005-0000-0000-000051350000}"/>
    <cellStyle name="Comma 17 6 2" xfId="14004" xr:uid="{00000000-0005-0000-0000-000052350000}"/>
    <cellStyle name="Comma 17 6 2 2" xfId="14005" xr:uid="{00000000-0005-0000-0000-000053350000}"/>
    <cellStyle name="Comma 17 6 2 3" xfId="14006" xr:uid="{00000000-0005-0000-0000-000054350000}"/>
    <cellStyle name="Comma 17 6 3" xfId="14007" xr:uid="{00000000-0005-0000-0000-000055350000}"/>
    <cellStyle name="Comma 17 6 4" xfId="14008" xr:uid="{00000000-0005-0000-0000-000056350000}"/>
    <cellStyle name="Comma 17 7" xfId="14009" xr:uid="{00000000-0005-0000-0000-000057350000}"/>
    <cellStyle name="Comma 17 7 2" xfId="14010" xr:uid="{00000000-0005-0000-0000-000058350000}"/>
    <cellStyle name="Comma 17 8" xfId="14011" xr:uid="{00000000-0005-0000-0000-000059350000}"/>
    <cellStyle name="Comma 17 8 2" xfId="14012" xr:uid="{00000000-0005-0000-0000-00005A350000}"/>
    <cellStyle name="Comma 17 8 3" xfId="14013" xr:uid="{00000000-0005-0000-0000-00005B350000}"/>
    <cellStyle name="Comma 17 8 4" xfId="14014" xr:uid="{00000000-0005-0000-0000-00005C350000}"/>
    <cellStyle name="Comma 17 9" xfId="14015" xr:uid="{00000000-0005-0000-0000-00005D350000}"/>
    <cellStyle name="Comma 17 9 2" xfId="14016" xr:uid="{00000000-0005-0000-0000-00005E350000}"/>
    <cellStyle name="Comma 17 9 3" xfId="14017" xr:uid="{00000000-0005-0000-0000-00005F350000}"/>
    <cellStyle name="Comma 17 9 4" xfId="14018" xr:uid="{00000000-0005-0000-0000-000060350000}"/>
    <cellStyle name="Comma 17_2015 Annual Rpt" xfId="14019" xr:uid="{00000000-0005-0000-0000-000061350000}"/>
    <cellStyle name="Comma 170" xfId="14020" xr:uid="{00000000-0005-0000-0000-000062350000}"/>
    <cellStyle name="Comma 171" xfId="14021" xr:uid="{00000000-0005-0000-0000-000063350000}"/>
    <cellStyle name="Comma 172" xfId="14022" xr:uid="{00000000-0005-0000-0000-000064350000}"/>
    <cellStyle name="Comma 173" xfId="14023" xr:uid="{00000000-0005-0000-0000-000065350000}"/>
    <cellStyle name="Comma 174" xfId="14024" xr:uid="{00000000-0005-0000-0000-000066350000}"/>
    <cellStyle name="Comma 175" xfId="14025" xr:uid="{00000000-0005-0000-0000-000067350000}"/>
    <cellStyle name="Comma 176" xfId="14026" xr:uid="{00000000-0005-0000-0000-000068350000}"/>
    <cellStyle name="Comma 177" xfId="14027" xr:uid="{00000000-0005-0000-0000-000069350000}"/>
    <cellStyle name="Comma 178" xfId="14028" xr:uid="{00000000-0005-0000-0000-00006A350000}"/>
    <cellStyle name="Comma 179" xfId="14029" xr:uid="{00000000-0005-0000-0000-00006B350000}"/>
    <cellStyle name="Comma 18" xfId="147" xr:uid="{00000000-0005-0000-0000-00006C350000}"/>
    <cellStyle name="Comma 18 2" xfId="14030" xr:uid="{00000000-0005-0000-0000-00006D350000}"/>
    <cellStyle name="Comma 18 2 2" xfId="14031" xr:uid="{00000000-0005-0000-0000-00006E350000}"/>
    <cellStyle name="Comma 18 3" xfId="14032" xr:uid="{00000000-0005-0000-0000-00006F350000}"/>
    <cellStyle name="Comma 18 4" xfId="14033" xr:uid="{00000000-0005-0000-0000-000070350000}"/>
    <cellStyle name="Comma 180" xfId="14034" xr:uid="{00000000-0005-0000-0000-000071350000}"/>
    <cellStyle name="Comma 181" xfId="14035" xr:uid="{00000000-0005-0000-0000-000072350000}"/>
    <cellStyle name="Comma 182" xfId="14036" xr:uid="{00000000-0005-0000-0000-000073350000}"/>
    <cellStyle name="Comma 183" xfId="14037" xr:uid="{00000000-0005-0000-0000-000074350000}"/>
    <cellStyle name="Comma 184" xfId="14038" xr:uid="{00000000-0005-0000-0000-000075350000}"/>
    <cellStyle name="Comma 185" xfId="14039" xr:uid="{00000000-0005-0000-0000-000076350000}"/>
    <cellStyle name="Comma 186" xfId="14040" xr:uid="{00000000-0005-0000-0000-000077350000}"/>
    <cellStyle name="Comma 187" xfId="14041" xr:uid="{00000000-0005-0000-0000-000078350000}"/>
    <cellStyle name="Comma 188" xfId="14042" xr:uid="{00000000-0005-0000-0000-000079350000}"/>
    <cellStyle name="Comma 189" xfId="14043" xr:uid="{00000000-0005-0000-0000-00007A350000}"/>
    <cellStyle name="Comma 19" xfId="148" xr:uid="{00000000-0005-0000-0000-00007B350000}"/>
    <cellStyle name="Comma 19 2" xfId="14044" xr:uid="{00000000-0005-0000-0000-00007C350000}"/>
    <cellStyle name="Comma 19 3" xfId="14045" xr:uid="{00000000-0005-0000-0000-00007D350000}"/>
    <cellStyle name="Comma 19 4" xfId="14046" xr:uid="{00000000-0005-0000-0000-00007E350000}"/>
    <cellStyle name="Comma 190" xfId="14047" xr:uid="{00000000-0005-0000-0000-00007F350000}"/>
    <cellStyle name="Comma 191" xfId="14048" xr:uid="{00000000-0005-0000-0000-000080350000}"/>
    <cellStyle name="Comma 192" xfId="14049" xr:uid="{00000000-0005-0000-0000-000081350000}"/>
    <cellStyle name="Comma 193" xfId="14050" xr:uid="{00000000-0005-0000-0000-000082350000}"/>
    <cellStyle name="Comma 194" xfId="14051" xr:uid="{00000000-0005-0000-0000-000083350000}"/>
    <cellStyle name="Comma 195" xfId="14052" xr:uid="{00000000-0005-0000-0000-000084350000}"/>
    <cellStyle name="Comma 196" xfId="14053" xr:uid="{00000000-0005-0000-0000-000085350000}"/>
    <cellStyle name="Comma 197" xfId="14054" xr:uid="{00000000-0005-0000-0000-000086350000}"/>
    <cellStyle name="Comma 198" xfId="14055" xr:uid="{00000000-0005-0000-0000-000087350000}"/>
    <cellStyle name="Comma 199" xfId="14056" xr:uid="{00000000-0005-0000-0000-000088350000}"/>
    <cellStyle name="Comma 2" xfId="111" xr:uid="{00000000-0005-0000-0000-000089350000}"/>
    <cellStyle name="Comma 2 10" xfId="14057" xr:uid="{00000000-0005-0000-0000-00008A350000}"/>
    <cellStyle name="Comma 2 11" xfId="14058" xr:uid="{00000000-0005-0000-0000-00008B350000}"/>
    <cellStyle name="Comma 2 12" xfId="61189" xr:uid="{572D347C-69B3-4423-AEB4-055DC34A55EA}"/>
    <cellStyle name="Comma 2 2" xfId="115" xr:uid="{00000000-0005-0000-0000-00008C350000}"/>
    <cellStyle name="Comma 2 2 2" xfId="149" xr:uid="{00000000-0005-0000-0000-00008D350000}"/>
    <cellStyle name="Comma 2 2 2 2" xfId="14059" xr:uid="{00000000-0005-0000-0000-00008E350000}"/>
    <cellStyle name="Comma 2 2 2 3" xfId="14060" xr:uid="{00000000-0005-0000-0000-00008F350000}"/>
    <cellStyle name="Comma 2 2 2 4" xfId="14061" xr:uid="{00000000-0005-0000-0000-000090350000}"/>
    <cellStyle name="Comma 2 2 3" xfId="14062" xr:uid="{00000000-0005-0000-0000-000091350000}"/>
    <cellStyle name="Comma 2 2 3 2" xfId="14063" xr:uid="{00000000-0005-0000-0000-000092350000}"/>
    <cellStyle name="Comma 2 2 4" xfId="14064" xr:uid="{00000000-0005-0000-0000-000093350000}"/>
    <cellStyle name="Comma 2 2 5" xfId="14065" xr:uid="{00000000-0005-0000-0000-000094350000}"/>
    <cellStyle name="Comma 2 2 6" xfId="14066" xr:uid="{00000000-0005-0000-0000-000095350000}"/>
    <cellStyle name="Comma 2 2 7" xfId="14067" xr:uid="{00000000-0005-0000-0000-000096350000}"/>
    <cellStyle name="Comma 2 3" xfId="117" xr:uid="{00000000-0005-0000-0000-000097350000}"/>
    <cellStyle name="Comma 2 3 10" xfId="14068" xr:uid="{00000000-0005-0000-0000-000098350000}"/>
    <cellStyle name="Comma 2 3 10 2" xfId="14069" xr:uid="{00000000-0005-0000-0000-000099350000}"/>
    <cellStyle name="Comma 2 3 10 3" xfId="14070" xr:uid="{00000000-0005-0000-0000-00009A350000}"/>
    <cellStyle name="Comma 2 3 11" xfId="14071" xr:uid="{00000000-0005-0000-0000-00009B350000}"/>
    <cellStyle name="Comma 2 3 11 2" xfId="14072" xr:uid="{00000000-0005-0000-0000-00009C350000}"/>
    <cellStyle name="Comma 2 3 11 3" xfId="14073" xr:uid="{00000000-0005-0000-0000-00009D350000}"/>
    <cellStyle name="Comma 2 3 12" xfId="14074" xr:uid="{00000000-0005-0000-0000-00009E350000}"/>
    <cellStyle name="Comma 2 3 12 2" xfId="14075" xr:uid="{00000000-0005-0000-0000-00009F350000}"/>
    <cellStyle name="Comma 2 3 12 3" xfId="14076" xr:uid="{00000000-0005-0000-0000-0000A0350000}"/>
    <cellStyle name="Comma 2 3 13" xfId="14077" xr:uid="{00000000-0005-0000-0000-0000A1350000}"/>
    <cellStyle name="Comma 2 3 13 2" xfId="14078" xr:uid="{00000000-0005-0000-0000-0000A2350000}"/>
    <cellStyle name="Comma 2 3 13 3" xfId="14079" xr:uid="{00000000-0005-0000-0000-0000A3350000}"/>
    <cellStyle name="Comma 2 3 14" xfId="14080" xr:uid="{00000000-0005-0000-0000-0000A4350000}"/>
    <cellStyle name="Comma 2 3 15" xfId="14081" xr:uid="{00000000-0005-0000-0000-0000A5350000}"/>
    <cellStyle name="Comma 2 3 2" xfId="14082" xr:uid="{00000000-0005-0000-0000-0000A6350000}"/>
    <cellStyle name="Comma 2 3 2 2" xfId="14083" xr:uid="{00000000-0005-0000-0000-0000A7350000}"/>
    <cellStyle name="Comma 2 3 2 3" xfId="14084" xr:uid="{00000000-0005-0000-0000-0000A8350000}"/>
    <cellStyle name="Comma 2 3 2 3 2" xfId="14085" xr:uid="{00000000-0005-0000-0000-0000A9350000}"/>
    <cellStyle name="Comma 2 3 2 3 3" xfId="14086" xr:uid="{00000000-0005-0000-0000-0000AA350000}"/>
    <cellStyle name="Comma 2 3 2 4" xfId="14087" xr:uid="{00000000-0005-0000-0000-0000AB350000}"/>
    <cellStyle name="Comma 2 3 2 4 2" xfId="14088" xr:uid="{00000000-0005-0000-0000-0000AC350000}"/>
    <cellStyle name="Comma 2 3 2 4 3" xfId="14089" xr:uid="{00000000-0005-0000-0000-0000AD350000}"/>
    <cellStyle name="Comma 2 3 2 5" xfId="14090" xr:uid="{00000000-0005-0000-0000-0000AE350000}"/>
    <cellStyle name="Comma 2 3 2 6" xfId="14091" xr:uid="{00000000-0005-0000-0000-0000AF350000}"/>
    <cellStyle name="Comma 2 3 2 7" xfId="14092" xr:uid="{00000000-0005-0000-0000-0000B0350000}"/>
    <cellStyle name="Comma 2 3 2 8" xfId="14093" xr:uid="{00000000-0005-0000-0000-0000B1350000}"/>
    <cellStyle name="Comma 2 3 3" xfId="14094" xr:uid="{00000000-0005-0000-0000-0000B2350000}"/>
    <cellStyle name="Comma 2 3 3 2" xfId="14095" xr:uid="{00000000-0005-0000-0000-0000B3350000}"/>
    <cellStyle name="Comma 2 3 4" xfId="14096" xr:uid="{00000000-0005-0000-0000-0000B4350000}"/>
    <cellStyle name="Comma 2 3 4 2" xfId="14097" xr:uid="{00000000-0005-0000-0000-0000B5350000}"/>
    <cellStyle name="Comma 2 3 4 3" xfId="14098" xr:uid="{00000000-0005-0000-0000-0000B6350000}"/>
    <cellStyle name="Comma 2 3 4 4" xfId="14099" xr:uid="{00000000-0005-0000-0000-0000B7350000}"/>
    <cellStyle name="Comma 2 3 5" xfId="14100" xr:uid="{00000000-0005-0000-0000-0000B8350000}"/>
    <cellStyle name="Comma 2 3 5 2" xfId="14101" xr:uid="{00000000-0005-0000-0000-0000B9350000}"/>
    <cellStyle name="Comma 2 3 5 3" xfId="14102" xr:uid="{00000000-0005-0000-0000-0000BA350000}"/>
    <cellStyle name="Comma 2 3 5 4" xfId="14103" xr:uid="{00000000-0005-0000-0000-0000BB350000}"/>
    <cellStyle name="Comma 2 3 6" xfId="14104" xr:uid="{00000000-0005-0000-0000-0000BC350000}"/>
    <cellStyle name="Comma 2 3 6 2" xfId="14105" xr:uid="{00000000-0005-0000-0000-0000BD350000}"/>
    <cellStyle name="Comma 2 3 6 3" xfId="14106" xr:uid="{00000000-0005-0000-0000-0000BE350000}"/>
    <cellStyle name="Comma 2 3 6 4" xfId="14107" xr:uid="{00000000-0005-0000-0000-0000BF350000}"/>
    <cellStyle name="Comma 2 3 7" xfId="14108" xr:uid="{00000000-0005-0000-0000-0000C0350000}"/>
    <cellStyle name="Comma 2 3 7 2" xfId="14109" xr:uid="{00000000-0005-0000-0000-0000C1350000}"/>
    <cellStyle name="Comma 2 3 7 3" xfId="14110" xr:uid="{00000000-0005-0000-0000-0000C2350000}"/>
    <cellStyle name="Comma 2 3 7 4" xfId="14111" xr:uid="{00000000-0005-0000-0000-0000C3350000}"/>
    <cellStyle name="Comma 2 3 8" xfId="14112" xr:uid="{00000000-0005-0000-0000-0000C4350000}"/>
    <cellStyle name="Comma 2 3 8 2" xfId="14113" xr:uid="{00000000-0005-0000-0000-0000C5350000}"/>
    <cellStyle name="Comma 2 3 8 3" xfId="14114" xr:uid="{00000000-0005-0000-0000-0000C6350000}"/>
    <cellStyle name="Comma 2 3 9" xfId="14115" xr:uid="{00000000-0005-0000-0000-0000C7350000}"/>
    <cellStyle name="Comma 2 3_2015 Annual Rpt" xfId="14116" xr:uid="{00000000-0005-0000-0000-0000C8350000}"/>
    <cellStyle name="Comma 2 4" xfId="150" xr:uid="{00000000-0005-0000-0000-0000C9350000}"/>
    <cellStyle name="Comma 2 4 2" xfId="14117" xr:uid="{00000000-0005-0000-0000-0000CA350000}"/>
    <cellStyle name="Comma 2 5" xfId="14118" xr:uid="{00000000-0005-0000-0000-0000CB350000}"/>
    <cellStyle name="Comma 2 5 2" xfId="14119" xr:uid="{00000000-0005-0000-0000-0000CC350000}"/>
    <cellStyle name="Comma 2 5 2 2" xfId="14120" xr:uid="{00000000-0005-0000-0000-0000CD350000}"/>
    <cellStyle name="Comma 2 5 2 2 2" xfId="14121" xr:uid="{00000000-0005-0000-0000-0000CE350000}"/>
    <cellStyle name="Comma 2 5 2 2 3" xfId="14122" xr:uid="{00000000-0005-0000-0000-0000CF350000}"/>
    <cellStyle name="Comma 2 5 2 2 4" xfId="14123" xr:uid="{00000000-0005-0000-0000-0000D0350000}"/>
    <cellStyle name="Comma 2 5 2 3" xfId="14124" xr:uid="{00000000-0005-0000-0000-0000D1350000}"/>
    <cellStyle name="Comma 2 5 2 3 2" xfId="14125" xr:uid="{00000000-0005-0000-0000-0000D2350000}"/>
    <cellStyle name="Comma 2 5 2 4" xfId="14126" xr:uid="{00000000-0005-0000-0000-0000D3350000}"/>
    <cellStyle name="Comma 2 5 2 5" xfId="14127" xr:uid="{00000000-0005-0000-0000-0000D4350000}"/>
    <cellStyle name="Comma 2 5 2 5 2" xfId="14128" xr:uid="{00000000-0005-0000-0000-0000D5350000}"/>
    <cellStyle name="Comma 2 5 2 6" xfId="14129" xr:uid="{00000000-0005-0000-0000-0000D6350000}"/>
    <cellStyle name="Comma 2 5 2 6 2" xfId="14130" xr:uid="{00000000-0005-0000-0000-0000D7350000}"/>
    <cellStyle name="Comma 2 5 2 6 2 2" xfId="14131" xr:uid="{00000000-0005-0000-0000-0000D8350000}"/>
    <cellStyle name="Comma 2 5 2 6 3" xfId="14132" xr:uid="{00000000-0005-0000-0000-0000D9350000}"/>
    <cellStyle name="Comma 2 5 2 6 3 2" xfId="14133" xr:uid="{00000000-0005-0000-0000-0000DA350000}"/>
    <cellStyle name="Comma 2 5 2 7" xfId="14134" xr:uid="{00000000-0005-0000-0000-0000DB350000}"/>
    <cellStyle name="Comma 2 5 2 8" xfId="14135" xr:uid="{00000000-0005-0000-0000-0000DC350000}"/>
    <cellStyle name="Comma 2 5 3" xfId="14136" xr:uid="{00000000-0005-0000-0000-0000DD350000}"/>
    <cellStyle name="Comma 2 5 3 2" xfId="14137" xr:uid="{00000000-0005-0000-0000-0000DE350000}"/>
    <cellStyle name="Comma 2 5 4" xfId="14138" xr:uid="{00000000-0005-0000-0000-0000DF350000}"/>
    <cellStyle name="Comma 2 5 4 2" xfId="14139" xr:uid="{00000000-0005-0000-0000-0000E0350000}"/>
    <cellStyle name="Comma 2 5 5" xfId="14140" xr:uid="{00000000-0005-0000-0000-0000E1350000}"/>
    <cellStyle name="Comma 2 5 5 2" xfId="14141" xr:uid="{00000000-0005-0000-0000-0000E2350000}"/>
    <cellStyle name="Comma 2 5 6" xfId="14142" xr:uid="{00000000-0005-0000-0000-0000E3350000}"/>
    <cellStyle name="Comma 2 5 6 2" xfId="14143" xr:uid="{00000000-0005-0000-0000-0000E4350000}"/>
    <cellStyle name="Comma 2 5 6 2 2" xfId="14144" xr:uid="{00000000-0005-0000-0000-0000E5350000}"/>
    <cellStyle name="Comma 2 5 6 3" xfId="14145" xr:uid="{00000000-0005-0000-0000-0000E6350000}"/>
    <cellStyle name="Comma 2 5 6 3 2" xfId="14146" xr:uid="{00000000-0005-0000-0000-0000E7350000}"/>
    <cellStyle name="Comma 2 6" xfId="14147" xr:uid="{00000000-0005-0000-0000-0000E8350000}"/>
    <cellStyle name="Comma 2 6 2" xfId="14148" xr:uid="{00000000-0005-0000-0000-0000E9350000}"/>
    <cellStyle name="Comma 2 6 2 2" xfId="14149" xr:uid="{00000000-0005-0000-0000-0000EA350000}"/>
    <cellStyle name="Comma 2 6 2 2 2" xfId="14150" xr:uid="{00000000-0005-0000-0000-0000EB350000}"/>
    <cellStyle name="Comma 2 6 2 3" xfId="14151" xr:uid="{00000000-0005-0000-0000-0000EC350000}"/>
    <cellStyle name="Comma 2 6 2 4" xfId="14152" xr:uid="{00000000-0005-0000-0000-0000ED350000}"/>
    <cellStyle name="Comma 2 6 2 4 2" xfId="14153" xr:uid="{00000000-0005-0000-0000-0000EE350000}"/>
    <cellStyle name="Comma 2 6 2 5" xfId="14154" xr:uid="{00000000-0005-0000-0000-0000EF350000}"/>
    <cellStyle name="Comma 2 6 2 5 2" xfId="14155" xr:uid="{00000000-0005-0000-0000-0000F0350000}"/>
    <cellStyle name="Comma 2 6 2 5 2 2" xfId="14156" xr:uid="{00000000-0005-0000-0000-0000F1350000}"/>
    <cellStyle name="Comma 2 6 2 5 3" xfId="14157" xr:uid="{00000000-0005-0000-0000-0000F2350000}"/>
    <cellStyle name="Comma 2 6 2 5 3 2" xfId="14158" xr:uid="{00000000-0005-0000-0000-0000F3350000}"/>
    <cellStyle name="Comma 2 6 2 6" xfId="14159" xr:uid="{00000000-0005-0000-0000-0000F4350000}"/>
    <cellStyle name="Comma 2 6 2 7" xfId="14160" xr:uid="{00000000-0005-0000-0000-0000F5350000}"/>
    <cellStyle name="Comma 2 6 3" xfId="14161" xr:uid="{00000000-0005-0000-0000-0000F6350000}"/>
    <cellStyle name="Comma 2 6 3 2" xfId="14162" xr:uid="{00000000-0005-0000-0000-0000F7350000}"/>
    <cellStyle name="Comma 2 6 4" xfId="14163" xr:uid="{00000000-0005-0000-0000-0000F8350000}"/>
    <cellStyle name="Comma 2 6 4 2" xfId="14164" xr:uid="{00000000-0005-0000-0000-0000F9350000}"/>
    <cellStyle name="Comma 2 6 5" xfId="14165" xr:uid="{00000000-0005-0000-0000-0000FA350000}"/>
    <cellStyle name="Comma 2 6 6" xfId="14166" xr:uid="{00000000-0005-0000-0000-0000FB350000}"/>
    <cellStyle name="Comma 2 6 6 2" xfId="14167" xr:uid="{00000000-0005-0000-0000-0000FC350000}"/>
    <cellStyle name="Comma 2 6 7" xfId="14168" xr:uid="{00000000-0005-0000-0000-0000FD350000}"/>
    <cellStyle name="Comma 2 6 7 2" xfId="14169" xr:uid="{00000000-0005-0000-0000-0000FE350000}"/>
    <cellStyle name="Comma 2 6 7 2 2" xfId="14170" xr:uid="{00000000-0005-0000-0000-0000FF350000}"/>
    <cellStyle name="Comma 2 6 7 3" xfId="14171" xr:uid="{00000000-0005-0000-0000-000000360000}"/>
    <cellStyle name="Comma 2 6 7 3 2" xfId="14172" xr:uid="{00000000-0005-0000-0000-000001360000}"/>
    <cellStyle name="Comma 2 6 8" xfId="14173" xr:uid="{00000000-0005-0000-0000-000002360000}"/>
    <cellStyle name="Comma 2 6 9" xfId="14174" xr:uid="{00000000-0005-0000-0000-000003360000}"/>
    <cellStyle name="Comma 2 7" xfId="14175" xr:uid="{00000000-0005-0000-0000-000004360000}"/>
    <cellStyle name="Comma 2 7 2" xfId="14176" xr:uid="{00000000-0005-0000-0000-000005360000}"/>
    <cellStyle name="Comma 2 7 2 2" xfId="14177" xr:uid="{00000000-0005-0000-0000-000006360000}"/>
    <cellStyle name="Comma 2 7 2 2 2" xfId="14178" xr:uid="{00000000-0005-0000-0000-000007360000}"/>
    <cellStyle name="Comma 2 7 2 3" xfId="14179" xr:uid="{00000000-0005-0000-0000-000008360000}"/>
    <cellStyle name="Comma 2 7 2 4" xfId="14180" xr:uid="{00000000-0005-0000-0000-000009360000}"/>
    <cellStyle name="Comma 2 7 2 4 2" xfId="14181" xr:uid="{00000000-0005-0000-0000-00000A360000}"/>
    <cellStyle name="Comma 2 7 2 5" xfId="14182" xr:uid="{00000000-0005-0000-0000-00000B360000}"/>
    <cellStyle name="Comma 2 7 2 5 2" xfId="14183" xr:uid="{00000000-0005-0000-0000-00000C360000}"/>
    <cellStyle name="Comma 2 7 2 5 2 2" xfId="14184" xr:uid="{00000000-0005-0000-0000-00000D360000}"/>
    <cellStyle name="Comma 2 7 2 5 3" xfId="14185" xr:uid="{00000000-0005-0000-0000-00000E360000}"/>
    <cellStyle name="Comma 2 7 2 5 3 2" xfId="14186" xr:uid="{00000000-0005-0000-0000-00000F360000}"/>
    <cellStyle name="Comma 2 7 2 6" xfId="14187" xr:uid="{00000000-0005-0000-0000-000010360000}"/>
    <cellStyle name="Comma 2 7 2 7" xfId="14188" xr:uid="{00000000-0005-0000-0000-000011360000}"/>
    <cellStyle name="Comma 2 7 3" xfId="14189" xr:uid="{00000000-0005-0000-0000-000012360000}"/>
    <cellStyle name="Comma 2 7 3 2" xfId="14190" xr:uid="{00000000-0005-0000-0000-000013360000}"/>
    <cellStyle name="Comma 2 7 4" xfId="14191" xr:uid="{00000000-0005-0000-0000-000014360000}"/>
    <cellStyle name="Comma 2 7 4 2" xfId="14192" xr:uid="{00000000-0005-0000-0000-000015360000}"/>
    <cellStyle name="Comma 2 7 5" xfId="14193" xr:uid="{00000000-0005-0000-0000-000016360000}"/>
    <cellStyle name="Comma 2 7 6" xfId="14194" xr:uid="{00000000-0005-0000-0000-000017360000}"/>
    <cellStyle name="Comma 2 7 6 2" xfId="14195" xr:uid="{00000000-0005-0000-0000-000018360000}"/>
    <cellStyle name="Comma 2 7 7" xfId="14196" xr:uid="{00000000-0005-0000-0000-000019360000}"/>
    <cellStyle name="Comma 2 7 7 2" xfId="14197" xr:uid="{00000000-0005-0000-0000-00001A360000}"/>
    <cellStyle name="Comma 2 7 7 2 2" xfId="14198" xr:uid="{00000000-0005-0000-0000-00001B360000}"/>
    <cellStyle name="Comma 2 7 7 3" xfId="14199" xr:uid="{00000000-0005-0000-0000-00001C360000}"/>
    <cellStyle name="Comma 2 7 7 3 2" xfId="14200" xr:uid="{00000000-0005-0000-0000-00001D360000}"/>
    <cellStyle name="Comma 2 7 8" xfId="14201" xr:uid="{00000000-0005-0000-0000-00001E360000}"/>
    <cellStyle name="Comma 2 7 9" xfId="14202" xr:uid="{00000000-0005-0000-0000-00001F360000}"/>
    <cellStyle name="Comma 2 8" xfId="14203" xr:uid="{00000000-0005-0000-0000-000020360000}"/>
    <cellStyle name="Comma 2 8 2" xfId="14204" xr:uid="{00000000-0005-0000-0000-000021360000}"/>
    <cellStyle name="Comma 2 8 2 2" xfId="14205" xr:uid="{00000000-0005-0000-0000-000022360000}"/>
    <cellStyle name="Comma 2 8 2 2 2" xfId="14206" xr:uid="{00000000-0005-0000-0000-000023360000}"/>
    <cellStyle name="Comma 2 8 2 3" xfId="14207" xr:uid="{00000000-0005-0000-0000-000024360000}"/>
    <cellStyle name="Comma 2 8 2 4" xfId="14208" xr:uid="{00000000-0005-0000-0000-000025360000}"/>
    <cellStyle name="Comma 2 8 2 4 2" xfId="14209" xr:uid="{00000000-0005-0000-0000-000026360000}"/>
    <cellStyle name="Comma 2 8 2 5" xfId="14210" xr:uid="{00000000-0005-0000-0000-000027360000}"/>
    <cellStyle name="Comma 2 8 2 5 2" xfId="14211" xr:uid="{00000000-0005-0000-0000-000028360000}"/>
    <cellStyle name="Comma 2 8 2 5 2 2" xfId="14212" xr:uid="{00000000-0005-0000-0000-000029360000}"/>
    <cellStyle name="Comma 2 8 2 5 3" xfId="14213" xr:uid="{00000000-0005-0000-0000-00002A360000}"/>
    <cellStyle name="Comma 2 8 2 5 3 2" xfId="14214" xr:uid="{00000000-0005-0000-0000-00002B360000}"/>
    <cellStyle name="Comma 2 8 2 6" xfId="14215" xr:uid="{00000000-0005-0000-0000-00002C360000}"/>
    <cellStyle name="Comma 2 8 2 7" xfId="14216" xr:uid="{00000000-0005-0000-0000-00002D360000}"/>
    <cellStyle name="Comma 2 8 3" xfId="14217" xr:uid="{00000000-0005-0000-0000-00002E360000}"/>
    <cellStyle name="Comma 2 8 3 2" xfId="14218" xr:uid="{00000000-0005-0000-0000-00002F360000}"/>
    <cellStyle name="Comma 2 8 4" xfId="14219" xr:uid="{00000000-0005-0000-0000-000030360000}"/>
    <cellStyle name="Comma 2 8 4 2" xfId="14220" xr:uid="{00000000-0005-0000-0000-000031360000}"/>
    <cellStyle name="Comma 2 8 5" xfId="14221" xr:uid="{00000000-0005-0000-0000-000032360000}"/>
    <cellStyle name="Comma 2 8 6" xfId="14222" xr:uid="{00000000-0005-0000-0000-000033360000}"/>
    <cellStyle name="Comma 2 8 6 2" xfId="14223" xr:uid="{00000000-0005-0000-0000-000034360000}"/>
    <cellStyle name="Comma 2 8 7" xfId="14224" xr:uid="{00000000-0005-0000-0000-000035360000}"/>
    <cellStyle name="Comma 2 8 7 2" xfId="14225" xr:uid="{00000000-0005-0000-0000-000036360000}"/>
    <cellStyle name="Comma 2 8 7 2 2" xfId="14226" xr:uid="{00000000-0005-0000-0000-000037360000}"/>
    <cellStyle name="Comma 2 8 7 3" xfId="14227" xr:uid="{00000000-0005-0000-0000-000038360000}"/>
    <cellStyle name="Comma 2 8 7 3 2" xfId="14228" xr:uid="{00000000-0005-0000-0000-000039360000}"/>
    <cellStyle name="Comma 2 8 8" xfId="14229" xr:uid="{00000000-0005-0000-0000-00003A360000}"/>
    <cellStyle name="Comma 2 8 9" xfId="14230" xr:uid="{00000000-0005-0000-0000-00003B360000}"/>
    <cellStyle name="Comma 2 9" xfId="14231" xr:uid="{00000000-0005-0000-0000-00003C360000}"/>
    <cellStyle name="Comma 2 9 2" xfId="14232" xr:uid="{00000000-0005-0000-0000-00003D360000}"/>
    <cellStyle name="Comma 20" xfId="151" xr:uid="{00000000-0005-0000-0000-00003E360000}"/>
    <cellStyle name="Comma 20 2" xfId="14233" xr:uid="{00000000-0005-0000-0000-00003F360000}"/>
    <cellStyle name="Comma 20 3" xfId="14234" xr:uid="{00000000-0005-0000-0000-000040360000}"/>
    <cellStyle name="Comma 20 3 2" xfId="14235" xr:uid="{00000000-0005-0000-0000-000041360000}"/>
    <cellStyle name="Comma 20 4" xfId="14236" xr:uid="{00000000-0005-0000-0000-000042360000}"/>
    <cellStyle name="Comma 200" xfId="14237" xr:uid="{00000000-0005-0000-0000-000043360000}"/>
    <cellStyle name="Comma 201" xfId="14238" xr:uid="{00000000-0005-0000-0000-000044360000}"/>
    <cellStyle name="Comma 202" xfId="14239" xr:uid="{00000000-0005-0000-0000-000045360000}"/>
    <cellStyle name="Comma 203" xfId="14240" xr:uid="{00000000-0005-0000-0000-000046360000}"/>
    <cellStyle name="Comma 204" xfId="14241" xr:uid="{00000000-0005-0000-0000-000047360000}"/>
    <cellStyle name="Comma 205" xfId="14242" xr:uid="{00000000-0005-0000-0000-000048360000}"/>
    <cellStyle name="Comma 206" xfId="14243" xr:uid="{00000000-0005-0000-0000-000049360000}"/>
    <cellStyle name="Comma 207" xfId="14244" xr:uid="{00000000-0005-0000-0000-00004A360000}"/>
    <cellStyle name="Comma 208" xfId="14245" xr:uid="{00000000-0005-0000-0000-00004B360000}"/>
    <cellStyle name="Comma 209" xfId="14246" xr:uid="{00000000-0005-0000-0000-00004C360000}"/>
    <cellStyle name="Comma 21" xfId="152" xr:uid="{00000000-0005-0000-0000-00004D360000}"/>
    <cellStyle name="Comma 21 2" xfId="14247" xr:uid="{00000000-0005-0000-0000-00004E360000}"/>
    <cellStyle name="Comma 21 3" xfId="14248" xr:uid="{00000000-0005-0000-0000-00004F360000}"/>
    <cellStyle name="Comma 21 3 2" xfId="14249" xr:uid="{00000000-0005-0000-0000-000050360000}"/>
    <cellStyle name="Comma 21 4" xfId="14250" xr:uid="{00000000-0005-0000-0000-000051360000}"/>
    <cellStyle name="Comma 210" xfId="14251" xr:uid="{00000000-0005-0000-0000-000052360000}"/>
    <cellStyle name="Comma 211" xfId="14252" xr:uid="{00000000-0005-0000-0000-000053360000}"/>
    <cellStyle name="Comma 212" xfId="14253" xr:uid="{00000000-0005-0000-0000-000054360000}"/>
    <cellStyle name="Comma 213" xfId="14254" xr:uid="{00000000-0005-0000-0000-000055360000}"/>
    <cellStyle name="Comma 214" xfId="14255" xr:uid="{00000000-0005-0000-0000-000056360000}"/>
    <cellStyle name="Comma 215" xfId="14256" xr:uid="{00000000-0005-0000-0000-000057360000}"/>
    <cellStyle name="Comma 216" xfId="14257" xr:uid="{00000000-0005-0000-0000-000058360000}"/>
    <cellStyle name="Comma 216 2" xfId="14258" xr:uid="{00000000-0005-0000-0000-000059360000}"/>
    <cellStyle name="Comma 216 3" xfId="14259" xr:uid="{00000000-0005-0000-0000-00005A360000}"/>
    <cellStyle name="Comma 216 4" xfId="14260" xr:uid="{00000000-0005-0000-0000-00005B360000}"/>
    <cellStyle name="Comma 217" xfId="14261" xr:uid="{00000000-0005-0000-0000-00005C360000}"/>
    <cellStyle name="Comma 218" xfId="14262" xr:uid="{00000000-0005-0000-0000-00005D360000}"/>
    <cellStyle name="Comma 219" xfId="14263" xr:uid="{00000000-0005-0000-0000-00005E360000}"/>
    <cellStyle name="Comma 22" xfId="153" xr:uid="{00000000-0005-0000-0000-00005F360000}"/>
    <cellStyle name="Comma 22 2" xfId="14264" xr:uid="{00000000-0005-0000-0000-000060360000}"/>
    <cellStyle name="Comma 22 3" xfId="14265" xr:uid="{00000000-0005-0000-0000-000061360000}"/>
    <cellStyle name="Comma 22 3 2" xfId="14266" xr:uid="{00000000-0005-0000-0000-000062360000}"/>
    <cellStyle name="Comma 22 4" xfId="14267" xr:uid="{00000000-0005-0000-0000-000063360000}"/>
    <cellStyle name="Comma 220" xfId="14268" xr:uid="{00000000-0005-0000-0000-000064360000}"/>
    <cellStyle name="Comma 221" xfId="14269" xr:uid="{00000000-0005-0000-0000-000065360000}"/>
    <cellStyle name="Comma 222" xfId="14270" xr:uid="{00000000-0005-0000-0000-000066360000}"/>
    <cellStyle name="Comma 223" xfId="14271" xr:uid="{00000000-0005-0000-0000-000067360000}"/>
    <cellStyle name="Comma 224" xfId="14272" xr:uid="{00000000-0005-0000-0000-000068360000}"/>
    <cellStyle name="Comma 224 2" xfId="14273" xr:uid="{00000000-0005-0000-0000-000069360000}"/>
    <cellStyle name="Comma 225" xfId="14274" xr:uid="{00000000-0005-0000-0000-00006A360000}"/>
    <cellStyle name="Comma 225 2" xfId="14275" xr:uid="{00000000-0005-0000-0000-00006B360000}"/>
    <cellStyle name="Comma 226" xfId="14276" xr:uid="{00000000-0005-0000-0000-00006C360000}"/>
    <cellStyle name="Comma 226 2" xfId="14277" xr:uid="{00000000-0005-0000-0000-00006D360000}"/>
    <cellStyle name="Comma 227" xfId="14278" xr:uid="{00000000-0005-0000-0000-00006E360000}"/>
    <cellStyle name="Comma 227 2" xfId="14279" xr:uid="{00000000-0005-0000-0000-00006F360000}"/>
    <cellStyle name="Comma 228" xfId="14280" xr:uid="{00000000-0005-0000-0000-000070360000}"/>
    <cellStyle name="Comma 228 2" xfId="14281" xr:uid="{00000000-0005-0000-0000-000071360000}"/>
    <cellStyle name="Comma 229" xfId="14282" xr:uid="{00000000-0005-0000-0000-000072360000}"/>
    <cellStyle name="Comma 229 2" xfId="14283" xr:uid="{00000000-0005-0000-0000-000073360000}"/>
    <cellStyle name="Comma 229 3" xfId="14284" xr:uid="{00000000-0005-0000-0000-000074360000}"/>
    <cellStyle name="Comma 23" xfId="154" xr:uid="{00000000-0005-0000-0000-000075360000}"/>
    <cellStyle name="Comma 23 2" xfId="14285" xr:uid="{00000000-0005-0000-0000-000076360000}"/>
    <cellStyle name="Comma 23 3" xfId="14286" xr:uid="{00000000-0005-0000-0000-000077360000}"/>
    <cellStyle name="Comma 23 3 2" xfId="14287" xr:uid="{00000000-0005-0000-0000-000078360000}"/>
    <cellStyle name="Comma 23 4" xfId="14288" xr:uid="{00000000-0005-0000-0000-000079360000}"/>
    <cellStyle name="Comma 230" xfId="14289" xr:uid="{00000000-0005-0000-0000-00007A360000}"/>
    <cellStyle name="Comma 230 2" xfId="14290" xr:uid="{00000000-0005-0000-0000-00007B360000}"/>
    <cellStyle name="Comma 231" xfId="14291" xr:uid="{00000000-0005-0000-0000-00007C360000}"/>
    <cellStyle name="Comma 231 2" xfId="14292" xr:uid="{00000000-0005-0000-0000-00007D360000}"/>
    <cellStyle name="Comma 232" xfId="14293" xr:uid="{00000000-0005-0000-0000-00007E360000}"/>
    <cellStyle name="Comma 232 2" xfId="14294" xr:uid="{00000000-0005-0000-0000-00007F360000}"/>
    <cellStyle name="Comma 233" xfId="14295" xr:uid="{00000000-0005-0000-0000-000080360000}"/>
    <cellStyle name="Comma 234" xfId="14296" xr:uid="{00000000-0005-0000-0000-000081360000}"/>
    <cellStyle name="Comma 235" xfId="14297" xr:uid="{00000000-0005-0000-0000-000082360000}"/>
    <cellStyle name="Comma 236" xfId="14298" xr:uid="{00000000-0005-0000-0000-000083360000}"/>
    <cellStyle name="Comma 237" xfId="14299" xr:uid="{00000000-0005-0000-0000-000084360000}"/>
    <cellStyle name="Comma 238" xfId="14300" xr:uid="{00000000-0005-0000-0000-000085360000}"/>
    <cellStyle name="Comma 239" xfId="61191" xr:uid="{89259587-F4A4-4848-9261-FB4D108DC46E}"/>
    <cellStyle name="Comma 24" xfId="155" xr:uid="{00000000-0005-0000-0000-000086360000}"/>
    <cellStyle name="Comma 24 2" xfId="14301" xr:uid="{00000000-0005-0000-0000-000087360000}"/>
    <cellStyle name="Comma 24 3" xfId="14302" xr:uid="{00000000-0005-0000-0000-000088360000}"/>
    <cellStyle name="Comma 24 3 2" xfId="14303" xr:uid="{00000000-0005-0000-0000-000089360000}"/>
    <cellStyle name="Comma 24 4" xfId="14304" xr:uid="{00000000-0005-0000-0000-00008A360000}"/>
    <cellStyle name="Comma 240" xfId="61198" xr:uid="{393505F5-B756-4850-ACBF-588DB0DED14E}"/>
    <cellStyle name="Comma 241" xfId="61201" xr:uid="{AA57360B-E92C-484F-86ED-BC013A5D8FCF}"/>
    <cellStyle name="Comma 25" xfId="156" xr:uid="{00000000-0005-0000-0000-00008B360000}"/>
    <cellStyle name="Comma 25 2" xfId="14305" xr:uid="{00000000-0005-0000-0000-00008C360000}"/>
    <cellStyle name="Comma 25 3" xfId="14306" xr:uid="{00000000-0005-0000-0000-00008D360000}"/>
    <cellStyle name="Comma 25 3 2" xfId="14307" xr:uid="{00000000-0005-0000-0000-00008E360000}"/>
    <cellStyle name="Comma 25 4" xfId="14308" xr:uid="{00000000-0005-0000-0000-00008F360000}"/>
    <cellStyle name="Comma 26" xfId="157" xr:uid="{00000000-0005-0000-0000-000090360000}"/>
    <cellStyle name="Comma 26 2" xfId="14309" xr:uid="{00000000-0005-0000-0000-000091360000}"/>
    <cellStyle name="Comma 26 3" xfId="14310" xr:uid="{00000000-0005-0000-0000-000092360000}"/>
    <cellStyle name="Comma 26 3 2" xfId="14311" xr:uid="{00000000-0005-0000-0000-000093360000}"/>
    <cellStyle name="Comma 26 4" xfId="14312" xr:uid="{00000000-0005-0000-0000-000094360000}"/>
    <cellStyle name="Comma 27" xfId="158" xr:uid="{00000000-0005-0000-0000-000095360000}"/>
    <cellStyle name="Comma 27 2" xfId="14313" xr:uid="{00000000-0005-0000-0000-000096360000}"/>
    <cellStyle name="Comma 27 3" xfId="14314" xr:uid="{00000000-0005-0000-0000-000097360000}"/>
    <cellStyle name="Comma 27 3 2" xfId="14315" xr:uid="{00000000-0005-0000-0000-000098360000}"/>
    <cellStyle name="Comma 27 4" xfId="14316" xr:uid="{00000000-0005-0000-0000-000099360000}"/>
    <cellStyle name="Comma 28" xfId="159" xr:uid="{00000000-0005-0000-0000-00009A360000}"/>
    <cellStyle name="Comma 28 2" xfId="14317" xr:uid="{00000000-0005-0000-0000-00009B360000}"/>
    <cellStyle name="Comma 28 3" xfId="14318" xr:uid="{00000000-0005-0000-0000-00009C360000}"/>
    <cellStyle name="Comma 28 3 2" xfId="14319" xr:uid="{00000000-0005-0000-0000-00009D360000}"/>
    <cellStyle name="Comma 28 4" xfId="14320" xr:uid="{00000000-0005-0000-0000-00009E360000}"/>
    <cellStyle name="Comma 29" xfId="160" xr:uid="{00000000-0005-0000-0000-00009F360000}"/>
    <cellStyle name="Comma 29 2" xfId="14321" xr:uid="{00000000-0005-0000-0000-0000A0360000}"/>
    <cellStyle name="Comma 29 3" xfId="14322" xr:uid="{00000000-0005-0000-0000-0000A1360000}"/>
    <cellStyle name="Comma 29 3 2" xfId="14323" xr:uid="{00000000-0005-0000-0000-0000A2360000}"/>
    <cellStyle name="Comma 29 4" xfId="14324" xr:uid="{00000000-0005-0000-0000-0000A3360000}"/>
    <cellStyle name="Comma 3" xfId="161" xr:uid="{00000000-0005-0000-0000-0000A4360000}"/>
    <cellStyle name="Comma 3 10" xfId="14325" xr:uid="{00000000-0005-0000-0000-0000A5360000}"/>
    <cellStyle name="Comma 3 10 2" xfId="14326" xr:uid="{00000000-0005-0000-0000-0000A6360000}"/>
    <cellStyle name="Comma 3 10 3" xfId="14327" xr:uid="{00000000-0005-0000-0000-0000A7360000}"/>
    <cellStyle name="Comma 3 11" xfId="14328" xr:uid="{00000000-0005-0000-0000-0000A8360000}"/>
    <cellStyle name="Comma 3 12" xfId="14329" xr:uid="{00000000-0005-0000-0000-0000A9360000}"/>
    <cellStyle name="Comma 3 12 2" xfId="14330" xr:uid="{00000000-0005-0000-0000-0000AA360000}"/>
    <cellStyle name="Comma 3 12 3" xfId="14331" xr:uid="{00000000-0005-0000-0000-0000AB360000}"/>
    <cellStyle name="Comma 3 13" xfId="14332" xr:uid="{00000000-0005-0000-0000-0000AC360000}"/>
    <cellStyle name="Comma 3 13 2" xfId="14333" xr:uid="{00000000-0005-0000-0000-0000AD360000}"/>
    <cellStyle name="Comma 3 13 3" xfId="14334" xr:uid="{00000000-0005-0000-0000-0000AE360000}"/>
    <cellStyle name="Comma 3 14" xfId="14335" xr:uid="{00000000-0005-0000-0000-0000AF360000}"/>
    <cellStyle name="Comma 3 14 2" xfId="14336" xr:uid="{00000000-0005-0000-0000-0000B0360000}"/>
    <cellStyle name="Comma 3 14 3" xfId="14337" xr:uid="{00000000-0005-0000-0000-0000B1360000}"/>
    <cellStyle name="Comma 3 15" xfId="14338" xr:uid="{00000000-0005-0000-0000-0000B2360000}"/>
    <cellStyle name="Comma 3 15 2" xfId="14339" xr:uid="{00000000-0005-0000-0000-0000B3360000}"/>
    <cellStyle name="Comma 3 15 3" xfId="14340" xr:uid="{00000000-0005-0000-0000-0000B4360000}"/>
    <cellStyle name="Comma 3 16" xfId="14341" xr:uid="{00000000-0005-0000-0000-0000B5360000}"/>
    <cellStyle name="Comma 3 17" xfId="14342" xr:uid="{00000000-0005-0000-0000-0000B6360000}"/>
    <cellStyle name="Comma 3 2" xfId="14343" xr:uid="{00000000-0005-0000-0000-0000B7360000}"/>
    <cellStyle name="Comma 3 2 2" xfId="14344" xr:uid="{00000000-0005-0000-0000-0000B8360000}"/>
    <cellStyle name="Comma 3 2 2 2" xfId="14345" xr:uid="{00000000-0005-0000-0000-0000B9360000}"/>
    <cellStyle name="Comma 3 2 2 3" xfId="14346" xr:uid="{00000000-0005-0000-0000-0000BA360000}"/>
    <cellStyle name="Comma 3 2 3" xfId="14347" xr:uid="{00000000-0005-0000-0000-0000BB360000}"/>
    <cellStyle name="Comma 3 2 3 2" xfId="14348" xr:uid="{00000000-0005-0000-0000-0000BC360000}"/>
    <cellStyle name="Comma 3 2 3 3" xfId="14349" xr:uid="{00000000-0005-0000-0000-0000BD360000}"/>
    <cellStyle name="Comma 3 2 4" xfId="14350" xr:uid="{00000000-0005-0000-0000-0000BE360000}"/>
    <cellStyle name="Comma 3 2 4 2" xfId="14351" xr:uid="{00000000-0005-0000-0000-0000BF360000}"/>
    <cellStyle name="Comma 3 2 4 3" xfId="14352" xr:uid="{00000000-0005-0000-0000-0000C0360000}"/>
    <cellStyle name="Comma 3 2 5" xfId="14353" xr:uid="{00000000-0005-0000-0000-0000C1360000}"/>
    <cellStyle name="Comma 3 2 6" xfId="14354" xr:uid="{00000000-0005-0000-0000-0000C2360000}"/>
    <cellStyle name="Comma 3 3" xfId="14355" xr:uid="{00000000-0005-0000-0000-0000C3360000}"/>
    <cellStyle name="Comma 3 3 2" xfId="14356" xr:uid="{00000000-0005-0000-0000-0000C4360000}"/>
    <cellStyle name="Comma 3 3 2 2" xfId="14357" xr:uid="{00000000-0005-0000-0000-0000C5360000}"/>
    <cellStyle name="Comma 3 3 3" xfId="14358" xr:uid="{00000000-0005-0000-0000-0000C6360000}"/>
    <cellStyle name="Comma 3 4" xfId="14359" xr:uid="{00000000-0005-0000-0000-0000C7360000}"/>
    <cellStyle name="Comma 3 4 2" xfId="14360" xr:uid="{00000000-0005-0000-0000-0000C8360000}"/>
    <cellStyle name="Comma 3 4 3" xfId="14361" xr:uid="{00000000-0005-0000-0000-0000C9360000}"/>
    <cellStyle name="Comma 3 4 4" xfId="14362" xr:uid="{00000000-0005-0000-0000-0000CA360000}"/>
    <cellStyle name="Comma 3 5" xfId="14363" xr:uid="{00000000-0005-0000-0000-0000CB360000}"/>
    <cellStyle name="Comma 3 5 2" xfId="14364" xr:uid="{00000000-0005-0000-0000-0000CC360000}"/>
    <cellStyle name="Comma 3 5 3" xfId="14365" xr:uid="{00000000-0005-0000-0000-0000CD360000}"/>
    <cellStyle name="Comma 3 6" xfId="14366" xr:uid="{00000000-0005-0000-0000-0000CE360000}"/>
    <cellStyle name="Comma 3 6 2" xfId="14367" xr:uid="{00000000-0005-0000-0000-0000CF360000}"/>
    <cellStyle name="Comma 3 6 3" xfId="14368" xr:uid="{00000000-0005-0000-0000-0000D0360000}"/>
    <cellStyle name="Comma 3 7" xfId="14369" xr:uid="{00000000-0005-0000-0000-0000D1360000}"/>
    <cellStyle name="Comma 3 7 2" xfId="14370" xr:uid="{00000000-0005-0000-0000-0000D2360000}"/>
    <cellStyle name="Comma 3 7 3" xfId="14371" xr:uid="{00000000-0005-0000-0000-0000D3360000}"/>
    <cellStyle name="Comma 3 8" xfId="14372" xr:uid="{00000000-0005-0000-0000-0000D4360000}"/>
    <cellStyle name="Comma 3 8 2" xfId="14373" xr:uid="{00000000-0005-0000-0000-0000D5360000}"/>
    <cellStyle name="Comma 3 8 3" xfId="14374" xr:uid="{00000000-0005-0000-0000-0000D6360000}"/>
    <cellStyle name="Comma 3 9" xfId="14375" xr:uid="{00000000-0005-0000-0000-0000D7360000}"/>
    <cellStyle name="Comma 3 9 2" xfId="14376" xr:uid="{00000000-0005-0000-0000-0000D8360000}"/>
    <cellStyle name="Comma 3 9 3" xfId="14377" xr:uid="{00000000-0005-0000-0000-0000D9360000}"/>
    <cellStyle name="Comma 30" xfId="162" xr:uid="{00000000-0005-0000-0000-0000DA360000}"/>
    <cellStyle name="Comma 30 2" xfId="14378" xr:uid="{00000000-0005-0000-0000-0000DB360000}"/>
    <cellStyle name="Comma 30 3" xfId="14379" xr:uid="{00000000-0005-0000-0000-0000DC360000}"/>
    <cellStyle name="Comma 30 3 2" xfId="14380" xr:uid="{00000000-0005-0000-0000-0000DD360000}"/>
    <cellStyle name="Comma 30 4" xfId="14381" xr:uid="{00000000-0005-0000-0000-0000DE360000}"/>
    <cellStyle name="Comma 30_2015 Annual Rpt" xfId="14382" xr:uid="{00000000-0005-0000-0000-0000DF360000}"/>
    <cellStyle name="Comma 31" xfId="163" xr:uid="{00000000-0005-0000-0000-0000E0360000}"/>
    <cellStyle name="Comma 31 2" xfId="14383" xr:uid="{00000000-0005-0000-0000-0000E1360000}"/>
    <cellStyle name="Comma 31 3" xfId="14384" xr:uid="{00000000-0005-0000-0000-0000E2360000}"/>
    <cellStyle name="Comma 31 3 2" xfId="14385" xr:uid="{00000000-0005-0000-0000-0000E3360000}"/>
    <cellStyle name="Comma 31 4" xfId="14386" xr:uid="{00000000-0005-0000-0000-0000E4360000}"/>
    <cellStyle name="Comma 32" xfId="164" xr:uid="{00000000-0005-0000-0000-0000E5360000}"/>
    <cellStyle name="Comma 32 2" xfId="14387" xr:uid="{00000000-0005-0000-0000-0000E6360000}"/>
    <cellStyle name="Comma 32 3" xfId="14388" xr:uid="{00000000-0005-0000-0000-0000E7360000}"/>
    <cellStyle name="Comma 32 3 2" xfId="14389" xr:uid="{00000000-0005-0000-0000-0000E8360000}"/>
    <cellStyle name="Comma 32 4" xfId="14390" xr:uid="{00000000-0005-0000-0000-0000E9360000}"/>
    <cellStyle name="Comma 32_2015 Annual Rpt" xfId="14391" xr:uid="{00000000-0005-0000-0000-0000EA360000}"/>
    <cellStyle name="Comma 33" xfId="165" xr:uid="{00000000-0005-0000-0000-0000EB360000}"/>
    <cellStyle name="Comma 33 2" xfId="14392" xr:uid="{00000000-0005-0000-0000-0000EC360000}"/>
    <cellStyle name="Comma 33 3" xfId="14393" xr:uid="{00000000-0005-0000-0000-0000ED360000}"/>
    <cellStyle name="Comma 33 3 2" xfId="14394" xr:uid="{00000000-0005-0000-0000-0000EE360000}"/>
    <cellStyle name="Comma 33 4" xfId="14395" xr:uid="{00000000-0005-0000-0000-0000EF360000}"/>
    <cellStyle name="Comma 34" xfId="166" xr:uid="{00000000-0005-0000-0000-0000F0360000}"/>
    <cellStyle name="Comma 34 2" xfId="14396" xr:uid="{00000000-0005-0000-0000-0000F1360000}"/>
    <cellStyle name="Comma 34 3" xfId="14397" xr:uid="{00000000-0005-0000-0000-0000F2360000}"/>
    <cellStyle name="Comma 34 3 2" xfId="14398" xr:uid="{00000000-0005-0000-0000-0000F3360000}"/>
    <cellStyle name="Comma 34 4" xfId="14399" xr:uid="{00000000-0005-0000-0000-0000F4360000}"/>
    <cellStyle name="Comma 34 5" xfId="14400" xr:uid="{00000000-0005-0000-0000-0000F5360000}"/>
    <cellStyle name="Comma 34 6" xfId="14401" xr:uid="{00000000-0005-0000-0000-0000F6360000}"/>
    <cellStyle name="Comma 35" xfId="167" xr:uid="{00000000-0005-0000-0000-0000F7360000}"/>
    <cellStyle name="Comma 35 2" xfId="14402" xr:uid="{00000000-0005-0000-0000-0000F8360000}"/>
    <cellStyle name="Comma 35 3" xfId="14403" xr:uid="{00000000-0005-0000-0000-0000F9360000}"/>
    <cellStyle name="Comma 35 3 2" xfId="14404" xr:uid="{00000000-0005-0000-0000-0000FA360000}"/>
    <cellStyle name="Comma 35 4" xfId="14405" xr:uid="{00000000-0005-0000-0000-0000FB360000}"/>
    <cellStyle name="Comma 35 5" xfId="14406" xr:uid="{00000000-0005-0000-0000-0000FC360000}"/>
    <cellStyle name="Comma 35 6" xfId="14407" xr:uid="{00000000-0005-0000-0000-0000FD360000}"/>
    <cellStyle name="Comma 36" xfId="168" xr:uid="{00000000-0005-0000-0000-0000FE360000}"/>
    <cellStyle name="Comma 36 2" xfId="14408" xr:uid="{00000000-0005-0000-0000-0000FF360000}"/>
    <cellStyle name="Comma 36 3" xfId="14409" xr:uid="{00000000-0005-0000-0000-000000370000}"/>
    <cellStyle name="Comma 36 3 2" xfId="14410" xr:uid="{00000000-0005-0000-0000-000001370000}"/>
    <cellStyle name="Comma 36 4" xfId="14411" xr:uid="{00000000-0005-0000-0000-000002370000}"/>
    <cellStyle name="Comma 36 5" xfId="14412" xr:uid="{00000000-0005-0000-0000-000003370000}"/>
    <cellStyle name="Comma 36 6" xfId="14413" xr:uid="{00000000-0005-0000-0000-000004370000}"/>
    <cellStyle name="Comma 37" xfId="169" xr:uid="{00000000-0005-0000-0000-000005370000}"/>
    <cellStyle name="Comma 37 2" xfId="14414" xr:uid="{00000000-0005-0000-0000-000006370000}"/>
    <cellStyle name="Comma 37 3" xfId="14415" xr:uid="{00000000-0005-0000-0000-000007370000}"/>
    <cellStyle name="Comma 37 3 2" xfId="14416" xr:uid="{00000000-0005-0000-0000-000008370000}"/>
    <cellStyle name="Comma 37 4" xfId="14417" xr:uid="{00000000-0005-0000-0000-000009370000}"/>
    <cellStyle name="Comma 37 5" xfId="14418" xr:uid="{00000000-0005-0000-0000-00000A370000}"/>
    <cellStyle name="Comma 37 6" xfId="14419" xr:uid="{00000000-0005-0000-0000-00000B370000}"/>
    <cellStyle name="Comma 38" xfId="170" xr:uid="{00000000-0005-0000-0000-00000C370000}"/>
    <cellStyle name="Comma 38 2" xfId="14420" xr:uid="{00000000-0005-0000-0000-00000D370000}"/>
    <cellStyle name="Comma 38 3" xfId="14421" xr:uid="{00000000-0005-0000-0000-00000E370000}"/>
    <cellStyle name="Comma 38 3 2" xfId="14422" xr:uid="{00000000-0005-0000-0000-00000F370000}"/>
    <cellStyle name="Comma 38 4" xfId="14423" xr:uid="{00000000-0005-0000-0000-000010370000}"/>
    <cellStyle name="Comma 38 5" xfId="14424" xr:uid="{00000000-0005-0000-0000-000011370000}"/>
    <cellStyle name="Comma 38 6" xfId="14425" xr:uid="{00000000-0005-0000-0000-000012370000}"/>
    <cellStyle name="Comma 39" xfId="171" xr:uid="{00000000-0005-0000-0000-000013370000}"/>
    <cellStyle name="Comma 39 2" xfId="14426" xr:uid="{00000000-0005-0000-0000-000014370000}"/>
    <cellStyle name="Comma 39 2 2" xfId="14427" xr:uid="{00000000-0005-0000-0000-000015370000}"/>
    <cellStyle name="Comma 39 2 2 2" xfId="14428" xr:uid="{00000000-0005-0000-0000-000016370000}"/>
    <cellStyle name="Comma 39 2 2 2 2" xfId="14429" xr:uid="{00000000-0005-0000-0000-000017370000}"/>
    <cellStyle name="Comma 39 2 2 2 3" xfId="14430" xr:uid="{00000000-0005-0000-0000-000018370000}"/>
    <cellStyle name="Comma 39 2 2 3" xfId="14431" xr:uid="{00000000-0005-0000-0000-000019370000}"/>
    <cellStyle name="Comma 39 2 2 4" xfId="14432" xr:uid="{00000000-0005-0000-0000-00001A370000}"/>
    <cellStyle name="Comma 39 2 3" xfId="14433" xr:uid="{00000000-0005-0000-0000-00001B370000}"/>
    <cellStyle name="Comma 39 2 3 2" xfId="14434" xr:uid="{00000000-0005-0000-0000-00001C370000}"/>
    <cellStyle name="Comma 39 2 4" xfId="14435" xr:uid="{00000000-0005-0000-0000-00001D370000}"/>
    <cellStyle name="Comma 39 2 5" xfId="14436" xr:uid="{00000000-0005-0000-0000-00001E370000}"/>
    <cellStyle name="Comma 39 2 5 2" xfId="14437" xr:uid="{00000000-0005-0000-0000-00001F370000}"/>
    <cellStyle name="Comma 39 2 6" xfId="14438" xr:uid="{00000000-0005-0000-0000-000020370000}"/>
    <cellStyle name="Comma 39 2 6 2" xfId="14439" xr:uid="{00000000-0005-0000-0000-000021370000}"/>
    <cellStyle name="Comma 39 2 6 2 2" xfId="14440" xr:uid="{00000000-0005-0000-0000-000022370000}"/>
    <cellStyle name="Comma 39 2 6 3" xfId="14441" xr:uid="{00000000-0005-0000-0000-000023370000}"/>
    <cellStyle name="Comma 39 2 6 3 2" xfId="14442" xr:uid="{00000000-0005-0000-0000-000024370000}"/>
    <cellStyle name="Comma 39 2 7" xfId="14443" xr:uid="{00000000-0005-0000-0000-000025370000}"/>
    <cellStyle name="Comma 39 2 8" xfId="14444" xr:uid="{00000000-0005-0000-0000-000026370000}"/>
    <cellStyle name="Comma 39 3" xfId="14445" xr:uid="{00000000-0005-0000-0000-000027370000}"/>
    <cellStyle name="Comma 39 3 2" xfId="14446" xr:uid="{00000000-0005-0000-0000-000028370000}"/>
    <cellStyle name="Comma 39 3 3" xfId="14447" xr:uid="{00000000-0005-0000-0000-000029370000}"/>
    <cellStyle name="Comma 39 3 4" xfId="14448" xr:uid="{00000000-0005-0000-0000-00002A370000}"/>
    <cellStyle name="Comma 39 4" xfId="14449" xr:uid="{00000000-0005-0000-0000-00002B370000}"/>
    <cellStyle name="Comma 39 4 2" xfId="14450" xr:uid="{00000000-0005-0000-0000-00002C370000}"/>
    <cellStyle name="Comma 39 4 3" xfId="14451" xr:uid="{00000000-0005-0000-0000-00002D370000}"/>
    <cellStyle name="Comma 39 4 4" xfId="14452" xr:uid="{00000000-0005-0000-0000-00002E370000}"/>
    <cellStyle name="Comma 39 5" xfId="14453" xr:uid="{00000000-0005-0000-0000-00002F370000}"/>
    <cellStyle name="Comma 39 5 2" xfId="14454" xr:uid="{00000000-0005-0000-0000-000030370000}"/>
    <cellStyle name="Comma 39 5 3" xfId="14455" xr:uid="{00000000-0005-0000-0000-000031370000}"/>
    <cellStyle name="Comma 39 5 4" xfId="14456" xr:uid="{00000000-0005-0000-0000-000032370000}"/>
    <cellStyle name="Comma 39 6" xfId="14457" xr:uid="{00000000-0005-0000-0000-000033370000}"/>
    <cellStyle name="Comma 39 6 2" xfId="14458" xr:uid="{00000000-0005-0000-0000-000034370000}"/>
    <cellStyle name="Comma 39 6 2 2" xfId="14459" xr:uid="{00000000-0005-0000-0000-000035370000}"/>
    <cellStyle name="Comma 39 6 3" xfId="14460" xr:uid="{00000000-0005-0000-0000-000036370000}"/>
    <cellStyle name="Comma 39 6 3 2" xfId="14461" xr:uid="{00000000-0005-0000-0000-000037370000}"/>
    <cellStyle name="Comma 39 7" xfId="14462" xr:uid="{00000000-0005-0000-0000-000038370000}"/>
    <cellStyle name="Comma 39 8" xfId="14463" xr:uid="{00000000-0005-0000-0000-000039370000}"/>
    <cellStyle name="Comma 39 9" xfId="14464" xr:uid="{00000000-0005-0000-0000-00003A370000}"/>
    <cellStyle name="Comma 4" xfId="172" xr:uid="{00000000-0005-0000-0000-00003B370000}"/>
    <cellStyle name="Comma 4 10" xfId="14465" xr:uid="{00000000-0005-0000-0000-00003C370000}"/>
    <cellStyle name="Comma 4 11" xfId="14466" xr:uid="{00000000-0005-0000-0000-00003D370000}"/>
    <cellStyle name="Comma 4 12" xfId="14467" xr:uid="{00000000-0005-0000-0000-00003E370000}"/>
    <cellStyle name="Comma 4 13" xfId="14468" xr:uid="{00000000-0005-0000-0000-00003F370000}"/>
    <cellStyle name="Comma 4 2" xfId="173" xr:uid="{00000000-0005-0000-0000-000040370000}"/>
    <cellStyle name="Comma 4 2 2" xfId="14469" xr:uid="{00000000-0005-0000-0000-000041370000}"/>
    <cellStyle name="Comma 4 2 2 2" xfId="14470" xr:uid="{00000000-0005-0000-0000-000042370000}"/>
    <cellStyle name="Comma 4 2 2 2 2" xfId="14471" xr:uid="{00000000-0005-0000-0000-000043370000}"/>
    <cellStyle name="Comma 4 2 2 2 3" xfId="14472" xr:uid="{00000000-0005-0000-0000-000044370000}"/>
    <cellStyle name="Comma 4 2 2 3" xfId="14473" xr:uid="{00000000-0005-0000-0000-000045370000}"/>
    <cellStyle name="Comma 4 2 2 3 2" xfId="14474" xr:uid="{00000000-0005-0000-0000-000046370000}"/>
    <cellStyle name="Comma 4 2 2 4" xfId="14475" xr:uid="{00000000-0005-0000-0000-000047370000}"/>
    <cellStyle name="Comma 4 2 2 4 2" xfId="14476" xr:uid="{00000000-0005-0000-0000-000048370000}"/>
    <cellStyle name="Comma 4 2 2 5" xfId="14477" xr:uid="{00000000-0005-0000-0000-000049370000}"/>
    <cellStyle name="Comma 4 2 2 6" xfId="14478" xr:uid="{00000000-0005-0000-0000-00004A370000}"/>
    <cellStyle name="Comma 4 2 2 7" xfId="14479" xr:uid="{00000000-0005-0000-0000-00004B370000}"/>
    <cellStyle name="Comma 4 2 2 8" xfId="14480" xr:uid="{00000000-0005-0000-0000-00004C370000}"/>
    <cellStyle name="Comma 4 2 2 9" xfId="14481" xr:uid="{00000000-0005-0000-0000-00004D370000}"/>
    <cellStyle name="Comma 4 2 3" xfId="14482" xr:uid="{00000000-0005-0000-0000-00004E370000}"/>
    <cellStyle name="Comma 4 2 4" xfId="14483" xr:uid="{00000000-0005-0000-0000-00004F370000}"/>
    <cellStyle name="Comma 4 2 5" xfId="14484" xr:uid="{00000000-0005-0000-0000-000050370000}"/>
    <cellStyle name="Comma 4 2 6" xfId="14485" xr:uid="{00000000-0005-0000-0000-000051370000}"/>
    <cellStyle name="Comma 4 3" xfId="14486" xr:uid="{00000000-0005-0000-0000-000052370000}"/>
    <cellStyle name="Comma 4 3 2" xfId="14487" xr:uid="{00000000-0005-0000-0000-000053370000}"/>
    <cellStyle name="Comma 4 3 2 2" xfId="14488" xr:uid="{00000000-0005-0000-0000-000054370000}"/>
    <cellStyle name="Comma 4 3 2 3" xfId="14489" xr:uid="{00000000-0005-0000-0000-000055370000}"/>
    <cellStyle name="Comma 4 3 3" xfId="14490" xr:uid="{00000000-0005-0000-0000-000056370000}"/>
    <cellStyle name="Comma 4 3 4" xfId="14491" xr:uid="{00000000-0005-0000-0000-000057370000}"/>
    <cellStyle name="Comma 4 3 5" xfId="14492" xr:uid="{00000000-0005-0000-0000-000058370000}"/>
    <cellStyle name="Comma 4 3 6" xfId="14493" xr:uid="{00000000-0005-0000-0000-000059370000}"/>
    <cellStyle name="Comma 4 4" xfId="14494" xr:uid="{00000000-0005-0000-0000-00005A370000}"/>
    <cellStyle name="Comma 4 4 2" xfId="14495" xr:uid="{00000000-0005-0000-0000-00005B370000}"/>
    <cellStyle name="Comma 4 4 2 2" xfId="14496" xr:uid="{00000000-0005-0000-0000-00005C370000}"/>
    <cellStyle name="Comma 4 4 2 2 2" xfId="14497" xr:uid="{00000000-0005-0000-0000-00005D370000}"/>
    <cellStyle name="Comma 4 4 2 3" xfId="14498" xr:uid="{00000000-0005-0000-0000-00005E370000}"/>
    <cellStyle name="Comma 4 4 3" xfId="14499" xr:uid="{00000000-0005-0000-0000-00005F370000}"/>
    <cellStyle name="Comma 4 4 3 2" xfId="14500" xr:uid="{00000000-0005-0000-0000-000060370000}"/>
    <cellStyle name="Comma 4 4 3 3" xfId="14501" xr:uid="{00000000-0005-0000-0000-000061370000}"/>
    <cellStyle name="Comma 4 4 4" xfId="14502" xr:uid="{00000000-0005-0000-0000-000062370000}"/>
    <cellStyle name="Comma 4 4 4 2" xfId="14503" xr:uid="{00000000-0005-0000-0000-000063370000}"/>
    <cellStyle name="Comma 4 4 5" xfId="14504" xr:uid="{00000000-0005-0000-0000-000064370000}"/>
    <cellStyle name="Comma 4 4 6" xfId="14505" xr:uid="{00000000-0005-0000-0000-000065370000}"/>
    <cellStyle name="Comma 4 4 7" xfId="14506" xr:uid="{00000000-0005-0000-0000-000066370000}"/>
    <cellStyle name="Comma 4 4 8" xfId="14507" xr:uid="{00000000-0005-0000-0000-000067370000}"/>
    <cellStyle name="Comma 4 4 9" xfId="14508" xr:uid="{00000000-0005-0000-0000-000068370000}"/>
    <cellStyle name="Comma 4 5" xfId="14509" xr:uid="{00000000-0005-0000-0000-000069370000}"/>
    <cellStyle name="Comma 4 5 2" xfId="14510" xr:uid="{00000000-0005-0000-0000-00006A370000}"/>
    <cellStyle name="Comma 4 5 2 2" xfId="14511" xr:uid="{00000000-0005-0000-0000-00006B370000}"/>
    <cellStyle name="Comma 4 5 3" xfId="14512" xr:uid="{00000000-0005-0000-0000-00006C370000}"/>
    <cellStyle name="Comma 4 5 4" xfId="14513" xr:uid="{00000000-0005-0000-0000-00006D370000}"/>
    <cellStyle name="Comma 4 6" xfId="14514" xr:uid="{00000000-0005-0000-0000-00006E370000}"/>
    <cellStyle name="Comma 4 6 2" xfId="14515" xr:uid="{00000000-0005-0000-0000-00006F370000}"/>
    <cellStyle name="Comma 4 6 2 2" xfId="14516" xr:uid="{00000000-0005-0000-0000-000070370000}"/>
    <cellStyle name="Comma 4 6 3" xfId="14517" xr:uid="{00000000-0005-0000-0000-000071370000}"/>
    <cellStyle name="Comma 4 6 4" xfId="14518" xr:uid="{00000000-0005-0000-0000-000072370000}"/>
    <cellStyle name="Comma 4 6 4 2" xfId="14519" xr:uid="{00000000-0005-0000-0000-000073370000}"/>
    <cellStyle name="Comma 4 6 5" xfId="14520" xr:uid="{00000000-0005-0000-0000-000074370000}"/>
    <cellStyle name="Comma 4 6 5 2" xfId="14521" xr:uid="{00000000-0005-0000-0000-000075370000}"/>
    <cellStyle name="Comma 4 6 5 2 2" xfId="14522" xr:uid="{00000000-0005-0000-0000-000076370000}"/>
    <cellStyle name="Comma 4 6 5 3" xfId="14523" xr:uid="{00000000-0005-0000-0000-000077370000}"/>
    <cellStyle name="Comma 4 6 5 3 2" xfId="14524" xr:uid="{00000000-0005-0000-0000-000078370000}"/>
    <cellStyle name="Comma 4 6 6" xfId="14525" xr:uid="{00000000-0005-0000-0000-000079370000}"/>
    <cellStyle name="Comma 4 6 7" xfId="14526" xr:uid="{00000000-0005-0000-0000-00007A370000}"/>
    <cellStyle name="Comma 4 6 8" xfId="14527" xr:uid="{00000000-0005-0000-0000-00007B370000}"/>
    <cellStyle name="Comma 4 7" xfId="14528" xr:uid="{00000000-0005-0000-0000-00007C370000}"/>
    <cellStyle name="Comma 4 7 2" xfId="14529" xr:uid="{00000000-0005-0000-0000-00007D370000}"/>
    <cellStyle name="Comma 4 8" xfId="14530" xr:uid="{00000000-0005-0000-0000-00007E370000}"/>
    <cellStyle name="Comma 4 9" xfId="14531" xr:uid="{00000000-0005-0000-0000-00007F370000}"/>
    <cellStyle name="Comma 4_App b.3 Unspent_" xfId="14532" xr:uid="{00000000-0005-0000-0000-000080370000}"/>
    <cellStyle name="Comma 40" xfId="174" xr:uid="{00000000-0005-0000-0000-000081370000}"/>
    <cellStyle name="Comma 40 2" xfId="14533" xr:uid="{00000000-0005-0000-0000-000082370000}"/>
    <cellStyle name="Comma 40 2 2" xfId="14534" xr:uid="{00000000-0005-0000-0000-000083370000}"/>
    <cellStyle name="Comma 40 2 2 2" xfId="14535" xr:uid="{00000000-0005-0000-0000-000084370000}"/>
    <cellStyle name="Comma 40 2 2 2 2" xfId="14536" xr:uid="{00000000-0005-0000-0000-000085370000}"/>
    <cellStyle name="Comma 40 2 2 2 3" xfId="14537" xr:uid="{00000000-0005-0000-0000-000086370000}"/>
    <cellStyle name="Comma 40 2 2 3" xfId="14538" xr:uid="{00000000-0005-0000-0000-000087370000}"/>
    <cellStyle name="Comma 40 2 2 4" xfId="14539" xr:uid="{00000000-0005-0000-0000-000088370000}"/>
    <cellStyle name="Comma 40 2 3" xfId="14540" xr:uid="{00000000-0005-0000-0000-000089370000}"/>
    <cellStyle name="Comma 40 2 3 2" xfId="14541" xr:uid="{00000000-0005-0000-0000-00008A370000}"/>
    <cellStyle name="Comma 40 2 4" xfId="14542" xr:uid="{00000000-0005-0000-0000-00008B370000}"/>
    <cellStyle name="Comma 40 2 5" xfId="14543" xr:uid="{00000000-0005-0000-0000-00008C370000}"/>
    <cellStyle name="Comma 40 2 5 2" xfId="14544" xr:uid="{00000000-0005-0000-0000-00008D370000}"/>
    <cellStyle name="Comma 40 2 6" xfId="14545" xr:uid="{00000000-0005-0000-0000-00008E370000}"/>
    <cellStyle name="Comma 40 2 6 2" xfId="14546" xr:uid="{00000000-0005-0000-0000-00008F370000}"/>
    <cellStyle name="Comma 40 2 6 2 2" xfId="14547" xr:uid="{00000000-0005-0000-0000-000090370000}"/>
    <cellStyle name="Comma 40 2 6 3" xfId="14548" xr:uid="{00000000-0005-0000-0000-000091370000}"/>
    <cellStyle name="Comma 40 2 6 3 2" xfId="14549" xr:uid="{00000000-0005-0000-0000-000092370000}"/>
    <cellStyle name="Comma 40 2 7" xfId="14550" xr:uid="{00000000-0005-0000-0000-000093370000}"/>
    <cellStyle name="Comma 40 2 8" xfId="14551" xr:uid="{00000000-0005-0000-0000-000094370000}"/>
    <cellStyle name="Comma 40 3" xfId="14552" xr:uid="{00000000-0005-0000-0000-000095370000}"/>
    <cellStyle name="Comma 40 3 2" xfId="14553" xr:uid="{00000000-0005-0000-0000-000096370000}"/>
    <cellStyle name="Comma 40 3 3" xfId="14554" xr:uid="{00000000-0005-0000-0000-000097370000}"/>
    <cellStyle name="Comma 40 3 4" xfId="14555" xr:uid="{00000000-0005-0000-0000-000098370000}"/>
    <cellStyle name="Comma 40 4" xfId="14556" xr:uid="{00000000-0005-0000-0000-000099370000}"/>
    <cellStyle name="Comma 40 4 2" xfId="14557" xr:uid="{00000000-0005-0000-0000-00009A370000}"/>
    <cellStyle name="Comma 40 4 3" xfId="14558" xr:uid="{00000000-0005-0000-0000-00009B370000}"/>
    <cellStyle name="Comma 40 4 4" xfId="14559" xr:uid="{00000000-0005-0000-0000-00009C370000}"/>
    <cellStyle name="Comma 40 5" xfId="14560" xr:uid="{00000000-0005-0000-0000-00009D370000}"/>
    <cellStyle name="Comma 40 5 2" xfId="14561" xr:uid="{00000000-0005-0000-0000-00009E370000}"/>
    <cellStyle name="Comma 40 5 3" xfId="14562" xr:uid="{00000000-0005-0000-0000-00009F370000}"/>
    <cellStyle name="Comma 40 5 4" xfId="14563" xr:uid="{00000000-0005-0000-0000-0000A0370000}"/>
    <cellStyle name="Comma 40 6" xfId="14564" xr:uid="{00000000-0005-0000-0000-0000A1370000}"/>
    <cellStyle name="Comma 40 6 2" xfId="14565" xr:uid="{00000000-0005-0000-0000-0000A2370000}"/>
    <cellStyle name="Comma 40 6 2 2" xfId="14566" xr:uid="{00000000-0005-0000-0000-0000A3370000}"/>
    <cellStyle name="Comma 40 6 3" xfId="14567" xr:uid="{00000000-0005-0000-0000-0000A4370000}"/>
    <cellStyle name="Comma 40 6 3 2" xfId="14568" xr:uid="{00000000-0005-0000-0000-0000A5370000}"/>
    <cellStyle name="Comma 40 7" xfId="14569" xr:uid="{00000000-0005-0000-0000-0000A6370000}"/>
    <cellStyle name="Comma 41" xfId="175" xr:uid="{00000000-0005-0000-0000-0000A7370000}"/>
    <cellStyle name="Comma 41 2" xfId="14570" xr:uid="{00000000-0005-0000-0000-0000A8370000}"/>
    <cellStyle name="Comma 41 2 2" xfId="14571" xr:uid="{00000000-0005-0000-0000-0000A9370000}"/>
    <cellStyle name="Comma 41 2 2 2" xfId="14572" xr:uid="{00000000-0005-0000-0000-0000AA370000}"/>
    <cellStyle name="Comma 41 2 2 2 2" xfId="14573" xr:uid="{00000000-0005-0000-0000-0000AB370000}"/>
    <cellStyle name="Comma 41 2 2 2 3" xfId="14574" xr:uid="{00000000-0005-0000-0000-0000AC370000}"/>
    <cellStyle name="Comma 41 2 2 3" xfId="14575" xr:uid="{00000000-0005-0000-0000-0000AD370000}"/>
    <cellStyle name="Comma 41 2 2 4" xfId="14576" xr:uid="{00000000-0005-0000-0000-0000AE370000}"/>
    <cellStyle name="Comma 41 2 3" xfId="14577" xr:uid="{00000000-0005-0000-0000-0000AF370000}"/>
    <cellStyle name="Comma 41 2 3 2" xfId="14578" xr:uid="{00000000-0005-0000-0000-0000B0370000}"/>
    <cellStyle name="Comma 41 2 4" xfId="14579" xr:uid="{00000000-0005-0000-0000-0000B1370000}"/>
    <cellStyle name="Comma 41 2 5" xfId="14580" xr:uid="{00000000-0005-0000-0000-0000B2370000}"/>
    <cellStyle name="Comma 41 2 5 2" xfId="14581" xr:uid="{00000000-0005-0000-0000-0000B3370000}"/>
    <cellStyle name="Comma 41 2 6" xfId="14582" xr:uid="{00000000-0005-0000-0000-0000B4370000}"/>
    <cellStyle name="Comma 41 2 6 2" xfId="14583" xr:uid="{00000000-0005-0000-0000-0000B5370000}"/>
    <cellStyle name="Comma 41 2 6 2 2" xfId="14584" xr:uid="{00000000-0005-0000-0000-0000B6370000}"/>
    <cellStyle name="Comma 41 2 6 3" xfId="14585" xr:uid="{00000000-0005-0000-0000-0000B7370000}"/>
    <cellStyle name="Comma 41 2 6 3 2" xfId="14586" xr:uid="{00000000-0005-0000-0000-0000B8370000}"/>
    <cellStyle name="Comma 41 2 7" xfId="14587" xr:uid="{00000000-0005-0000-0000-0000B9370000}"/>
    <cellStyle name="Comma 41 2 8" xfId="14588" xr:uid="{00000000-0005-0000-0000-0000BA370000}"/>
    <cellStyle name="Comma 41 3" xfId="14589" xr:uid="{00000000-0005-0000-0000-0000BB370000}"/>
    <cellStyle name="Comma 41 3 2" xfId="14590" xr:uid="{00000000-0005-0000-0000-0000BC370000}"/>
    <cellStyle name="Comma 41 3 3" xfId="14591" xr:uid="{00000000-0005-0000-0000-0000BD370000}"/>
    <cellStyle name="Comma 41 3 4" xfId="14592" xr:uid="{00000000-0005-0000-0000-0000BE370000}"/>
    <cellStyle name="Comma 41 4" xfId="14593" xr:uid="{00000000-0005-0000-0000-0000BF370000}"/>
    <cellStyle name="Comma 41 4 2" xfId="14594" xr:uid="{00000000-0005-0000-0000-0000C0370000}"/>
    <cellStyle name="Comma 41 4 3" xfId="14595" xr:uid="{00000000-0005-0000-0000-0000C1370000}"/>
    <cellStyle name="Comma 41 4 4" xfId="14596" xr:uid="{00000000-0005-0000-0000-0000C2370000}"/>
    <cellStyle name="Comma 41 5" xfId="14597" xr:uid="{00000000-0005-0000-0000-0000C3370000}"/>
    <cellStyle name="Comma 41 5 2" xfId="14598" xr:uid="{00000000-0005-0000-0000-0000C4370000}"/>
    <cellStyle name="Comma 41 5 3" xfId="14599" xr:uid="{00000000-0005-0000-0000-0000C5370000}"/>
    <cellStyle name="Comma 41 5 4" xfId="14600" xr:uid="{00000000-0005-0000-0000-0000C6370000}"/>
    <cellStyle name="Comma 41 6" xfId="14601" xr:uid="{00000000-0005-0000-0000-0000C7370000}"/>
    <cellStyle name="Comma 41 6 2" xfId="14602" xr:uid="{00000000-0005-0000-0000-0000C8370000}"/>
    <cellStyle name="Comma 41 6 2 2" xfId="14603" xr:uid="{00000000-0005-0000-0000-0000C9370000}"/>
    <cellStyle name="Comma 41 6 3" xfId="14604" xr:uid="{00000000-0005-0000-0000-0000CA370000}"/>
    <cellStyle name="Comma 41 6 3 2" xfId="14605" xr:uid="{00000000-0005-0000-0000-0000CB370000}"/>
    <cellStyle name="Comma 41 7" xfId="14606" xr:uid="{00000000-0005-0000-0000-0000CC370000}"/>
    <cellStyle name="Comma 42" xfId="176" xr:uid="{00000000-0005-0000-0000-0000CD370000}"/>
    <cellStyle name="Comma 42 2" xfId="14607" xr:uid="{00000000-0005-0000-0000-0000CE370000}"/>
    <cellStyle name="Comma 42 2 2" xfId="14608" xr:uid="{00000000-0005-0000-0000-0000CF370000}"/>
    <cellStyle name="Comma 42 2 2 2" xfId="14609" xr:uid="{00000000-0005-0000-0000-0000D0370000}"/>
    <cellStyle name="Comma 42 2 2 3" xfId="14610" xr:uid="{00000000-0005-0000-0000-0000D1370000}"/>
    <cellStyle name="Comma 42 2 2 4" xfId="14611" xr:uid="{00000000-0005-0000-0000-0000D2370000}"/>
    <cellStyle name="Comma 42 2 3" xfId="14612" xr:uid="{00000000-0005-0000-0000-0000D3370000}"/>
    <cellStyle name="Comma 42 2 4" xfId="14613" xr:uid="{00000000-0005-0000-0000-0000D4370000}"/>
    <cellStyle name="Comma 42 2 4 2" xfId="14614" xr:uid="{00000000-0005-0000-0000-0000D5370000}"/>
    <cellStyle name="Comma 42 2 5" xfId="14615" xr:uid="{00000000-0005-0000-0000-0000D6370000}"/>
    <cellStyle name="Comma 42 2 5 2" xfId="14616" xr:uid="{00000000-0005-0000-0000-0000D7370000}"/>
    <cellStyle name="Comma 42 2 5 2 2" xfId="14617" xr:uid="{00000000-0005-0000-0000-0000D8370000}"/>
    <cellStyle name="Comma 42 2 5 3" xfId="14618" xr:uid="{00000000-0005-0000-0000-0000D9370000}"/>
    <cellStyle name="Comma 42 2 5 3 2" xfId="14619" xr:uid="{00000000-0005-0000-0000-0000DA370000}"/>
    <cellStyle name="Comma 42 2 6" xfId="14620" xr:uid="{00000000-0005-0000-0000-0000DB370000}"/>
    <cellStyle name="Comma 42 2 7" xfId="14621" xr:uid="{00000000-0005-0000-0000-0000DC370000}"/>
    <cellStyle name="Comma 42 3" xfId="14622" xr:uid="{00000000-0005-0000-0000-0000DD370000}"/>
    <cellStyle name="Comma 42 3 2" xfId="14623" xr:uid="{00000000-0005-0000-0000-0000DE370000}"/>
    <cellStyle name="Comma 42 3 3" xfId="14624" xr:uid="{00000000-0005-0000-0000-0000DF370000}"/>
    <cellStyle name="Comma 42 3 4" xfId="14625" xr:uid="{00000000-0005-0000-0000-0000E0370000}"/>
    <cellStyle name="Comma 42 4" xfId="14626" xr:uid="{00000000-0005-0000-0000-0000E1370000}"/>
    <cellStyle name="Comma 42 4 2" xfId="14627" xr:uid="{00000000-0005-0000-0000-0000E2370000}"/>
    <cellStyle name="Comma 42 4 3" xfId="14628" xr:uid="{00000000-0005-0000-0000-0000E3370000}"/>
    <cellStyle name="Comma 42 4 4" xfId="14629" xr:uid="{00000000-0005-0000-0000-0000E4370000}"/>
    <cellStyle name="Comma 42 5" xfId="14630" xr:uid="{00000000-0005-0000-0000-0000E5370000}"/>
    <cellStyle name="Comma 42 5 2" xfId="14631" xr:uid="{00000000-0005-0000-0000-0000E6370000}"/>
    <cellStyle name="Comma 42 5 3" xfId="14632" xr:uid="{00000000-0005-0000-0000-0000E7370000}"/>
    <cellStyle name="Comma 42 6" xfId="14633" xr:uid="{00000000-0005-0000-0000-0000E8370000}"/>
    <cellStyle name="Comma 42 6 2" xfId="14634" xr:uid="{00000000-0005-0000-0000-0000E9370000}"/>
    <cellStyle name="Comma 42 7" xfId="14635" xr:uid="{00000000-0005-0000-0000-0000EA370000}"/>
    <cellStyle name="Comma 42 7 2" xfId="14636" xr:uid="{00000000-0005-0000-0000-0000EB370000}"/>
    <cellStyle name="Comma 42 7 2 2" xfId="14637" xr:uid="{00000000-0005-0000-0000-0000EC370000}"/>
    <cellStyle name="Comma 42 7 3" xfId="14638" xr:uid="{00000000-0005-0000-0000-0000ED370000}"/>
    <cellStyle name="Comma 42 7 3 2" xfId="14639" xr:uid="{00000000-0005-0000-0000-0000EE370000}"/>
    <cellStyle name="Comma 42 8" xfId="14640" xr:uid="{00000000-0005-0000-0000-0000EF370000}"/>
    <cellStyle name="Comma 43" xfId="177" xr:uid="{00000000-0005-0000-0000-0000F0370000}"/>
    <cellStyle name="Comma 43 2" xfId="14641" xr:uid="{00000000-0005-0000-0000-0000F1370000}"/>
    <cellStyle name="Comma 43 2 2" xfId="14642" xr:uid="{00000000-0005-0000-0000-0000F2370000}"/>
    <cellStyle name="Comma 43 2 2 2" xfId="14643" xr:uid="{00000000-0005-0000-0000-0000F3370000}"/>
    <cellStyle name="Comma 43 2 2 3" xfId="14644" xr:uid="{00000000-0005-0000-0000-0000F4370000}"/>
    <cellStyle name="Comma 43 2 2 4" xfId="14645" xr:uid="{00000000-0005-0000-0000-0000F5370000}"/>
    <cellStyle name="Comma 43 2 3" xfId="14646" xr:uid="{00000000-0005-0000-0000-0000F6370000}"/>
    <cellStyle name="Comma 43 2 4" xfId="14647" xr:uid="{00000000-0005-0000-0000-0000F7370000}"/>
    <cellStyle name="Comma 43 2 4 2" xfId="14648" xr:uid="{00000000-0005-0000-0000-0000F8370000}"/>
    <cellStyle name="Comma 43 2 5" xfId="14649" xr:uid="{00000000-0005-0000-0000-0000F9370000}"/>
    <cellStyle name="Comma 43 2 5 2" xfId="14650" xr:uid="{00000000-0005-0000-0000-0000FA370000}"/>
    <cellStyle name="Comma 43 2 5 2 2" xfId="14651" xr:uid="{00000000-0005-0000-0000-0000FB370000}"/>
    <cellStyle name="Comma 43 2 5 3" xfId="14652" xr:uid="{00000000-0005-0000-0000-0000FC370000}"/>
    <cellStyle name="Comma 43 2 5 3 2" xfId="14653" xr:uid="{00000000-0005-0000-0000-0000FD370000}"/>
    <cellStyle name="Comma 43 2 6" xfId="14654" xr:uid="{00000000-0005-0000-0000-0000FE370000}"/>
    <cellStyle name="Comma 43 2 7" xfId="14655" xr:uid="{00000000-0005-0000-0000-0000FF370000}"/>
    <cellStyle name="Comma 43 3" xfId="14656" xr:uid="{00000000-0005-0000-0000-000000380000}"/>
    <cellStyle name="Comma 43 3 2" xfId="14657" xr:uid="{00000000-0005-0000-0000-000001380000}"/>
    <cellStyle name="Comma 43 3 3" xfId="14658" xr:uid="{00000000-0005-0000-0000-000002380000}"/>
    <cellStyle name="Comma 43 3 4" xfId="14659" xr:uid="{00000000-0005-0000-0000-000003380000}"/>
    <cellStyle name="Comma 43 4" xfId="14660" xr:uid="{00000000-0005-0000-0000-000004380000}"/>
    <cellStyle name="Comma 43 4 2" xfId="14661" xr:uid="{00000000-0005-0000-0000-000005380000}"/>
    <cellStyle name="Comma 43 4 3" xfId="14662" xr:uid="{00000000-0005-0000-0000-000006380000}"/>
    <cellStyle name="Comma 43 4 4" xfId="14663" xr:uid="{00000000-0005-0000-0000-000007380000}"/>
    <cellStyle name="Comma 43 5" xfId="14664" xr:uid="{00000000-0005-0000-0000-000008380000}"/>
    <cellStyle name="Comma 43 5 2" xfId="14665" xr:uid="{00000000-0005-0000-0000-000009380000}"/>
    <cellStyle name="Comma 43 5 3" xfId="14666" xr:uid="{00000000-0005-0000-0000-00000A380000}"/>
    <cellStyle name="Comma 43 6" xfId="14667" xr:uid="{00000000-0005-0000-0000-00000B380000}"/>
    <cellStyle name="Comma 43 6 2" xfId="14668" xr:uid="{00000000-0005-0000-0000-00000C380000}"/>
    <cellStyle name="Comma 43 7" xfId="14669" xr:uid="{00000000-0005-0000-0000-00000D380000}"/>
    <cellStyle name="Comma 43 7 2" xfId="14670" xr:uid="{00000000-0005-0000-0000-00000E380000}"/>
    <cellStyle name="Comma 43 7 2 2" xfId="14671" xr:uid="{00000000-0005-0000-0000-00000F380000}"/>
    <cellStyle name="Comma 43 7 3" xfId="14672" xr:uid="{00000000-0005-0000-0000-000010380000}"/>
    <cellStyle name="Comma 43 7 3 2" xfId="14673" xr:uid="{00000000-0005-0000-0000-000011380000}"/>
    <cellStyle name="Comma 43 8" xfId="14674" xr:uid="{00000000-0005-0000-0000-000012380000}"/>
    <cellStyle name="Comma 44" xfId="178" xr:uid="{00000000-0005-0000-0000-000013380000}"/>
    <cellStyle name="Comma 44 2" xfId="14675" xr:uid="{00000000-0005-0000-0000-000014380000}"/>
    <cellStyle name="Comma 44 2 2" xfId="14676" xr:uid="{00000000-0005-0000-0000-000015380000}"/>
    <cellStyle name="Comma 44 2 2 2" xfId="14677" xr:uid="{00000000-0005-0000-0000-000016380000}"/>
    <cellStyle name="Comma 44 2 2 3" xfId="14678" xr:uid="{00000000-0005-0000-0000-000017380000}"/>
    <cellStyle name="Comma 44 2 2 4" xfId="14679" xr:uid="{00000000-0005-0000-0000-000018380000}"/>
    <cellStyle name="Comma 44 2 3" xfId="14680" xr:uid="{00000000-0005-0000-0000-000019380000}"/>
    <cellStyle name="Comma 44 2 4" xfId="14681" xr:uid="{00000000-0005-0000-0000-00001A380000}"/>
    <cellStyle name="Comma 44 2 4 2" xfId="14682" xr:uid="{00000000-0005-0000-0000-00001B380000}"/>
    <cellStyle name="Comma 44 2 5" xfId="14683" xr:uid="{00000000-0005-0000-0000-00001C380000}"/>
    <cellStyle name="Comma 44 2 5 2" xfId="14684" xr:uid="{00000000-0005-0000-0000-00001D380000}"/>
    <cellStyle name="Comma 44 2 5 2 2" xfId="14685" xr:uid="{00000000-0005-0000-0000-00001E380000}"/>
    <cellStyle name="Comma 44 2 5 3" xfId="14686" xr:uid="{00000000-0005-0000-0000-00001F380000}"/>
    <cellStyle name="Comma 44 2 5 3 2" xfId="14687" xr:uid="{00000000-0005-0000-0000-000020380000}"/>
    <cellStyle name="Comma 44 2 6" xfId="14688" xr:uid="{00000000-0005-0000-0000-000021380000}"/>
    <cellStyle name="Comma 44 2 7" xfId="14689" xr:uid="{00000000-0005-0000-0000-000022380000}"/>
    <cellStyle name="Comma 44 3" xfId="14690" xr:uid="{00000000-0005-0000-0000-000023380000}"/>
    <cellStyle name="Comma 44 3 2" xfId="14691" xr:uid="{00000000-0005-0000-0000-000024380000}"/>
    <cellStyle name="Comma 44 3 3" xfId="14692" xr:uid="{00000000-0005-0000-0000-000025380000}"/>
    <cellStyle name="Comma 44 3 4" xfId="14693" xr:uid="{00000000-0005-0000-0000-000026380000}"/>
    <cellStyle name="Comma 44 4" xfId="14694" xr:uid="{00000000-0005-0000-0000-000027380000}"/>
    <cellStyle name="Comma 44 4 2" xfId="14695" xr:uid="{00000000-0005-0000-0000-000028380000}"/>
    <cellStyle name="Comma 44 4 3" xfId="14696" xr:uid="{00000000-0005-0000-0000-000029380000}"/>
    <cellStyle name="Comma 44 4 4" xfId="14697" xr:uid="{00000000-0005-0000-0000-00002A380000}"/>
    <cellStyle name="Comma 44 5" xfId="14698" xr:uid="{00000000-0005-0000-0000-00002B380000}"/>
    <cellStyle name="Comma 44 5 2" xfId="14699" xr:uid="{00000000-0005-0000-0000-00002C380000}"/>
    <cellStyle name="Comma 44 5 3" xfId="14700" xr:uid="{00000000-0005-0000-0000-00002D380000}"/>
    <cellStyle name="Comma 44 6" xfId="14701" xr:uid="{00000000-0005-0000-0000-00002E380000}"/>
    <cellStyle name="Comma 44 6 2" xfId="14702" xr:uid="{00000000-0005-0000-0000-00002F380000}"/>
    <cellStyle name="Comma 44 7" xfId="14703" xr:uid="{00000000-0005-0000-0000-000030380000}"/>
    <cellStyle name="Comma 44 7 2" xfId="14704" xr:uid="{00000000-0005-0000-0000-000031380000}"/>
    <cellStyle name="Comma 44 7 2 2" xfId="14705" xr:uid="{00000000-0005-0000-0000-000032380000}"/>
    <cellStyle name="Comma 44 7 3" xfId="14706" xr:uid="{00000000-0005-0000-0000-000033380000}"/>
    <cellStyle name="Comma 44 7 3 2" xfId="14707" xr:uid="{00000000-0005-0000-0000-000034380000}"/>
    <cellStyle name="Comma 44 8" xfId="14708" xr:uid="{00000000-0005-0000-0000-000035380000}"/>
    <cellStyle name="Comma 44_2015 Annual Rpt" xfId="14709" xr:uid="{00000000-0005-0000-0000-000036380000}"/>
    <cellStyle name="Comma 45" xfId="179" xr:uid="{00000000-0005-0000-0000-000037380000}"/>
    <cellStyle name="Comma 45 2" xfId="14710" xr:uid="{00000000-0005-0000-0000-000038380000}"/>
    <cellStyle name="Comma 45 3" xfId="14711" xr:uid="{00000000-0005-0000-0000-000039380000}"/>
    <cellStyle name="Comma 45 4" xfId="14712" xr:uid="{00000000-0005-0000-0000-00003A380000}"/>
    <cellStyle name="Comma 45 5" xfId="14713" xr:uid="{00000000-0005-0000-0000-00003B380000}"/>
    <cellStyle name="Comma 46" xfId="180" xr:uid="{00000000-0005-0000-0000-00003C380000}"/>
    <cellStyle name="Comma 46 2" xfId="14714" xr:uid="{00000000-0005-0000-0000-00003D380000}"/>
    <cellStyle name="Comma 46 3" xfId="14715" xr:uid="{00000000-0005-0000-0000-00003E380000}"/>
    <cellStyle name="Comma 46 4" xfId="14716" xr:uid="{00000000-0005-0000-0000-00003F380000}"/>
    <cellStyle name="Comma 46 5" xfId="14717" xr:uid="{00000000-0005-0000-0000-000040380000}"/>
    <cellStyle name="Comma 46 6" xfId="14718" xr:uid="{00000000-0005-0000-0000-000041380000}"/>
    <cellStyle name="Comma 46 7" xfId="14719" xr:uid="{00000000-0005-0000-0000-000042380000}"/>
    <cellStyle name="Comma 46_2015 Annual Rpt" xfId="14720" xr:uid="{00000000-0005-0000-0000-000043380000}"/>
    <cellStyle name="Comma 47" xfId="181" xr:uid="{00000000-0005-0000-0000-000044380000}"/>
    <cellStyle name="Comma 47 2" xfId="14721" xr:uid="{00000000-0005-0000-0000-000045380000}"/>
    <cellStyle name="Comma 47 2 2" xfId="14722" xr:uid="{00000000-0005-0000-0000-000046380000}"/>
    <cellStyle name="Comma 47 2 3" xfId="14723" xr:uid="{00000000-0005-0000-0000-000047380000}"/>
    <cellStyle name="Comma 47 3" xfId="14724" xr:uid="{00000000-0005-0000-0000-000048380000}"/>
    <cellStyle name="Comma 47 3 2" xfId="14725" xr:uid="{00000000-0005-0000-0000-000049380000}"/>
    <cellStyle name="Comma 47 3 3" xfId="14726" xr:uid="{00000000-0005-0000-0000-00004A380000}"/>
    <cellStyle name="Comma 47 4" xfId="14727" xr:uid="{00000000-0005-0000-0000-00004B380000}"/>
    <cellStyle name="Comma 47 5" xfId="14728" xr:uid="{00000000-0005-0000-0000-00004C380000}"/>
    <cellStyle name="Comma 47 6" xfId="14729" xr:uid="{00000000-0005-0000-0000-00004D380000}"/>
    <cellStyle name="Comma 48" xfId="182" xr:uid="{00000000-0005-0000-0000-00004E380000}"/>
    <cellStyle name="Comma 48 2" xfId="14730" xr:uid="{00000000-0005-0000-0000-00004F380000}"/>
    <cellStyle name="Comma 48 2 2" xfId="14731" xr:uid="{00000000-0005-0000-0000-000050380000}"/>
    <cellStyle name="Comma 48 2 3" xfId="14732" xr:uid="{00000000-0005-0000-0000-000051380000}"/>
    <cellStyle name="Comma 48 3" xfId="14733" xr:uid="{00000000-0005-0000-0000-000052380000}"/>
    <cellStyle name="Comma 48 3 2" xfId="14734" xr:uid="{00000000-0005-0000-0000-000053380000}"/>
    <cellStyle name="Comma 48 3 3" xfId="14735" xr:uid="{00000000-0005-0000-0000-000054380000}"/>
    <cellStyle name="Comma 48 4" xfId="14736" xr:uid="{00000000-0005-0000-0000-000055380000}"/>
    <cellStyle name="Comma 48 5" xfId="14737" xr:uid="{00000000-0005-0000-0000-000056380000}"/>
    <cellStyle name="Comma 48 6" xfId="14738" xr:uid="{00000000-0005-0000-0000-000057380000}"/>
    <cellStyle name="Comma 48 7" xfId="14739" xr:uid="{00000000-0005-0000-0000-000058380000}"/>
    <cellStyle name="Comma 49" xfId="183" xr:uid="{00000000-0005-0000-0000-000059380000}"/>
    <cellStyle name="Comma 49 2" xfId="14740" xr:uid="{00000000-0005-0000-0000-00005A380000}"/>
    <cellStyle name="Comma 49 2 2" xfId="14741" xr:uid="{00000000-0005-0000-0000-00005B380000}"/>
    <cellStyle name="Comma 49 2 3" xfId="14742" xr:uid="{00000000-0005-0000-0000-00005C380000}"/>
    <cellStyle name="Comma 49 3" xfId="14743" xr:uid="{00000000-0005-0000-0000-00005D380000}"/>
    <cellStyle name="Comma 49 3 2" xfId="14744" xr:uid="{00000000-0005-0000-0000-00005E380000}"/>
    <cellStyle name="Comma 49 3 3" xfId="14745" xr:uid="{00000000-0005-0000-0000-00005F380000}"/>
    <cellStyle name="Comma 49 4" xfId="14746" xr:uid="{00000000-0005-0000-0000-000060380000}"/>
    <cellStyle name="Comma 49 5" xfId="14747" xr:uid="{00000000-0005-0000-0000-000061380000}"/>
    <cellStyle name="Comma 49 6" xfId="14748" xr:uid="{00000000-0005-0000-0000-000062380000}"/>
    <cellStyle name="Comma 5" xfId="184" xr:uid="{00000000-0005-0000-0000-000063380000}"/>
    <cellStyle name="Comma 5 10" xfId="14749" xr:uid="{00000000-0005-0000-0000-000064380000}"/>
    <cellStyle name="Comma 5 11" xfId="14750" xr:uid="{00000000-0005-0000-0000-000065380000}"/>
    <cellStyle name="Comma 5 12" xfId="14751" xr:uid="{00000000-0005-0000-0000-000066380000}"/>
    <cellStyle name="Comma 5 2" xfId="185" xr:uid="{00000000-0005-0000-0000-000067380000}"/>
    <cellStyle name="Comma 5 2 10" xfId="14752" xr:uid="{00000000-0005-0000-0000-000068380000}"/>
    <cellStyle name="Comma 5 2 2" xfId="14753" xr:uid="{00000000-0005-0000-0000-000069380000}"/>
    <cellStyle name="Comma 5 2 2 2" xfId="14754" xr:uid="{00000000-0005-0000-0000-00006A380000}"/>
    <cellStyle name="Comma 5 2 2 2 2" xfId="14755" xr:uid="{00000000-0005-0000-0000-00006B380000}"/>
    <cellStyle name="Comma 5 2 2 3" xfId="14756" xr:uid="{00000000-0005-0000-0000-00006C380000}"/>
    <cellStyle name="Comma 5 2 2 3 2" xfId="14757" xr:uid="{00000000-0005-0000-0000-00006D380000}"/>
    <cellStyle name="Comma 5 2 2 4" xfId="14758" xr:uid="{00000000-0005-0000-0000-00006E380000}"/>
    <cellStyle name="Comma 5 2 2 5" xfId="14759" xr:uid="{00000000-0005-0000-0000-00006F380000}"/>
    <cellStyle name="Comma 5 2 2 6" xfId="14760" xr:uid="{00000000-0005-0000-0000-000070380000}"/>
    <cellStyle name="Comma 5 2 2 7" xfId="14761" xr:uid="{00000000-0005-0000-0000-000071380000}"/>
    <cellStyle name="Comma 5 2 2 8" xfId="14762" xr:uid="{00000000-0005-0000-0000-000072380000}"/>
    <cellStyle name="Comma 5 2 3" xfId="14763" xr:uid="{00000000-0005-0000-0000-000073380000}"/>
    <cellStyle name="Comma 5 2 4" xfId="14764" xr:uid="{00000000-0005-0000-0000-000074380000}"/>
    <cellStyle name="Comma 5 2 4 2" xfId="14765" xr:uid="{00000000-0005-0000-0000-000075380000}"/>
    <cellStyle name="Comma 5 2 5" xfId="14766" xr:uid="{00000000-0005-0000-0000-000076380000}"/>
    <cellStyle name="Comma 5 2 5 2" xfId="14767" xr:uid="{00000000-0005-0000-0000-000077380000}"/>
    <cellStyle name="Comma 5 2 6" xfId="14768" xr:uid="{00000000-0005-0000-0000-000078380000}"/>
    <cellStyle name="Comma 5 2 6 2" xfId="14769" xr:uid="{00000000-0005-0000-0000-000079380000}"/>
    <cellStyle name="Comma 5 2 7" xfId="14770" xr:uid="{00000000-0005-0000-0000-00007A380000}"/>
    <cellStyle name="Comma 5 2 8" xfId="14771" xr:uid="{00000000-0005-0000-0000-00007B380000}"/>
    <cellStyle name="Comma 5 2 9" xfId="14772" xr:uid="{00000000-0005-0000-0000-00007C380000}"/>
    <cellStyle name="Comma 5 3" xfId="14773" xr:uid="{00000000-0005-0000-0000-00007D380000}"/>
    <cellStyle name="Comma 5 3 10" xfId="14774" xr:uid="{00000000-0005-0000-0000-00007E380000}"/>
    <cellStyle name="Comma 5 3 2" xfId="14775" xr:uid="{00000000-0005-0000-0000-00007F380000}"/>
    <cellStyle name="Comma 5 3 2 2" xfId="14776" xr:uid="{00000000-0005-0000-0000-000080380000}"/>
    <cellStyle name="Comma 5 3 2 2 2" xfId="14777" xr:uid="{00000000-0005-0000-0000-000081380000}"/>
    <cellStyle name="Comma 5 3 2 3" xfId="14778" xr:uid="{00000000-0005-0000-0000-000082380000}"/>
    <cellStyle name="Comma 5 3 2 3 2" xfId="14779" xr:uid="{00000000-0005-0000-0000-000083380000}"/>
    <cellStyle name="Comma 5 3 2 4" xfId="14780" xr:uid="{00000000-0005-0000-0000-000084380000}"/>
    <cellStyle name="Comma 5 3 2 5" xfId="14781" xr:uid="{00000000-0005-0000-0000-000085380000}"/>
    <cellStyle name="Comma 5 3 2 6" xfId="14782" xr:uid="{00000000-0005-0000-0000-000086380000}"/>
    <cellStyle name="Comma 5 3 2 7" xfId="14783" xr:uid="{00000000-0005-0000-0000-000087380000}"/>
    <cellStyle name="Comma 5 3 2 8" xfId="14784" xr:uid="{00000000-0005-0000-0000-000088380000}"/>
    <cellStyle name="Comma 5 3 3" xfId="14785" xr:uid="{00000000-0005-0000-0000-000089380000}"/>
    <cellStyle name="Comma 5 3 3 2" xfId="14786" xr:uid="{00000000-0005-0000-0000-00008A380000}"/>
    <cellStyle name="Comma 5 3 4" xfId="14787" xr:uid="{00000000-0005-0000-0000-00008B380000}"/>
    <cellStyle name="Comma 5 3 4 2" xfId="14788" xr:uid="{00000000-0005-0000-0000-00008C380000}"/>
    <cellStyle name="Comma 5 3 5" xfId="14789" xr:uid="{00000000-0005-0000-0000-00008D380000}"/>
    <cellStyle name="Comma 5 3 5 2" xfId="14790" xr:uid="{00000000-0005-0000-0000-00008E380000}"/>
    <cellStyle name="Comma 5 3 6" xfId="14791" xr:uid="{00000000-0005-0000-0000-00008F380000}"/>
    <cellStyle name="Comma 5 3 6 2" xfId="14792" xr:uid="{00000000-0005-0000-0000-000090380000}"/>
    <cellStyle name="Comma 5 3 7" xfId="14793" xr:uid="{00000000-0005-0000-0000-000091380000}"/>
    <cellStyle name="Comma 5 3 8" xfId="14794" xr:uid="{00000000-0005-0000-0000-000092380000}"/>
    <cellStyle name="Comma 5 3 9" xfId="14795" xr:uid="{00000000-0005-0000-0000-000093380000}"/>
    <cellStyle name="Comma 5 4" xfId="14796" xr:uid="{00000000-0005-0000-0000-000094380000}"/>
    <cellStyle name="Comma 5 4 2" xfId="14797" xr:uid="{00000000-0005-0000-0000-000095380000}"/>
    <cellStyle name="Comma 5 5" xfId="14798" xr:uid="{00000000-0005-0000-0000-000096380000}"/>
    <cellStyle name="Comma 5 5 2" xfId="14799" xr:uid="{00000000-0005-0000-0000-000097380000}"/>
    <cellStyle name="Comma 5 5 2 2" xfId="14800" xr:uid="{00000000-0005-0000-0000-000098380000}"/>
    <cellStyle name="Comma 5 5 3" xfId="14801" xr:uid="{00000000-0005-0000-0000-000099380000}"/>
    <cellStyle name="Comma 5 5 3 2" xfId="14802" xr:uid="{00000000-0005-0000-0000-00009A380000}"/>
    <cellStyle name="Comma 5 5 4" xfId="14803" xr:uid="{00000000-0005-0000-0000-00009B380000}"/>
    <cellStyle name="Comma 5 5 5" xfId="14804" xr:uid="{00000000-0005-0000-0000-00009C380000}"/>
    <cellStyle name="Comma 5 5 6" xfId="14805" xr:uid="{00000000-0005-0000-0000-00009D380000}"/>
    <cellStyle name="Comma 5 5 7" xfId="14806" xr:uid="{00000000-0005-0000-0000-00009E380000}"/>
    <cellStyle name="Comma 5 5 8" xfId="14807" xr:uid="{00000000-0005-0000-0000-00009F380000}"/>
    <cellStyle name="Comma 5 6" xfId="14808" xr:uid="{00000000-0005-0000-0000-0000A0380000}"/>
    <cellStyle name="Comma 5 7" xfId="14809" xr:uid="{00000000-0005-0000-0000-0000A1380000}"/>
    <cellStyle name="Comma 5 7 2" xfId="14810" xr:uid="{00000000-0005-0000-0000-0000A2380000}"/>
    <cellStyle name="Comma 5 7 3" xfId="14811" xr:uid="{00000000-0005-0000-0000-0000A3380000}"/>
    <cellStyle name="Comma 5 8" xfId="14812" xr:uid="{00000000-0005-0000-0000-0000A4380000}"/>
    <cellStyle name="Comma 5 8 2" xfId="14813" xr:uid="{00000000-0005-0000-0000-0000A5380000}"/>
    <cellStyle name="Comma 5 9" xfId="14814" xr:uid="{00000000-0005-0000-0000-0000A6380000}"/>
    <cellStyle name="Comma 5 9 2" xfId="14815" xr:uid="{00000000-0005-0000-0000-0000A7380000}"/>
    <cellStyle name="Comma 5_App b.3 Unspent_" xfId="14816" xr:uid="{00000000-0005-0000-0000-0000A8380000}"/>
    <cellStyle name="Comma 50" xfId="186" xr:uid="{00000000-0005-0000-0000-0000A9380000}"/>
    <cellStyle name="Comma 50 2" xfId="14817" xr:uid="{00000000-0005-0000-0000-0000AA380000}"/>
    <cellStyle name="Comma 50 2 2" xfId="14818" xr:uid="{00000000-0005-0000-0000-0000AB380000}"/>
    <cellStyle name="Comma 50 2 3" xfId="14819" xr:uid="{00000000-0005-0000-0000-0000AC380000}"/>
    <cellStyle name="Comma 50 3" xfId="14820" xr:uid="{00000000-0005-0000-0000-0000AD380000}"/>
    <cellStyle name="Comma 50 3 2" xfId="14821" xr:uid="{00000000-0005-0000-0000-0000AE380000}"/>
    <cellStyle name="Comma 50 3 3" xfId="14822" xr:uid="{00000000-0005-0000-0000-0000AF380000}"/>
    <cellStyle name="Comma 50 4" xfId="14823" xr:uid="{00000000-0005-0000-0000-0000B0380000}"/>
    <cellStyle name="Comma 50 5" xfId="14824" xr:uid="{00000000-0005-0000-0000-0000B1380000}"/>
    <cellStyle name="Comma 51" xfId="187" xr:uid="{00000000-0005-0000-0000-0000B2380000}"/>
    <cellStyle name="Comma 51 2" xfId="14825" xr:uid="{00000000-0005-0000-0000-0000B3380000}"/>
    <cellStyle name="Comma 51 2 2" xfId="14826" xr:uid="{00000000-0005-0000-0000-0000B4380000}"/>
    <cellStyle name="Comma 51 2 3" xfId="14827" xr:uid="{00000000-0005-0000-0000-0000B5380000}"/>
    <cellStyle name="Comma 51 3" xfId="14828" xr:uid="{00000000-0005-0000-0000-0000B6380000}"/>
    <cellStyle name="Comma 51 3 2" xfId="14829" xr:uid="{00000000-0005-0000-0000-0000B7380000}"/>
    <cellStyle name="Comma 51 3 3" xfId="14830" xr:uid="{00000000-0005-0000-0000-0000B8380000}"/>
    <cellStyle name="Comma 51 4" xfId="14831" xr:uid="{00000000-0005-0000-0000-0000B9380000}"/>
    <cellStyle name="Comma 51 5" xfId="14832" xr:uid="{00000000-0005-0000-0000-0000BA380000}"/>
    <cellStyle name="Comma 52" xfId="188" xr:uid="{00000000-0005-0000-0000-0000BB380000}"/>
    <cellStyle name="Comma 52 2" xfId="14833" xr:uid="{00000000-0005-0000-0000-0000BC380000}"/>
    <cellStyle name="Comma 52 2 2" xfId="14834" xr:uid="{00000000-0005-0000-0000-0000BD380000}"/>
    <cellStyle name="Comma 52 2 3" xfId="14835" xr:uid="{00000000-0005-0000-0000-0000BE380000}"/>
    <cellStyle name="Comma 52 3" xfId="14836" xr:uid="{00000000-0005-0000-0000-0000BF380000}"/>
    <cellStyle name="Comma 52 4" xfId="14837" xr:uid="{00000000-0005-0000-0000-0000C0380000}"/>
    <cellStyle name="Comma 52 5" xfId="14838" xr:uid="{00000000-0005-0000-0000-0000C1380000}"/>
    <cellStyle name="Comma 52 6" xfId="14839" xr:uid="{00000000-0005-0000-0000-0000C2380000}"/>
    <cellStyle name="Comma 53" xfId="390" xr:uid="{00000000-0005-0000-0000-0000C3380000}"/>
    <cellStyle name="Comma 53 2" xfId="14840" xr:uid="{00000000-0005-0000-0000-0000C4380000}"/>
    <cellStyle name="Comma 53 3" xfId="14841" xr:uid="{00000000-0005-0000-0000-0000C5380000}"/>
    <cellStyle name="Comma 53 4" xfId="14842" xr:uid="{00000000-0005-0000-0000-0000C6380000}"/>
    <cellStyle name="Comma 53 5" xfId="14843" xr:uid="{00000000-0005-0000-0000-0000C7380000}"/>
    <cellStyle name="Comma 54" xfId="393" xr:uid="{00000000-0005-0000-0000-0000C8380000}"/>
    <cellStyle name="Comma 54 2" xfId="14844" xr:uid="{00000000-0005-0000-0000-0000C9380000}"/>
    <cellStyle name="Comma 54 3" xfId="14845" xr:uid="{00000000-0005-0000-0000-0000CA380000}"/>
    <cellStyle name="Comma 54 4" xfId="14846" xr:uid="{00000000-0005-0000-0000-0000CB380000}"/>
    <cellStyle name="Comma 55" xfId="397" xr:uid="{00000000-0005-0000-0000-0000CC380000}"/>
    <cellStyle name="Comma 55 2" xfId="14847" xr:uid="{00000000-0005-0000-0000-0000CD380000}"/>
    <cellStyle name="Comma 55 3" xfId="14848" xr:uid="{00000000-0005-0000-0000-0000CE380000}"/>
    <cellStyle name="Comma 55 4" xfId="14849" xr:uid="{00000000-0005-0000-0000-0000CF380000}"/>
    <cellStyle name="Comma 55 5" xfId="14850" xr:uid="{00000000-0005-0000-0000-0000D0380000}"/>
    <cellStyle name="Comma 56" xfId="14851" xr:uid="{00000000-0005-0000-0000-0000D1380000}"/>
    <cellStyle name="Comma 56 2" xfId="14852" xr:uid="{00000000-0005-0000-0000-0000D2380000}"/>
    <cellStyle name="Comma 56 3" xfId="14853" xr:uid="{00000000-0005-0000-0000-0000D3380000}"/>
    <cellStyle name="Comma 56 4" xfId="14854" xr:uid="{00000000-0005-0000-0000-0000D4380000}"/>
    <cellStyle name="Comma 57" xfId="14855" xr:uid="{00000000-0005-0000-0000-0000D5380000}"/>
    <cellStyle name="Comma 57 2" xfId="14856" xr:uid="{00000000-0005-0000-0000-0000D6380000}"/>
    <cellStyle name="Comma 57 3" xfId="14857" xr:uid="{00000000-0005-0000-0000-0000D7380000}"/>
    <cellStyle name="Comma 57 4" xfId="14858" xr:uid="{00000000-0005-0000-0000-0000D8380000}"/>
    <cellStyle name="Comma 58" xfId="14859" xr:uid="{00000000-0005-0000-0000-0000D9380000}"/>
    <cellStyle name="Comma 58 2" xfId="14860" xr:uid="{00000000-0005-0000-0000-0000DA380000}"/>
    <cellStyle name="Comma 58 3" xfId="14861" xr:uid="{00000000-0005-0000-0000-0000DB380000}"/>
    <cellStyle name="Comma 58 4" xfId="14862" xr:uid="{00000000-0005-0000-0000-0000DC380000}"/>
    <cellStyle name="Comma 59" xfId="14863" xr:uid="{00000000-0005-0000-0000-0000DD380000}"/>
    <cellStyle name="Comma 59 2" xfId="14864" xr:uid="{00000000-0005-0000-0000-0000DE380000}"/>
    <cellStyle name="Comma 59 3" xfId="14865" xr:uid="{00000000-0005-0000-0000-0000DF380000}"/>
    <cellStyle name="Comma 6" xfId="189" xr:uid="{00000000-0005-0000-0000-0000E0380000}"/>
    <cellStyle name="Comma 6 10" xfId="14866" xr:uid="{00000000-0005-0000-0000-0000E1380000}"/>
    <cellStyle name="Comma 6 11" xfId="14867" xr:uid="{00000000-0005-0000-0000-0000E2380000}"/>
    <cellStyle name="Comma 6 2" xfId="190" xr:uid="{00000000-0005-0000-0000-0000E3380000}"/>
    <cellStyle name="Comma 6 2 2" xfId="14868" xr:uid="{00000000-0005-0000-0000-0000E4380000}"/>
    <cellStyle name="Comma 6 2 2 2" xfId="14869" xr:uid="{00000000-0005-0000-0000-0000E5380000}"/>
    <cellStyle name="Comma 6 2 2 3" xfId="14870" xr:uid="{00000000-0005-0000-0000-0000E6380000}"/>
    <cellStyle name="Comma 6 2 3" xfId="14871" xr:uid="{00000000-0005-0000-0000-0000E7380000}"/>
    <cellStyle name="Comma 6 2 4" xfId="14872" xr:uid="{00000000-0005-0000-0000-0000E8380000}"/>
    <cellStyle name="Comma 6 2 5" xfId="14873" xr:uid="{00000000-0005-0000-0000-0000E9380000}"/>
    <cellStyle name="Comma 6 2 6" xfId="14874" xr:uid="{00000000-0005-0000-0000-0000EA380000}"/>
    <cellStyle name="Comma 6 3" xfId="14875" xr:uid="{00000000-0005-0000-0000-0000EB380000}"/>
    <cellStyle name="Comma 6 3 2" xfId="14876" xr:uid="{00000000-0005-0000-0000-0000EC380000}"/>
    <cellStyle name="Comma 6 3 2 2" xfId="14877" xr:uid="{00000000-0005-0000-0000-0000ED380000}"/>
    <cellStyle name="Comma 6 3 3" xfId="14878" xr:uid="{00000000-0005-0000-0000-0000EE380000}"/>
    <cellStyle name="Comma 6 3 4" xfId="14879" xr:uid="{00000000-0005-0000-0000-0000EF380000}"/>
    <cellStyle name="Comma 6 4" xfId="14880" xr:uid="{00000000-0005-0000-0000-0000F0380000}"/>
    <cellStyle name="Comma 6 4 2" xfId="14881" xr:uid="{00000000-0005-0000-0000-0000F1380000}"/>
    <cellStyle name="Comma 6 4 2 2" xfId="14882" xr:uid="{00000000-0005-0000-0000-0000F2380000}"/>
    <cellStyle name="Comma 6 4 2 3" xfId="14883" xr:uid="{00000000-0005-0000-0000-0000F3380000}"/>
    <cellStyle name="Comma 6 4 3" xfId="14884" xr:uid="{00000000-0005-0000-0000-0000F4380000}"/>
    <cellStyle name="Comma 6 4 3 2" xfId="14885" xr:uid="{00000000-0005-0000-0000-0000F5380000}"/>
    <cellStyle name="Comma 6 4 4" xfId="14886" xr:uid="{00000000-0005-0000-0000-0000F6380000}"/>
    <cellStyle name="Comma 6 4 5" xfId="14887" xr:uid="{00000000-0005-0000-0000-0000F7380000}"/>
    <cellStyle name="Comma 6 4 6" xfId="14888" xr:uid="{00000000-0005-0000-0000-0000F8380000}"/>
    <cellStyle name="Comma 6 4 7" xfId="14889" xr:uid="{00000000-0005-0000-0000-0000F9380000}"/>
    <cellStyle name="Comma 6 4 8" xfId="14890" xr:uid="{00000000-0005-0000-0000-0000FA380000}"/>
    <cellStyle name="Comma 6 5" xfId="14891" xr:uid="{00000000-0005-0000-0000-0000FB380000}"/>
    <cellStyle name="Comma 6 5 2" xfId="14892" xr:uid="{00000000-0005-0000-0000-0000FC380000}"/>
    <cellStyle name="Comma 6 5 3" xfId="14893" xr:uid="{00000000-0005-0000-0000-0000FD380000}"/>
    <cellStyle name="Comma 6 5 4" xfId="14894" xr:uid="{00000000-0005-0000-0000-0000FE380000}"/>
    <cellStyle name="Comma 6 6" xfId="14895" xr:uid="{00000000-0005-0000-0000-0000FF380000}"/>
    <cellStyle name="Comma 6 7" xfId="14896" xr:uid="{00000000-0005-0000-0000-000000390000}"/>
    <cellStyle name="Comma 6 8" xfId="14897" xr:uid="{00000000-0005-0000-0000-000001390000}"/>
    <cellStyle name="Comma 6 9" xfId="14898" xr:uid="{00000000-0005-0000-0000-000002390000}"/>
    <cellStyle name="Comma 6_App b.3 Unspent_" xfId="14899" xr:uid="{00000000-0005-0000-0000-000003390000}"/>
    <cellStyle name="Comma 60" xfId="14900" xr:uid="{00000000-0005-0000-0000-000004390000}"/>
    <cellStyle name="Comma 60 2" xfId="14901" xr:uid="{00000000-0005-0000-0000-000005390000}"/>
    <cellStyle name="Comma 60 3" xfId="14902" xr:uid="{00000000-0005-0000-0000-000006390000}"/>
    <cellStyle name="Comma 61" xfId="14903" xr:uid="{00000000-0005-0000-0000-000007390000}"/>
    <cellStyle name="Comma 61 2" xfId="14904" xr:uid="{00000000-0005-0000-0000-000008390000}"/>
    <cellStyle name="Comma 61 3" xfId="14905" xr:uid="{00000000-0005-0000-0000-000009390000}"/>
    <cellStyle name="Comma 62" xfId="14906" xr:uid="{00000000-0005-0000-0000-00000A390000}"/>
    <cellStyle name="Comma 62 2" xfId="14907" xr:uid="{00000000-0005-0000-0000-00000B390000}"/>
    <cellStyle name="Comma 62 2 2" xfId="14908" xr:uid="{00000000-0005-0000-0000-00000C390000}"/>
    <cellStyle name="Comma 62 3" xfId="14909" xr:uid="{00000000-0005-0000-0000-00000D390000}"/>
    <cellStyle name="Comma 63" xfId="14910" xr:uid="{00000000-0005-0000-0000-00000E390000}"/>
    <cellStyle name="Comma 63 2" xfId="14911" xr:uid="{00000000-0005-0000-0000-00000F390000}"/>
    <cellStyle name="Comma 64" xfId="14912" xr:uid="{00000000-0005-0000-0000-000010390000}"/>
    <cellStyle name="Comma 65" xfId="14913" xr:uid="{00000000-0005-0000-0000-000011390000}"/>
    <cellStyle name="Comma 66" xfId="14914" xr:uid="{00000000-0005-0000-0000-000012390000}"/>
    <cellStyle name="Comma 67" xfId="14915" xr:uid="{00000000-0005-0000-0000-000013390000}"/>
    <cellStyle name="Comma 68" xfId="14916" xr:uid="{00000000-0005-0000-0000-000014390000}"/>
    <cellStyle name="Comma 69" xfId="14917" xr:uid="{00000000-0005-0000-0000-000015390000}"/>
    <cellStyle name="Comma 7" xfId="191" xr:uid="{00000000-0005-0000-0000-000016390000}"/>
    <cellStyle name="Comma 7 2" xfId="192" xr:uid="{00000000-0005-0000-0000-000017390000}"/>
    <cellStyle name="Comma 7 2 2" xfId="14918" xr:uid="{00000000-0005-0000-0000-000018390000}"/>
    <cellStyle name="Comma 7 2 3" xfId="14919" xr:uid="{00000000-0005-0000-0000-000019390000}"/>
    <cellStyle name="Comma 7 2 4" xfId="14920" xr:uid="{00000000-0005-0000-0000-00001A390000}"/>
    <cellStyle name="Comma 7 3" xfId="14921" xr:uid="{00000000-0005-0000-0000-00001B390000}"/>
    <cellStyle name="Comma 7 3 2" xfId="14922" xr:uid="{00000000-0005-0000-0000-00001C390000}"/>
    <cellStyle name="Comma 7 4" xfId="14923" xr:uid="{00000000-0005-0000-0000-00001D390000}"/>
    <cellStyle name="Comma 7 4 2" xfId="14924" xr:uid="{00000000-0005-0000-0000-00001E390000}"/>
    <cellStyle name="Comma 7 4 3" xfId="14925" xr:uid="{00000000-0005-0000-0000-00001F390000}"/>
    <cellStyle name="Comma 7 4 4" xfId="14926" xr:uid="{00000000-0005-0000-0000-000020390000}"/>
    <cellStyle name="Comma 7 5" xfId="14927" xr:uid="{00000000-0005-0000-0000-000021390000}"/>
    <cellStyle name="Comma 7 5 2" xfId="14928" xr:uid="{00000000-0005-0000-0000-000022390000}"/>
    <cellStyle name="Comma 7 6" xfId="14929" xr:uid="{00000000-0005-0000-0000-000023390000}"/>
    <cellStyle name="Comma 7 6 2" xfId="14930" xr:uid="{00000000-0005-0000-0000-000024390000}"/>
    <cellStyle name="Comma 7 7" xfId="14931" xr:uid="{00000000-0005-0000-0000-000025390000}"/>
    <cellStyle name="Comma 7 8" xfId="14932" xr:uid="{00000000-0005-0000-0000-000026390000}"/>
    <cellStyle name="Comma 7 9" xfId="14933" xr:uid="{00000000-0005-0000-0000-000027390000}"/>
    <cellStyle name="Comma 7_App b.3 Unspent_" xfId="14934" xr:uid="{00000000-0005-0000-0000-000028390000}"/>
    <cellStyle name="Comma 70" xfId="14935" xr:uid="{00000000-0005-0000-0000-000029390000}"/>
    <cellStyle name="Comma 71" xfId="14936" xr:uid="{00000000-0005-0000-0000-00002A390000}"/>
    <cellStyle name="Comma 72" xfId="14937" xr:uid="{00000000-0005-0000-0000-00002B390000}"/>
    <cellStyle name="Comma 73" xfId="14938" xr:uid="{00000000-0005-0000-0000-00002C390000}"/>
    <cellStyle name="Comma 74" xfId="14939" xr:uid="{00000000-0005-0000-0000-00002D390000}"/>
    <cellStyle name="Comma 75" xfId="14940" xr:uid="{00000000-0005-0000-0000-00002E390000}"/>
    <cellStyle name="Comma 76" xfId="14941" xr:uid="{00000000-0005-0000-0000-00002F390000}"/>
    <cellStyle name="Comma 77" xfId="14942" xr:uid="{00000000-0005-0000-0000-000030390000}"/>
    <cellStyle name="Comma 78" xfId="14943" xr:uid="{00000000-0005-0000-0000-000031390000}"/>
    <cellStyle name="Comma 79" xfId="14944" xr:uid="{00000000-0005-0000-0000-000032390000}"/>
    <cellStyle name="Comma 8" xfId="193" xr:uid="{00000000-0005-0000-0000-000033390000}"/>
    <cellStyle name="Comma 8 2" xfId="194" xr:uid="{00000000-0005-0000-0000-000034390000}"/>
    <cellStyle name="Comma 8 2 2" xfId="14945" xr:uid="{00000000-0005-0000-0000-000035390000}"/>
    <cellStyle name="Comma 8 2 2 2" xfId="14946" xr:uid="{00000000-0005-0000-0000-000036390000}"/>
    <cellStyle name="Comma 8 2 3" xfId="14947" xr:uid="{00000000-0005-0000-0000-000037390000}"/>
    <cellStyle name="Comma 8 2 4" xfId="14948" xr:uid="{00000000-0005-0000-0000-000038390000}"/>
    <cellStyle name="Comma 8 3" xfId="14949" xr:uid="{00000000-0005-0000-0000-000039390000}"/>
    <cellStyle name="Comma 8 3 2" xfId="14950" xr:uid="{00000000-0005-0000-0000-00003A390000}"/>
    <cellStyle name="Comma 8 3 2 2" xfId="14951" xr:uid="{00000000-0005-0000-0000-00003B390000}"/>
    <cellStyle name="Comma 8 3 3" xfId="14952" xr:uid="{00000000-0005-0000-0000-00003C390000}"/>
    <cellStyle name="Comma 8 4" xfId="14953" xr:uid="{00000000-0005-0000-0000-00003D390000}"/>
    <cellStyle name="Comma 8 4 2" xfId="14954" xr:uid="{00000000-0005-0000-0000-00003E390000}"/>
    <cellStyle name="Comma 8 5" xfId="14955" xr:uid="{00000000-0005-0000-0000-00003F390000}"/>
    <cellStyle name="Comma 8_App b.3 Unspent_" xfId="14956" xr:uid="{00000000-0005-0000-0000-000040390000}"/>
    <cellStyle name="Comma 80" xfId="14957" xr:uid="{00000000-0005-0000-0000-000041390000}"/>
    <cellStyle name="Comma 81" xfId="14958" xr:uid="{00000000-0005-0000-0000-000042390000}"/>
    <cellStyle name="Comma 82" xfId="14959" xr:uid="{00000000-0005-0000-0000-000043390000}"/>
    <cellStyle name="Comma 83" xfId="14960" xr:uid="{00000000-0005-0000-0000-000044390000}"/>
    <cellStyle name="Comma 84" xfId="14961" xr:uid="{00000000-0005-0000-0000-000045390000}"/>
    <cellStyle name="Comma 85" xfId="14962" xr:uid="{00000000-0005-0000-0000-000046390000}"/>
    <cellStyle name="Comma 86" xfId="14963" xr:uid="{00000000-0005-0000-0000-000047390000}"/>
    <cellStyle name="Comma 87" xfId="14964" xr:uid="{00000000-0005-0000-0000-000048390000}"/>
    <cellStyle name="Comma 88" xfId="14965" xr:uid="{00000000-0005-0000-0000-000049390000}"/>
    <cellStyle name="Comma 89" xfId="14966" xr:uid="{00000000-0005-0000-0000-00004A390000}"/>
    <cellStyle name="Comma 9" xfId="195" xr:uid="{00000000-0005-0000-0000-00004B390000}"/>
    <cellStyle name="Comma 9 2" xfId="196" xr:uid="{00000000-0005-0000-0000-00004C390000}"/>
    <cellStyle name="Comma 9 2 2" xfId="14967" xr:uid="{00000000-0005-0000-0000-00004D390000}"/>
    <cellStyle name="Comma 9 2 2 2" xfId="14968" xr:uid="{00000000-0005-0000-0000-00004E390000}"/>
    <cellStyle name="Comma 9 3" xfId="14969" xr:uid="{00000000-0005-0000-0000-00004F390000}"/>
    <cellStyle name="Comma 9 3 2" xfId="14970" xr:uid="{00000000-0005-0000-0000-000050390000}"/>
    <cellStyle name="Comma 9 3 2 2" xfId="14971" xr:uid="{00000000-0005-0000-0000-000051390000}"/>
    <cellStyle name="Comma 9 3 3" xfId="14972" xr:uid="{00000000-0005-0000-0000-000052390000}"/>
    <cellStyle name="Comma 9 4" xfId="14973" xr:uid="{00000000-0005-0000-0000-000053390000}"/>
    <cellStyle name="Comma 9 5" xfId="14974" xr:uid="{00000000-0005-0000-0000-000054390000}"/>
    <cellStyle name="Comma 9_App b.3 Unspent_" xfId="14975" xr:uid="{00000000-0005-0000-0000-000055390000}"/>
    <cellStyle name="Comma 90" xfId="14976" xr:uid="{00000000-0005-0000-0000-000056390000}"/>
    <cellStyle name="Comma 91" xfId="14977" xr:uid="{00000000-0005-0000-0000-000057390000}"/>
    <cellStyle name="Comma 92" xfId="14978" xr:uid="{00000000-0005-0000-0000-000058390000}"/>
    <cellStyle name="Comma 93" xfId="14979" xr:uid="{00000000-0005-0000-0000-000059390000}"/>
    <cellStyle name="Comma 94" xfId="14980" xr:uid="{00000000-0005-0000-0000-00005A390000}"/>
    <cellStyle name="Comma 95" xfId="14981" xr:uid="{00000000-0005-0000-0000-00005B390000}"/>
    <cellStyle name="Comma 96" xfId="14982" xr:uid="{00000000-0005-0000-0000-00005C390000}"/>
    <cellStyle name="Comma 97" xfId="14983" xr:uid="{00000000-0005-0000-0000-00005D390000}"/>
    <cellStyle name="Comma 98" xfId="14984" xr:uid="{00000000-0005-0000-0000-00005E390000}"/>
    <cellStyle name="Comma 99" xfId="14985" xr:uid="{00000000-0005-0000-0000-00005F390000}"/>
    <cellStyle name="Comma0" xfId="21" xr:uid="{00000000-0005-0000-0000-000060390000}"/>
    <cellStyle name="Comma0 2" xfId="197" xr:uid="{00000000-0005-0000-0000-000061390000}"/>
    <cellStyle name="Comma0 2 2" xfId="14986" xr:uid="{00000000-0005-0000-0000-000062390000}"/>
    <cellStyle name="Comma0 3" xfId="14987" xr:uid="{00000000-0005-0000-0000-000063390000}"/>
    <cellStyle name="Comma0 4" xfId="14988" xr:uid="{00000000-0005-0000-0000-000064390000}"/>
    <cellStyle name="Comma0 5" xfId="14989" xr:uid="{00000000-0005-0000-0000-000065390000}"/>
    <cellStyle name="Copied" xfId="22" xr:uid="{00000000-0005-0000-0000-000066390000}"/>
    <cellStyle name="Copied 2" xfId="198" xr:uid="{00000000-0005-0000-0000-000067390000}"/>
    <cellStyle name="Currency" xfId="61183" builtinId="4"/>
    <cellStyle name="Currency [$0]" xfId="23" xr:uid="{00000000-0005-0000-0000-000069390000}"/>
    <cellStyle name="Currency [$0] 2" xfId="199" xr:uid="{00000000-0005-0000-0000-00006A390000}"/>
    <cellStyle name="Currency [£0]" xfId="24" xr:uid="{00000000-0005-0000-0000-00006B390000}"/>
    <cellStyle name="Currency [£0] 2" xfId="200" xr:uid="{00000000-0005-0000-0000-00006C390000}"/>
    <cellStyle name="Currency 10" xfId="201" xr:uid="{00000000-0005-0000-0000-00006D390000}"/>
    <cellStyle name="Currency 10 2" xfId="14990" xr:uid="{00000000-0005-0000-0000-00006E390000}"/>
    <cellStyle name="Currency 10 2 2" xfId="14991" xr:uid="{00000000-0005-0000-0000-00006F390000}"/>
    <cellStyle name="Currency 10 2 2 2" xfId="14992" xr:uid="{00000000-0005-0000-0000-000070390000}"/>
    <cellStyle name="Currency 10 2 3" xfId="14993" xr:uid="{00000000-0005-0000-0000-000071390000}"/>
    <cellStyle name="Currency 10 3" xfId="14994" xr:uid="{00000000-0005-0000-0000-000072390000}"/>
    <cellStyle name="Currency 10 3 2" xfId="14995" xr:uid="{00000000-0005-0000-0000-000073390000}"/>
    <cellStyle name="Currency 10 3 2 2" xfId="14996" xr:uid="{00000000-0005-0000-0000-000074390000}"/>
    <cellStyle name="Currency 10 3 3" xfId="14997" xr:uid="{00000000-0005-0000-0000-000075390000}"/>
    <cellStyle name="Currency 10 4" xfId="14998" xr:uid="{00000000-0005-0000-0000-000076390000}"/>
    <cellStyle name="Currency 10 4 10" xfId="14999" xr:uid="{00000000-0005-0000-0000-000077390000}"/>
    <cellStyle name="Currency 10 4 2" xfId="15000" xr:uid="{00000000-0005-0000-0000-000078390000}"/>
    <cellStyle name="Currency 10 4 2 2" xfId="15001" xr:uid="{00000000-0005-0000-0000-000079390000}"/>
    <cellStyle name="Currency 10 4 2 2 2" xfId="15002" xr:uid="{00000000-0005-0000-0000-00007A390000}"/>
    <cellStyle name="Currency 10 4 2 2 2 2" xfId="15003" xr:uid="{00000000-0005-0000-0000-00007B390000}"/>
    <cellStyle name="Currency 10 4 2 2 3" xfId="15004" xr:uid="{00000000-0005-0000-0000-00007C390000}"/>
    <cellStyle name="Currency 10 4 2 3" xfId="15005" xr:uid="{00000000-0005-0000-0000-00007D390000}"/>
    <cellStyle name="Currency 10 4 2 3 2" xfId="15006" xr:uid="{00000000-0005-0000-0000-00007E390000}"/>
    <cellStyle name="Currency 10 4 2 4" xfId="15007" xr:uid="{00000000-0005-0000-0000-00007F390000}"/>
    <cellStyle name="Currency 10 4 2 4 2" xfId="15008" xr:uid="{00000000-0005-0000-0000-000080390000}"/>
    <cellStyle name="Currency 10 4 2 5" xfId="15009" xr:uid="{00000000-0005-0000-0000-000081390000}"/>
    <cellStyle name="Currency 10 4 2 6" xfId="15010" xr:uid="{00000000-0005-0000-0000-000082390000}"/>
    <cellStyle name="Currency 10 4 2 7" xfId="15011" xr:uid="{00000000-0005-0000-0000-000083390000}"/>
    <cellStyle name="Currency 10 4 2 8" xfId="15012" xr:uid="{00000000-0005-0000-0000-000084390000}"/>
    <cellStyle name="Currency 10 4 3" xfId="15013" xr:uid="{00000000-0005-0000-0000-000085390000}"/>
    <cellStyle name="Currency 10 4 3 2" xfId="15014" xr:uid="{00000000-0005-0000-0000-000086390000}"/>
    <cellStyle name="Currency 10 4 4" xfId="15015" xr:uid="{00000000-0005-0000-0000-000087390000}"/>
    <cellStyle name="Currency 10 4 4 2" xfId="15016" xr:uid="{00000000-0005-0000-0000-000088390000}"/>
    <cellStyle name="Currency 10 4 5" xfId="15017" xr:uid="{00000000-0005-0000-0000-000089390000}"/>
    <cellStyle name="Currency 10 4 6" xfId="15018" xr:uid="{00000000-0005-0000-0000-00008A390000}"/>
    <cellStyle name="Currency 10 4 7" xfId="15019" xr:uid="{00000000-0005-0000-0000-00008B390000}"/>
    <cellStyle name="Currency 10 4 8" xfId="15020" xr:uid="{00000000-0005-0000-0000-00008C390000}"/>
    <cellStyle name="Currency 10 4 9" xfId="15021" xr:uid="{00000000-0005-0000-0000-00008D390000}"/>
    <cellStyle name="Currency 10 5" xfId="15022" xr:uid="{00000000-0005-0000-0000-00008E390000}"/>
    <cellStyle name="Currency 10 5 2" xfId="15023" xr:uid="{00000000-0005-0000-0000-00008F390000}"/>
    <cellStyle name="Currency 10 5 2 2" xfId="15024" xr:uid="{00000000-0005-0000-0000-000090390000}"/>
    <cellStyle name="Currency 10 5 3" xfId="15025" xr:uid="{00000000-0005-0000-0000-000091390000}"/>
    <cellStyle name="Currency 10 5 3 2" xfId="15026" xr:uid="{00000000-0005-0000-0000-000092390000}"/>
    <cellStyle name="Currency 10 5 4" xfId="15027" xr:uid="{00000000-0005-0000-0000-000093390000}"/>
    <cellStyle name="Currency 10 5 5" xfId="15028" xr:uid="{00000000-0005-0000-0000-000094390000}"/>
    <cellStyle name="Currency 10 5 6" xfId="15029" xr:uid="{00000000-0005-0000-0000-000095390000}"/>
    <cellStyle name="Currency 10 5 7" xfId="15030" xr:uid="{00000000-0005-0000-0000-000096390000}"/>
    <cellStyle name="Currency 10 6" xfId="15031" xr:uid="{00000000-0005-0000-0000-000097390000}"/>
    <cellStyle name="Currency 10 7" xfId="15032" xr:uid="{00000000-0005-0000-0000-000098390000}"/>
    <cellStyle name="Currency 10 8" xfId="15033" xr:uid="{00000000-0005-0000-0000-000099390000}"/>
    <cellStyle name="Currency 10_2015 Annual Rpt" xfId="15034" xr:uid="{00000000-0005-0000-0000-00009A390000}"/>
    <cellStyle name="Currency 11" xfId="202" xr:uid="{00000000-0005-0000-0000-00009B390000}"/>
    <cellStyle name="Currency 11 10" xfId="15035" xr:uid="{00000000-0005-0000-0000-00009C390000}"/>
    <cellStyle name="Currency 11 11" xfId="15036" xr:uid="{00000000-0005-0000-0000-00009D390000}"/>
    <cellStyle name="Currency 11 2" xfId="15037" xr:uid="{00000000-0005-0000-0000-00009E390000}"/>
    <cellStyle name="Currency 11 2 2" xfId="15038" xr:uid="{00000000-0005-0000-0000-00009F390000}"/>
    <cellStyle name="Currency 11 2 2 2" xfId="15039" xr:uid="{00000000-0005-0000-0000-0000A0390000}"/>
    <cellStyle name="Currency 11 2 3" xfId="15040" xr:uid="{00000000-0005-0000-0000-0000A1390000}"/>
    <cellStyle name="Currency 11 2 3 2" xfId="15041" xr:uid="{00000000-0005-0000-0000-0000A2390000}"/>
    <cellStyle name="Currency 11 2 4" xfId="15042" xr:uid="{00000000-0005-0000-0000-0000A3390000}"/>
    <cellStyle name="Currency 11 2 5" xfId="15043" xr:uid="{00000000-0005-0000-0000-0000A4390000}"/>
    <cellStyle name="Currency 11 2 6" xfId="15044" xr:uid="{00000000-0005-0000-0000-0000A5390000}"/>
    <cellStyle name="Currency 11 2 7" xfId="15045" xr:uid="{00000000-0005-0000-0000-0000A6390000}"/>
    <cellStyle name="Currency 11 2 8" xfId="15046" xr:uid="{00000000-0005-0000-0000-0000A7390000}"/>
    <cellStyle name="Currency 11 3" xfId="15047" xr:uid="{00000000-0005-0000-0000-0000A8390000}"/>
    <cellStyle name="Currency 11 3 2" xfId="15048" xr:uid="{00000000-0005-0000-0000-0000A9390000}"/>
    <cellStyle name="Currency 11 3 2 2" xfId="15049" xr:uid="{00000000-0005-0000-0000-0000AA390000}"/>
    <cellStyle name="Currency 11 3 3" xfId="15050" xr:uid="{00000000-0005-0000-0000-0000AB390000}"/>
    <cellStyle name="Currency 11 3 3 2" xfId="15051" xr:uid="{00000000-0005-0000-0000-0000AC390000}"/>
    <cellStyle name="Currency 11 3 4" xfId="15052" xr:uid="{00000000-0005-0000-0000-0000AD390000}"/>
    <cellStyle name="Currency 11 3 5" xfId="15053" xr:uid="{00000000-0005-0000-0000-0000AE390000}"/>
    <cellStyle name="Currency 11 3 6" xfId="15054" xr:uid="{00000000-0005-0000-0000-0000AF390000}"/>
    <cellStyle name="Currency 11 3 7" xfId="15055" xr:uid="{00000000-0005-0000-0000-0000B0390000}"/>
    <cellStyle name="Currency 11 3 8" xfId="15056" xr:uid="{00000000-0005-0000-0000-0000B1390000}"/>
    <cellStyle name="Currency 11 4" xfId="15057" xr:uid="{00000000-0005-0000-0000-0000B2390000}"/>
    <cellStyle name="Currency 11 4 2" xfId="15058" xr:uid="{00000000-0005-0000-0000-0000B3390000}"/>
    <cellStyle name="Currency 11 5" xfId="15059" xr:uid="{00000000-0005-0000-0000-0000B4390000}"/>
    <cellStyle name="Currency 11 5 2" xfId="15060" xr:uid="{00000000-0005-0000-0000-0000B5390000}"/>
    <cellStyle name="Currency 11 6" xfId="15061" xr:uid="{00000000-0005-0000-0000-0000B6390000}"/>
    <cellStyle name="Currency 11 7" xfId="15062" xr:uid="{00000000-0005-0000-0000-0000B7390000}"/>
    <cellStyle name="Currency 11 8" xfId="15063" xr:uid="{00000000-0005-0000-0000-0000B8390000}"/>
    <cellStyle name="Currency 11 9" xfId="15064" xr:uid="{00000000-0005-0000-0000-0000B9390000}"/>
    <cellStyle name="Currency 12" xfId="203" xr:uid="{00000000-0005-0000-0000-0000BA390000}"/>
    <cellStyle name="Currency 12 2" xfId="15065" xr:uid="{00000000-0005-0000-0000-0000BB390000}"/>
    <cellStyle name="Currency 12 2 2" xfId="15066" xr:uid="{00000000-0005-0000-0000-0000BC390000}"/>
    <cellStyle name="Currency 12 2 2 2" xfId="15067" xr:uid="{00000000-0005-0000-0000-0000BD390000}"/>
    <cellStyle name="Currency 12 2 3" xfId="15068" xr:uid="{00000000-0005-0000-0000-0000BE390000}"/>
    <cellStyle name="Currency 12 3" xfId="15069" xr:uid="{00000000-0005-0000-0000-0000BF390000}"/>
    <cellStyle name="Currency 12 3 2" xfId="15070" xr:uid="{00000000-0005-0000-0000-0000C0390000}"/>
    <cellStyle name="Currency 12 4" xfId="15071" xr:uid="{00000000-0005-0000-0000-0000C1390000}"/>
    <cellStyle name="Currency 12 4 2" xfId="15072" xr:uid="{00000000-0005-0000-0000-0000C2390000}"/>
    <cellStyle name="Currency 12 4 3" xfId="15073" xr:uid="{00000000-0005-0000-0000-0000C3390000}"/>
    <cellStyle name="Currency 12 5" xfId="15074" xr:uid="{00000000-0005-0000-0000-0000C4390000}"/>
    <cellStyle name="Currency 12 6" xfId="15075" xr:uid="{00000000-0005-0000-0000-0000C5390000}"/>
    <cellStyle name="Currency 12 7" xfId="15076" xr:uid="{00000000-0005-0000-0000-0000C6390000}"/>
    <cellStyle name="Currency 12 8" xfId="15077" xr:uid="{00000000-0005-0000-0000-0000C7390000}"/>
    <cellStyle name="Currency 12_2015 Annual Rpt" xfId="15078" xr:uid="{00000000-0005-0000-0000-0000C8390000}"/>
    <cellStyle name="Currency 13" xfId="204" xr:uid="{00000000-0005-0000-0000-0000C9390000}"/>
    <cellStyle name="Currency 13 2" xfId="15079" xr:uid="{00000000-0005-0000-0000-0000CA390000}"/>
    <cellStyle name="Currency 13 2 2" xfId="15080" xr:uid="{00000000-0005-0000-0000-0000CB390000}"/>
    <cellStyle name="Currency 13 2 3" xfId="15081" xr:uid="{00000000-0005-0000-0000-0000CC390000}"/>
    <cellStyle name="Currency 13 3" xfId="15082" xr:uid="{00000000-0005-0000-0000-0000CD390000}"/>
    <cellStyle name="Currency 13 3 2" xfId="15083" xr:uid="{00000000-0005-0000-0000-0000CE390000}"/>
    <cellStyle name="Currency 13 3 2 2" xfId="15084" xr:uid="{00000000-0005-0000-0000-0000CF390000}"/>
    <cellStyle name="Currency 13 3 3" xfId="15085" xr:uid="{00000000-0005-0000-0000-0000D0390000}"/>
    <cellStyle name="Currency 13 3 3 2" xfId="15086" xr:uid="{00000000-0005-0000-0000-0000D1390000}"/>
    <cellStyle name="Currency 13 4" xfId="15087" xr:uid="{00000000-0005-0000-0000-0000D2390000}"/>
    <cellStyle name="Currency 14" xfId="205" xr:uid="{00000000-0005-0000-0000-0000D3390000}"/>
    <cellStyle name="Currency 14 2" xfId="15088" xr:uid="{00000000-0005-0000-0000-0000D4390000}"/>
    <cellStyle name="Currency 14 2 2" xfId="15089" xr:uid="{00000000-0005-0000-0000-0000D5390000}"/>
    <cellStyle name="Currency 14 3" xfId="15090" xr:uid="{00000000-0005-0000-0000-0000D6390000}"/>
    <cellStyle name="Currency 14 3 2" xfId="15091" xr:uid="{00000000-0005-0000-0000-0000D7390000}"/>
    <cellStyle name="Currency 14_2015 Annual Rpt" xfId="15092" xr:uid="{00000000-0005-0000-0000-0000D8390000}"/>
    <cellStyle name="Currency 15" xfId="206" xr:uid="{00000000-0005-0000-0000-0000D9390000}"/>
    <cellStyle name="Currency 15 2" xfId="15093" xr:uid="{00000000-0005-0000-0000-0000DA390000}"/>
    <cellStyle name="Currency 15 2 2" xfId="15094" xr:uid="{00000000-0005-0000-0000-0000DB390000}"/>
    <cellStyle name="Currency 15 2 3" xfId="15095" xr:uid="{00000000-0005-0000-0000-0000DC390000}"/>
    <cellStyle name="Currency 15 3" xfId="15096" xr:uid="{00000000-0005-0000-0000-0000DD390000}"/>
    <cellStyle name="Currency 15 3 2" xfId="15097" xr:uid="{00000000-0005-0000-0000-0000DE390000}"/>
    <cellStyle name="Currency 15 4" xfId="15098" xr:uid="{00000000-0005-0000-0000-0000DF390000}"/>
    <cellStyle name="Currency 16" xfId="207" xr:uid="{00000000-0005-0000-0000-0000E0390000}"/>
    <cellStyle name="Currency 16 2" xfId="15099" xr:uid="{00000000-0005-0000-0000-0000E1390000}"/>
    <cellStyle name="Currency 16 2 2" xfId="15100" xr:uid="{00000000-0005-0000-0000-0000E2390000}"/>
    <cellStyle name="Currency 16 2 3" xfId="15101" xr:uid="{00000000-0005-0000-0000-0000E3390000}"/>
    <cellStyle name="Currency 16 3" xfId="15102" xr:uid="{00000000-0005-0000-0000-0000E4390000}"/>
    <cellStyle name="Currency 16 3 2" xfId="15103" xr:uid="{00000000-0005-0000-0000-0000E5390000}"/>
    <cellStyle name="Currency 16 4" xfId="15104" xr:uid="{00000000-0005-0000-0000-0000E6390000}"/>
    <cellStyle name="Currency 17" xfId="208" xr:uid="{00000000-0005-0000-0000-0000E7390000}"/>
    <cellStyle name="Currency 17 2" xfId="15105" xr:uid="{00000000-0005-0000-0000-0000E8390000}"/>
    <cellStyle name="Currency 17 2 2" xfId="15106" xr:uid="{00000000-0005-0000-0000-0000E9390000}"/>
    <cellStyle name="Currency 17 3" xfId="15107" xr:uid="{00000000-0005-0000-0000-0000EA390000}"/>
    <cellStyle name="Currency 17 3 2" xfId="15108" xr:uid="{00000000-0005-0000-0000-0000EB390000}"/>
    <cellStyle name="Currency 17 3 3" xfId="15109" xr:uid="{00000000-0005-0000-0000-0000EC390000}"/>
    <cellStyle name="Currency 17 4" xfId="15110" xr:uid="{00000000-0005-0000-0000-0000ED390000}"/>
    <cellStyle name="Currency 18" xfId="389" xr:uid="{00000000-0005-0000-0000-0000EE390000}"/>
    <cellStyle name="Currency 18 10" xfId="15111" xr:uid="{00000000-0005-0000-0000-0000EF390000}"/>
    <cellStyle name="Currency 18 10 2" xfId="15112" xr:uid="{00000000-0005-0000-0000-0000F0390000}"/>
    <cellStyle name="Currency 18 10 2 2" xfId="15113" xr:uid="{00000000-0005-0000-0000-0000F1390000}"/>
    <cellStyle name="Currency 18 10 3" xfId="15114" xr:uid="{00000000-0005-0000-0000-0000F2390000}"/>
    <cellStyle name="Currency 18 10 3 2" xfId="15115" xr:uid="{00000000-0005-0000-0000-0000F3390000}"/>
    <cellStyle name="Currency 18 11" xfId="15116" xr:uid="{00000000-0005-0000-0000-0000F4390000}"/>
    <cellStyle name="Currency 18 11 2" xfId="15117" xr:uid="{00000000-0005-0000-0000-0000F5390000}"/>
    <cellStyle name="Currency 18 12" xfId="15118" xr:uid="{00000000-0005-0000-0000-0000F6390000}"/>
    <cellStyle name="Currency 18 2" xfId="15119" xr:uid="{00000000-0005-0000-0000-0000F7390000}"/>
    <cellStyle name="Currency 18 2 10" xfId="15120" xr:uid="{00000000-0005-0000-0000-0000F8390000}"/>
    <cellStyle name="Currency 18 2 10 2" xfId="15121" xr:uid="{00000000-0005-0000-0000-0000F9390000}"/>
    <cellStyle name="Currency 18 2 2" xfId="15122" xr:uid="{00000000-0005-0000-0000-0000FA390000}"/>
    <cellStyle name="Currency 18 2 2 2" xfId="15123" xr:uid="{00000000-0005-0000-0000-0000FB390000}"/>
    <cellStyle name="Currency 18 2 2 2 2" xfId="15124" xr:uid="{00000000-0005-0000-0000-0000FC390000}"/>
    <cellStyle name="Currency 18 2 2 2 2 2" xfId="15125" xr:uid="{00000000-0005-0000-0000-0000FD390000}"/>
    <cellStyle name="Currency 18 2 2 2 3" xfId="15126" xr:uid="{00000000-0005-0000-0000-0000FE390000}"/>
    <cellStyle name="Currency 18 2 2 2 3 2" xfId="15127" xr:uid="{00000000-0005-0000-0000-0000FF390000}"/>
    <cellStyle name="Currency 18 2 2 2 4" xfId="15128" xr:uid="{00000000-0005-0000-0000-0000003A0000}"/>
    <cellStyle name="Currency 18 2 2 2 4 2" xfId="15129" xr:uid="{00000000-0005-0000-0000-0000013A0000}"/>
    <cellStyle name="Currency 18 2 2 2 5" xfId="15130" xr:uid="{00000000-0005-0000-0000-0000023A0000}"/>
    <cellStyle name="Currency 18 2 2 2 5 2" xfId="15131" xr:uid="{00000000-0005-0000-0000-0000033A0000}"/>
    <cellStyle name="Currency 18 2 2 2 5 2 2" xfId="15132" xr:uid="{00000000-0005-0000-0000-0000043A0000}"/>
    <cellStyle name="Currency 18 2 2 2 5 3" xfId="15133" xr:uid="{00000000-0005-0000-0000-0000053A0000}"/>
    <cellStyle name="Currency 18 2 2 2 5 3 2" xfId="15134" xr:uid="{00000000-0005-0000-0000-0000063A0000}"/>
    <cellStyle name="Currency 18 2 2 3" xfId="15135" xr:uid="{00000000-0005-0000-0000-0000073A0000}"/>
    <cellStyle name="Currency 18 2 2 3 2" xfId="15136" xr:uid="{00000000-0005-0000-0000-0000083A0000}"/>
    <cellStyle name="Currency 18 2 2 3 2 2" xfId="15137" xr:uid="{00000000-0005-0000-0000-0000093A0000}"/>
    <cellStyle name="Currency 18 2 2 3 2 3" xfId="15138" xr:uid="{00000000-0005-0000-0000-00000A3A0000}"/>
    <cellStyle name="Currency 18 2 2 3 3" xfId="15139" xr:uid="{00000000-0005-0000-0000-00000B3A0000}"/>
    <cellStyle name="Currency 18 2 2 3 4" xfId="15140" xr:uid="{00000000-0005-0000-0000-00000C3A0000}"/>
    <cellStyle name="Currency 18 2 2 4" xfId="15141" xr:uid="{00000000-0005-0000-0000-00000D3A0000}"/>
    <cellStyle name="Currency 18 2 2 4 2" xfId="15142" xr:uid="{00000000-0005-0000-0000-00000E3A0000}"/>
    <cellStyle name="Currency 18 2 2 5" xfId="15143" xr:uid="{00000000-0005-0000-0000-00000F3A0000}"/>
    <cellStyle name="Currency 18 2 2 5 2" xfId="15144" xr:uid="{00000000-0005-0000-0000-0000103A0000}"/>
    <cellStyle name="Currency 18 2 2 5 3" xfId="15145" xr:uid="{00000000-0005-0000-0000-0000113A0000}"/>
    <cellStyle name="Currency 18 2 2 5 4" xfId="15146" xr:uid="{00000000-0005-0000-0000-0000123A0000}"/>
    <cellStyle name="Currency 18 2 2 6" xfId="15147" xr:uid="{00000000-0005-0000-0000-0000133A0000}"/>
    <cellStyle name="Currency 18 2 2 6 2" xfId="15148" xr:uid="{00000000-0005-0000-0000-0000143A0000}"/>
    <cellStyle name="Currency 18 2 2 7" xfId="15149" xr:uid="{00000000-0005-0000-0000-0000153A0000}"/>
    <cellStyle name="Currency 18 2 2 7 2" xfId="15150" xr:uid="{00000000-0005-0000-0000-0000163A0000}"/>
    <cellStyle name="Currency 18 2 2 7 2 2" xfId="15151" xr:uid="{00000000-0005-0000-0000-0000173A0000}"/>
    <cellStyle name="Currency 18 2 2 7 3" xfId="15152" xr:uid="{00000000-0005-0000-0000-0000183A0000}"/>
    <cellStyle name="Currency 18 2 2 7 3 2" xfId="15153" xr:uid="{00000000-0005-0000-0000-0000193A0000}"/>
    <cellStyle name="Currency 18 2 2 8" xfId="15154" xr:uid="{00000000-0005-0000-0000-00001A3A0000}"/>
    <cellStyle name="Currency 18 2 2 8 2" xfId="15155" xr:uid="{00000000-0005-0000-0000-00001B3A0000}"/>
    <cellStyle name="Currency 18 2 3" xfId="15156" xr:uid="{00000000-0005-0000-0000-00001C3A0000}"/>
    <cellStyle name="Currency 18 2 3 2" xfId="15157" xr:uid="{00000000-0005-0000-0000-00001D3A0000}"/>
    <cellStyle name="Currency 18 2 3 3" xfId="15158" xr:uid="{00000000-0005-0000-0000-00001E3A0000}"/>
    <cellStyle name="Currency 18 2 3 3 2" xfId="15159" xr:uid="{00000000-0005-0000-0000-00001F3A0000}"/>
    <cellStyle name="Currency 18 2 3 4" xfId="15160" xr:uid="{00000000-0005-0000-0000-0000203A0000}"/>
    <cellStyle name="Currency 18 2 3 4 2" xfId="15161" xr:uid="{00000000-0005-0000-0000-0000213A0000}"/>
    <cellStyle name="Currency 18 2 3 5" xfId="15162" xr:uid="{00000000-0005-0000-0000-0000223A0000}"/>
    <cellStyle name="Currency 18 2 3 5 2" xfId="15163" xr:uid="{00000000-0005-0000-0000-0000233A0000}"/>
    <cellStyle name="Currency 18 2 3 6" xfId="15164" xr:uid="{00000000-0005-0000-0000-0000243A0000}"/>
    <cellStyle name="Currency 18 2 3 6 2" xfId="15165" xr:uid="{00000000-0005-0000-0000-0000253A0000}"/>
    <cellStyle name="Currency 18 2 3 6 2 2" xfId="15166" xr:uid="{00000000-0005-0000-0000-0000263A0000}"/>
    <cellStyle name="Currency 18 2 3 6 3" xfId="15167" xr:uid="{00000000-0005-0000-0000-0000273A0000}"/>
    <cellStyle name="Currency 18 2 3 6 3 2" xfId="15168" xr:uid="{00000000-0005-0000-0000-0000283A0000}"/>
    <cellStyle name="Currency 18 2 4" xfId="15169" xr:uid="{00000000-0005-0000-0000-0000293A0000}"/>
    <cellStyle name="Currency 18 2 5" xfId="15170" xr:uid="{00000000-0005-0000-0000-00002A3A0000}"/>
    <cellStyle name="Currency 18 2 5 2" xfId="15171" xr:uid="{00000000-0005-0000-0000-00002B3A0000}"/>
    <cellStyle name="Currency 18 2 5 2 2" xfId="15172" xr:uid="{00000000-0005-0000-0000-00002C3A0000}"/>
    <cellStyle name="Currency 18 2 5 2 3" xfId="15173" xr:uid="{00000000-0005-0000-0000-00002D3A0000}"/>
    <cellStyle name="Currency 18 2 5 3" xfId="15174" xr:uid="{00000000-0005-0000-0000-00002E3A0000}"/>
    <cellStyle name="Currency 18 2 5 4" xfId="15175" xr:uid="{00000000-0005-0000-0000-00002F3A0000}"/>
    <cellStyle name="Currency 18 2 6" xfId="15176" xr:uid="{00000000-0005-0000-0000-0000303A0000}"/>
    <cellStyle name="Currency 18 2 6 2" xfId="15177" xr:uid="{00000000-0005-0000-0000-0000313A0000}"/>
    <cellStyle name="Currency 18 2 7" xfId="15178" xr:uid="{00000000-0005-0000-0000-0000323A0000}"/>
    <cellStyle name="Currency 18 2 7 2" xfId="15179" xr:uid="{00000000-0005-0000-0000-0000333A0000}"/>
    <cellStyle name="Currency 18 2 7 3" xfId="15180" xr:uid="{00000000-0005-0000-0000-0000343A0000}"/>
    <cellStyle name="Currency 18 2 7 4" xfId="15181" xr:uid="{00000000-0005-0000-0000-0000353A0000}"/>
    <cellStyle name="Currency 18 2 8" xfId="15182" xr:uid="{00000000-0005-0000-0000-0000363A0000}"/>
    <cellStyle name="Currency 18 2 8 2" xfId="15183" xr:uid="{00000000-0005-0000-0000-0000373A0000}"/>
    <cellStyle name="Currency 18 2 9" xfId="15184" xr:uid="{00000000-0005-0000-0000-0000383A0000}"/>
    <cellStyle name="Currency 18 2 9 2" xfId="15185" xr:uid="{00000000-0005-0000-0000-0000393A0000}"/>
    <cellStyle name="Currency 18 2 9 2 2" xfId="15186" xr:uid="{00000000-0005-0000-0000-00003A3A0000}"/>
    <cellStyle name="Currency 18 2 9 3" xfId="15187" xr:uid="{00000000-0005-0000-0000-00003B3A0000}"/>
    <cellStyle name="Currency 18 2 9 3 2" xfId="15188" xr:uid="{00000000-0005-0000-0000-00003C3A0000}"/>
    <cellStyle name="Currency 18 3" xfId="15189" xr:uid="{00000000-0005-0000-0000-00003D3A0000}"/>
    <cellStyle name="Currency 18 3 2" xfId="15190" xr:uid="{00000000-0005-0000-0000-00003E3A0000}"/>
    <cellStyle name="Currency 18 3 2 2" xfId="15191" xr:uid="{00000000-0005-0000-0000-00003F3A0000}"/>
    <cellStyle name="Currency 18 3 2 2 2" xfId="15192" xr:uid="{00000000-0005-0000-0000-0000403A0000}"/>
    <cellStyle name="Currency 18 3 2 3" xfId="15193" xr:uid="{00000000-0005-0000-0000-0000413A0000}"/>
    <cellStyle name="Currency 18 3 2 3 2" xfId="15194" xr:uid="{00000000-0005-0000-0000-0000423A0000}"/>
    <cellStyle name="Currency 18 3 2 4" xfId="15195" xr:uid="{00000000-0005-0000-0000-0000433A0000}"/>
    <cellStyle name="Currency 18 3 2 4 2" xfId="15196" xr:uid="{00000000-0005-0000-0000-0000443A0000}"/>
    <cellStyle name="Currency 18 3 2 5" xfId="15197" xr:uid="{00000000-0005-0000-0000-0000453A0000}"/>
    <cellStyle name="Currency 18 3 2 5 2" xfId="15198" xr:uid="{00000000-0005-0000-0000-0000463A0000}"/>
    <cellStyle name="Currency 18 3 2 5 2 2" xfId="15199" xr:uid="{00000000-0005-0000-0000-0000473A0000}"/>
    <cellStyle name="Currency 18 3 2 5 3" xfId="15200" xr:uid="{00000000-0005-0000-0000-0000483A0000}"/>
    <cellStyle name="Currency 18 3 2 5 3 2" xfId="15201" xr:uid="{00000000-0005-0000-0000-0000493A0000}"/>
    <cellStyle name="Currency 18 3 3" xfId="15202" xr:uid="{00000000-0005-0000-0000-00004A3A0000}"/>
    <cellStyle name="Currency 18 3 3 2" xfId="15203" xr:uid="{00000000-0005-0000-0000-00004B3A0000}"/>
    <cellStyle name="Currency 18 3 3 2 2" xfId="15204" xr:uid="{00000000-0005-0000-0000-00004C3A0000}"/>
    <cellStyle name="Currency 18 3 3 2 3" xfId="15205" xr:uid="{00000000-0005-0000-0000-00004D3A0000}"/>
    <cellStyle name="Currency 18 3 3 3" xfId="15206" xr:uid="{00000000-0005-0000-0000-00004E3A0000}"/>
    <cellStyle name="Currency 18 3 3 4" xfId="15207" xr:uid="{00000000-0005-0000-0000-00004F3A0000}"/>
    <cellStyle name="Currency 18 3 4" xfId="15208" xr:uid="{00000000-0005-0000-0000-0000503A0000}"/>
    <cellStyle name="Currency 18 3 4 2" xfId="15209" xr:uid="{00000000-0005-0000-0000-0000513A0000}"/>
    <cellStyle name="Currency 18 3 5" xfId="15210" xr:uid="{00000000-0005-0000-0000-0000523A0000}"/>
    <cellStyle name="Currency 18 3 5 2" xfId="15211" xr:uid="{00000000-0005-0000-0000-0000533A0000}"/>
    <cellStyle name="Currency 18 3 5 3" xfId="15212" xr:uid="{00000000-0005-0000-0000-0000543A0000}"/>
    <cellStyle name="Currency 18 3 5 4" xfId="15213" xr:uid="{00000000-0005-0000-0000-0000553A0000}"/>
    <cellStyle name="Currency 18 3 6" xfId="15214" xr:uid="{00000000-0005-0000-0000-0000563A0000}"/>
    <cellStyle name="Currency 18 3 6 2" xfId="15215" xr:uid="{00000000-0005-0000-0000-0000573A0000}"/>
    <cellStyle name="Currency 18 3 7" xfId="15216" xr:uid="{00000000-0005-0000-0000-0000583A0000}"/>
    <cellStyle name="Currency 18 3 7 2" xfId="15217" xr:uid="{00000000-0005-0000-0000-0000593A0000}"/>
    <cellStyle name="Currency 18 3 7 2 2" xfId="15218" xr:uid="{00000000-0005-0000-0000-00005A3A0000}"/>
    <cellStyle name="Currency 18 3 7 3" xfId="15219" xr:uid="{00000000-0005-0000-0000-00005B3A0000}"/>
    <cellStyle name="Currency 18 3 7 3 2" xfId="15220" xr:uid="{00000000-0005-0000-0000-00005C3A0000}"/>
    <cellStyle name="Currency 18 3 8" xfId="15221" xr:uid="{00000000-0005-0000-0000-00005D3A0000}"/>
    <cellStyle name="Currency 18 3 8 2" xfId="15222" xr:uid="{00000000-0005-0000-0000-00005E3A0000}"/>
    <cellStyle name="Currency 18 4" xfId="15223" xr:uid="{00000000-0005-0000-0000-00005F3A0000}"/>
    <cellStyle name="Currency 18 4 2" xfId="15224" xr:uid="{00000000-0005-0000-0000-0000603A0000}"/>
    <cellStyle name="Currency 18 4 3" xfId="15225" xr:uid="{00000000-0005-0000-0000-0000613A0000}"/>
    <cellStyle name="Currency 18 4 3 2" xfId="15226" xr:uid="{00000000-0005-0000-0000-0000623A0000}"/>
    <cellStyle name="Currency 18 4 4" xfId="15227" xr:uid="{00000000-0005-0000-0000-0000633A0000}"/>
    <cellStyle name="Currency 18 4 4 2" xfId="15228" xr:uid="{00000000-0005-0000-0000-0000643A0000}"/>
    <cellStyle name="Currency 18 4 4 3" xfId="15229" xr:uid="{00000000-0005-0000-0000-0000653A0000}"/>
    <cellStyle name="Currency 18 4 4 4" xfId="15230" xr:uid="{00000000-0005-0000-0000-0000663A0000}"/>
    <cellStyle name="Currency 18 4 5" xfId="15231" xr:uid="{00000000-0005-0000-0000-0000673A0000}"/>
    <cellStyle name="Currency 18 4 5 2" xfId="15232" xr:uid="{00000000-0005-0000-0000-0000683A0000}"/>
    <cellStyle name="Currency 18 4 6" xfId="15233" xr:uid="{00000000-0005-0000-0000-0000693A0000}"/>
    <cellStyle name="Currency 18 4 6 2" xfId="15234" xr:uid="{00000000-0005-0000-0000-00006A3A0000}"/>
    <cellStyle name="Currency 18 4 6 2 2" xfId="15235" xr:uid="{00000000-0005-0000-0000-00006B3A0000}"/>
    <cellStyle name="Currency 18 4 6 3" xfId="15236" xr:uid="{00000000-0005-0000-0000-00006C3A0000}"/>
    <cellStyle name="Currency 18 4 6 3 2" xfId="15237" xr:uid="{00000000-0005-0000-0000-00006D3A0000}"/>
    <cellStyle name="Currency 18 4 7" xfId="15238" xr:uid="{00000000-0005-0000-0000-00006E3A0000}"/>
    <cellStyle name="Currency 18 5" xfId="15239" xr:uid="{00000000-0005-0000-0000-00006F3A0000}"/>
    <cellStyle name="Currency 18 6" xfId="15240" xr:uid="{00000000-0005-0000-0000-0000703A0000}"/>
    <cellStyle name="Currency 18 6 2" xfId="15241" xr:uid="{00000000-0005-0000-0000-0000713A0000}"/>
    <cellStyle name="Currency 18 6 2 2" xfId="15242" xr:uid="{00000000-0005-0000-0000-0000723A0000}"/>
    <cellStyle name="Currency 18 6 2 3" xfId="15243" xr:uid="{00000000-0005-0000-0000-0000733A0000}"/>
    <cellStyle name="Currency 18 6 3" xfId="15244" xr:uid="{00000000-0005-0000-0000-0000743A0000}"/>
    <cellStyle name="Currency 18 6 4" xfId="15245" xr:uid="{00000000-0005-0000-0000-0000753A0000}"/>
    <cellStyle name="Currency 18 7" xfId="15246" xr:uid="{00000000-0005-0000-0000-0000763A0000}"/>
    <cellStyle name="Currency 18 7 2" xfId="15247" xr:uid="{00000000-0005-0000-0000-0000773A0000}"/>
    <cellStyle name="Currency 18 8" xfId="15248" xr:uid="{00000000-0005-0000-0000-0000783A0000}"/>
    <cellStyle name="Currency 18 8 2" xfId="15249" xr:uid="{00000000-0005-0000-0000-0000793A0000}"/>
    <cellStyle name="Currency 18 8 3" xfId="15250" xr:uid="{00000000-0005-0000-0000-00007A3A0000}"/>
    <cellStyle name="Currency 18 8 4" xfId="15251" xr:uid="{00000000-0005-0000-0000-00007B3A0000}"/>
    <cellStyle name="Currency 18 9" xfId="15252" xr:uid="{00000000-0005-0000-0000-00007C3A0000}"/>
    <cellStyle name="Currency 18 9 2" xfId="15253" xr:uid="{00000000-0005-0000-0000-00007D3A0000}"/>
    <cellStyle name="Currency 19" xfId="396" xr:uid="{00000000-0005-0000-0000-00007E3A0000}"/>
    <cellStyle name="Currency 19 2" xfId="15254" xr:uid="{00000000-0005-0000-0000-00007F3A0000}"/>
    <cellStyle name="Currency 19 2 2" xfId="15255" xr:uid="{00000000-0005-0000-0000-0000803A0000}"/>
    <cellStyle name="Currency 19 2 2 2" xfId="15256" xr:uid="{00000000-0005-0000-0000-0000813A0000}"/>
    <cellStyle name="Currency 19 2 2 3" xfId="15257" xr:uid="{00000000-0005-0000-0000-0000823A0000}"/>
    <cellStyle name="Currency 19 2 2 4" xfId="15258" xr:uid="{00000000-0005-0000-0000-0000833A0000}"/>
    <cellStyle name="Currency 19 2 3" xfId="15259" xr:uid="{00000000-0005-0000-0000-0000843A0000}"/>
    <cellStyle name="Currency 19 2 3 2" xfId="15260" xr:uid="{00000000-0005-0000-0000-0000853A0000}"/>
    <cellStyle name="Currency 19 2 4" xfId="15261" xr:uid="{00000000-0005-0000-0000-0000863A0000}"/>
    <cellStyle name="Currency 19 2 5" xfId="15262" xr:uid="{00000000-0005-0000-0000-0000873A0000}"/>
    <cellStyle name="Currency 19 2 5 2" xfId="15263" xr:uid="{00000000-0005-0000-0000-0000883A0000}"/>
    <cellStyle name="Currency 19 2 6" xfId="15264" xr:uid="{00000000-0005-0000-0000-0000893A0000}"/>
    <cellStyle name="Currency 19 2 6 2" xfId="15265" xr:uid="{00000000-0005-0000-0000-00008A3A0000}"/>
    <cellStyle name="Currency 19 2 6 2 2" xfId="15266" xr:uid="{00000000-0005-0000-0000-00008B3A0000}"/>
    <cellStyle name="Currency 19 2 6 3" xfId="15267" xr:uid="{00000000-0005-0000-0000-00008C3A0000}"/>
    <cellStyle name="Currency 19 2 6 3 2" xfId="15268" xr:uid="{00000000-0005-0000-0000-00008D3A0000}"/>
    <cellStyle name="Currency 19 2 7" xfId="15269" xr:uid="{00000000-0005-0000-0000-00008E3A0000}"/>
    <cellStyle name="Currency 19 2 7 2" xfId="15270" xr:uid="{00000000-0005-0000-0000-00008F3A0000}"/>
    <cellStyle name="Currency 19 2 8" xfId="15271" xr:uid="{00000000-0005-0000-0000-0000903A0000}"/>
    <cellStyle name="Currency 19 3" xfId="15272" xr:uid="{00000000-0005-0000-0000-0000913A0000}"/>
    <cellStyle name="Currency 19 3 2" xfId="15273" xr:uid="{00000000-0005-0000-0000-0000923A0000}"/>
    <cellStyle name="Currency 19 4" xfId="15274" xr:uid="{00000000-0005-0000-0000-0000933A0000}"/>
    <cellStyle name="Currency 19 4 2" xfId="15275" xr:uid="{00000000-0005-0000-0000-0000943A0000}"/>
    <cellStyle name="Currency 19 5" xfId="15276" xr:uid="{00000000-0005-0000-0000-0000953A0000}"/>
    <cellStyle name="Currency 19 5 2" xfId="15277" xr:uid="{00000000-0005-0000-0000-0000963A0000}"/>
    <cellStyle name="Currency 19 6" xfId="15278" xr:uid="{00000000-0005-0000-0000-0000973A0000}"/>
    <cellStyle name="Currency 19 6 2" xfId="15279" xr:uid="{00000000-0005-0000-0000-0000983A0000}"/>
    <cellStyle name="Currency 19 6 2 2" xfId="15280" xr:uid="{00000000-0005-0000-0000-0000993A0000}"/>
    <cellStyle name="Currency 19 6 3" xfId="15281" xr:uid="{00000000-0005-0000-0000-00009A3A0000}"/>
    <cellStyle name="Currency 19 6 3 2" xfId="15282" xr:uid="{00000000-0005-0000-0000-00009B3A0000}"/>
    <cellStyle name="Currency 19 7" xfId="15283" xr:uid="{00000000-0005-0000-0000-00009C3A0000}"/>
    <cellStyle name="Currency 2" xfId="112" xr:uid="{00000000-0005-0000-0000-00009D3A0000}"/>
    <cellStyle name="Currency 2 10" xfId="15284" xr:uid="{00000000-0005-0000-0000-00009E3A0000}"/>
    <cellStyle name="Currency 2 10 2" xfId="15285" xr:uid="{00000000-0005-0000-0000-00009F3A0000}"/>
    <cellStyle name="Currency 2 11" xfId="61190" xr:uid="{D62F0661-49A3-4D97-A3FF-78B462094661}"/>
    <cellStyle name="Currency 2 2" xfId="209" xr:uid="{00000000-0005-0000-0000-0000A03A0000}"/>
    <cellStyle name="Currency 2 2 2" xfId="210" xr:uid="{00000000-0005-0000-0000-0000A13A0000}"/>
    <cellStyle name="Currency 2 2 2 2" xfId="15286" xr:uid="{00000000-0005-0000-0000-0000A23A0000}"/>
    <cellStyle name="Currency 2 2 3" xfId="15287" xr:uid="{00000000-0005-0000-0000-0000A33A0000}"/>
    <cellStyle name="Currency 2 2 4" xfId="15288" xr:uid="{00000000-0005-0000-0000-0000A43A0000}"/>
    <cellStyle name="Currency 2 3" xfId="211" xr:uid="{00000000-0005-0000-0000-0000A53A0000}"/>
    <cellStyle name="Currency 2 3 2" xfId="15289" xr:uid="{00000000-0005-0000-0000-0000A63A0000}"/>
    <cellStyle name="Currency 2 3 2 2" xfId="15290" xr:uid="{00000000-0005-0000-0000-0000A73A0000}"/>
    <cellStyle name="Currency 2 3 3" xfId="15291" xr:uid="{00000000-0005-0000-0000-0000A83A0000}"/>
    <cellStyle name="Currency 2 3 4" xfId="15292" xr:uid="{00000000-0005-0000-0000-0000A93A0000}"/>
    <cellStyle name="Currency 2 3 5" xfId="15293" xr:uid="{00000000-0005-0000-0000-0000AA3A0000}"/>
    <cellStyle name="Currency 2 3 6" xfId="15294" xr:uid="{00000000-0005-0000-0000-0000AB3A0000}"/>
    <cellStyle name="Currency 2 3 7" xfId="402" xr:uid="{00000000-0005-0000-0000-0000AC3A0000}"/>
    <cellStyle name="Currency 2 4" xfId="212" xr:uid="{00000000-0005-0000-0000-0000AD3A0000}"/>
    <cellStyle name="Currency 2 4 2" xfId="15295" xr:uid="{00000000-0005-0000-0000-0000AE3A0000}"/>
    <cellStyle name="Currency 2 4 3" xfId="15296" xr:uid="{00000000-0005-0000-0000-0000AF3A0000}"/>
    <cellStyle name="Currency 2 4 4" xfId="15297" xr:uid="{00000000-0005-0000-0000-0000B03A0000}"/>
    <cellStyle name="Currency 2 5" xfId="213" xr:uid="{00000000-0005-0000-0000-0000B13A0000}"/>
    <cellStyle name="Currency 2 5 2" xfId="15298" xr:uid="{00000000-0005-0000-0000-0000B23A0000}"/>
    <cellStyle name="Currency 2 5 2 2" xfId="15299" xr:uid="{00000000-0005-0000-0000-0000B33A0000}"/>
    <cellStyle name="Currency 2 5 2 2 2" xfId="15300" xr:uid="{00000000-0005-0000-0000-0000B43A0000}"/>
    <cellStyle name="Currency 2 5 2 3" xfId="15301" xr:uid="{00000000-0005-0000-0000-0000B53A0000}"/>
    <cellStyle name="Currency 2 5 2 4" xfId="15302" xr:uid="{00000000-0005-0000-0000-0000B63A0000}"/>
    <cellStyle name="Currency 2 5 2 4 2" xfId="15303" xr:uid="{00000000-0005-0000-0000-0000B73A0000}"/>
    <cellStyle name="Currency 2 5 2 5" xfId="15304" xr:uid="{00000000-0005-0000-0000-0000B83A0000}"/>
    <cellStyle name="Currency 2 5 2 5 2" xfId="15305" xr:uid="{00000000-0005-0000-0000-0000B93A0000}"/>
    <cellStyle name="Currency 2 5 2 5 2 2" xfId="15306" xr:uid="{00000000-0005-0000-0000-0000BA3A0000}"/>
    <cellStyle name="Currency 2 5 2 5 3" xfId="15307" xr:uid="{00000000-0005-0000-0000-0000BB3A0000}"/>
    <cellStyle name="Currency 2 5 2 5 3 2" xfId="15308" xr:uid="{00000000-0005-0000-0000-0000BC3A0000}"/>
    <cellStyle name="Currency 2 5 2 6" xfId="15309" xr:uid="{00000000-0005-0000-0000-0000BD3A0000}"/>
    <cellStyle name="Currency 2 5 2 7" xfId="15310" xr:uid="{00000000-0005-0000-0000-0000BE3A0000}"/>
    <cellStyle name="Currency 2 5 3" xfId="15311" xr:uid="{00000000-0005-0000-0000-0000BF3A0000}"/>
    <cellStyle name="Currency 2 5 3 2" xfId="15312" xr:uid="{00000000-0005-0000-0000-0000C03A0000}"/>
    <cellStyle name="Currency 2 5 3 3" xfId="15313" xr:uid="{00000000-0005-0000-0000-0000C13A0000}"/>
    <cellStyle name="Currency 2 5 3 4" xfId="15314" xr:uid="{00000000-0005-0000-0000-0000C23A0000}"/>
    <cellStyle name="Currency 2 5 4" xfId="15315" xr:uid="{00000000-0005-0000-0000-0000C33A0000}"/>
    <cellStyle name="Currency 2 5 4 2" xfId="15316" xr:uid="{00000000-0005-0000-0000-0000C43A0000}"/>
    <cellStyle name="Currency 2 5 5" xfId="15317" xr:uid="{00000000-0005-0000-0000-0000C53A0000}"/>
    <cellStyle name="Currency 2 5 6" xfId="15318" xr:uid="{00000000-0005-0000-0000-0000C63A0000}"/>
    <cellStyle name="Currency 2 5 6 2" xfId="15319" xr:uid="{00000000-0005-0000-0000-0000C73A0000}"/>
    <cellStyle name="Currency 2 5 7" xfId="15320" xr:uid="{00000000-0005-0000-0000-0000C83A0000}"/>
    <cellStyle name="Currency 2 5 7 2" xfId="15321" xr:uid="{00000000-0005-0000-0000-0000C93A0000}"/>
    <cellStyle name="Currency 2 5 7 2 2" xfId="15322" xr:uid="{00000000-0005-0000-0000-0000CA3A0000}"/>
    <cellStyle name="Currency 2 5 7 3" xfId="15323" xr:uid="{00000000-0005-0000-0000-0000CB3A0000}"/>
    <cellStyle name="Currency 2 5 7 3 2" xfId="15324" xr:uid="{00000000-0005-0000-0000-0000CC3A0000}"/>
    <cellStyle name="Currency 2 5 8" xfId="15325" xr:uid="{00000000-0005-0000-0000-0000CD3A0000}"/>
    <cellStyle name="Currency 2 5 9" xfId="15326" xr:uid="{00000000-0005-0000-0000-0000CE3A0000}"/>
    <cellStyle name="Currency 2 6" xfId="15327" xr:uid="{00000000-0005-0000-0000-0000CF3A0000}"/>
    <cellStyle name="Currency 2 6 2" xfId="15328" xr:uid="{00000000-0005-0000-0000-0000D03A0000}"/>
    <cellStyle name="Currency 2 6 2 2" xfId="15329" xr:uid="{00000000-0005-0000-0000-0000D13A0000}"/>
    <cellStyle name="Currency 2 6 2 2 2" xfId="15330" xr:uid="{00000000-0005-0000-0000-0000D23A0000}"/>
    <cellStyle name="Currency 2 6 2 3" xfId="15331" xr:uid="{00000000-0005-0000-0000-0000D33A0000}"/>
    <cellStyle name="Currency 2 6 2 4" xfId="15332" xr:uid="{00000000-0005-0000-0000-0000D43A0000}"/>
    <cellStyle name="Currency 2 6 2 4 2" xfId="15333" xr:uid="{00000000-0005-0000-0000-0000D53A0000}"/>
    <cellStyle name="Currency 2 6 2 5" xfId="15334" xr:uid="{00000000-0005-0000-0000-0000D63A0000}"/>
    <cellStyle name="Currency 2 6 2 5 2" xfId="15335" xr:uid="{00000000-0005-0000-0000-0000D73A0000}"/>
    <cellStyle name="Currency 2 6 2 5 2 2" xfId="15336" xr:uid="{00000000-0005-0000-0000-0000D83A0000}"/>
    <cellStyle name="Currency 2 6 2 5 3" xfId="15337" xr:uid="{00000000-0005-0000-0000-0000D93A0000}"/>
    <cellStyle name="Currency 2 6 2 5 3 2" xfId="15338" xr:uid="{00000000-0005-0000-0000-0000DA3A0000}"/>
    <cellStyle name="Currency 2 6 2 6" xfId="15339" xr:uid="{00000000-0005-0000-0000-0000DB3A0000}"/>
    <cellStyle name="Currency 2 6 2 7" xfId="15340" xr:uid="{00000000-0005-0000-0000-0000DC3A0000}"/>
    <cellStyle name="Currency 2 6 3" xfId="15341" xr:uid="{00000000-0005-0000-0000-0000DD3A0000}"/>
    <cellStyle name="Currency 2 6 3 2" xfId="15342" xr:uid="{00000000-0005-0000-0000-0000DE3A0000}"/>
    <cellStyle name="Currency 2 6 4" xfId="15343" xr:uid="{00000000-0005-0000-0000-0000DF3A0000}"/>
    <cellStyle name="Currency 2 6 4 2" xfId="15344" xr:uid="{00000000-0005-0000-0000-0000E03A0000}"/>
    <cellStyle name="Currency 2 6 5" xfId="15345" xr:uid="{00000000-0005-0000-0000-0000E13A0000}"/>
    <cellStyle name="Currency 2 6 6" xfId="15346" xr:uid="{00000000-0005-0000-0000-0000E23A0000}"/>
    <cellStyle name="Currency 2 6 6 2" xfId="15347" xr:uid="{00000000-0005-0000-0000-0000E33A0000}"/>
    <cellStyle name="Currency 2 6 7" xfId="15348" xr:uid="{00000000-0005-0000-0000-0000E43A0000}"/>
    <cellStyle name="Currency 2 6 7 2" xfId="15349" xr:uid="{00000000-0005-0000-0000-0000E53A0000}"/>
    <cellStyle name="Currency 2 6 7 2 2" xfId="15350" xr:uid="{00000000-0005-0000-0000-0000E63A0000}"/>
    <cellStyle name="Currency 2 6 7 3" xfId="15351" xr:uid="{00000000-0005-0000-0000-0000E73A0000}"/>
    <cellStyle name="Currency 2 6 7 3 2" xfId="15352" xr:uid="{00000000-0005-0000-0000-0000E83A0000}"/>
    <cellStyle name="Currency 2 6 8" xfId="15353" xr:uid="{00000000-0005-0000-0000-0000E93A0000}"/>
    <cellStyle name="Currency 2 6 9" xfId="15354" xr:uid="{00000000-0005-0000-0000-0000EA3A0000}"/>
    <cellStyle name="Currency 2 7" xfId="15355" xr:uid="{00000000-0005-0000-0000-0000EB3A0000}"/>
    <cellStyle name="Currency 2 7 2" xfId="15356" xr:uid="{00000000-0005-0000-0000-0000EC3A0000}"/>
    <cellStyle name="Currency 2 7 2 2" xfId="15357" xr:uid="{00000000-0005-0000-0000-0000ED3A0000}"/>
    <cellStyle name="Currency 2 7 2 2 2" xfId="15358" xr:uid="{00000000-0005-0000-0000-0000EE3A0000}"/>
    <cellStyle name="Currency 2 7 2 3" xfId="15359" xr:uid="{00000000-0005-0000-0000-0000EF3A0000}"/>
    <cellStyle name="Currency 2 7 2 4" xfId="15360" xr:uid="{00000000-0005-0000-0000-0000F03A0000}"/>
    <cellStyle name="Currency 2 7 2 4 2" xfId="15361" xr:uid="{00000000-0005-0000-0000-0000F13A0000}"/>
    <cellStyle name="Currency 2 7 2 5" xfId="15362" xr:uid="{00000000-0005-0000-0000-0000F23A0000}"/>
    <cellStyle name="Currency 2 7 2 5 2" xfId="15363" xr:uid="{00000000-0005-0000-0000-0000F33A0000}"/>
    <cellStyle name="Currency 2 7 2 5 2 2" xfId="15364" xr:uid="{00000000-0005-0000-0000-0000F43A0000}"/>
    <cellStyle name="Currency 2 7 2 5 3" xfId="15365" xr:uid="{00000000-0005-0000-0000-0000F53A0000}"/>
    <cellStyle name="Currency 2 7 2 5 3 2" xfId="15366" xr:uid="{00000000-0005-0000-0000-0000F63A0000}"/>
    <cellStyle name="Currency 2 7 2 6" xfId="15367" xr:uid="{00000000-0005-0000-0000-0000F73A0000}"/>
    <cellStyle name="Currency 2 7 2 7" xfId="15368" xr:uid="{00000000-0005-0000-0000-0000F83A0000}"/>
    <cellStyle name="Currency 2 7 3" xfId="15369" xr:uid="{00000000-0005-0000-0000-0000F93A0000}"/>
    <cellStyle name="Currency 2 7 3 2" xfId="15370" xr:uid="{00000000-0005-0000-0000-0000FA3A0000}"/>
    <cellStyle name="Currency 2 7 4" xfId="15371" xr:uid="{00000000-0005-0000-0000-0000FB3A0000}"/>
    <cellStyle name="Currency 2 7 4 2" xfId="15372" xr:uid="{00000000-0005-0000-0000-0000FC3A0000}"/>
    <cellStyle name="Currency 2 7 5" xfId="15373" xr:uid="{00000000-0005-0000-0000-0000FD3A0000}"/>
    <cellStyle name="Currency 2 7 6" xfId="15374" xr:uid="{00000000-0005-0000-0000-0000FE3A0000}"/>
    <cellStyle name="Currency 2 7 6 2" xfId="15375" xr:uid="{00000000-0005-0000-0000-0000FF3A0000}"/>
    <cellStyle name="Currency 2 7 7" xfId="15376" xr:uid="{00000000-0005-0000-0000-0000003B0000}"/>
    <cellStyle name="Currency 2 7 7 2" xfId="15377" xr:uid="{00000000-0005-0000-0000-0000013B0000}"/>
    <cellStyle name="Currency 2 7 7 2 2" xfId="15378" xr:uid="{00000000-0005-0000-0000-0000023B0000}"/>
    <cellStyle name="Currency 2 7 7 3" xfId="15379" xr:uid="{00000000-0005-0000-0000-0000033B0000}"/>
    <cellStyle name="Currency 2 7 7 3 2" xfId="15380" xr:uid="{00000000-0005-0000-0000-0000043B0000}"/>
    <cellStyle name="Currency 2 7 8" xfId="15381" xr:uid="{00000000-0005-0000-0000-0000053B0000}"/>
    <cellStyle name="Currency 2 7 9" xfId="15382" xr:uid="{00000000-0005-0000-0000-0000063B0000}"/>
    <cellStyle name="Currency 2 8" xfId="15383" xr:uid="{00000000-0005-0000-0000-0000073B0000}"/>
    <cellStyle name="Currency 2 8 2" xfId="15384" xr:uid="{00000000-0005-0000-0000-0000083B0000}"/>
    <cellStyle name="Currency 2 8 2 2" xfId="15385" xr:uid="{00000000-0005-0000-0000-0000093B0000}"/>
    <cellStyle name="Currency 2 8 2 2 2" xfId="15386" xr:uid="{00000000-0005-0000-0000-00000A3B0000}"/>
    <cellStyle name="Currency 2 8 2 3" xfId="15387" xr:uid="{00000000-0005-0000-0000-00000B3B0000}"/>
    <cellStyle name="Currency 2 8 2 4" xfId="15388" xr:uid="{00000000-0005-0000-0000-00000C3B0000}"/>
    <cellStyle name="Currency 2 8 2 4 2" xfId="15389" xr:uid="{00000000-0005-0000-0000-00000D3B0000}"/>
    <cellStyle name="Currency 2 8 2 5" xfId="15390" xr:uid="{00000000-0005-0000-0000-00000E3B0000}"/>
    <cellStyle name="Currency 2 8 2 5 2" xfId="15391" xr:uid="{00000000-0005-0000-0000-00000F3B0000}"/>
    <cellStyle name="Currency 2 8 2 5 2 2" xfId="15392" xr:uid="{00000000-0005-0000-0000-0000103B0000}"/>
    <cellStyle name="Currency 2 8 2 5 3" xfId="15393" xr:uid="{00000000-0005-0000-0000-0000113B0000}"/>
    <cellStyle name="Currency 2 8 2 5 3 2" xfId="15394" xr:uid="{00000000-0005-0000-0000-0000123B0000}"/>
    <cellStyle name="Currency 2 8 2 6" xfId="15395" xr:uid="{00000000-0005-0000-0000-0000133B0000}"/>
    <cellStyle name="Currency 2 8 2 7" xfId="15396" xr:uid="{00000000-0005-0000-0000-0000143B0000}"/>
    <cellStyle name="Currency 2 8 3" xfId="15397" xr:uid="{00000000-0005-0000-0000-0000153B0000}"/>
    <cellStyle name="Currency 2 8 3 2" xfId="15398" xr:uid="{00000000-0005-0000-0000-0000163B0000}"/>
    <cellStyle name="Currency 2 8 4" xfId="15399" xr:uid="{00000000-0005-0000-0000-0000173B0000}"/>
    <cellStyle name="Currency 2 8 4 2" xfId="15400" xr:uid="{00000000-0005-0000-0000-0000183B0000}"/>
    <cellStyle name="Currency 2 8 5" xfId="15401" xr:uid="{00000000-0005-0000-0000-0000193B0000}"/>
    <cellStyle name="Currency 2 8 6" xfId="15402" xr:uid="{00000000-0005-0000-0000-00001A3B0000}"/>
    <cellStyle name="Currency 2 8 6 2" xfId="15403" xr:uid="{00000000-0005-0000-0000-00001B3B0000}"/>
    <cellStyle name="Currency 2 8 7" xfId="15404" xr:uid="{00000000-0005-0000-0000-00001C3B0000}"/>
    <cellStyle name="Currency 2 8 7 2" xfId="15405" xr:uid="{00000000-0005-0000-0000-00001D3B0000}"/>
    <cellStyle name="Currency 2 8 7 2 2" xfId="15406" xr:uid="{00000000-0005-0000-0000-00001E3B0000}"/>
    <cellStyle name="Currency 2 8 7 3" xfId="15407" xr:uid="{00000000-0005-0000-0000-00001F3B0000}"/>
    <cellStyle name="Currency 2 8 7 3 2" xfId="15408" xr:uid="{00000000-0005-0000-0000-0000203B0000}"/>
    <cellStyle name="Currency 2 8 8" xfId="15409" xr:uid="{00000000-0005-0000-0000-0000213B0000}"/>
    <cellStyle name="Currency 2 8 9" xfId="15410" xr:uid="{00000000-0005-0000-0000-0000223B0000}"/>
    <cellStyle name="Currency 2 9" xfId="15411" xr:uid="{00000000-0005-0000-0000-0000233B0000}"/>
    <cellStyle name="Currency 2 9 2" xfId="15412" xr:uid="{00000000-0005-0000-0000-0000243B0000}"/>
    <cellStyle name="Currency 2_2015 Annual Rpt" xfId="15413" xr:uid="{00000000-0005-0000-0000-0000253B0000}"/>
    <cellStyle name="Currency 20" xfId="15414" xr:uid="{00000000-0005-0000-0000-0000263B0000}"/>
    <cellStyle name="Currency 20 2" xfId="15415" xr:uid="{00000000-0005-0000-0000-0000273B0000}"/>
    <cellStyle name="Currency 20 2 2" xfId="15416" xr:uid="{00000000-0005-0000-0000-0000283B0000}"/>
    <cellStyle name="Currency 20 2 2 2" xfId="15417" xr:uid="{00000000-0005-0000-0000-0000293B0000}"/>
    <cellStyle name="Currency 20 2 2 3" xfId="15418" xr:uid="{00000000-0005-0000-0000-00002A3B0000}"/>
    <cellStyle name="Currency 20 2 2 4" xfId="15419" xr:uid="{00000000-0005-0000-0000-00002B3B0000}"/>
    <cellStyle name="Currency 20 2 3" xfId="15420" xr:uid="{00000000-0005-0000-0000-00002C3B0000}"/>
    <cellStyle name="Currency 20 2 4" xfId="15421" xr:uid="{00000000-0005-0000-0000-00002D3B0000}"/>
    <cellStyle name="Currency 20 2 4 2" xfId="15422" xr:uid="{00000000-0005-0000-0000-00002E3B0000}"/>
    <cellStyle name="Currency 20 2 5" xfId="15423" xr:uid="{00000000-0005-0000-0000-00002F3B0000}"/>
    <cellStyle name="Currency 20 2 5 2" xfId="15424" xr:uid="{00000000-0005-0000-0000-0000303B0000}"/>
    <cellStyle name="Currency 20 2 5 2 2" xfId="15425" xr:uid="{00000000-0005-0000-0000-0000313B0000}"/>
    <cellStyle name="Currency 20 2 5 3" xfId="15426" xr:uid="{00000000-0005-0000-0000-0000323B0000}"/>
    <cellStyle name="Currency 20 2 5 3 2" xfId="15427" xr:uid="{00000000-0005-0000-0000-0000333B0000}"/>
    <cellStyle name="Currency 20 2 6" xfId="15428" xr:uid="{00000000-0005-0000-0000-0000343B0000}"/>
    <cellStyle name="Currency 20 2 6 2" xfId="15429" xr:uid="{00000000-0005-0000-0000-0000353B0000}"/>
    <cellStyle name="Currency 20 2 7" xfId="15430" xr:uid="{00000000-0005-0000-0000-0000363B0000}"/>
    <cellStyle name="Currency 20 3" xfId="15431" xr:uid="{00000000-0005-0000-0000-0000373B0000}"/>
    <cellStyle name="Currency 20 3 2" xfId="15432" xr:uid="{00000000-0005-0000-0000-0000383B0000}"/>
    <cellStyle name="Currency 20 4" xfId="15433" xr:uid="{00000000-0005-0000-0000-0000393B0000}"/>
    <cellStyle name="Currency 20 4 2" xfId="15434" xr:uid="{00000000-0005-0000-0000-00003A3B0000}"/>
    <cellStyle name="Currency 20 5" xfId="15435" xr:uid="{00000000-0005-0000-0000-00003B3B0000}"/>
    <cellStyle name="Currency 20 6" xfId="15436" xr:uid="{00000000-0005-0000-0000-00003C3B0000}"/>
    <cellStyle name="Currency 20 6 2" xfId="15437" xr:uid="{00000000-0005-0000-0000-00003D3B0000}"/>
    <cellStyle name="Currency 20 7" xfId="15438" xr:uid="{00000000-0005-0000-0000-00003E3B0000}"/>
    <cellStyle name="Currency 20 7 2" xfId="15439" xr:uid="{00000000-0005-0000-0000-00003F3B0000}"/>
    <cellStyle name="Currency 20 7 2 2" xfId="15440" xr:uid="{00000000-0005-0000-0000-0000403B0000}"/>
    <cellStyle name="Currency 20 7 3" xfId="15441" xr:uid="{00000000-0005-0000-0000-0000413B0000}"/>
    <cellStyle name="Currency 20 7 3 2" xfId="15442" xr:uid="{00000000-0005-0000-0000-0000423B0000}"/>
    <cellStyle name="Currency 20 8" xfId="15443" xr:uid="{00000000-0005-0000-0000-0000433B0000}"/>
    <cellStyle name="Currency 20 8 2" xfId="15444" xr:uid="{00000000-0005-0000-0000-0000443B0000}"/>
    <cellStyle name="Currency 20 9" xfId="15445" xr:uid="{00000000-0005-0000-0000-0000453B0000}"/>
    <cellStyle name="Currency 21" xfId="15446" xr:uid="{00000000-0005-0000-0000-0000463B0000}"/>
    <cellStyle name="Currency 21 2" xfId="15447" xr:uid="{00000000-0005-0000-0000-0000473B0000}"/>
    <cellStyle name="Currency 21 2 2" xfId="15448" xr:uid="{00000000-0005-0000-0000-0000483B0000}"/>
    <cellStyle name="Currency 21 2 2 2" xfId="15449" xr:uid="{00000000-0005-0000-0000-0000493B0000}"/>
    <cellStyle name="Currency 21 2 2 3" xfId="15450" xr:uid="{00000000-0005-0000-0000-00004A3B0000}"/>
    <cellStyle name="Currency 21 2 2 4" xfId="15451" xr:uid="{00000000-0005-0000-0000-00004B3B0000}"/>
    <cellStyle name="Currency 21 2 3" xfId="15452" xr:uid="{00000000-0005-0000-0000-00004C3B0000}"/>
    <cellStyle name="Currency 21 2 4" xfId="15453" xr:uid="{00000000-0005-0000-0000-00004D3B0000}"/>
    <cellStyle name="Currency 21 2 4 2" xfId="15454" xr:uid="{00000000-0005-0000-0000-00004E3B0000}"/>
    <cellStyle name="Currency 21 2 5" xfId="15455" xr:uid="{00000000-0005-0000-0000-00004F3B0000}"/>
    <cellStyle name="Currency 21 2 5 2" xfId="15456" xr:uid="{00000000-0005-0000-0000-0000503B0000}"/>
    <cellStyle name="Currency 21 2 5 2 2" xfId="15457" xr:uid="{00000000-0005-0000-0000-0000513B0000}"/>
    <cellStyle name="Currency 21 2 5 3" xfId="15458" xr:uid="{00000000-0005-0000-0000-0000523B0000}"/>
    <cellStyle name="Currency 21 2 5 3 2" xfId="15459" xr:uid="{00000000-0005-0000-0000-0000533B0000}"/>
    <cellStyle name="Currency 21 2 6" xfId="15460" xr:uid="{00000000-0005-0000-0000-0000543B0000}"/>
    <cellStyle name="Currency 21 2 6 2" xfId="15461" xr:uid="{00000000-0005-0000-0000-0000553B0000}"/>
    <cellStyle name="Currency 21 2 7" xfId="15462" xr:uid="{00000000-0005-0000-0000-0000563B0000}"/>
    <cellStyle name="Currency 21 3" xfId="15463" xr:uid="{00000000-0005-0000-0000-0000573B0000}"/>
    <cellStyle name="Currency 21 3 2" xfId="15464" xr:uid="{00000000-0005-0000-0000-0000583B0000}"/>
    <cellStyle name="Currency 21 4" xfId="15465" xr:uid="{00000000-0005-0000-0000-0000593B0000}"/>
    <cellStyle name="Currency 21 4 2" xfId="15466" xr:uid="{00000000-0005-0000-0000-00005A3B0000}"/>
    <cellStyle name="Currency 21 5" xfId="15467" xr:uid="{00000000-0005-0000-0000-00005B3B0000}"/>
    <cellStyle name="Currency 21 6" xfId="15468" xr:uid="{00000000-0005-0000-0000-00005C3B0000}"/>
    <cellStyle name="Currency 21 6 2" xfId="15469" xr:uid="{00000000-0005-0000-0000-00005D3B0000}"/>
    <cellStyle name="Currency 21 7" xfId="15470" xr:uid="{00000000-0005-0000-0000-00005E3B0000}"/>
    <cellStyle name="Currency 21 7 2" xfId="15471" xr:uid="{00000000-0005-0000-0000-00005F3B0000}"/>
    <cellStyle name="Currency 21 7 2 2" xfId="15472" xr:uid="{00000000-0005-0000-0000-0000603B0000}"/>
    <cellStyle name="Currency 21 7 3" xfId="15473" xr:uid="{00000000-0005-0000-0000-0000613B0000}"/>
    <cellStyle name="Currency 21 7 3 2" xfId="15474" xr:uid="{00000000-0005-0000-0000-0000623B0000}"/>
    <cellStyle name="Currency 21 8" xfId="15475" xr:uid="{00000000-0005-0000-0000-0000633B0000}"/>
    <cellStyle name="Currency 21 8 2" xfId="15476" xr:uid="{00000000-0005-0000-0000-0000643B0000}"/>
    <cellStyle name="Currency 21 9" xfId="15477" xr:uid="{00000000-0005-0000-0000-0000653B0000}"/>
    <cellStyle name="Currency 22" xfId="15478" xr:uid="{00000000-0005-0000-0000-0000663B0000}"/>
    <cellStyle name="Currency 22 2" xfId="15479" xr:uid="{00000000-0005-0000-0000-0000673B0000}"/>
    <cellStyle name="Currency 22 2 2" xfId="15480" xr:uid="{00000000-0005-0000-0000-0000683B0000}"/>
    <cellStyle name="Currency 22 2 2 2" xfId="15481" xr:uid="{00000000-0005-0000-0000-0000693B0000}"/>
    <cellStyle name="Currency 22 2 2 3" xfId="15482" xr:uid="{00000000-0005-0000-0000-00006A3B0000}"/>
    <cellStyle name="Currency 22 2 2 4" xfId="15483" xr:uid="{00000000-0005-0000-0000-00006B3B0000}"/>
    <cellStyle name="Currency 22 2 3" xfId="15484" xr:uid="{00000000-0005-0000-0000-00006C3B0000}"/>
    <cellStyle name="Currency 22 2 4" xfId="15485" xr:uid="{00000000-0005-0000-0000-00006D3B0000}"/>
    <cellStyle name="Currency 22 2 4 2" xfId="15486" xr:uid="{00000000-0005-0000-0000-00006E3B0000}"/>
    <cellStyle name="Currency 22 2 5" xfId="15487" xr:uid="{00000000-0005-0000-0000-00006F3B0000}"/>
    <cellStyle name="Currency 22 2 5 2" xfId="15488" xr:uid="{00000000-0005-0000-0000-0000703B0000}"/>
    <cellStyle name="Currency 22 2 5 2 2" xfId="15489" xr:uid="{00000000-0005-0000-0000-0000713B0000}"/>
    <cellStyle name="Currency 22 2 5 3" xfId="15490" xr:uid="{00000000-0005-0000-0000-0000723B0000}"/>
    <cellStyle name="Currency 22 2 5 3 2" xfId="15491" xr:uid="{00000000-0005-0000-0000-0000733B0000}"/>
    <cellStyle name="Currency 22 2 6" xfId="15492" xr:uid="{00000000-0005-0000-0000-0000743B0000}"/>
    <cellStyle name="Currency 22 2 7" xfId="15493" xr:uid="{00000000-0005-0000-0000-0000753B0000}"/>
    <cellStyle name="Currency 22 3" xfId="15494" xr:uid="{00000000-0005-0000-0000-0000763B0000}"/>
    <cellStyle name="Currency 22 3 2" xfId="15495" xr:uid="{00000000-0005-0000-0000-0000773B0000}"/>
    <cellStyle name="Currency 22 4" xfId="15496" xr:uid="{00000000-0005-0000-0000-0000783B0000}"/>
    <cellStyle name="Currency 22 4 2" xfId="15497" xr:uid="{00000000-0005-0000-0000-0000793B0000}"/>
    <cellStyle name="Currency 22 5" xfId="15498" xr:uid="{00000000-0005-0000-0000-00007A3B0000}"/>
    <cellStyle name="Currency 22 6" xfId="15499" xr:uid="{00000000-0005-0000-0000-00007B3B0000}"/>
    <cellStyle name="Currency 22 6 2" xfId="15500" xr:uid="{00000000-0005-0000-0000-00007C3B0000}"/>
    <cellStyle name="Currency 22 7" xfId="15501" xr:uid="{00000000-0005-0000-0000-00007D3B0000}"/>
    <cellStyle name="Currency 22 7 2" xfId="15502" xr:uid="{00000000-0005-0000-0000-00007E3B0000}"/>
    <cellStyle name="Currency 22 7 2 2" xfId="15503" xr:uid="{00000000-0005-0000-0000-00007F3B0000}"/>
    <cellStyle name="Currency 22 7 3" xfId="15504" xr:uid="{00000000-0005-0000-0000-0000803B0000}"/>
    <cellStyle name="Currency 22 7 3 2" xfId="15505" xr:uid="{00000000-0005-0000-0000-0000813B0000}"/>
    <cellStyle name="Currency 22 8" xfId="15506" xr:uid="{00000000-0005-0000-0000-0000823B0000}"/>
    <cellStyle name="Currency 22 9" xfId="15507" xr:uid="{00000000-0005-0000-0000-0000833B0000}"/>
    <cellStyle name="Currency 23" xfId="15508" xr:uid="{00000000-0005-0000-0000-0000843B0000}"/>
    <cellStyle name="Currency 23 2" xfId="15509" xr:uid="{00000000-0005-0000-0000-0000853B0000}"/>
    <cellStyle name="Currency 23 3" xfId="15510" xr:uid="{00000000-0005-0000-0000-0000863B0000}"/>
    <cellStyle name="Currency 24" xfId="15511" xr:uid="{00000000-0005-0000-0000-0000873B0000}"/>
    <cellStyle name="Currency 25" xfId="15512" xr:uid="{00000000-0005-0000-0000-0000883B0000}"/>
    <cellStyle name="Currency 25 2" xfId="15513" xr:uid="{00000000-0005-0000-0000-0000893B0000}"/>
    <cellStyle name="Currency 25 2 2" xfId="15514" xr:uid="{00000000-0005-0000-0000-00008A3B0000}"/>
    <cellStyle name="Currency 25 3" xfId="15515" xr:uid="{00000000-0005-0000-0000-00008B3B0000}"/>
    <cellStyle name="Currency 26" xfId="15516" xr:uid="{00000000-0005-0000-0000-00008C3B0000}"/>
    <cellStyle name="Currency 26 2" xfId="15517" xr:uid="{00000000-0005-0000-0000-00008D3B0000}"/>
    <cellStyle name="Currency 27" xfId="15518" xr:uid="{00000000-0005-0000-0000-00008E3B0000}"/>
    <cellStyle name="Currency 27 2" xfId="15519" xr:uid="{00000000-0005-0000-0000-00008F3B0000}"/>
    <cellStyle name="Currency 28" xfId="15520" xr:uid="{00000000-0005-0000-0000-0000903B0000}"/>
    <cellStyle name="Currency 29" xfId="15521" xr:uid="{00000000-0005-0000-0000-0000913B0000}"/>
    <cellStyle name="Currency 3" xfId="113" xr:uid="{00000000-0005-0000-0000-0000923B0000}"/>
    <cellStyle name="Currency 3 10" xfId="15522" xr:uid="{00000000-0005-0000-0000-0000933B0000}"/>
    <cellStyle name="Currency 3 11" xfId="15523" xr:uid="{00000000-0005-0000-0000-0000943B0000}"/>
    <cellStyle name="Currency 3 12" xfId="15524" xr:uid="{00000000-0005-0000-0000-0000953B0000}"/>
    <cellStyle name="Currency 3 2" xfId="214" xr:uid="{00000000-0005-0000-0000-0000963B0000}"/>
    <cellStyle name="Currency 3 2 2" xfId="15525" xr:uid="{00000000-0005-0000-0000-0000973B0000}"/>
    <cellStyle name="Currency 3 2 2 2" xfId="15526" xr:uid="{00000000-0005-0000-0000-0000983B0000}"/>
    <cellStyle name="Currency 3 2 3" xfId="15527" xr:uid="{00000000-0005-0000-0000-0000993B0000}"/>
    <cellStyle name="Currency 3 2 4" xfId="15528" xr:uid="{00000000-0005-0000-0000-00009A3B0000}"/>
    <cellStyle name="Currency 3 3" xfId="215" xr:uid="{00000000-0005-0000-0000-00009B3B0000}"/>
    <cellStyle name="Currency 3 3 2" xfId="15529" xr:uid="{00000000-0005-0000-0000-00009C3B0000}"/>
    <cellStyle name="Currency 3 3 2 2" xfId="15530" xr:uid="{00000000-0005-0000-0000-00009D3B0000}"/>
    <cellStyle name="Currency 3 3 3" xfId="15531" xr:uid="{00000000-0005-0000-0000-00009E3B0000}"/>
    <cellStyle name="Currency 3 3 3 2" xfId="15532" xr:uid="{00000000-0005-0000-0000-00009F3B0000}"/>
    <cellStyle name="Currency 3 3 3 3" xfId="15533" xr:uid="{00000000-0005-0000-0000-0000A03B0000}"/>
    <cellStyle name="Currency 3 3 4" xfId="15534" xr:uid="{00000000-0005-0000-0000-0000A13B0000}"/>
    <cellStyle name="Currency 3 3 5" xfId="15535" xr:uid="{00000000-0005-0000-0000-0000A23B0000}"/>
    <cellStyle name="Currency 3 3 6" xfId="15536" xr:uid="{00000000-0005-0000-0000-0000A33B0000}"/>
    <cellStyle name="Currency 3 4" xfId="216" xr:uid="{00000000-0005-0000-0000-0000A43B0000}"/>
    <cellStyle name="Currency 3 4 2" xfId="15537" xr:uid="{00000000-0005-0000-0000-0000A53B0000}"/>
    <cellStyle name="Currency 3 5" xfId="15538" xr:uid="{00000000-0005-0000-0000-0000A63B0000}"/>
    <cellStyle name="Currency 3 5 2" xfId="15539" xr:uid="{00000000-0005-0000-0000-0000A73B0000}"/>
    <cellStyle name="Currency 3 6" xfId="15540" xr:uid="{00000000-0005-0000-0000-0000A83B0000}"/>
    <cellStyle name="Currency 3 7" xfId="15541" xr:uid="{00000000-0005-0000-0000-0000A93B0000}"/>
    <cellStyle name="Currency 3 8" xfId="15542" xr:uid="{00000000-0005-0000-0000-0000AA3B0000}"/>
    <cellStyle name="Currency 3 8 2" xfId="15543" xr:uid="{00000000-0005-0000-0000-0000AB3B0000}"/>
    <cellStyle name="Currency 3 8 3" xfId="15544" xr:uid="{00000000-0005-0000-0000-0000AC3B0000}"/>
    <cellStyle name="Currency 3 9" xfId="15545" xr:uid="{00000000-0005-0000-0000-0000AD3B0000}"/>
    <cellStyle name="Currency 3 9 2" xfId="15546" xr:uid="{00000000-0005-0000-0000-0000AE3B0000}"/>
    <cellStyle name="Currency 3 9 3" xfId="15547" xr:uid="{00000000-0005-0000-0000-0000AF3B0000}"/>
    <cellStyle name="Currency 30" xfId="15548" xr:uid="{00000000-0005-0000-0000-0000B03B0000}"/>
    <cellStyle name="Currency 31" xfId="15549" xr:uid="{00000000-0005-0000-0000-0000B13B0000}"/>
    <cellStyle name="Currency 32" xfId="15550" xr:uid="{00000000-0005-0000-0000-0000B23B0000}"/>
    <cellStyle name="Currency 33" xfId="15551" xr:uid="{00000000-0005-0000-0000-0000B33B0000}"/>
    <cellStyle name="Currency 34" xfId="15552" xr:uid="{00000000-0005-0000-0000-0000B43B0000}"/>
    <cellStyle name="Currency 35" xfId="15553" xr:uid="{00000000-0005-0000-0000-0000B53B0000}"/>
    <cellStyle name="Currency 36" xfId="15554" xr:uid="{00000000-0005-0000-0000-0000B63B0000}"/>
    <cellStyle name="Currency 37" xfId="15555" xr:uid="{00000000-0005-0000-0000-0000B73B0000}"/>
    <cellStyle name="Currency 38" xfId="15556" xr:uid="{00000000-0005-0000-0000-0000B83B0000}"/>
    <cellStyle name="Currency 39" xfId="15557" xr:uid="{00000000-0005-0000-0000-0000B93B0000}"/>
    <cellStyle name="Currency 4" xfId="217" xr:uid="{00000000-0005-0000-0000-0000BA3B0000}"/>
    <cellStyle name="Currency 4 2" xfId="218" xr:uid="{00000000-0005-0000-0000-0000BB3B0000}"/>
    <cellStyle name="Currency 4 2 2" xfId="15558" xr:uid="{00000000-0005-0000-0000-0000BC3B0000}"/>
    <cellStyle name="Currency 4 2 2 2" xfId="15559" xr:uid="{00000000-0005-0000-0000-0000BD3B0000}"/>
    <cellStyle name="Currency 4 3" xfId="219" xr:uid="{00000000-0005-0000-0000-0000BE3B0000}"/>
    <cellStyle name="Currency 4 3 2" xfId="15560" xr:uid="{00000000-0005-0000-0000-0000BF3B0000}"/>
    <cellStyle name="Currency 4 3 2 2" xfId="15561" xr:uid="{00000000-0005-0000-0000-0000C03B0000}"/>
    <cellStyle name="Currency 4 3 2 3" xfId="15562" xr:uid="{00000000-0005-0000-0000-0000C13B0000}"/>
    <cellStyle name="Currency 4 3 3" xfId="15563" xr:uid="{00000000-0005-0000-0000-0000C23B0000}"/>
    <cellStyle name="Currency 4 3 3 2" xfId="15564" xr:uid="{00000000-0005-0000-0000-0000C33B0000}"/>
    <cellStyle name="Currency 4 3 4" xfId="15565" xr:uid="{00000000-0005-0000-0000-0000C43B0000}"/>
    <cellStyle name="Currency 4 3 5" xfId="15566" xr:uid="{00000000-0005-0000-0000-0000C53B0000}"/>
    <cellStyle name="Currency 4 3 6" xfId="15567" xr:uid="{00000000-0005-0000-0000-0000C63B0000}"/>
    <cellStyle name="Currency 4 3 7" xfId="15568" xr:uid="{00000000-0005-0000-0000-0000C73B0000}"/>
    <cellStyle name="Currency 4 3 8" xfId="15569" xr:uid="{00000000-0005-0000-0000-0000C83B0000}"/>
    <cellStyle name="Currency 4 4" xfId="15570" xr:uid="{00000000-0005-0000-0000-0000C93B0000}"/>
    <cellStyle name="Currency 4 4 2" xfId="15571" xr:uid="{00000000-0005-0000-0000-0000CA3B0000}"/>
    <cellStyle name="Currency 4 5" xfId="15572" xr:uid="{00000000-0005-0000-0000-0000CB3B0000}"/>
    <cellStyle name="Currency 4 6" xfId="15573" xr:uid="{00000000-0005-0000-0000-0000CC3B0000}"/>
    <cellStyle name="Currency 4 6 2" xfId="15574" xr:uid="{00000000-0005-0000-0000-0000CD3B0000}"/>
    <cellStyle name="Currency 4 6 2 2" xfId="15575" xr:uid="{00000000-0005-0000-0000-0000CE3B0000}"/>
    <cellStyle name="Currency 4 6 3" xfId="15576" xr:uid="{00000000-0005-0000-0000-0000CF3B0000}"/>
    <cellStyle name="Currency 4 6 3 2" xfId="15577" xr:uid="{00000000-0005-0000-0000-0000D03B0000}"/>
    <cellStyle name="Currency 4 6 4" xfId="15578" xr:uid="{00000000-0005-0000-0000-0000D13B0000}"/>
    <cellStyle name="Currency 4 6 4 2" xfId="15579" xr:uid="{00000000-0005-0000-0000-0000D23B0000}"/>
    <cellStyle name="Currency 4 6 5" xfId="15580" xr:uid="{00000000-0005-0000-0000-0000D33B0000}"/>
    <cellStyle name="Currency 4 6 5 2" xfId="15581" xr:uid="{00000000-0005-0000-0000-0000D43B0000}"/>
    <cellStyle name="Currency 4 6 5 2 2" xfId="15582" xr:uid="{00000000-0005-0000-0000-0000D53B0000}"/>
    <cellStyle name="Currency 4 6 5 3" xfId="15583" xr:uid="{00000000-0005-0000-0000-0000D63B0000}"/>
    <cellStyle name="Currency 4 6 5 3 2" xfId="15584" xr:uid="{00000000-0005-0000-0000-0000D73B0000}"/>
    <cellStyle name="Currency 4 7" xfId="15585" xr:uid="{00000000-0005-0000-0000-0000D83B0000}"/>
    <cellStyle name="Currency 4 7 2" xfId="15586" xr:uid="{00000000-0005-0000-0000-0000D93B0000}"/>
    <cellStyle name="Currency 4 8" xfId="15587" xr:uid="{00000000-0005-0000-0000-0000DA3B0000}"/>
    <cellStyle name="Currency 4 9" xfId="15588" xr:uid="{00000000-0005-0000-0000-0000DB3B0000}"/>
    <cellStyle name="Currency 4 9 2" xfId="15589" xr:uid="{00000000-0005-0000-0000-0000DC3B0000}"/>
    <cellStyle name="Currency 4 9 3" xfId="15590" xr:uid="{00000000-0005-0000-0000-0000DD3B0000}"/>
    <cellStyle name="Currency 4 9 4" xfId="15591" xr:uid="{00000000-0005-0000-0000-0000DE3B0000}"/>
    <cellStyle name="Currency 4_2015 Annual Rpt" xfId="15592" xr:uid="{00000000-0005-0000-0000-0000DF3B0000}"/>
    <cellStyle name="Currency 40" xfId="15593" xr:uid="{00000000-0005-0000-0000-0000E03B0000}"/>
    <cellStyle name="Currency 41" xfId="15594" xr:uid="{00000000-0005-0000-0000-0000E13B0000}"/>
    <cellStyle name="Currency 42" xfId="15595" xr:uid="{00000000-0005-0000-0000-0000E23B0000}"/>
    <cellStyle name="Currency 43" xfId="15596" xr:uid="{00000000-0005-0000-0000-0000E33B0000}"/>
    <cellStyle name="Currency 44" xfId="15597" xr:uid="{00000000-0005-0000-0000-0000E43B0000}"/>
    <cellStyle name="Currency 45" xfId="15598" xr:uid="{00000000-0005-0000-0000-0000E53B0000}"/>
    <cellStyle name="Currency 46" xfId="15599" xr:uid="{00000000-0005-0000-0000-0000E63B0000}"/>
    <cellStyle name="Currency 47" xfId="15600" xr:uid="{00000000-0005-0000-0000-0000E73B0000}"/>
    <cellStyle name="Currency 48" xfId="15601" xr:uid="{00000000-0005-0000-0000-0000E83B0000}"/>
    <cellStyle name="Currency 49" xfId="15602" xr:uid="{00000000-0005-0000-0000-0000E93B0000}"/>
    <cellStyle name="Currency 5" xfId="220" xr:uid="{00000000-0005-0000-0000-0000EA3B0000}"/>
    <cellStyle name="Currency 5 10" xfId="15603" xr:uid="{00000000-0005-0000-0000-0000EB3B0000}"/>
    <cellStyle name="Currency 5 11" xfId="15604" xr:uid="{00000000-0005-0000-0000-0000EC3B0000}"/>
    <cellStyle name="Currency 5 2" xfId="221" xr:uid="{00000000-0005-0000-0000-0000ED3B0000}"/>
    <cellStyle name="Currency 5 2 2" xfId="15605" xr:uid="{00000000-0005-0000-0000-0000EE3B0000}"/>
    <cellStyle name="Currency 5 2 2 2" xfId="15606" xr:uid="{00000000-0005-0000-0000-0000EF3B0000}"/>
    <cellStyle name="Currency 5 2 2 2 2" xfId="15607" xr:uid="{00000000-0005-0000-0000-0000F03B0000}"/>
    <cellStyle name="Currency 5 2 2 2 3" xfId="15608" xr:uid="{00000000-0005-0000-0000-0000F13B0000}"/>
    <cellStyle name="Currency 5 2 2 3" xfId="15609" xr:uid="{00000000-0005-0000-0000-0000F23B0000}"/>
    <cellStyle name="Currency 5 2 2 3 2" xfId="15610" xr:uid="{00000000-0005-0000-0000-0000F33B0000}"/>
    <cellStyle name="Currency 5 2 2 4" xfId="15611" xr:uid="{00000000-0005-0000-0000-0000F43B0000}"/>
    <cellStyle name="Currency 5 2 2 4 2" xfId="15612" xr:uid="{00000000-0005-0000-0000-0000F53B0000}"/>
    <cellStyle name="Currency 5 2 2 5" xfId="15613" xr:uid="{00000000-0005-0000-0000-0000F63B0000}"/>
    <cellStyle name="Currency 5 2 2 6" xfId="15614" xr:uid="{00000000-0005-0000-0000-0000F73B0000}"/>
    <cellStyle name="Currency 5 2 2 7" xfId="15615" xr:uid="{00000000-0005-0000-0000-0000F83B0000}"/>
    <cellStyle name="Currency 5 2 2 8" xfId="15616" xr:uid="{00000000-0005-0000-0000-0000F93B0000}"/>
    <cellStyle name="Currency 5 2 2 9" xfId="15617" xr:uid="{00000000-0005-0000-0000-0000FA3B0000}"/>
    <cellStyle name="Currency 5 2 3" xfId="15618" xr:uid="{00000000-0005-0000-0000-0000FB3B0000}"/>
    <cellStyle name="Currency 5 2 4" xfId="15619" xr:uid="{00000000-0005-0000-0000-0000FC3B0000}"/>
    <cellStyle name="Currency 5 3" xfId="15620" xr:uid="{00000000-0005-0000-0000-0000FD3B0000}"/>
    <cellStyle name="Currency 5 3 2" xfId="15621" xr:uid="{00000000-0005-0000-0000-0000FE3B0000}"/>
    <cellStyle name="Currency 5 3 2 2" xfId="15622" xr:uid="{00000000-0005-0000-0000-0000FF3B0000}"/>
    <cellStyle name="Currency 5 3 2 3" xfId="15623" xr:uid="{00000000-0005-0000-0000-0000003C0000}"/>
    <cellStyle name="Currency 5 3 3" xfId="15624" xr:uid="{00000000-0005-0000-0000-0000013C0000}"/>
    <cellStyle name="Currency 5 3 3 2" xfId="15625" xr:uid="{00000000-0005-0000-0000-0000023C0000}"/>
    <cellStyle name="Currency 5 3 4" xfId="15626" xr:uid="{00000000-0005-0000-0000-0000033C0000}"/>
    <cellStyle name="Currency 5 3 5" xfId="15627" xr:uid="{00000000-0005-0000-0000-0000043C0000}"/>
    <cellStyle name="Currency 5 3 6" xfId="15628" xr:uid="{00000000-0005-0000-0000-0000053C0000}"/>
    <cellStyle name="Currency 5 3 7" xfId="15629" xr:uid="{00000000-0005-0000-0000-0000063C0000}"/>
    <cellStyle name="Currency 5 4" xfId="15630" xr:uid="{00000000-0005-0000-0000-0000073C0000}"/>
    <cellStyle name="Currency 5 4 2" xfId="15631" xr:uid="{00000000-0005-0000-0000-0000083C0000}"/>
    <cellStyle name="Currency 5 4 2 2" xfId="15632" xr:uid="{00000000-0005-0000-0000-0000093C0000}"/>
    <cellStyle name="Currency 5 4 2 3" xfId="15633" xr:uid="{00000000-0005-0000-0000-00000A3C0000}"/>
    <cellStyle name="Currency 5 4 3" xfId="15634" xr:uid="{00000000-0005-0000-0000-00000B3C0000}"/>
    <cellStyle name="Currency 5 4 3 2" xfId="15635" xr:uid="{00000000-0005-0000-0000-00000C3C0000}"/>
    <cellStyle name="Currency 5 4 4" xfId="15636" xr:uid="{00000000-0005-0000-0000-00000D3C0000}"/>
    <cellStyle name="Currency 5 4 4 2" xfId="15637" xr:uid="{00000000-0005-0000-0000-00000E3C0000}"/>
    <cellStyle name="Currency 5 4 5" xfId="15638" xr:uid="{00000000-0005-0000-0000-00000F3C0000}"/>
    <cellStyle name="Currency 5 4 6" xfId="15639" xr:uid="{00000000-0005-0000-0000-0000103C0000}"/>
    <cellStyle name="Currency 5 4 7" xfId="15640" xr:uid="{00000000-0005-0000-0000-0000113C0000}"/>
    <cellStyle name="Currency 5 4 8" xfId="15641" xr:uid="{00000000-0005-0000-0000-0000123C0000}"/>
    <cellStyle name="Currency 5 4 9" xfId="15642" xr:uid="{00000000-0005-0000-0000-0000133C0000}"/>
    <cellStyle name="Currency 5 5" xfId="15643" xr:uid="{00000000-0005-0000-0000-0000143C0000}"/>
    <cellStyle name="Currency 5 5 2" xfId="15644" xr:uid="{00000000-0005-0000-0000-0000153C0000}"/>
    <cellStyle name="Currency 5 6" xfId="15645" xr:uid="{00000000-0005-0000-0000-0000163C0000}"/>
    <cellStyle name="Currency 5 6 2" xfId="15646" xr:uid="{00000000-0005-0000-0000-0000173C0000}"/>
    <cellStyle name="Currency 5 6 3" xfId="15647" xr:uid="{00000000-0005-0000-0000-0000183C0000}"/>
    <cellStyle name="Currency 5 7" xfId="15648" xr:uid="{00000000-0005-0000-0000-0000193C0000}"/>
    <cellStyle name="Currency 5 7 2" xfId="15649" xr:uid="{00000000-0005-0000-0000-00001A3C0000}"/>
    <cellStyle name="Currency 5 8" xfId="15650" xr:uid="{00000000-0005-0000-0000-00001B3C0000}"/>
    <cellStyle name="Currency 5 8 2" xfId="15651" xr:uid="{00000000-0005-0000-0000-00001C3C0000}"/>
    <cellStyle name="Currency 5 9" xfId="15652" xr:uid="{00000000-0005-0000-0000-00001D3C0000}"/>
    <cellStyle name="Currency 50" xfId="15653" xr:uid="{00000000-0005-0000-0000-00001E3C0000}"/>
    <cellStyle name="Currency 51" xfId="15654" xr:uid="{00000000-0005-0000-0000-00001F3C0000}"/>
    <cellStyle name="Currency 52" xfId="15655" xr:uid="{00000000-0005-0000-0000-0000203C0000}"/>
    <cellStyle name="Currency 53" xfId="15656" xr:uid="{00000000-0005-0000-0000-0000213C0000}"/>
    <cellStyle name="Currency 54" xfId="15657" xr:uid="{00000000-0005-0000-0000-0000223C0000}"/>
    <cellStyle name="Currency 55" xfId="15658" xr:uid="{00000000-0005-0000-0000-0000233C0000}"/>
    <cellStyle name="Currency 56" xfId="15659" xr:uid="{00000000-0005-0000-0000-0000243C0000}"/>
    <cellStyle name="Currency 57" xfId="15660" xr:uid="{00000000-0005-0000-0000-0000253C0000}"/>
    <cellStyle name="Currency 58" xfId="15661" xr:uid="{00000000-0005-0000-0000-0000263C0000}"/>
    <cellStyle name="Currency 6" xfId="222" xr:uid="{00000000-0005-0000-0000-0000273C0000}"/>
    <cellStyle name="Currency 6 2" xfId="223" xr:uid="{00000000-0005-0000-0000-0000283C0000}"/>
    <cellStyle name="Currency 6 2 2" xfId="15662" xr:uid="{00000000-0005-0000-0000-0000293C0000}"/>
    <cellStyle name="Currency 6 2 2 2" xfId="15663" xr:uid="{00000000-0005-0000-0000-00002A3C0000}"/>
    <cellStyle name="Currency 6 2 3" xfId="15664" xr:uid="{00000000-0005-0000-0000-00002B3C0000}"/>
    <cellStyle name="Currency 6 2 4" xfId="15665" xr:uid="{00000000-0005-0000-0000-00002C3C0000}"/>
    <cellStyle name="Currency 6 3" xfId="224" xr:uid="{00000000-0005-0000-0000-00002D3C0000}"/>
    <cellStyle name="Currency 6 3 2" xfId="15666" xr:uid="{00000000-0005-0000-0000-00002E3C0000}"/>
    <cellStyle name="Currency 6 3 2 2" xfId="15667" xr:uid="{00000000-0005-0000-0000-00002F3C0000}"/>
    <cellStyle name="Currency 6 3 3" xfId="15668" xr:uid="{00000000-0005-0000-0000-0000303C0000}"/>
    <cellStyle name="Currency 6 3 4" xfId="15669" xr:uid="{00000000-0005-0000-0000-0000313C0000}"/>
    <cellStyle name="Currency 6 4" xfId="15670" xr:uid="{00000000-0005-0000-0000-0000323C0000}"/>
    <cellStyle name="Currency 6 4 2" xfId="15671" xr:uid="{00000000-0005-0000-0000-0000333C0000}"/>
    <cellStyle name="Currency 6 5" xfId="15672" xr:uid="{00000000-0005-0000-0000-0000343C0000}"/>
    <cellStyle name="Currency 6 5 2" xfId="15673" xr:uid="{00000000-0005-0000-0000-0000353C0000}"/>
    <cellStyle name="Currency 6 6" xfId="15674" xr:uid="{00000000-0005-0000-0000-0000363C0000}"/>
    <cellStyle name="Currency 6_2015 Annual Rpt" xfId="15675" xr:uid="{00000000-0005-0000-0000-0000373C0000}"/>
    <cellStyle name="Currency 7" xfId="225" xr:uid="{00000000-0005-0000-0000-0000383C0000}"/>
    <cellStyle name="Currency 7 2" xfId="226" xr:uid="{00000000-0005-0000-0000-0000393C0000}"/>
    <cellStyle name="Currency 7 2 10" xfId="15676" xr:uid="{00000000-0005-0000-0000-00003A3C0000}"/>
    <cellStyle name="Currency 7 2 10 2" xfId="15677" xr:uid="{00000000-0005-0000-0000-00003B3C0000}"/>
    <cellStyle name="Currency 7 2 10 3" xfId="15678" xr:uid="{00000000-0005-0000-0000-00003C3C0000}"/>
    <cellStyle name="Currency 7 2 11" xfId="15679" xr:uid="{00000000-0005-0000-0000-00003D3C0000}"/>
    <cellStyle name="Currency 7 2 11 2" xfId="15680" xr:uid="{00000000-0005-0000-0000-00003E3C0000}"/>
    <cellStyle name="Currency 7 2 11 3" xfId="15681" xr:uid="{00000000-0005-0000-0000-00003F3C0000}"/>
    <cellStyle name="Currency 7 2 12" xfId="15682" xr:uid="{00000000-0005-0000-0000-0000403C0000}"/>
    <cellStyle name="Currency 7 2 12 2" xfId="15683" xr:uid="{00000000-0005-0000-0000-0000413C0000}"/>
    <cellStyle name="Currency 7 2 12 3" xfId="15684" xr:uid="{00000000-0005-0000-0000-0000423C0000}"/>
    <cellStyle name="Currency 7 2 13" xfId="15685" xr:uid="{00000000-0005-0000-0000-0000433C0000}"/>
    <cellStyle name="Currency 7 2 14" xfId="15686" xr:uid="{00000000-0005-0000-0000-0000443C0000}"/>
    <cellStyle name="Currency 7 2 15" xfId="15687" xr:uid="{00000000-0005-0000-0000-0000453C0000}"/>
    <cellStyle name="Currency 7 2 16" xfId="15688" xr:uid="{00000000-0005-0000-0000-0000463C0000}"/>
    <cellStyle name="Currency 7 2 2" xfId="15689" xr:uid="{00000000-0005-0000-0000-0000473C0000}"/>
    <cellStyle name="Currency 7 2 2 2" xfId="15690" xr:uid="{00000000-0005-0000-0000-0000483C0000}"/>
    <cellStyle name="Currency 7 2 2 3" xfId="15691" xr:uid="{00000000-0005-0000-0000-0000493C0000}"/>
    <cellStyle name="Currency 7 2 2 3 2" xfId="15692" xr:uid="{00000000-0005-0000-0000-00004A3C0000}"/>
    <cellStyle name="Currency 7 2 2 3 3" xfId="15693" xr:uid="{00000000-0005-0000-0000-00004B3C0000}"/>
    <cellStyle name="Currency 7 2 2 4" xfId="15694" xr:uid="{00000000-0005-0000-0000-00004C3C0000}"/>
    <cellStyle name="Currency 7 2 2 4 2" xfId="15695" xr:uid="{00000000-0005-0000-0000-00004D3C0000}"/>
    <cellStyle name="Currency 7 2 2 4 3" xfId="15696" xr:uid="{00000000-0005-0000-0000-00004E3C0000}"/>
    <cellStyle name="Currency 7 2 2 5" xfId="15697" xr:uid="{00000000-0005-0000-0000-00004F3C0000}"/>
    <cellStyle name="Currency 7 2 2 6" xfId="15698" xr:uid="{00000000-0005-0000-0000-0000503C0000}"/>
    <cellStyle name="Currency 7 2 2 7" xfId="15699" xr:uid="{00000000-0005-0000-0000-0000513C0000}"/>
    <cellStyle name="Currency 7 2 2 8" xfId="15700" xr:uid="{00000000-0005-0000-0000-0000523C0000}"/>
    <cellStyle name="Currency 7 2 3" xfId="15701" xr:uid="{00000000-0005-0000-0000-0000533C0000}"/>
    <cellStyle name="Currency 7 2 3 2" xfId="15702" xr:uid="{00000000-0005-0000-0000-0000543C0000}"/>
    <cellStyle name="Currency 7 2 3 3" xfId="15703" xr:uid="{00000000-0005-0000-0000-0000553C0000}"/>
    <cellStyle name="Currency 7 2 3 4" xfId="15704" xr:uid="{00000000-0005-0000-0000-0000563C0000}"/>
    <cellStyle name="Currency 7 2 4" xfId="15705" xr:uid="{00000000-0005-0000-0000-0000573C0000}"/>
    <cellStyle name="Currency 7 2 4 2" xfId="15706" xr:uid="{00000000-0005-0000-0000-0000583C0000}"/>
    <cellStyle name="Currency 7 2 4 3" xfId="15707" xr:uid="{00000000-0005-0000-0000-0000593C0000}"/>
    <cellStyle name="Currency 7 2 5" xfId="15708" xr:uid="{00000000-0005-0000-0000-00005A3C0000}"/>
    <cellStyle name="Currency 7 2 5 2" xfId="15709" xr:uid="{00000000-0005-0000-0000-00005B3C0000}"/>
    <cellStyle name="Currency 7 2 5 3" xfId="15710" xr:uid="{00000000-0005-0000-0000-00005C3C0000}"/>
    <cellStyle name="Currency 7 2 6" xfId="15711" xr:uid="{00000000-0005-0000-0000-00005D3C0000}"/>
    <cellStyle name="Currency 7 2 6 2" xfId="15712" xr:uid="{00000000-0005-0000-0000-00005E3C0000}"/>
    <cellStyle name="Currency 7 2 6 3" xfId="15713" xr:uid="{00000000-0005-0000-0000-00005F3C0000}"/>
    <cellStyle name="Currency 7 2 7" xfId="15714" xr:uid="{00000000-0005-0000-0000-0000603C0000}"/>
    <cellStyle name="Currency 7 2 7 2" xfId="15715" xr:uid="{00000000-0005-0000-0000-0000613C0000}"/>
    <cellStyle name="Currency 7 2 7 3" xfId="15716" xr:uid="{00000000-0005-0000-0000-0000623C0000}"/>
    <cellStyle name="Currency 7 2 8" xfId="15717" xr:uid="{00000000-0005-0000-0000-0000633C0000}"/>
    <cellStyle name="Currency 7 2 9" xfId="15718" xr:uid="{00000000-0005-0000-0000-0000643C0000}"/>
    <cellStyle name="Currency 7 2 9 2" xfId="15719" xr:uid="{00000000-0005-0000-0000-0000653C0000}"/>
    <cellStyle name="Currency 7 2 9 3" xfId="15720" xr:uid="{00000000-0005-0000-0000-0000663C0000}"/>
    <cellStyle name="Currency 7 2_2015 Annual Rpt" xfId="15721" xr:uid="{00000000-0005-0000-0000-0000673C0000}"/>
    <cellStyle name="Currency 7 3" xfId="15722" xr:uid="{00000000-0005-0000-0000-0000683C0000}"/>
    <cellStyle name="Currency 7 3 2" xfId="15723" xr:uid="{00000000-0005-0000-0000-0000693C0000}"/>
    <cellStyle name="Currency 7 3 3" xfId="15724" xr:uid="{00000000-0005-0000-0000-00006A3C0000}"/>
    <cellStyle name="Currency 7 4" xfId="15725" xr:uid="{00000000-0005-0000-0000-00006B3C0000}"/>
    <cellStyle name="Currency 7 4 2" xfId="15726" xr:uid="{00000000-0005-0000-0000-00006C3C0000}"/>
    <cellStyle name="Currency 7 4 3" xfId="15727" xr:uid="{00000000-0005-0000-0000-00006D3C0000}"/>
    <cellStyle name="Currency 7 4 4" xfId="15728" xr:uid="{00000000-0005-0000-0000-00006E3C0000}"/>
    <cellStyle name="Currency 7 5" xfId="15729" xr:uid="{00000000-0005-0000-0000-00006F3C0000}"/>
    <cellStyle name="Currency 7 5 2" xfId="15730" xr:uid="{00000000-0005-0000-0000-0000703C0000}"/>
    <cellStyle name="Currency 7 5 3" xfId="15731" xr:uid="{00000000-0005-0000-0000-0000713C0000}"/>
    <cellStyle name="Currency 7 6" xfId="15732" xr:uid="{00000000-0005-0000-0000-0000723C0000}"/>
    <cellStyle name="Currency 7 6 2" xfId="15733" xr:uid="{00000000-0005-0000-0000-0000733C0000}"/>
    <cellStyle name="Currency 7 7" xfId="15734" xr:uid="{00000000-0005-0000-0000-0000743C0000}"/>
    <cellStyle name="Currency 7 8" xfId="15735" xr:uid="{00000000-0005-0000-0000-0000753C0000}"/>
    <cellStyle name="Currency 7 9" xfId="15736" xr:uid="{00000000-0005-0000-0000-0000763C0000}"/>
    <cellStyle name="Currency 7_App b.3 Unspent_" xfId="15737" xr:uid="{00000000-0005-0000-0000-0000773C0000}"/>
    <cellStyle name="Currency 8" xfId="227" xr:uid="{00000000-0005-0000-0000-0000783C0000}"/>
    <cellStyle name="Currency 8 10" xfId="15738" xr:uid="{00000000-0005-0000-0000-0000793C0000}"/>
    <cellStyle name="Currency 8 11" xfId="15739" xr:uid="{00000000-0005-0000-0000-00007A3C0000}"/>
    <cellStyle name="Currency 8 11 2" xfId="15740" xr:uid="{00000000-0005-0000-0000-00007B3C0000}"/>
    <cellStyle name="Currency 8 11 3" xfId="15741" xr:uid="{00000000-0005-0000-0000-00007C3C0000}"/>
    <cellStyle name="Currency 8 12" xfId="15742" xr:uid="{00000000-0005-0000-0000-00007D3C0000}"/>
    <cellStyle name="Currency 8 12 2" xfId="15743" xr:uid="{00000000-0005-0000-0000-00007E3C0000}"/>
    <cellStyle name="Currency 8 12 3" xfId="15744" xr:uid="{00000000-0005-0000-0000-00007F3C0000}"/>
    <cellStyle name="Currency 8 13" xfId="15745" xr:uid="{00000000-0005-0000-0000-0000803C0000}"/>
    <cellStyle name="Currency 8 13 2" xfId="15746" xr:uid="{00000000-0005-0000-0000-0000813C0000}"/>
    <cellStyle name="Currency 8 13 3" xfId="15747" xr:uid="{00000000-0005-0000-0000-0000823C0000}"/>
    <cellStyle name="Currency 8 14" xfId="15748" xr:uid="{00000000-0005-0000-0000-0000833C0000}"/>
    <cellStyle name="Currency 8 14 2" xfId="15749" xr:uid="{00000000-0005-0000-0000-0000843C0000}"/>
    <cellStyle name="Currency 8 14 3" xfId="15750" xr:uid="{00000000-0005-0000-0000-0000853C0000}"/>
    <cellStyle name="Currency 8 15" xfId="15751" xr:uid="{00000000-0005-0000-0000-0000863C0000}"/>
    <cellStyle name="Currency 8 16" xfId="15752" xr:uid="{00000000-0005-0000-0000-0000873C0000}"/>
    <cellStyle name="Currency 8 17" xfId="15753" xr:uid="{00000000-0005-0000-0000-0000883C0000}"/>
    <cellStyle name="Currency 8 18" xfId="15754" xr:uid="{00000000-0005-0000-0000-0000893C0000}"/>
    <cellStyle name="Currency 8 2" xfId="15755" xr:uid="{00000000-0005-0000-0000-00008A3C0000}"/>
    <cellStyle name="Currency 8 2 2" xfId="15756" xr:uid="{00000000-0005-0000-0000-00008B3C0000}"/>
    <cellStyle name="Currency 8 2 3" xfId="15757" xr:uid="{00000000-0005-0000-0000-00008C3C0000}"/>
    <cellStyle name="Currency 8 2 3 2" xfId="15758" xr:uid="{00000000-0005-0000-0000-00008D3C0000}"/>
    <cellStyle name="Currency 8 2 3 3" xfId="15759" xr:uid="{00000000-0005-0000-0000-00008E3C0000}"/>
    <cellStyle name="Currency 8 2 4" xfId="15760" xr:uid="{00000000-0005-0000-0000-00008F3C0000}"/>
    <cellStyle name="Currency 8 2 4 2" xfId="15761" xr:uid="{00000000-0005-0000-0000-0000903C0000}"/>
    <cellStyle name="Currency 8 2 4 3" xfId="15762" xr:uid="{00000000-0005-0000-0000-0000913C0000}"/>
    <cellStyle name="Currency 8 2 5" xfId="15763" xr:uid="{00000000-0005-0000-0000-0000923C0000}"/>
    <cellStyle name="Currency 8 2 6" xfId="15764" xr:uid="{00000000-0005-0000-0000-0000933C0000}"/>
    <cellStyle name="Currency 8 2 7" xfId="15765" xr:uid="{00000000-0005-0000-0000-0000943C0000}"/>
    <cellStyle name="Currency 8 2 8" xfId="15766" xr:uid="{00000000-0005-0000-0000-0000953C0000}"/>
    <cellStyle name="Currency 8 3" xfId="15767" xr:uid="{00000000-0005-0000-0000-0000963C0000}"/>
    <cellStyle name="Currency 8 3 2" xfId="15768" xr:uid="{00000000-0005-0000-0000-0000973C0000}"/>
    <cellStyle name="Currency 8 3 3" xfId="15769" xr:uid="{00000000-0005-0000-0000-0000983C0000}"/>
    <cellStyle name="Currency 8 3 4" xfId="15770" xr:uid="{00000000-0005-0000-0000-0000993C0000}"/>
    <cellStyle name="Currency 8 4" xfId="15771" xr:uid="{00000000-0005-0000-0000-00009A3C0000}"/>
    <cellStyle name="Currency 8 4 2" xfId="15772" xr:uid="{00000000-0005-0000-0000-00009B3C0000}"/>
    <cellStyle name="Currency 8 4 3" xfId="15773" xr:uid="{00000000-0005-0000-0000-00009C3C0000}"/>
    <cellStyle name="Currency 8 5" xfId="15774" xr:uid="{00000000-0005-0000-0000-00009D3C0000}"/>
    <cellStyle name="Currency 8 5 2" xfId="15775" xr:uid="{00000000-0005-0000-0000-00009E3C0000}"/>
    <cellStyle name="Currency 8 5 3" xfId="15776" xr:uid="{00000000-0005-0000-0000-00009F3C0000}"/>
    <cellStyle name="Currency 8 6" xfId="15777" xr:uid="{00000000-0005-0000-0000-0000A03C0000}"/>
    <cellStyle name="Currency 8 6 2" xfId="15778" xr:uid="{00000000-0005-0000-0000-0000A13C0000}"/>
    <cellStyle name="Currency 8 6 3" xfId="15779" xr:uid="{00000000-0005-0000-0000-0000A23C0000}"/>
    <cellStyle name="Currency 8 7" xfId="15780" xr:uid="{00000000-0005-0000-0000-0000A33C0000}"/>
    <cellStyle name="Currency 8 7 2" xfId="15781" xr:uid="{00000000-0005-0000-0000-0000A43C0000}"/>
    <cellStyle name="Currency 8 7 3" xfId="15782" xr:uid="{00000000-0005-0000-0000-0000A53C0000}"/>
    <cellStyle name="Currency 8 8" xfId="15783" xr:uid="{00000000-0005-0000-0000-0000A63C0000}"/>
    <cellStyle name="Currency 8 8 2" xfId="15784" xr:uid="{00000000-0005-0000-0000-0000A73C0000}"/>
    <cellStyle name="Currency 8 8 3" xfId="15785" xr:uid="{00000000-0005-0000-0000-0000A83C0000}"/>
    <cellStyle name="Currency 8 9" xfId="15786" xr:uid="{00000000-0005-0000-0000-0000A93C0000}"/>
    <cellStyle name="Currency 8 9 2" xfId="15787" xr:uid="{00000000-0005-0000-0000-0000AA3C0000}"/>
    <cellStyle name="Currency 8 9 3" xfId="15788" xr:uid="{00000000-0005-0000-0000-0000AB3C0000}"/>
    <cellStyle name="Currency 8_2015 Annual Rpt" xfId="15789" xr:uid="{00000000-0005-0000-0000-0000AC3C0000}"/>
    <cellStyle name="Currency 9" xfId="228" xr:uid="{00000000-0005-0000-0000-0000AD3C0000}"/>
    <cellStyle name="Currency 9 2" xfId="15790" xr:uid="{00000000-0005-0000-0000-0000AE3C0000}"/>
    <cellStyle name="Currency 9 2 2" xfId="15791" xr:uid="{00000000-0005-0000-0000-0000AF3C0000}"/>
    <cellStyle name="Currency 9 2 3" xfId="15792" xr:uid="{00000000-0005-0000-0000-0000B03C0000}"/>
    <cellStyle name="Currency 9 3" xfId="15793" xr:uid="{00000000-0005-0000-0000-0000B13C0000}"/>
    <cellStyle name="Currency 9 3 2" xfId="15794" xr:uid="{00000000-0005-0000-0000-0000B23C0000}"/>
    <cellStyle name="Currency 9 3 2 2" xfId="15795" xr:uid="{00000000-0005-0000-0000-0000B33C0000}"/>
    <cellStyle name="Currency 9 3 3" xfId="15796" xr:uid="{00000000-0005-0000-0000-0000B43C0000}"/>
    <cellStyle name="Currency 9 4" xfId="15797" xr:uid="{00000000-0005-0000-0000-0000B53C0000}"/>
    <cellStyle name="Currency 9 5" xfId="15798" xr:uid="{00000000-0005-0000-0000-0000B63C0000}"/>
    <cellStyle name="Currency0" xfId="25" xr:uid="{00000000-0005-0000-0000-0000B73C0000}"/>
    <cellStyle name="Currency0 2" xfId="229" xr:uid="{00000000-0005-0000-0000-0000B83C0000}"/>
    <cellStyle name="Currency0 2 2" xfId="15799" xr:uid="{00000000-0005-0000-0000-0000B93C0000}"/>
    <cellStyle name="Currency0 2 2 2" xfId="15800" xr:uid="{00000000-0005-0000-0000-0000BA3C0000}"/>
    <cellStyle name="Currency0 2 2 3" xfId="15801" xr:uid="{00000000-0005-0000-0000-0000BB3C0000}"/>
    <cellStyle name="Currency0 2 3" xfId="15802" xr:uid="{00000000-0005-0000-0000-0000BC3C0000}"/>
    <cellStyle name="Currency0 2 3 2" xfId="15803" xr:uid="{00000000-0005-0000-0000-0000BD3C0000}"/>
    <cellStyle name="Currency0 2 4" xfId="15804" xr:uid="{00000000-0005-0000-0000-0000BE3C0000}"/>
    <cellStyle name="Currency0 2 5" xfId="15805" xr:uid="{00000000-0005-0000-0000-0000BF3C0000}"/>
    <cellStyle name="Currency0 3" xfId="15806" xr:uid="{00000000-0005-0000-0000-0000C03C0000}"/>
    <cellStyle name="Currency0 3 2" xfId="15807" xr:uid="{00000000-0005-0000-0000-0000C13C0000}"/>
    <cellStyle name="Currency0 3 2 2" xfId="15808" xr:uid="{00000000-0005-0000-0000-0000C23C0000}"/>
    <cellStyle name="Currency0 3 2 3" xfId="15809" xr:uid="{00000000-0005-0000-0000-0000C33C0000}"/>
    <cellStyle name="Currency0 3 3" xfId="15810" xr:uid="{00000000-0005-0000-0000-0000C43C0000}"/>
    <cellStyle name="Currency0 3 3 2" xfId="15811" xr:uid="{00000000-0005-0000-0000-0000C53C0000}"/>
    <cellStyle name="Currency0 3 4" xfId="15812" xr:uid="{00000000-0005-0000-0000-0000C63C0000}"/>
    <cellStyle name="Currency0 3 5" xfId="15813" xr:uid="{00000000-0005-0000-0000-0000C73C0000}"/>
    <cellStyle name="Currency0 4" xfId="15814" xr:uid="{00000000-0005-0000-0000-0000C83C0000}"/>
    <cellStyle name="Currency0 4 2" xfId="15815" xr:uid="{00000000-0005-0000-0000-0000C93C0000}"/>
    <cellStyle name="Currency0 4 2 2" xfId="15816" xr:uid="{00000000-0005-0000-0000-0000CA3C0000}"/>
    <cellStyle name="Currency0 4 3" xfId="15817" xr:uid="{00000000-0005-0000-0000-0000CB3C0000}"/>
    <cellStyle name="Currency0 4 4" xfId="15818" xr:uid="{00000000-0005-0000-0000-0000CC3C0000}"/>
    <cellStyle name="Currency0 5" xfId="15819" xr:uid="{00000000-0005-0000-0000-0000CD3C0000}"/>
    <cellStyle name="Currency0 5 2" xfId="15820" xr:uid="{00000000-0005-0000-0000-0000CE3C0000}"/>
    <cellStyle name="Currency0 6" xfId="15821" xr:uid="{00000000-0005-0000-0000-0000CF3C0000}"/>
    <cellStyle name="Currency0 6 2" xfId="15822" xr:uid="{00000000-0005-0000-0000-0000D03C0000}"/>
    <cellStyle name="Currency0nospace" xfId="15823" xr:uid="{00000000-0005-0000-0000-0000D13C0000}"/>
    <cellStyle name="Currency2" xfId="15824" xr:uid="{00000000-0005-0000-0000-0000D23C0000}"/>
    <cellStyle name="Date" xfId="26" xr:uid="{00000000-0005-0000-0000-0000D33C0000}"/>
    <cellStyle name="Date 2" xfId="230" xr:uid="{00000000-0005-0000-0000-0000D43C0000}"/>
    <cellStyle name="Date 2 2" xfId="15825" xr:uid="{00000000-0005-0000-0000-0000D53C0000}"/>
    <cellStyle name="Date 3" xfId="15826" xr:uid="{00000000-0005-0000-0000-0000D63C0000}"/>
    <cellStyle name="Date 3 2" xfId="15827" xr:uid="{00000000-0005-0000-0000-0000D73C0000}"/>
    <cellStyle name="Date 4" xfId="15828" xr:uid="{00000000-0005-0000-0000-0000D83C0000}"/>
    <cellStyle name="Date 4 2" xfId="15829" xr:uid="{00000000-0005-0000-0000-0000D93C0000}"/>
    <cellStyle name="Date 4 3" xfId="15830" xr:uid="{00000000-0005-0000-0000-0000DA3C0000}"/>
    <cellStyle name="Date 5" xfId="15831" xr:uid="{00000000-0005-0000-0000-0000DB3C0000}"/>
    <cellStyle name="Date 6" xfId="15832" xr:uid="{00000000-0005-0000-0000-0000DC3C0000}"/>
    <cellStyle name="Date_2015 Annual Rpt" xfId="15833" xr:uid="{00000000-0005-0000-0000-0000DD3C0000}"/>
    <cellStyle name="DateData" xfId="27" xr:uid="{00000000-0005-0000-0000-0000DE3C0000}"/>
    <cellStyle name="DateData 2" xfId="231" xr:uid="{00000000-0005-0000-0000-0000DF3C0000}"/>
    <cellStyle name="Days_from_01/21/2006" xfId="28" xr:uid="{00000000-0005-0000-0000-0000E03C0000}"/>
    <cellStyle name="Dollars &amp; Cents" xfId="29" xr:uid="{00000000-0005-0000-0000-0000E13C0000}"/>
    <cellStyle name="Dollars &amp; Cents 2" xfId="15834" xr:uid="{00000000-0005-0000-0000-0000E23C0000}"/>
    <cellStyle name="Emphasis 1" xfId="15835" xr:uid="{00000000-0005-0000-0000-0000E33C0000}"/>
    <cellStyle name="Emphasis 1 2" xfId="15836" xr:uid="{00000000-0005-0000-0000-0000E43C0000}"/>
    <cellStyle name="Emphasis 1 2 2" xfId="15837" xr:uid="{00000000-0005-0000-0000-0000E53C0000}"/>
    <cellStyle name="Emphasis 1 2 2 2" xfId="15838" xr:uid="{00000000-0005-0000-0000-0000E63C0000}"/>
    <cellStyle name="Emphasis 1 2 2 3" xfId="15839" xr:uid="{00000000-0005-0000-0000-0000E73C0000}"/>
    <cellStyle name="Emphasis 1 2 3" xfId="15840" xr:uid="{00000000-0005-0000-0000-0000E83C0000}"/>
    <cellStyle name="Emphasis 1 2 3 2" xfId="15841" xr:uid="{00000000-0005-0000-0000-0000E93C0000}"/>
    <cellStyle name="Emphasis 1 2 4" xfId="15842" xr:uid="{00000000-0005-0000-0000-0000EA3C0000}"/>
    <cellStyle name="Emphasis 1 2 5" xfId="15843" xr:uid="{00000000-0005-0000-0000-0000EB3C0000}"/>
    <cellStyle name="Emphasis 1 3" xfId="15844" xr:uid="{00000000-0005-0000-0000-0000EC3C0000}"/>
    <cellStyle name="Emphasis 1 3 2" xfId="15845" xr:uid="{00000000-0005-0000-0000-0000ED3C0000}"/>
    <cellStyle name="Emphasis 1 3 2 2" xfId="15846" xr:uid="{00000000-0005-0000-0000-0000EE3C0000}"/>
    <cellStyle name="Emphasis 1 3 3" xfId="15847" xr:uid="{00000000-0005-0000-0000-0000EF3C0000}"/>
    <cellStyle name="Emphasis 1 4" xfId="15848" xr:uid="{00000000-0005-0000-0000-0000F03C0000}"/>
    <cellStyle name="Emphasis 1 4 2" xfId="15849" xr:uid="{00000000-0005-0000-0000-0000F13C0000}"/>
    <cellStyle name="Emphasis 1 5" xfId="15850" xr:uid="{00000000-0005-0000-0000-0000F23C0000}"/>
    <cellStyle name="Emphasis 1 5 2" xfId="15851" xr:uid="{00000000-0005-0000-0000-0000F33C0000}"/>
    <cellStyle name="Emphasis 1 6" xfId="15852" xr:uid="{00000000-0005-0000-0000-0000F43C0000}"/>
    <cellStyle name="Emphasis 1 7" xfId="15853" xr:uid="{00000000-0005-0000-0000-0000F53C0000}"/>
    <cellStyle name="Emphasis 1 8" xfId="15854" xr:uid="{00000000-0005-0000-0000-0000F63C0000}"/>
    <cellStyle name="Emphasis 1 9" xfId="15855" xr:uid="{00000000-0005-0000-0000-0000F73C0000}"/>
    <cellStyle name="Emphasis 2" xfId="15856" xr:uid="{00000000-0005-0000-0000-0000F83C0000}"/>
    <cellStyle name="Emphasis 2 2" xfId="15857" xr:uid="{00000000-0005-0000-0000-0000F93C0000}"/>
    <cellStyle name="Emphasis 2 2 2" xfId="15858" xr:uid="{00000000-0005-0000-0000-0000FA3C0000}"/>
    <cellStyle name="Emphasis 2 2 2 2" xfId="15859" xr:uid="{00000000-0005-0000-0000-0000FB3C0000}"/>
    <cellStyle name="Emphasis 2 2 2 3" xfId="15860" xr:uid="{00000000-0005-0000-0000-0000FC3C0000}"/>
    <cellStyle name="Emphasis 2 2 3" xfId="15861" xr:uid="{00000000-0005-0000-0000-0000FD3C0000}"/>
    <cellStyle name="Emphasis 2 2 3 2" xfId="15862" xr:uid="{00000000-0005-0000-0000-0000FE3C0000}"/>
    <cellStyle name="Emphasis 2 2 4" xfId="15863" xr:uid="{00000000-0005-0000-0000-0000FF3C0000}"/>
    <cellStyle name="Emphasis 2 2 5" xfId="15864" xr:uid="{00000000-0005-0000-0000-0000003D0000}"/>
    <cellStyle name="Emphasis 2 3" xfId="15865" xr:uid="{00000000-0005-0000-0000-0000013D0000}"/>
    <cellStyle name="Emphasis 2 3 2" xfId="15866" xr:uid="{00000000-0005-0000-0000-0000023D0000}"/>
    <cellStyle name="Emphasis 2 3 2 2" xfId="15867" xr:uid="{00000000-0005-0000-0000-0000033D0000}"/>
    <cellStyle name="Emphasis 2 3 3" xfId="15868" xr:uid="{00000000-0005-0000-0000-0000043D0000}"/>
    <cellStyle name="Emphasis 2 4" xfId="15869" xr:uid="{00000000-0005-0000-0000-0000053D0000}"/>
    <cellStyle name="Emphasis 2 4 2" xfId="15870" xr:uid="{00000000-0005-0000-0000-0000063D0000}"/>
    <cellStyle name="Emphasis 2 5" xfId="15871" xr:uid="{00000000-0005-0000-0000-0000073D0000}"/>
    <cellStyle name="Emphasis 2 5 2" xfId="15872" xr:uid="{00000000-0005-0000-0000-0000083D0000}"/>
    <cellStyle name="Emphasis 2 6" xfId="15873" xr:uid="{00000000-0005-0000-0000-0000093D0000}"/>
    <cellStyle name="Emphasis 2 7" xfId="15874" xr:uid="{00000000-0005-0000-0000-00000A3D0000}"/>
    <cellStyle name="Emphasis 2 8" xfId="15875" xr:uid="{00000000-0005-0000-0000-00000B3D0000}"/>
    <cellStyle name="Emphasis 2 9" xfId="15876" xr:uid="{00000000-0005-0000-0000-00000C3D0000}"/>
    <cellStyle name="Emphasis 3" xfId="15877" xr:uid="{00000000-0005-0000-0000-00000D3D0000}"/>
    <cellStyle name="Emphasis 3 2" xfId="15878" xr:uid="{00000000-0005-0000-0000-00000E3D0000}"/>
    <cellStyle name="Emphasis 3 2 2" xfId="15879" xr:uid="{00000000-0005-0000-0000-00000F3D0000}"/>
    <cellStyle name="Emphasis 3 2 2 2" xfId="15880" xr:uid="{00000000-0005-0000-0000-0000103D0000}"/>
    <cellStyle name="Emphasis 3 2 3" xfId="15881" xr:uid="{00000000-0005-0000-0000-0000113D0000}"/>
    <cellStyle name="Emphasis 3 2 4" xfId="15882" xr:uid="{00000000-0005-0000-0000-0000123D0000}"/>
    <cellStyle name="Emphasis 3 3" xfId="15883" xr:uid="{00000000-0005-0000-0000-0000133D0000}"/>
    <cellStyle name="Emphasis 3 3 2" xfId="15884" xr:uid="{00000000-0005-0000-0000-0000143D0000}"/>
    <cellStyle name="Emphasis 3 3 3" xfId="15885" xr:uid="{00000000-0005-0000-0000-0000153D0000}"/>
    <cellStyle name="Emphasis 3 4" xfId="15886" xr:uid="{00000000-0005-0000-0000-0000163D0000}"/>
    <cellStyle name="Emphasis 3 5" xfId="15887" xr:uid="{00000000-0005-0000-0000-0000173D0000}"/>
    <cellStyle name="Emphasis 3 6" xfId="15888" xr:uid="{00000000-0005-0000-0000-0000183D0000}"/>
    <cellStyle name="Emphasis 3 7" xfId="15889" xr:uid="{00000000-0005-0000-0000-0000193D0000}"/>
    <cellStyle name="Emphasis 3 8" xfId="15890" xr:uid="{00000000-0005-0000-0000-00001A3D0000}"/>
    <cellStyle name="Emphasis 3 9" xfId="15891" xr:uid="{00000000-0005-0000-0000-00001B3D0000}"/>
    <cellStyle name="Entered" xfId="30" xr:uid="{00000000-0005-0000-0000-00001C3D0000}"/>
    <cellStyle name="Entered 2" xfId="232" xr:uid="{00000000-0005-0000-0000-00001D3D0000}"/>
    <cellStyle name="Euro" xfId="15892" xr:uid="{00000000-0005-0000-0000-00001E3D0000}"/>
    <cellStyle name="Euro billion" xfId="15893" xr:uid="{00000000-0005-0000-0000-00001F3D0000}"/>
    <cellStyle name="Euro million" xfId="15894" xr:uid="{00000000-0005-0000-0000-0000203D0000}"/>
    <cellStyle name="Euro thousand" xfId="15895" xr:uid="{00000000-0005-0000-0000-0000213D0000}"/>
    <cellStyle name="Euro_12889 GP Contracts v3" xfId="15896" xr:uid="{00000000-0005-0000-0000-0000223D0000}"/>
    <cellStyle name="Excel Built-in Normal" xfId="15897" xr:uid="{00000000-0005-0000-0000-0000233D0000}"/>
    <cellStyle name="Excel Built-in Normal 2" xfId="15898" xr:uid="{00000000-0005-0000-0000-0000243D0000}"/>
    <cellStyle name="Excel Built-in Normal 3" xfId="15899" xr:uid="{00000000-0005-0000-0000-0000253D0000}"/>
    <cellStyle name="Explanatory Text 10" xfId="15900" xr:uid="{00000000-0005-0000-0000-0000263D0000}"/>
    <cellStyle name="Explanatory Text 2" xfId="15901" xr:uid="{00000000-0005-0000-0000-0000273D0000}"/>
    <cellStyle name="Explanatory Text 2 10" xfId="15902" xr:uid="{00000000-0005-0000-0000-0000283D0000}"/>
    <cellStyle name="Explanatory Text 2 11" xfId="15903" xr:uid="{00000000-0005-0000-0000-0000293D0000}"/>
    <cellStyle name="Explanatory Text 2 2" xfId="15904" xr:uid="{00000000-0005-0000-0000-00002A3D0000}"/>
    <cellStyle name="Explanatory Text 2 2 2" xfId="15905" xr:uid="{00000000-0005-0000-0000-00002B3D0000}"/>
    <cellStyle name="Explanatory Text 2 2 2 2" xfId="15906" xr:uid="{00000000-0005-0000-0000-00002C3D0000}"/>
    <cellStyle name="Explanatory Text 2 2 2 3" xfId="15907" xr:uid="{00000000-0005-0000-0000-00002D3D0000}"/>
    <cellStyle name="Explanatory Text 2 2 2 4" xfId="15908" xr:uid="{00000000-0005-0000-0000-00002E3D0000}"/>
    <cellStyle name="Explanatory Text 2 2 3" xfId="15909" xr:uid="{00000000-0005-0000-0000-00002F3D0000}"/>
    <cellStyle name="Explanatory Text 2 2 4" xfId="15910" xr:uid="{00000000-0005-0000-0000-0000303D0000}"/>
    <cellStyle name="Explanatory Text 2 2 5" xfId="15911" xr:uid="{00000000-0005-0000-0000-0000313D0000}"/>
    <cellStyle name="Explanatory Text 2 2 6" xfId="15912" xr:uid="{00000000-0005-0000-0000-0000323D0000}"/>
    <cellStyle name="Explanatory Text 2 3" xfId="15913" xr:uid="{00000000-0005-0000-0000-0000333D0000}"/>
    <cellStyle name="Explanatory Text 2 3 2" xfId="15914" xr:uid="{00000000-0005-0000-0000-0000343D0000}"/>
    <cellStyle name="Explanatory Text 2 3 3" xfId="15915" xr:uid="{00000000-0005-0000-0000-0000353D0000}"/>
    <cellStyle name="Explanatory Text 2 3 4" xfId="15916" xr:uid="{00000000-0005-0000-0000-0000363D0000}"/>
    <cellStyle name="Explanatory Text 2 3 5" xfId="15917" xr:uid="{00000000-0005-0000-0000-0000373D0000}"/>
    <cellStyle name="Explanatory Text 2 4" xfId="15918" xr:uid="{00000000-0005-0000-0000-0000383D0000}"/>
    <cellStyle name="Explanatory Text 2 4 2" xfId="15919" xr:uid="{00000000-0005-0000-0000-0000393D0000}"/>
    <cellStyle name="Explanatory Text 2 4 3" xfId="15920" xr:uid="{00000000-0005-0000-0000-00003A3D0000}"/>
    <cellStyle name="Explanatory Text 2 5" xfId="15921" xr:uid="{00000000-0005-0000-0000-00003B3D0000}"/>
    <cellStyle name="Explanatory Text 2 5 2" xfId="15922" xr:uid="{00000000-0005-0000-0000-00003C3D0000}"/>
    <cellStyle name="Explanatory Text 2 5 3" xfId="15923" xr:uid="{00000000-0005-0000-0000-00003D3D0000}"/>
    <cellStyle name="Explanatory Text 2 6" xfId="15924" xr:uid="{00000000-0005-0000-0000-00003E3D0000}"/>
    <cellStyle name="Explanatory Text 2 6 2" xfId="15925" xr:uid="{00000000-0005-0000-0000-00003F3D0000}"/>
    <cellStyle name="Explanatory Text 2 7" xfId="15926" xr:uid="{00000000-0005-0000-0000-0000403D0000}"/>
    <cellStyle name="Explanatory Text 2 7 2" xfId="15927" xr:uid="{00000000-0005-0000-0000-0000413D0000}"/>
    <cellStyle name="Explanatory Text 2 8" xfId="15928" xr:uid="{00000000-0005-0000-0000-0000423D0000}"/>
    <cellStyle name="Explanatory Text 2 9" xfId="15929" xr:uid="{00000000-0005-0000-0000-0000433D0000}"/>
    <cellStyle name="Explanatory Text 3" xfId="15930" xr:uid="{00000000-0005-0000-0000-0000443D0000}"/>
    <cellStyle name="Explanatory Text 3 2" xfId="15931" xr:uid="{00000000-0005-0000-0000-0000453D0000}"/>
    <cellStyle name="Explanatory Text 3 2 2" xfId="15932" xr:uid="{00000000-0005-0000-0000-0000463D0000}"/>
    <cellStyle name="Explanatory Text 3 2 2 2" xfId="15933" xr:uid="{00000000-0005-0000-0000-0000473D0000}"/>
    <cellStyle name="Explanatory Text 3 2 3" xfId="15934" xr:uid="{00000000-0005-0000-0000-0000483D0000}"/>
    <cellStyle name="Explanatory Text 3 2 4" xfId="15935" xr:uid="{00000000-0005-0000-0000-0000493D0000}"/>
    <cellStyle name="Explanatory Text 3 3" xfId="15936" xr:uid="{00000000-0005-0000-0000-00004A3D0000}"/>
    <cellStyle name="Explanatory Text 3 3 2" xfId="15937" xr:uid="{00000000-0005-0000-0000-00004B3D0000}"/>
    <cellStyle name="Explanatory Text 3 3 3" xfId="15938" xr:uid="{00000000-0005-0000-0000-00004C3D0000}"/>
    <cellStyle name="Explanatory Text 3 4" xfId="15939" xr:uid="{00000000-0005-0000-0000-00004D3D0000}"/>
    <cellStyle name="Explanatory Text 3 4 2" xfId="15940" xr:uid="{00000000-0005-0000-0000-00004E3D0000}"/>
    <cellStyle name="Explanatory Text 3 5" xfId="15941" xr:uid="{00000000-0005-0000-0000-00004F3D0000}"/>
    <cellStyle name="Explanatory Text 3 5 2" xfId="15942" xr:uid="{00000000-0005-0000-0000-0000503D0000}"/>
    <cellStyle name="Explanatory Text 3 6" xfId="15943" xr:uid="{00000000-0005-0000-0000-0000513D0000}"/>
    <cellStyle name="Explanatory Text 3 7" xfId="15944" xr:uid="{00000000-0005-0000-0000-0000523D0000}"/>
    <cellStyle name="Explanatory Text 4" xfId="15945" xr:uid="{00000000-0005-0000-0000-0000533D0000}"/>
    <cellStyle name="Explanatory Text 4 2" xfId="15946" xr:uid="{00000000-0005-0000-0000-0000543D0000}"/>
    <cellStyle name="Explanatory Text 4 3" xfId="15947" xr:uid="{00000000-0005-0000-0000-0000553D0000}"/>
    <cellStyle name="Explanatory Text 4 4" xfId="15948" xr:uid="{00000000-0005-0000-0000-0000563D0000}"/>
    <cellStyle name="Explanatory Text 4 5" xfId="15949" xr:uid="{00000000-0005-0000-0000-0000573D0000}"/>
    <cellStyle name="Explanatory Text 5" xfId="15950" xr:uid="{00000000-0005-0000-0000-0000583D0000}"/>
    <cellStyle name="Explanatory Text 5 2" xfId="15951" xr:uid="{00000000-0005-0000-0000-0000593D0000}"/>
    <cellStyle name="Explanatory Text 5 3" xfId="15952" xr:uid="{00000000-0005-0000-0000-00005A3D0000}"/>
    <cellStyle name="Explanatory Text 5 4" xfId="15953" xr:uid="{00000000-0005-0000-0000-00005B3D0000}"/>
    <cellStyle name="Explanatory Text 6" xfId="15954" xr:uid="{00000000-0005-0000-0000-00005C3D0000}"/>
    <cellStyle name="Explanatory Text 6 2" xfId="15955" xr:uid="{00000000-0005-0000-0000-00005D3D0000}"/>
    <cellStyle name="Explanatory Text 6 3" xfId="15956" xr:uid="{00000000-0005-0000-0000-00005E3D0000}"/>
    <cellStyle name="Explanatory Text 7" xfId="15957" xr:uid="{00000000-0005-0000-0000-00005F3D0000}"/>
    <cellStyle name="Explanatory Text 8" xfId="15958" xr:uid="{00000000-0005-0000-0000-0000603D0000}"/>
    <cellStyle name="Explanatory Text 9" xfId="15959" xr:uid="{00000000-0005-0000-0000-0000613D0000}"/>
    <cellStyle name="First_Name" xfId="31" xr:uid="{00000000-0005-0000-0000-0000623D0000}"/>
    <cellStyle name="Fixed" xfId="32" xr:uid="{00000000-0005-0000-0000-0000633D0000}"/>
    <cellStyle name="Fixed 2" xfId="233" xr:uid="{00000000-0005-0000-0000-0000643D0000}"/>
    <cellStyle name="Fixed 2 2" xfId="15960" xr:uid="{00000000-0005-0000-0000-0000653D0000}"/>
    <cellStyle name="Fixed 2 3" xfId="15961" xr:uid="{00000000-0005-0000-0000-0000663D0000}"/>
    <cellStyle name="Fixed 3" xfId="15962" xr:uid="{00000000-0005-0000-0000-0000673D0000}"/>
    <cellStyle name="Fixed 3 2" xfId="15963" xr:uid="{00000000-0005-0000-0000-0000683D0000}"/>
    <cellStyle name="Fixed 4" xfId="15964" xr:uid="{00000000-0005-0000-0000-0000693D0000}"/>
    <cellStyle name="Fixed 4 2" xfId="15965" xr:uid="{00000000-0005-0000-0000-00006A3D0000}"/>
    <cellStyle name="Fixed 5" xfId="15966" xr:uid="{00000000-0005-0000-0000-00006B3D0000}"/>
    <cellStyle name="Fixed 5 2" xfId="15967" xr:uid="{00000000-0005-0000-0000-00006C3D0000}"/>
    <cellStyle name="Fixed 6" xfId="15968" xr:uid="{00000000-0005-0000-0000-00006D3D0000}"/>
    <cellStyle name="Fixed 7" xfId="15969" xr:uid="{00000000-0005-0000-0000-00006E3D0000}"/>
    <cellStyle name="Fixed_2010-2012 Program Workbook_Incent_FS" xfId="15970" xr:uid="{00000000-0005-0000-0000-00006F3D0000}"/>
    <cellStyle name="Forecast" xfId="15971" xr:uid="{00000000-0005-0000-0000-0000703D0000}"/>
    <cellStyle name="fred" xfId="33" xr:uid="{00000000-0005-0000-0000-0000713D0000}"/>
    <cellStyle name="fred 2" xfId="234" xr:uid="{00000000-0005-0000-0000-0000723D0000}"/>
    <cellStyle name="Fred%" xfId="34" xr:uid="{00000000-0005-0000-0000-0000733D0000}"/>
    <cellStyle name="Fred% 2" xfId="235" xr:uid="{00000000-0005-0000-0000-0000743D0000}"/>
    <cellStyle name="GBP" xfId="15972" xr:uid="{00000000-0005-0000-0000-0000753D0000}"/>
    <cellStyle name="GBP billion" xfId="15973" xr:uid="{00000000-0005-0000-0000-0000763D0000}"/>
    <cellStyle name="GBP million" xfId="15974" xr:uid="{00000000-0005-0000-0000-0000773D0000}"/>
    <cellStyle name="GBP thousand" xfId="15975" xr:uid="{00000000-0005-0000-0000-0000783D0000}"/>
    <cellStyle name="General" xfId="15976" xr:uid="{00000000-0005-0000-0000-0000793D0000}"/>
    <cellStyle name="Good 10" xfId="15977" xr:uid="{00000000-0005-0000-0000-00007A3D0000}"/>
    <cellStyle name="Good 11" xfId="15978" xr:uid="{00000000-0005-0000-0000-00007B3D0000}"/>
    <cellStyle name="Good 2" xfId="15979" xr:uid="{00000000-0005-0000-0000-00007C3D0000}"/>
    <cellStyle name="Good 2 10" xfId="15980" xr:uid="{00000000-0005-0000-0000-00007D3D0000}"/>
    <cellStyle name="Good 2 11" xfId="15981" xr:uid="{00000000-0005-0000-0000-00007E3D0000}"/>
    <cellStyle name="Good 2 12" xfId="61188" xr:uid="{AC285516-AF33-4F49-9D73-7067802873E8}"/>
    <cellStyle name="Good 2 2" xfId="15982" xr:uid="{00000000-0005-0000-0000-00007F3D0000}"/>
    <cellStyle name="Good 2 2 2" xfId="15983" xr:uid="{00000000-0005-0000-0000-0000803D0000}"/>
    <cellStyle name="Good 2 2 2 2" xfId="15984" xr:uid="{00000000-0005-0000-0000-0000813D0000}"/>
    <cellStyle name="Good 2 2 2 3" xfId="15985" xr:uid="{00000000-0005-0000-0000-0000823D0000}"/>
    <cellStyle name="Good 2 2 2 4" xfId="15986" xr:uid="{00000000-0005-0000-0000-0000833D0000}"/>
    <cellStyle name="Good 2 2 3" xfId="15987" xr:uid="{00000000-0005-0000-0000-0000843D0000}"/>
    <cellStyle name="Good 2 2 4" xfId="15988" xr:uid="{00000000-0005-0000-0000-0000853D0000}"/>
    <cellStyle name="Good 2 2 5" xfId="15989" xr:uid="{00000000-0005-0000-0000-0000863D0000}"/>
    <cellStyle name="Good 2 2 6" xfId="15990" xr:uid="{00000000-0005-0000-0000-0000873D0000}"/>
    <cellStyle name="Good 2 3" xfId="15991" xr:uid="{00000000-0005-0000-0000-0000883D0000}"/>
    <cellStyle name="Good 2 3 2" xfId="15992" xr:uid="{00000000-0005-0000-0000-0000893D0000}"/>
    <cellStyle name="Good 2 3 3" xfId="15993" xr:uid="{00000000-0005-0000-0000-00008A3D0000}"/>
    <cellStyle name="Good 2 3 4" xfId="15994" xr:uid="{00000000-0005-0000-0000-00008B3D0000}"/>
    <cellStyle name="Good 2 3 5" xfId="15995" xr:uid="{00000000-0005-0000-0000-00008C3D0000}"/>
    <cellStyle name="Good 2 4" xfId="15996" xr:uid="{00000000-0005-0000-0000-00008D3D0000}"/>
    <cellStyle name="Good 2 4 2" xfId="15997" xr:uid="{00000000-0005-0000-0000-00008E3D0000}"/>
    <cellStyle name="Good 2 4 3" xfId="15998" xr:uid="{00000000-0005-0000-0000-00008F3D0000}"/>
    <cellStyle name="Good 2 5" xfId="15999" xr:uid="{00000000-0005-0000-0000-0000903D0000}"/>
    <cellStyle name="Good 2 5 2" xfId="16000" xr:uid="{00000000-0005-0000-0000-0000913D0000}"/>
    <cellStyle name="Good 2 6" xfId="16001" xr:uid="{00000000-0005-0000-0000-0000923D0000}"/>
    <cellStyle name="Good 2 6 2" xfId="16002" xr:uid="{00000000-0005-0000-0000-0000933D0000}"/>
    <cellStyle name="Good 2 7" xfId="16003" xr:uid="{00000000-0005-0000-0000-0000943D0000}"/>
    <cellStyle name="Good 2 7 2" xfId="16004" xr:uid="{00000000-0005-0000-0000-0000953D0000}"/>
    <cellStyle name="Good 2 8" xfId="16005" xr:uid="{00000000-0005-0000-0000-0000963D0000}"/>
    <cellStyle name="Good 2 9" xfId="16006" xr:uid="{00000000-0005-0000-0000-0000973D0000}"/>
    <cellStyle name="Good 3" xfId="16007" xr:uid="{00000000-0005-0000-0000-0000983D0000}"/>
    <cellStyle name="Good 3 2" xfId="16008" xr:uid="{00000000-0005-0000-0000-0000993D0000}"/>
    <cellStyle name="Good 3 2 2" xfId="16009" xr:uid="{00000000-0005-0000-0000-00009A3D0000}"/>
    <cellStyle name="Good 3 2 2 2" xfId="16010" xr:uid="{00000000-0005-0000-0000-00009B3D0000}"/>
    <cellStyle name="Good 3 2 3" xfId="16011" xr:uid="{00000000-0005-0000-0000-00009C3D0000}"/>
    <cellStyle name="Good 3 2 3 2" xfId="16012" xr:uid="{00000000-0005-0000-0000-00009D3D0000}"/>
    <cellStyle name="Good 3 2 4" xfId="16013" xr:uid="{00000000-0005-0000-0000-00009E3D0000}"/>
    <cellStyle name="Good 3 2 5" xfId="16014" xr:uid="{00000000-0005-0000-0000-00009F3D0000}"/>
    <cellStyle name="Good 3 3" xfId="16015" xr:uid="{00000000-0005-0000-0000-0000A03D0000}"/>
    <cellStyle name="Good 3 3 2" xfId="16016" xr:uid="{00000000-0005-0000-0000-0000A13D0000}"/>
    <cellStyle name="Good 3 3 3" xfId="16017" xr:uid="{00000000-0005-0000-0000-0000A23D0000}"/>
    <cellStyle name="Good 3 4" xfId="16018" xr:uid="{00000000-0005-0000-0000-0000A33D0000}"/>
    <cellStyle name="Good 3 4 2" xfId="16019" xr:uid="{00000000-0005-0000-0000-0000A43D0000}"/>
    <cellStyle name="Good 3 5" xfId="16020" xr:uid="{00000000-0005-0000-0000-0000A53D0000}"/>
    <cellStyle name="Good 3 5 2" xfId="16021" xr:uid="{00000000-0005-0000-0000-0000A63D0000}"/>
    <cellStyle name="Good 3 6" xfId="16022" xr:uid="{00000000-0005-0000-0000-0000A73D0000}"/>
    <cellStyle name="Good 3 7" xfId="16023" xr:uid="{00000000-0005-0000-0000-0000A83D0000}"/>
    <cellStyle name="Good 4" xfId="16024" xr:uid="{00000000-0005-0000-0000-0000A93D0000}"/>
    <cellStyle name="Good 4 2" xfId="16025" xr:uid="{00000000-0005-0000-0000-0000AA3D0000}"/>
    <cellStyle name="Good 4 3" xfId="16026" xr:uid="{00000000-0005-0000-0000-0000AB3D0000}"/>
    <cellStyle name="Good 4 4" xfId="16027" xr:uid="{00000000-0005-0000-0000-0000AC3D0000}"/>
    <cellStyle name="Good 4 5" xfId="16028" xr:uid="{00000000-0005-0000-0000-0000AD3D0000}"/>
    <cellStyle name="Good 5" xfId="16029" xr:uid="{00000000-0005-0000-0000-0000AE3D0000}"/>
    <cellStyle name="Good 5 2" xfId="16030" xr:uid="{00000000-0005-0000-0000-0000AF3D0000}"/>
    <cellStyle name="Good 5 3" xfId="16031" xr:uid="{00000000-0005-0000-0000-0000B03D0000}"/>
    <cellStyle name="Good 5 4" xfId="16032" xr:uid="{00000000-0005-0000-0000-0000B13D0000}"/>
    <cellStyle name="Good 6" xfId="16033" xr:uid="{00000000-0005-0000-0000-0000B23D0000}"/>
    <cellStyle name="Good 6 2" xfId="16034" xr:uid="{00000000-0005-0000-0000-0000B33D0000}"/>
    <cellStyle name="Good 6 3" xfId="16035" xr:uid="{00000000-0005-0000-0000-0000B43D0000}"/>
    <cellStyle name="Good 7" xfId="16036" xr:uid="{00000000-0005-0000-0000-0000B53D0000}"/>
    <cellStyle name="Good 7 2" xfId="16037" xr:uid="{00000000-0005-0000-0000-0000B63D0000}"/>
    <cellStyle name="Good 8" xfId="16038" xr:uid="{00000000-0005-0000-0000-0000B73D0000}"/>
    <cellStyle name="Good 9" xfId="16039" xr:uid="{00000000-0005-0000-0000-0000B83D0000}"/>
    <cellStyle name="Grey" xfId="35" xr:uid="{00000000-0005-0000-0000-0000B93D0000}"/>
    <cellStyle name="Grey 2" xfId="16040" xr:uid="{00000000-0005-0000-0000-0000BA3D0000}"/>
    <cellStyle name="Grey_2010-2012 Program Workbook Completed_Incent_V2" xfId="16041" xr:uid="{00000000-0005-0000-0000-0000BB3D0000}"/>
    <cellStyle name="HEADER" xfId="36" xr:uid="{00000000-0005-0000-0000-0000BC3D0000}"/>
    <cellStyle name="HEADER 2" xfId="16042" xr:uid="{00000000-0005-0000-0000-0000BD3D0000}"/>
    <cellStyle name="HEADER 2 2" xfId="16043" xr:uid="{00000000-0005-0000-0000-0000BE3D0000}"/>
    <cellStyle name="HEADER 2 2 2" xfId="16044" xr:uid="{00000000-0005-0000-0000-0000BF3D0000}"/>
    <cellStyle name="HEADER 2 3" xfId="16045" xr:uid="{00000000-0005-0000-0000-0000C03D0000}"/>
    <cellStyle name="HEADER 2 4" xfId="16046" xr:uid="{00000000-0005-0000-0000-0000C13D0000}"/>
    <cellStyle name="HEADER 2 5" xfId="16047" xr:uid="{00000000-0005-0000-0000-0000C23D0000}"/>
    <cellStyle name="HEADER 3" xfId="16048" xr:uid="{00000000-0005-0000-0000-0000C33D0000}"/>
    <cellStyle name="HEADER 3 2" xfId="16049" xr:uid="{00000000-0005-0000-0000-0000C43D0000}"/>
    <cellStyle name="HEADER 3 3" xfId="16050" xr:uid="{00000000-0005-0000-0000-0000C53D0000}"/>
    <cellStyle name="HEADER 4" xfId="16051" xr:uid="{00000000-0005-0000-0000-0000C63D0000}"/>
    <cellStyle name="HEADER 5" xfId="16052" xr:uid="{00000000-0005-0000-0000-0000C73D0000}"/>
    <cellStyle name="HEADER 6" xfId="16053" xr:uid="{00000000-0005-0000-0000-0000C83D0000}"/>
    <cellStyle name="Header1" xfId="37" xr:uid="{00000000-0005-0000-0000-0000C93D0000}"/>
    <cellStyle name="Header1 2" xfId="16054" xr:uid="{00000000-0005-0000-0000-0000CA3D0000}"/>
    <cellStyle name="Header1 2 2" xfId="16055" xr:uid="{00000000-0005-0000-0000-0000CB3D0000}"/>
    <cellStyle name="Header1 2 2 2" xfId="16056" xr:uid="{00000000-0005-0000-0000-0000CC3D0000}"/>
    <cellStyle name="Header1 2 2 3" xfId="16057" xr:uid="{00000000-0005-0000-0000-0000CD3D0000}"/>
    <cellStyle name="Header1 2 2 4" xfId="16058" xr:uid="{00000000-0005-0000-0000-0000CE3D0000}"/>
    <cellStyle name="Header1 2 3" xfId="16059" xr:uid="{00000000-0005-0000-0000-0000CF3D0000}"/>
    <cellStyle name="Header1 2 4" xfId="16060" xr:uid="{00000000-0005-0000-0000-0000D03D0000}"/>
    <cellStyle name="Header1 2 5" xfId="16061" xr:uid="{00000000-0005-0000-0000-0000D13D0000}"/>
    <cellStyle name="Header1 3" xfId="16062" xr:uid="{00000000-0005-0000-0000-0000D23D0000}"/>
    <cellStyle name="Header1 3 2" xfId="16063" xr:uid="{00000000-0005-0000-0000-0000D33D0000}"/>
    <cellStyle name="Header1 3 3" xfId="16064" xr:uid="{00000000-0005-0000-0000-0000D43D0000}"/>
    <cellStyle name="Header1 3 4" xfId="16065" xr:uid="{00000000-0005-0000-0000-0000D53D0000}"/>
    <cellStyle name="Header1 4" xfId="16066" xr:uid="{00000000-0005-0000-0000-0000D63D0000}"/>
    <cellStyle name="Header1 4 2" xfId="16067" xr:uid="{00000000-0005-0000-0000-0000D73D0000}"/>
    <cellStyle name="Header1 5" xfId="16068" xr:uid="{00000000-0005-0000-0000-0000D83D0000}"/>
    <cellStyle name="Header1 6" xfId="16069" xr:uid="{00000000-0005-0000-0000-0000D93D0000}"/>
    <cellStyle name="Header1 7" xfId="16070" xr:uid="{00000000-0005-0000-0000-0000DA3D0000}"/>
    <cellStyle name="Header2" xfId="38" xr:uid="{00000000-0005-0000-0000-0000DB3D0000}"/>
    <cellStyle name="Header2 10" xfId="16071" xr:uid="{00000000-0005-0000-0000-0000DC3D0000}"/>
    <cellStyle name="Header2 2" xfId="16072" xr:uid="{00000000-0005-0000-0000-0000DD3D0000}"/>
    <cellStyle name="Header2 2 10" xfId="16073" xr:uid="{00000000-0005-0000-0000-0000DE3D0000}"/>
    <cellStyle name="Header2 2 2" xfId="16074" xr:uid="{00000000-0005-0000-0000-0000DF3D0000}"/>
    <cellStyle name="Header2 2 2 2" xfId="16075" xr:uid="{00000000-0005-0000-0000-0000E03D0000}"/>
    <cellStyle name="Header2 2 2 2 2" xfId="16076" xr:uid="{00000000-0005-0000-0000-0000E13D0000}"/>
    <cellStyle name="Header2 2 2 3" xfId="16077" xr:uid="{00000000-0005-0000-0000-0000E23D0000}"/>
    <cellStyle name="Header2 2 2 4" xfId="16078" xr:uid="{00000000-0005-0000-0000-0000E33D0000}"/>
    <cellStyle name="Header2 2 2 5" xfId="16079" xr:uid="{00000000-0005-0000-0000-0000E43D0000}"/>
    <cellStyle name="Header2 2 2 6" xfId="16080" xr:uid="{00000000-0005-0000-0000-0000E53D0000}"/>
    <cellStyle name="Header2 2 3" xfId="16081" xr:uid="{00000000-0005-0000-0000-0000E63D0000}"/>
    <cellStyle name="Header2 2 3 2" xfId="16082" xr:uid="{00000000-0005-0000-0000-0000E73D0000}"/>
    <cellStyle name="Header2 2 3 2 2" xfId="16083" xr:uid="{00000000-0005-0000-0000-0000E83D0000}"/>
    <cellStyle name="Header2 2 3 3" xfId="16084" xr:uid="{00000000-0005-0000-0000-0000E93D0000}"/>
    <cellStyle name="Header2 2 4" xfId="16085" xr:uid="{00000000-0005-0000-0000-0000EA3D0000}"/>
    <cellStyle name="Header2 2 4 2" xfId="16086" xr:uid="{00000000-0005-0000-0000-0000EB3D0000}"/>
    <cellStyle name="Header2 2 5" xfId="16087" xr:uid="{00000000-0005-0000-0000-0000EC3D0000}"/>
    <cellStyle name="Header2 2 5 2" xfId="16088" xr:uid="{00000000-0005-0000-0000-0000ED3D0000}"/>
    <cellStyle name="Header2 2 6" xfId="16089" xr:uid="{00000000-0005-0000-0000-0000EE3D0000}"/>
    <cellStyle name="Header2 2 6 2" xfId="16090" xr:uid="{00000000-0005-0000-0000-0000EF3D0000}"/>
    <cellStyle name="Header2 2 7" xfId="16091" xr:uid="{00000000-0005-0000-0000-0000F03D0000}"/>
    <cellStyle name="Header2 2 8" xfId="16092" xr:uid="{00000000-0005-0000-0000-0000F13D0000}"/>
    <cellStyle name="Header2 2 9" xfId="16093" xr:uid="{00000000-0005-0000-0000-0000F23D0000}"/>
    <cellStyle name="Header2 3" xfId="16094" xr:uid="{00000000-0005-0000-0000-0000F33D0000}"/>
    <cellStyle name="Header2 3 2" xfId="16095" xr:uid="{00000000-0005-0000-0000-0000F43D0000}"/>
    <cellStyle name="Header2 3 2 2" xfId="16096" xr:uid="{00000000-0005-0000-0000-0000F53D0000}"/>
    <cellStyle name="Header2 3 2 2 2" xfId="16097" xr:uid="{00000000-0005-0000-0000-0000F63D0000}"/>
    <cellStyle name="Header2 3 2 3" xfId="16098" xr:uid="{00000000-0005-0000-0000-0000F73D0000}"/>
    <cellStyle name="Header2 3 3" xfId="16099" xr:uid="{00000000-0005-0000-0000-0000F83D0000}"/>
    <cellStyle name="Header2 3 3 2" xfId="16100" xr:uid="{00000000-0005-0000-0000-0000F93D0000}"/>
    <cellStyle name="Header2 3 4" xfId="16101" xr:uid="{00000000-0005-0000-0000-0000FA3D0000}"/>
    <cellStyle name="Header2 3 4 2" xfId="16102" xr:uid="{00000000-0005-0000-0000-0000FB3D0000}"/>
    <cellStyle name="Header2 3 5" xfId="16103" xr:uid="{00000000-0005-0000-0000-0000FC3D0000}"/>
    <cellStyle name="Header2 3 6" xfId="16104" xr:uid="{00000000-0005-0000-0000-0000FD3D0000}"/>
    <cellStyle name="Header2 3 7" xfId="16105" xr:uid="{00000000-0005-0000-0000-0000FE3D0000}"/>
    <cellStyle name="Header2 3 8" xfId="16106" xr:uid="{00000000-0005-0000-0000-0000FF3D0000}"/>
    <cellStyle name="Header2 4" xfId="16107" xr:uid="{00000000-0005-0000-0000-0000003E0000}"/>
    <cellStyle name="Header2 4 2" xfId="16108" xr:uid="{00000000-0005-0000-0000-0000013E0000}"/>
    <cellStyle name="Header2 4 2 2" xfId="16109" xr:uid="{00000000-0005-0000-0000-0000023E0000}"/>
    <cellStyle name="Header2 4 3" xfId="16110" xr:uid="{00000000-0005-0000-0000-0000033E0000}"/>
    <cellStyle name="Header2 4 3 2" xfId="16111" xr:uid="{00000000-0005-0000-0000-0000043E0000}"/>
    <cellStyle name="Header2 4 4" xfId="16112" xr:uid="{00000000-0005-0000-0000-0000053E0000}"/>
    <cellStyle name="Header2 5" xfId="16113" xr:uid="{00000000-0005-0000-0000-0000063E0000}"/>
    <cellStyle name="Header2 5 2" xfId="16114" xr:uid="{00000000-0005-0000-0000-0000073E0000}"/>
    <cellStyle name="Header2 6" xfId="16115" xr:uid="{00000000-0005-0000-0000-0000083E0000}"/>
    <cellStyle name="Header2 6 2" xfId="16116" xr:uid="{00000000-0005-0000-0000-0000093E0000}"/>
    <cellStyle name="Header2 7" xfId="16117" xr:uid="{00000000-0005-0000-0000-00000A3E0000}"/>
    <cellStyle name="Header2 8" xfId="16118" xr:uid="{00000000-0005-0000-0000-00000B3E0000}"/>
    <cellStyle name="Header2 9" xfId="16119" xr:uid="{00000000-0005-0000-0000-00000C3E0000}"/>
    <cellStyle name="Heading 1" xfId="39" builtinId="16" customBuiltin="1"/>
    <cellStyle name="Heading 1 10" xfId="16120" xr:uid="{00000000-0005-0000-0000-00000E3E0000}"/>
    <cellStyle name="Heading 1 11" xfId="16121" xr:uid="{00000000-0005-0000-0000-00000F3E0000}"/>
    <cellStyle name="Heading 1 2" xfId="236" xr:uid="{00000000-0005-0000-0000-0000103E0000}"/>
    <cellStyle name="Heading 1 2 10" xfId="16122" xr:uid="{00000000-0005-0000-0000-0000113E0000}"/>
    <cellStyle name="Heading 1 2 11" xfId="16123" xr:uid="{00000000-0005-0000-0000-0000123E0000}"/>
    <cellStyle name="Heading 1 2 2" xfId="237" xr:uid="{00000000-0005-0000-0000-0000133E0000}"/>
    <cellStyle name="Heading 1 2 2 2" xfId="16124" xr:uid="{00000000-0005-0000-0000-0000143E0000}"/>
    <cellStyle name="Heading 1 2 2 2 2" xfId="16125" xr:uid="{00000000-0005-0000-0000-0000153E0000}"/>
    <cellStyle name="Heading 1 2 2 2 3" xfId="16126" xr:uid="{00000000-0005-0000-0000-0000163E0000}"/>
    <cellStyle name="Heading 1 2 2 2 4" xfId="16127" xr:uid="{00000000-0005-0000-0000-0000173E0000}"/>
    <cellStyle name="Heading 1 2 2 3" xfId="16128" xr:uid="{00000000-0005-0000-0000-0000183E0000}"/>
    <cellStyle name="Heading 1 2 2 3 2" xfId="16129" xr:uid="{00000000-0005-0000-0000-0000193E0000}"/>
    <cellStyle name="Heading 1 2 2 4" xfId="16130" xr:uid="{00000000-0005-0000-0000-00001A3E0000}"/>
    <cellStyle name="Heading 1 2 2 5" xfId="16131" xr:uid="{00000000-0005-0000-0000-00001B3E0000}"/>
    <cellStyle name="Heading 1 2 2 6" xfId="16132" xr:uid="{00000000-0005-0000-0000-00001C3E0000}"/>
    <cellStyle name="Heading 1 2 3" xfId="16133" xr:uid="{00000000-0005-0000-0000-00001D3E0000}"/>
    <cellStyle name="Heading 1 2 3 2" xfId="16134" xr:uid="{00000000-0005-0000-0000-00001E3E0000}"/>
    <cellStyle name="Heading 1 2 3 3" xfId="16135" xr:uid="{00000000-0005-0000-0000-00001F3E0000}"/>
    <cellStyle name="Heading 1 2 3 4" xfId="16136" xr:uid="{00000000-0005-0000-0000-0000203E0000}"/>
    <cellStyle name="Heading 1 2 3 5" xfId="16137" xr:uid="{00000000-0005-0000-0000-0000213E0000}"/>
    <cellStyle name="Heading 1 2 4" xfId="16138" xr:uid="{00000000-0005-0000-0000-0000223E0000}"/>
    <cellStyle name="Heading 1 2 4 2" xfId="16139" xr:uid="{00000000-0005-0000-0000-0000233E0000}"/>
    <cellStyle name="Heading 1 2 4 3" xfId="16140" xr:uid="{00000000-0005-0000-0000-0000243E0000}"/>
    <cellStyle name="Heading 1 2 5" xfId="16141" xr:uid="{00000000-0005-0000-0000-0000253E0000}"/>
    <cellStyle name="Heading 1 2 5 2" xfId="16142" xr:uid="{00000000-0005-0000-0000-0000263E0000}"/>
    <cellStyle name="Heading 1 2 6" xfId="16143" xr:uid="{00000000-0005-0000-0000-0000273E0000}"/>
    <cellStyle name="Heading 1 2 6 2" xfId="16144" xr:uid="{00000000-0005-0000-0000-0000283E0000}"/>
    <cellStyle name="Heading 1 2 7" xfId="16145" xr:uid="{00000000-0005-0000-0000-0000293E0000}"/>
    <cellStyle name="Heading 1 2 7 2" xfId="16146" xr:uid="{00000000-0005-0000-0000-00002A3E0000}"/>
    <cellStyle name="Heading 1 2 8" xfId="16147" xr:uid="{00000000-0005-0000-0000-00002B3E0000}"/>
    <cellStyle name="Heading 1 2 9" xfId="16148" xr:uid="{00000000-0005-0000-0000-00002C3E0000}"/>
    <cellStyle name="Heading 1 2_2015 Annual Rpt" xfId="16149" xr:uid="{00000000-0005-0000-0000-00002D3E0000}"/>
    <cellStyle name="Heading 1 3" xfId="238" xr:uid="{00000000-0005-0000-0000-00002E3E0000}"/>
    <cellStyle name="Heading 1 3 2" xfId="16150" xr:uid="{00000000-0005-0000-0000-00002F3E0000}"/>
    <cellStyle name="Heading 1 3 2 2" xfId="16151" xr:uid="{00000000-0005-0000-0000-0000303E0000}"/>
    <cellStyle name="Heading 1 3 2 2 2" xfId="16152" xr:uid="{00000000-0005-0000-0000-0000313E0000}"/>
    <cellStyle name="Heading 1 3 2 3" xfId="16153" xr:uid="{00000000-0005-0000-0000-0000323E0000}"/>
    <cellStyle name="Heading 1 3 2 3 2" xfId="16154" xr:uid="{00000000-0005-0000-0000-0000333E0000}"/>
    <cellStyle name="Heading 1 3 3" xfId="16155" xr:uid="{00000000-0005-0000-0000-0000343E0000}"/>
    <cellStyle name="Heading 1 3 3 2" xfId="16156" xr:uid="{00000000-0005-0000-0000-0000353E0000}"/>
    <cellStyle name="Heading 1 3 3 3" xfId="16157" xr:uid="{00000000-0005-0000-0000-0000363E0000}"/>
    <cellStyle name="Heading 1 3 4" xfId="16158" xr:uid="{00000000-0005-0000-0000-0000373E0000}"/>
    <cellStyle name="Heading 1 3 4 2" xfId="16159" xr:uid="{00000000-0005-0000-0000-0000383E0000}"/>
    <cellStyle name="Heading 1 3 5" xfId="16160" xr:uid="{00000000-0005-0000-0000-0000393E0000}"/>
    <cellStyle name="Heading 1 3 5 2" xfId="16161" xr:uid="{00000000-0005-0000-0000-00003A3E0000}"/>
    <cellStyle name="Heading 1 3 6" xfId="16162" xr:uid="{00000000-0005-0000-0000-00003B3E0000}"/>
    <cellStyle name="Heading 1 3 7" xfId="16163" xr:uid="{00000000-0005-0000-0000-00003C3E0000}"/>
    <cellStyle name="Heading 1 4" xfId="16164" xr:uid="{00000000-0005-0000-0000-00003D3E0000}"/>
    <cellStyle name="Heading 1 4 2" xfId="16165" xr:uid="{00000000-0005-0000-0000-00003E3E0000}"/>
    <cellStyle name="Heading 1 4 2 2" xfId="16166" xr:uid="{00000000-0005-0000-0000-00003F3E0000}"/>
    <cellStyle name="Heading 1 4 2 3" xfId="16167" xr:uid="{00000000-0005-0000-0000-0000403E0000}"/>
    <cellStyle name="Heading 1 4 3" xfId="16168" xr:uid="{00000000-0005-0000-0000-0000413E0000}"/>
    <cellStyle name="Heading 1 4 3 2" xfId="16169" xr:uid="{00000000-0005-0000-0000-0000423E0000}"/>
    <cellStyle name="Heading 1 4 4" xfId="16170" xr:uid="{00000000-0005-0000-0000-0000433E0000}"/>
    <cellStyle name="Heading 1 4 5" xfId="16171" xr:uid="{00000000-0005-0000-0000-0000443E0000}"/>
    <cellStyle name="Heading 1 5" xfId="16172" xr:uid="{00000000-0005-0000-0000-0000453E0000}"/>
    <cellStyle name="Heading 1 5 2" xfId="16173" xr:uid="{00000000-0005-0000-0000-0000463E0000}"/>
    <cellStyle name="Heading 1 5 2 2" xfId="16174" xr:uid="{00000000-0005-0000-0000-0000473E0000}"/>
    <cellStyle name="Heading 1 5 3" xfId="16175" xr:uid="{00000000-0005-0000-0000-0000483E0000}"/>
    <cellStyle name="Heading 1 5 4" xfId="16176" xr:uid="{00000000-0005-0000-0000-0000493E0000}"/>
    <cellStyle name="Heading 1 6" xfId="16177" xr:uid="{00000000-0005-0000-0000-00004A3E0000}"/>
    <cellStyle name="Heading 1 6 2" xfId="16178" xr:uid="{00000000-0005-0000-0000-00004B3E0000}"/>
    <cellStyle name="Heading 1 7" xfId="16179" xr:uid="{00000000-0005-0000-0000-00004C3E0000}"/>
    <cellStyle name="Heading 1 8" xfId="16180" xr:uid="{00000000-0005-0000-0000-00004D3E0000}"/>
    <cellStyle name="Heading 1 9" xfId="16181" xr:uid="{00000000-0005-0000-0000-00004E3E0000}"/>
    <cellStyle name="Heading 2" xfId="40" builtinId="17" customBuiltin="1"/>
    <cellStyle name="Heading 2 10" xfId="16182" xr:uid="{00000000-0005-0000-0000-0000503E0000}"/>
    <cellStyle name="Heading 2 11" xfId="16183" xr:uid="{00000000-0005-0000-0000-0000513E0000}"/>
    <cellStyle name="Heading 2 2" xfId="239" xr:uid="{00000000-0005-0000-0000-0000523E0000}"/>
    <cellStyle name="Heading 2 2 10" xfId="16184" xr:uid="{00000000-0005-0000-0000-0000533E0000}"/>
    <cellStyle name="Heading 2 2 11" xfId="16185" xr:uid="{00000000-0005-0000-0000-0000543E0000}"/>
    <cellStyle name="Heading 2 2 2" xfId="240" xr:uid="{00000000-0005-0000-0000-0000553E0000}"/>
    <cellStyle name="Heading 2 2 2 2" xfId="16186" xr:uid="{00000000-0005-0000-0000-0000563E0000}"/>
    <cellStyle name="Heading 2 2 2 2 2" xfId="16187" xr:uid="{00000000-0005-0000-0000-0000573E0000}"/>
    <cellStyle name="Heading 2 2 2 2 3" xfId="16188" xr:uid="{00000000-0005-0000-0000-0000583E0000}"/>
    <cellStyle name="Heading 2 2 2 2 4" xfId="16189" xr:uid="{00000000-0005-0000-0000-0000593E0000}"/>
    <cellStyle name="Heading 2 2 2 3" xfId="16190" xr:uid="{00000000-0005-0000-0000-00005A3E0000}"/>
    <cellStyle name="Heading 2 2 2 3 2" xfId="16191" xr:uid="{00000000-0005-0000-0000-00005B3E0000}"/>
    <cellStyle name="Heading 2 2 2 4" xfId="16192" xr:uid="{00000000-0005-0000-0000-00005C3E0000}"/>
    <cellStyle name="Heading 2 2 2 5" xfId="16193" xr:uid="{00000000-0005-0000-0000-00005D3E0000}"/>
    <cellStyle name="Heading 2 2 2 6" xfId="16194" xr:uid="{00000000-0005-0000-0000-00005E3E0000}"/>
    <cellStyle name="Heading 2 2 3" xfId="16195" xr:uid="{00000000-0005-0000-0000-00005F3E0000}"/>
    <cellStyle name="Heading 2 2 3 2" xfId="16196" xr:uid="{00000000-0005-0000-0000-0000603E0000}"/>
    <cellStyle name="Heading 2 2 3 3" xfId="16197" xr:uid="{00000000-0005-0000-0000-0000613E0000}"/>
    <cellStyle name="Heading 2 2 3 4" xfId="16198" xr:uid="{00000000-0005-0000-0000-0000623E0000}"/>
    <cellStyle name="Heading 2 2 3 5" xfId="16199" xr:uid="{00000000-0005-0000-0000-0000633E0000}"/>
    <cellStyle name="Heading 2 2 4" xfId="16200" xr:uid="{00000000-0005-0000-0000-0000643E0000}"/>
    <cellStyle name="Heading 2 2 4 2" xfId="16201" xr:uid="{00000000-0005-0000-0000-0000653E0000}"/>
    <cellStyle name="Heading 2 2 4 3" xfId="16202" xr:uid="{00000000-0005-0000-0000-0000663E0000}"/>
    <cellStyle name="Heading 2 2 5" xfId="16203" xr:uid="{00000000-0005-0000-0000-0000673E0000}"/>
    <cellStyle name="Heading 2 2 5 2" xfId="16204" xr:uid="{00000000-0005-0000-0000-0000683E0000}"/>
    <cellStyle name="Heading 2 2 6" xfId="16205" xr:uid="{00000000-0005-0000-0000-0000693E0000}"/>
    <cellStyle name="Heading 2 2 6 2" xfId="16206" xr:uid="{00000000-0005-0000-0000-00006A3E0000}"/>
    <cellStyle name="Heading 2 2 7" xfId="16207" xr:uid="{00000000-0005-0000-0000-00006B3E0000}"/>
    <cellStyle name="Heading 2 2 7 2" xfId="16208" xr:uid="{00000000-0005-0000-0000-00006C3E0000}"/>
    <cellStyle name="Heading 2 2 8" xfId="16209" xr:uid="{00000000-0005-0000-0000-00006D3E0000}"/>
    <cellStyle name="Heading 2 2 9" xfId="16210" xr:uid="{00000000-0005-0000-0000-00006E3E0000}"/>
    <cellStyle name="Heading 2 2_2015 Annual Rpt" xfId="16211" xr:uid="{00000000-0005-0000-0000-00006F3E0000}"/>
    <cellStyle name="Heading 2 3" xfId="241" xr:uid="{00000000-0005-0000-0000-0000703E0000}"/>
    <cellStyle name="Heading 2 3 2" xfId="16212" xr:uid="{00000000-0005-0000-0000-0000713E0000}"/>
    <cellStyle name="Heading 2 3 2 2" xfId="16213" xr:uid="{00000000-0005-0000-0000-0000723E0000}"/>
    <cellStyle name="Heading 2 3 2 2 2" xfId="16214" xr:uid="{00000000-0005-0000-0000-0000733E0000}"/>
    <cellStyle name="Heading 2 3 2 3" xfId="16215" xr:uid="{00000000-0005-0000-0000-0000743E0000}"/>
    <cellStyle name="Heading 2 3 2 3 2" xfId="16216" xr:uid="{00000000-0005-0000-0000-0000753E0000}"/>
    <cellStyle name="Heading 2 3 2 4" xfId="16217" xr:uid="{00000000-0005-0000-0000-0000763E0000}"/>
    <cellStyle name="Heading 2 3 2 5" xfId="16218" xr:uid="{00000000-0005-0000-0000-0000773E0000}"/>
    <cellStyle name="Heading 2 3 3" xfId="16219" xr:uid="{00000000-0005-0000-0000-0000783E0000}"/>
    <cellStyle name="Heading 2 3 3 2" xfId="16220" xr:uid="{00000000-0005-0000-0000-0000793E0000}"/>
    <cellStyle name="Heading 2 3 3 3" xfId="16221" xr:uid="{00000000-0005-0000-0000-00007A3E0000}"/>
    <cellStyle name="Heading 2 3 4" xfId="16222" xr:uid="{00000000-0005-0000-0000-00007B3E0000}"/>
    <cellStyle name="Heading 2 3 4 2" xfId="16223" xr:uid="{00000000-0005-0000-0000-00007C3E0000}"/>
    <cellStyle name="Heading 2 3 5" xfId="16224" xr:uid="{00000000-0005-0000-0000-00007D3E0000}"/>
    <cellStyle name="Heading 2 3 5 2" xfId="16225" xr:uid="{00000000-0005-0000-0000-00007E3E0000}"/>
    <cellStyle name="Heading 2 3 6" xfId="16226" xr:uid="{00000000-0005-0000-0000-00007F3E0000}"/>
    <cellStyle name="Heading 2 3 7" xfId="16227" xr:uid="{00000000-0005-0000-0000-0000803E0000}"/>
    <cellStyle name="Heading 2 4" xfId="16228" xr:uid="{00000000-0005-0000-0000-0000813E0000}"/>
    <cellStyle name="Heading 2 4 2" xfId="16229" xr:uid="{00000000-0005-0000-0000-0000823E0000}"/>
    <cellStyle name="Heading 2 4 2 2" xfId="16230" xr:uid="{00000000-0005-0000-0000-0000833E0000}"/>
    <cellStyle name="Heading 2 4 2 3" xfId="16231" xr:uid="{00000000-0005-0000-0000-0000843E0000}"/>
    <cellStyle name="Heading 2 4 3" xfId="16232" xr:uid="{00000000-0005-0000-0000-0000853E0000}"/>
    <cellStyle name="Heading 2 4 3 2" xfId="16233" xr:uid="{00000000-0005-0000-0000-0000863E0000}"/>
    <cellStyle name="Heading 2 4 4" xfId="16234" xr:uid="{00000000-0005-0000-0000-0000873E0000}"/>
    <cellStyle name="Heading 2 4 5" xfId="16235" xr:uid="{00000000-0005-0000-0000-0000883E0000}"/>
    <cellStyle name="Heading 2 5" xfId="16236" xr:uid="{00000000-0005-0000-0000-0000893E0000}"/>
    <cellStyle name="Heading 2 5 2" xfId="16237" xr:uid="{00000000-0005-0000-0000-00008A3E0000}"/>
    <cellStyle name="Heading 2 5 2 2" xfId="16238" xr:uid="{00000000-0005-0000-0000-00008B3E0000}"/>
    <cellStyle name="Heading 2 5 3" xfId="16239" xr:uid="{00000000-0005-0000-0000-00008C3E0000}"/>
    <cellStyle name="Heading 2 5 4" xfId="16240" xr:uid="{00000000-0005-0000-0000-00008D3E0000}"/>
    <cellStyle name="Heading 2 6" xfId="16241" xr:uid="{00000000-0005-0000-0000-00008E3E0000}"/>
    <cellStyle name="Heading 2 6 2" xfId="16242" xr:uid="{00000000-0005-0000-0000-00008F3E0000}"/>
    <cellStyle name="Heading 2 6 3" xfId="16243" xr:uid="{00000000-0005-0000-0000-0000903E0000}"/>
    <cellStyle name="Heading 2 7" xfId="16244" xr:uid="{00000000-0005-0000-0000-0000913E0000}"/>
    <cellStyle name="Heading 2 7 2" xfId="16245" xr:uid="{00000000-0005-0000-0000-0000923E0000}"/>
    <cellStyle name="Heading 2 8" xfId="16246" xr:uid="{00000000-0005-0000-0000-0000933E0000}"/>
    <cellStyle name="Heading 2 9" xfId="16247" xr:uid="{00000000-0005-0000-0000-0000943E0000}"/>
    <cellStyle name="Heading 3 10" xfId="16248" xr:uid="{00000000-0005-0000-0000-0000953E0000}"/>
    <cellStyle name="Heading 3 11" xfId="16249" xr:uid="{00000000-0005-0000-0000-0000963E0000}"/>
    <cellStyle name="Heading 3 2" xfId="16250" xr:uid="{00000000-0005-0000-0000-0000973E0000}"/>
    <cellStyle name="Heading 3 2 10" xfId="16251" xr:uid="{00000000-0005-0000-0000-0000983E0000}"/>
    <cellStyle name="Heading 3 2 11" xfId="16252" xr:uid="{00000000-0005-0000-0000-0000993E0000}"/>
    <cellStyle name="Heading 3 2 2" xfId="16253" xr:uid="{00000000-0005-0000-0000-00009A3E0000}"/>
    <cellStyle name="Heading 3 2 2 2" xfId="16254" xr:uid="{00000000-0005-0000-0000-00009B3E0000}"/>
    <cellStyle name="Heading 3 2 2 2 2" xfId="16255" xr:uid="{00000000-0005-0000-0000-00009C3E0000}"/>
    <cellStyle name="Heading 3 2 2 2 3" xfId="16256" xr:uid="{00000000-0005-0000-0000-00009D3E0000}"/>
    <cellStyle name="Heading 3 2 2 2 4" xfId="16257" xr:uid="{00000000-0005-0000-0000-00009E3E0000}"/>
    <cellStyle name="Heading 3 2 2 3" xfId="16258" xr:uid="{00000000-0005-0000-0000-00009F3E0000}"/>
    <cellStyle name="Heading 3 2 2 4" xfId="16259" xr:uid="{00000000-0005-0000-0000-0000A03E0000}"/>
    <cellStyle name="Heading 3 2 2 5" xfId="16260" xr:uid="{00000000-0005-0000-0000-0000A13E0000}"/>
    <cellStyle name="Heading 3 2 2 6" xfId="16261" xr:uid="{00000000-0005-0000-0000-0000A23E0000}"/>
    <cellStyle name="Heading 3 2 3" xfId="16262" xr:uid="{00000000-0005-0000-0000-0000A33E0000}"/>
    <cellStyle name="Heading 3 2 3 2" xfId="16263" xr:uid="{00000000-0005-0000-0000-0000A43E0000}"/>
    <cellStyle name="Heading 3 2 3 3" xfId="16264" xr:uid="{00000000-0005-0000-0000-0000A53E0000}"/>
    <cellStyle name="Heading 3 2 3 4" xfId="16265" xr:uid="{00000000-0005-0000-0000-0000A63E0000}"/>
    <cellStyle name="Heading 3 2 3 5" xfId="16266" xr:uid="{00000000-0005-0000-0000-0000A73E0000}"/>
    <cellStyle name="Heading 3 2 4" xfId="16267" xr:uid="{00000000-0005-0000-0000-0000A83E0000}"/>
    <cellStyle name="Heading 3 2 4 2" xfId="16268" xr:uid="{00000000-0005-0000-0000-0000A93E0000}"/>
    <cellStyle name="Heading 3 2 4 3" xfId="16269" xr:uid="{00000000-0005-0000-0000-0000AA3E0000}"/>
    <cellStyle name="Heading 3 2 5" xfId="16270" xr:uid="{00000000-0005-0000-0000-0000AB3E0000}"/>
    <cellStyle name="Heading 3 2 5 2" xfId="16271" xr:uid="{00000000-0005-0000-0000-0000AC3E0000}"/>
    <cellStyle name="Heading 3 2 6" xfId="16272" xr:uid="{00000000-0005-0000-0000-0000AD3E0000}"/>
    <cellStyle name="Heading 3 2 6 2" xfId="16273" xr:uid="{00000000-0005-0000-0000-0000AE3E0000}"/>
    <cellStyle name="Heading 3 2 7" xfId="16274" xr:uid="{00000000-0005-0000-0000-0000AF3E0000}"/>
    <cellStyle name="Heading 3 2 7 2" xfId="16275" xr:uid="{00000000-0005-0000-0000-0000B03E0000}"/>
    <cellStyle name="Heading 3 2 8" xfId="16276" xr:uid="{00000000-0005-0000-0000-0000B13E0000}"/>
    <cellStyle name="Heading 3 2 9" xfId="16277" xr:uid="{00000000-0005-0000-0000-0000B23E0000}"/>
    <cellStyle name="Heading 3 3" xfId="16278" xr:uid="{00000000-0005-0000-0000-0000B33E0000}"/>
    <cellStyle name="Heading 3 3 2" xfId="16279" xr:uid="{00000000-0005-0000-0000-0000B43E0000}"/>
    <cellStyle name="Heading 3 3 2 2" xfId="16280" xr:uid="{00000000-0005-0000-0000-0000B53E0000}"/>
    <cellStyle name="Heading 3 3 2 2 2" xfId="16281" xr:uid="{00000000-0005-0000-0000-0000B63E0000}"/>
    <cellStyle name="Heading 3 3 2 3" xfId="16282" xr:uid="{00000000-0005-0000-0000-0000B73E0000}"/>
    <cellStyle name="Heading 3 3 2 3 2" xfId="16283" xr:uid="{00000000-0005-0000-0000-0000B83E0000}"/>
    <cellStyle name="Heading 3 3 2 4" xfId="16284" xr:uid="{00000000-0005-0000-0000-0000B93E0000}"/>
    <cellStyle name="Heading 3 3 2 5" xfId="16285" xr:uid="{00000000-0005-0000-0000-0000BA3E0000}"/>
    <cellStyle name="Heading 3 3 3" xfId="16286" xr:uid="{00000000-0005-0000-0000-0000BB3E0000}"/>
    <cellStyle name="Heading 3 3 3 2" xfId="16287" xr:uid="{00000000-0005-0000-0000-0000BC3E0000}"/>
    <cellStyle name="Heading 3 3 3 3" xfId="16288" xr:uid="{00000000-0005-0000-0000-0000BD3E0000}"/>
    <cellStyle name="Heading 3 3 4" xfId="16289" xr:uid="{00000000-0005-0000-0000-0000BE3E0000}"/>
    <cellStyle name="Heading 3 3 4 2" xfId="16290" xr:uid="{00000000-0005-0000-0000-0000BF3E0000}"/>
    <cellStyle name="Heading 3 3 5" xfId="16291" xr:uid="{00000000-0005-0000-0000-0000C03E0000}"/>
    <cellStyle name="Heading 3 3 5 2" xfId="16292" xr:uid="{00000000-0005-0000-0000-0000C13E0000}"/>
    <cellStyle name="Heading 3 3 6" xfId="16293" xr:uid="{00000000-0005-0000-0000-0000C23E0000}"/>
    <cellStyle name="Heading 3 3 7" xfId="16294" xr:uid="{00000000-0005-0000-0000-0000C33E0000}"/>
    <cellStyle name="Heading 3 4" xfId="16295" xr:uid="{00000000-0005-0000-0000-0000C43E0000}"/>
    <cellStyle name="Heading 3 4 2" xfId="16296" xr:uid="{00000000-0005-0000-0000-0000C53E0000}"/>
    <cellStyle name="Heading 3 4 3" xfId="16297" xr:uid="{00000000-0005-0000-0000-0000C63E0000}"/>
    <cellStyle name="Heading 3 4 4" xfId="16298" xr:uid="{00000000-0005-0000-0000-0000C73E0000}"/>
    <cellStyle name="Heading 3 4 5" xfId="16299" xr:uid="{00000000-0005-0000-0000-0000C83E0000}"/>
    <cellStyle name="Heading 3 5" xfId="16300" xr:uid="{00000000-0005-0000-0000-0000C93E0000}"/>
    <cellStyle name="Heading 3 5 2" xfId="16301" xr:uid="{00000000-0005-0000-0000-0000CA3E0000}"/>
    <cellStyle name="Heading 3 5 3" xfId="16302" xr:uid="{00000000-0005-0000-0000-0000CB3E0000}"/>
    <cellStyle name="Heading 3 5 4" xfId="16303" xr:uid="{00000000-0005-0000-0000-0000CC3E0000}"/>
    <cellStyle name="Heading 3 6" xfId="16304" xr:uid="{00000000-0005-0000-0000-0000CD3E0000}"/>
    <cellStyle name="Heading 3 6 2" xfId="16305" xr:uid="{00000000-0005-0000-0000-0000CE3E0000}"/>
    <cellStyle name="Heading 3 6 3" xfId="16306" xr:uid="{00000000-0005-0000-0000-0000CF3E0000}"/>
    <cellStyle name="Heading 3 7" xfId="16307" xr:uid="{00000000-0005-0000-0000-0000D03E0000}"/>
    <cellStyle name="Heading 3 7 2" xfId="16308" xr:uid="{00000000-0005-0000-0000-0000D13E0000}"/>
    <cellStyle name="Heading 3 8" xfId="16309" xr:uid="{00000000-0005-0000-0000-0000D23E0000}"/>
    <cellStyle name="Heading 3 9" xfId="16310" xr:uid="{00000000-0005-0000-0000-0000D33E0000}"/>
    <cellStyle name="Heading 4 10" xfId="16311" xr:uid="{00000000-0005-0000-0000-0000D43E0000}"/>
    <cellStyle name="Heading 4 2" xfId="16312" xr:uid="{00000000-0005-0000-0000-0000D53E0000}"/>
    <cellStyle name="Heading 4 2 10" xfId="16313" xr:uid="{00000000-0005-0000-0000-0000D63E0000}"/>
    <cellStyle name="Heading 4 2 11" xfId="16314" xr:uid="{00000000-0005-0000-0000-0000D73E0000}"/>
    <cellStyle name="Heading 4 2 2" xfId="16315" xr:uid="{00000000-0005-0000-0000-0000D83E0000}"/>
    <cellStyle name="Heading 4 2 2 2" xfId="16316" xr:uid="{00000000-0005-0000-0000-0000D93E0000}"/>
    <cellStyle name="Heading 4 2 2 2 2" xfId="16317" xr:uid="{00000000-0005-0000-0000-0000DA3E0000}"/>
    <cellStyle name="Heading 4 2 2 2 3" xfId="16318" xr:uid="{00000000-0005-0000-0000-0000DB3E0000}"/>
    <cellStyle name="Heading 4 2 2 2 4" xfId="16319" xr:uid="{00000000-0005-0000-0000-0000DC3E0000}"/>
    <cellStyle name="Heading 4 2 2 3" xfId="16320" xr:uid="{00000000-0005-0000-0000-0000DD3E0000}"/>
    <cellStyle name="Heading 4 2 2 4" xfId="16321" xr:uid="{00000000-0005-0000-0000-0000DE3E0000}"/>
    <cellStyle name="Heading 4 2 2 5" xfId="16322" xr:uid="{00000000-0005-0000-0000-0000DF3E0000}"/>
    <cellStyle name="Heading 4 2 2 6" xfId="16323" xr:uid="{00000000-0005-0000-0000-0000E03E0000}"/>
    <cellStyle name="Heading 4 2 3" xfId="16324" xr:uid="{00000000-0005-0000-0000-0000E13E0000}"/>
    <cellStyle name="Heading 4 2 3 2" xfId="16325" xr:uid="{00000000-0005-0000-0000-0000E23E0000}"/>
    <cellStyle name="Heading 4 2 3 3" xfId="16326" xr:uid="{00000000-0005-0000-0000-0000E33E0000}"/>
    <cellStyle name="Heading 4 2 3 4" xfId="16327" xr:uid="{00000000-0005-0000-0000-0000E43E0000}"/>
    <cellStyle name="Heading 4 2 3 5" xfId="16328" xr:uid="{00000000-0005-0000-0000-0000E53E0000}"/>
    <cellStyle name="Heading 4 2 4" xfId="16329" xr:uid="{00000000-0005-0000-0000-0000E63E0000}"/>
    <cellStyle name="Heading 4 2 4 2" xfId="16330" xr:uid="{00000000-0005-0000-0000-0000E73E0000}"/>
    <cellStyle name="Heading 4 2 4 3" xfId="16331" xr:uid="{00000000-0005-0000-0000-0000E83E0000}"/>
    <cellStyle name="Heading 4 2 5" xfId="16332" xr:uid="{00000000-0005-0000-0000-0000E93E0000}"/>
    <cellStyle name="Heading 4 2 5 2" xfId="16333" xr:uid="{00000000-0005-0000-0000-0000EA3E0000}"/>
    <cellStyle name="Heading 4 2 6" xfId="16334" xr:uid="{00000000-0005-0000-0000-0000EB3E0000}"/>
    <cellStyle name="Heading 4 2 6 2" xfId="16335" xr:uid="{00000000-0005-0000-0000-0000EC3E0000}"/>
    <cellStyle name="Heading 4 2 7" xfId="16336" xr:uid="{00000000-0005-0000-0000-0000ED3E0000}"/>
    <cellStyle name="Heading 4 2 7 2" xfId="16337" xr:uid="{00000000-0005-0000-0000-0000EE3E0000}"/>
    <cellStyle name="Heading 4 2 8" xfId="16338" xr:uid="{00000000-0005-0000-0000-0000EF3E0000}"/>
    <cellStyle name="Heading 4 2 9" xfId="16339" xr:uid="{00000000-0005-0000-0000-0000F03E0000}"/>
    <cellStyle name="Heading 4 3" xfId="16340" xr:uid="{00000000-0005-0000-0000-0000F13E0000}"/>
    <cellStyle name="Heading 4 3 2" xfId="16341" xr:uid="{00000000-0005-0000-0000-0000F23E0000}"/>
    <cellStyle name="Heading 4 3 2 2" xfId="16342" xr:uid="{00000000-0005-0000-0000-0000F33E0000}"/>
    <cellStyle name="Heading 4 3 2 2 2" xfId="16343" xr:uid="{00000000-0005-0000-0000-0000F43E0000}"/>
    <cellStyle name="Heading 4 3 2 3" xfId="16344" xr:uid="{00000000-0005-0000-0000-0000F53E0000}"/>
    <cellStyle name="Heading 4 3 2 4" xfId="16345" xr:uid="{00000000-0005-0000-0000-0000F63E0000}"/>
    <cellStyle name="Heading 4 3 3" xfId="16346" xr:uid="{00000000-0005-0000-0000-0000F73E0000}"/>
    <cellStyle name="Heading 4 3 3 2" xfId="16347" xr:uid="{00000000-0005-0000-0000-0000F83E0000}"/>
    <cellStyle name="Heading 4 3 3 3" xfId="16348" xr:uid="{00000000-0005-0000-0000-0000F93E0000}"/>
    <cellStyle name="Heading 4 3 4" xfId="16349" xr:uid="{00000000-0005-0000-0000-0000FA3E0000}"/>
    <cellStyle name="Heading 4 3 4 2" xfId="16350" xr:uid="{00000000-0005-0000-0000-0000FB3E0000}"/>
    <cellStyle name="Heading 4 3 5" xfId="16351" xr:uid="{00000000-0005-0000-0000-0000FC3E0000}"/>
    <cellStyle name="Heading 4 3 5 2" xfId="16352" xr:uid="{00000000-0005-0000-0000-0000FD3E0000}"/>
    <cellStyle name="Heading 4 3 6" xfId="16353" xr:uid="{00000000-0005-0000-0000-0000FE3E0000}"/>
    <cellStyle name="Heading 4 3 7" xfId="16354" xr:uid="{00000000-0005-0000-0000-0000FF3E0000}"/>
    <cellStyle name="Heading 4 4" xfId="16355" xr:uid="{00000000-0005-0000-0000-0000003F0000}"/>
    <cellStyle name="Heading 4 4 2" xfId="16356" xr:uid="{00000000-0005-0000-0000-0000013F0000}"/>
    <cellStyle name="Heading 4 4 3" xfId="16357" xr:uid="{00000000-0005-0000-0000-0000023F0000}"/>
    <cellStyle name="Heading 4 4 4" xfId="16358" xr:uid="{00000000-0005-0000-0000-0000033F0000}"/>
    <cellStyle name="Heading 4 4 5" xfId="16359" xr:uid="{00000000-0005-0000-0000-0000043F0000}"/>
    <cellStyle name="Heading 4 5" xfId="16360" xr:uid="{00000000-0005-0000-0000-0000053F0000}"/>
    <cellStyle name="Heading 4 5 2" xfId="16361" xr:uid="{00000000-0005-0000-0000-0000063F0000}"/>
    <cellStyle name="Heading 4 5 3" xfId="16362" xr:uid="{00000000-0005-0000-0000-0000073F0000}"/>
    <cellStyle name="Heading 4 5 4" xfId="16363" xr:uid="{00000000-0005-0000-0000-0000083F0000}"/>
    <cellStyle name="Heading 4 6" xfId="16364" xr:uid="{00000000-0005-0000-0000-0000093F0000}"/>
    <cellStyle name="Heading 4 6 2" xfId="16365" xr:uid="{00000000-0005-0000-0000-00000A3F0000}"/>
    <cellStyle name="Heading 4 7" xfId="16366" xr:uid="{00000000-0005-0000-0000-00000B3F0000}"/>
    <cellStyle name="Heading 4 8" xfId="16367" xr:uid="{00000000-0005-0000-0000-00000C3F0000}"/>
    <cellStyle name="Heading 4 9" xfId="16368" xr:uid="{00000000-0005-0000-0000-00000D3F0000}"/>
    <cellStyle name="Heading1" xfId="41" xr:uid="{00000000-0005-0000-0000-00000E3F0000}"/>
    <cellStyle name="Heading1 2" xfId="242" xr:uid="{00000000-0005-0000-0000-00000F3F0000}"/>
    <cellStyle name="Heading1 2 2" xfId="16369" xr:uid="{00000000-0005-0000-0000-0000103F0000}"/>
    <cellStyle name="Heading1 3" xfId="16370" xr:uid="{00000000-0005-0000-0000-0000113F0000}"/>
    <cellStyle name="Heading1 4" xfId="16371" xr:uid="{00000000-0005-0000-0000-0000123F0000}"/>
    <cellStyle name="Heading1 5" xfId="16372" xr:uid="{00000000-0005-0000-0000-0000133F0000}"/>
    <cellStyle name="Heading1_2010-2012 Program Workbook_Incent_FS" xfId="16373" xr:uid="{00000000-0005-0000-0000-0000143F0000}"/>
    <cellStyle name="Heading2" xfId="42" xr:uid="{00000000-0005-0000-0000-0000153F0000}"/>
    <cellStyle name="Heading2 2" xfId="243" xr:uid="{00000000-0005-0000-0000-0000163F0000}"/>
    <cellStyle name="Heading2 2 2" xfId="16374" xr:uid="{00000000-0005-0000-0000-0000173F0000}"/>
    <cellStyle name="Heading2 3" xfId="16375" xr:uid="{00000000-0005-0000-0000-0000183F0000}"/>
    <cellStyle name="Heading2 4" xfId="16376" xr:uid="{00000000-0005-0000-0000-0000193F0000}"/>
    <cellStyle name="Heading2 5" xfId="16377" xr:uid="{00000000-0005-0000-0000-00001A3F0000}"/>
    <cellStyle name="Heading2_2010-2012 Program Workbook_Incent_FS" xfId="16378" xr:uid="{00000000-0005-0000-0000-00001B3F0000}"/>
    <cellStyle name="Hidden" xfId="43" xr:uid="{00000000-0005-0000-0000-00001C3F0000}"/>
    <cellStyle name="Hidden 2" xfId="244" xr:uid="{00000000-0005-0000-0000-00001D3F0000}"/>
    <cellStyle name="Hidden 2 2" xfId="16379" xr:uid="{00000000-0005-0000-0000-00001E3F0000}"/>
    <cellStyle name="Hidden 3" xfId="16380" xr:uid="{00000000-0005-0000-0000-00001F3F0000}"/>
    <cellStyle name="HIGHLIGHT" xfId="44" xr:uid="{00000000-0005-0000-0000-0000203F0000}"/>
    <cellStyle name="HIGHLIGHT 2" xfId="16381" xr:uid="{00000000-0005-0000-0000-0000213F0000}"/>
    <cellStyle name="HIGHLIGHT 2 2" xfId="16382" xr:uid="{00000000-0005-0000-0000-0000223F0000}"/>
    <cellStyle name="HIGHLIGHT 2 2 2" xfId="16383" xr:uid="{00000000-0005-0000-0000-0000233F0000}"/>
    <cellStyle name="HIGHLIGHT 2 3" xfId="16384" xr:uid="{00000000-0005-0000-0000-0000243F0000}"/>
    <cellStyle name="HIGHLIGHT 2 4" xfId="16385" xr:uid="{00000000-0005-0000-0000-0000253F0000}"/>
    <cellStyle name="HIGHLIGHT 2 5" xfId="16386" xr:uid="{00000000-0005-0000-0000-0000263F0000}"/>
    <cellStyle name="HIGHLIGHT 3" xfId="16387" xr:uid="{00000000-0005-0000-0000-0000273F0000}"/>
    <cellStyle name="HIGHLIGHT 3 2" xfId="16388" xr:uid="{00000000-0005-0000-0000-0000283F0000}"/>
    <cellStyle name="HIGHLIGHT 3 3" xfId="16389" xr:uid="{00000000-0005-0000-0000-0000293F0000}"/>
    <cellStyle name="HIGHLIGHT 4" xfId="16390" xr:uid="{00000000-0005-0000-0000-00002A3F0000}"/>
    <cellStyle name="HIGHLIGHT 5" xfId="16391" xr:uid="{00000000-0005-0000-0000-00002B3F0000}"/>
    <cellStyle name="HIGHLIGHT 6" xfId="16392" xr:uid="{00000000-0005-0000-0000-00002C3F0000}"/>
    <cellStyle name="highlite" xfId="16393" xr:uid="{00000000-0005-0000-0000-00002D3F0000}"/>
    <cellStyle name="hilite" xfId="16394" xr:uid="{00000000-0005-0000-0000-00002E3F0000}"/>
    <cellStyle name="Hyperlink" xfId="61196" builtinId="8"/>
    <cellStyle name="Hyperlink 2" xfId="16395" xr:uid="{00000000-0005-0000-0000-00002F3F0000}"/>
    <cellStyle name="Hyperlink 2 2" xfId="16396" xr:uid="{00000000-0005-0000-0000-0000303F0000}"/>
    <cellStyle name="Hyperlink 2 2 2" xfId="16397" xr:uid="{00000000-0005-0000-0000-0000313F0000}"/>
    <cellStyle name="Hyperlink 2 2 2 2" xfId="16398" xr:uid="{00000000-0005-0000-0000-0000323F0000}"/>
    <cellStyle name="Hyperlink 2 2 3" xfId="16399" xr:uid="{00000000-0005-0000-0000-0000333F0000}"/>
    <cellStyle name="Hyperlink 2 2 4" xfId="16400" xr:uid="{00000000-0005-0000-0000-0000343F0000}"/>
    <cellStyle name="Hyperlink 2 3" xfId="16401" xr:uid="{00000000-0005-0000-0000-0000353F0000}"/>
    <cellStyle name="Hyperlink 2 3 2" xfId="16402" xr:uid="{00000000-0005-0000-0000-0000363F0000}"/>
    <cellStyle name="Hyperlink 2 3 3" xfId="16403" xr:uid="{00000000-0005-0000-0000-0000373F0000}"/>
    <cellStyle name="Hyperlink 2 4" xfId="16404" xr:uid="{00000000-0005-0000-0000-0000383F0000}"/>
    <cellStyle name="Hyperlink 2 5" xfId="16405" xr:uid="{00000000-0005-0000-0000-0000393F0000}"/>
    <cellStyle name="Hyperlink 3" xfId="16406" xr:uid="{00000000-0005-0000-0000-00003A3F0000}"/>
    <cellStyle name="Hyperlink 3 2" xfId="16407" xr:uid="{00000000-0005-0000-0000-00003B3F0000}"/>
    <cellStyle name="Hyperlink 3 2 2" xfId="16408" xr:uid="{00000000-0005-0000-0000-00003C3F0000}"/>
    <cellStyle name="Hyperlink 3 2 2 2" xfId="16409" xr:uid="{00000000-0005-0000-0000-00003D3F0000}"/>
    <cellStyle name="Hyperlink 3 2 3" xfId="16410" xr:uid="{00000000-0005-0000-0000-00003E3F0000}"/>
    <cellStyle name="Hyperlink 3 3" xfId="16411" xr:uid="{00000000-0005-0000-0000-00003F3F0000}"/>
    <cellStyle name="Hyperlink 3 3 2" xfId="16412" xr:uid="{00000000-0005-0000-0000-0000403F0000}"/>
    <cellStyle name="Hyperlink 3 4" xfId="16413" xr:uid="{00000000-0005-0000-0000-0000413F0000}"/>
    <cellStyle name="Hyperlink 3 5" xfId="16414" xr:uid="{00000000-0005-0000-0000-0000423F0000}"/>
    <cellStyle name="Hyperlink 4" xfId="16415" xr:uid="{00000000-0005-0000-0000-0000433F0000}"/>
    <cellStyle name="Hyperlink 4 2" xfId="16416" xr:uid="{00000000-0005-0000-0000-0000443F0000}"/>
    <cellStyle name="Hyperlink 4 2 2" xfId="16417" xr:uid="{00000000-0005-0000-0000-0000453F0000}"/>
    <cellStyle name="Hyperlink 4 2 2 2" xfId="16418" xr:uid="{00000000-0005-0000-0000-0000463F0000}"/>
    <cellStyle name="Hyperlink 4 2 3" xfId="16419" xr:uid="{00000000-0005-0000-0000-0000473F0000}"/>
    <cellStyle name="Hyperlink 4 3" xfId="16420" xr:uid="{00000000-0005-0000-0000-0000483F0000}"/>
    <cellStyle name="Hyperlink 4 3 2" xfId="16421" xr:uid="{00000000-0005-0000-0000-0000493F0000}"/>
    <cellStyle name="Hyperlink 4 3 2 2" xfId="16422" xr:uid="{00000000-0005-0000-0000-00004A3F0000}"/>
    <cellStyle name="Hyperlink 4 3 3" xfId="16423" xr:uid="{00000000-0005-0000-0000-00004B3F0000}"/>
    <cellStyle name="Hyperlink 4 4" xfId="16424" xr:uid="{00000000-0005-0000-0000-00004C3F0000}"/>
    <cellStyle name="Hyperlink 4 4 2" xfId="16425" xr:uid="{00000000-0005-0000-0000-00004D3F0000}"/>
    <cellStyle name="Hyperlink 4 5" xfId="16426" xr:uid="{00000000-0005-0000-0000-00004E3F0000}"/>
    <cellStyle name="Hyperlink 5" xfId="16427" xr:uid="{00000000-0005-0000-0000-00004F3F0000}"/>
    <cellStyle name="Hyperlink 5 2" xfId="16428" xr:uid="{00000000-0005-0000-0000-0000503F0000}"/>
    <cellStyle name="Hyperlink 5 2 2" xfId="16429" xr:uid="{00000000-0005-0000-0000-0000513F0000}"/>
    <cellStyle name="Hyperlink 5 2 2 2" xfId="16430" xr:uid="{00000000-0005-0000-0000-0000523F0000}"/>
    <cellStyle name="Hyperlink 5 2 3" xfId="16431" xr:uid="{00000000-0005-0000-0000-0000533F0000}"/>
    <cellStyle name="Hyperlink 5 3" xfId="16432" xr:uid="{00000000-0005-0000-0000-0000543F0000}"/>
    <cellStyle name="Hyperlink 5 3 2" xfId="16433" xr:uid="{00000000-0005-0000-0000-0000553F0000}"/>
    <cellStyle name="Hyperlink 5 4" xfId="16434" xr:uid="{00000000-0005-0000-0000-0000563F0000}"/>
    <cellStyle name="Input [yellow]" xfId="45" xr:uid="{00000000-0005-0000-0000-0000573F0000}"/>
    <cellStyle name="Input [yellow] 2" xfId="16435" xr:uid="{00000000-0005-0000-0000-0000583F0000}"/>
    <cellStyle name="Input [yellow] 2 2" xfId="16436" xr:uid="{00000000-0005-0000-0000-0000593F0000}"/>
    <cellStyle name="Input [yellow] 2 2 2" xfId="16437" xr:uid="{00000000-0005-0000-0000-00005A3F0000}"/>
    <cellStyle name="Input [yellow] 2 2 2 2" xfId="16438" xr:uid="{00000000-0005-0000-0000-00005B3F0000}"/>
    <cellStyle name="Input [yellow] 2 2 2 3" xfId="16439" xr:uid="{00000000-0005-0000-0000-00005C3F0000}"/>
    <cellStyle name="Input [yellow] 2 2 3" xfId="16440" xr:uid="{00000000-0005-0000-0000-00005D3F0000}"/>
    <cellStyle name="Input [yellow] 2 3" xfId="16441" xr:uid="{00000000-0005-0000-0000-00005E3F0000}"/>
    <cellStyle name="Input [yellow] 2 3 2" xfId="16442" xr:uid="{00000000-0005-0000-0000-00005F3F0000}"/>
    <cellStyle name="Input [yellow] 2 3 3" xfId="16443" xr:uid="{00000000-0005-0000-0000-0000603F0000}"/>
    <cellStyle name="Input [yellow] 2 4" xfId="16444" xr:uid="{00000000-0005-0000-0000-0000613F0000}"/>
    <cellStyle name="Input [yellow] 2 5" xfId="16445" xr:uid="{00000000-0005-0000-0000-0000623F0000}"/>
    <cellStyle name="Input [yellow] 3" xfId="16446" xr:uid="{00000000-0005-0000-0000-0000633F0000}"/>
    <cellStyle name="Input [yellow] 3 2" xfId="16447" xr:uid="{00000000-0005-0000-0000-0000643F0000}"/>
    <cellStyle name="Input [yellow] 3 2 2" xfId="16448" xr:uid="{00000000-0005-0000-0000-0000653F0000}"/>
    <cellStyle name="Input [yellow] 3 2 3" xfId="16449" xr:uid="{00000000-0005-0000-0000-0000663F0000}"/>
    <cellStyle name="Input [yellow] 3 3" xfId="16450" xr:uid="{00000000-0005-0000-0000-0000673F0000}"/>
    <cellStyle name="Input [yellow] 4" xfId="16451" xr:uid="{00000000-0005-0000-0000-0000683F0000}"/>
    <cellStyle name="Input [yellow] 4 2" xfId="16452" xr:uid="{00000000-0005-0000-0000-0000693F0000}"/>
    <cellStyle name="Input [yellow] 4 3" xfId="16453" xr:uid="{00000000-0005-0000-0000-00006A3F0000}"/>
    <cellStyle name="Input [yellow] 5" xfId="16454" xr:uid="{00000000-0005-0000-0000-00006B3F0000}"/>
    <cellStyle name="Input [yellow] 6" xfId="16455" xr:uid="{00000000-0005-0000-0000-00006C3F0000}"/>
    <cellStyle name="Input [yellow]_2010-2012 Program Workbook Completed_Incent_V2" xfId="16456" xr:uid="{00000000-0005-0000-0000-00006D3F0000}"/>
    <cellStyle name="Input 10" xfId="16457" xr:uid="{00000000-0005-0000-0000-00006E3F0000}"/>
    <cellStyle name="Input 10 2" xfId="16458" xr:uid="{00000000-0005-0000-0000-00006F3F0000}"/>
    <cellStyle name="Input 10 2 2" xfId="16459" xr:uid="{00000000-0005-0000-0000-0000703F0000}"/>
    <cellStyle name="Input 10 2 2 2" xfId="16460" xr:uid="{00000000-0005-0000-0000-0000713F0000}"/>
    <cellStyle name="Input 10 2 2 3" xfId="16461" xr:uid="{00000000-0005-0000-0000-0000723F0000}"/>
    <cellStyle name="Input 10 2 2 4" xfId="16462" xr:uid="{00000000-0005-0000-0000-0000733F0000}"/>
    <cellStyle name="Input 10 2 3" xfId="16463" xr:uid="{00000000-0005-0000-0000-0000743F0000}"/>
    <cellStyle name="Input 10 2 3 2" xfId="16464" xr:uid="{00000000-0005-0000-0000-0000753F0000}"/>
    <cellStyle name="Input 10 2 4" xfId="16465" xr:uid="{00000000-0005-0000-0000-0000763F0000}"/>
    <cellStyle name="Input 10 2 4 2" xfId="16466" xr:uid="{00000000-0005-0000-0000-0000773F0000}"/>
    <cellStyle name="Input 10 2 5" xfId="16467" xr:uid="{00000000-0005-0000-0000-0000783F0000}"/>
    <cellStyle name="Input 10 2 6" xfId="16468" xr:uid="{00000000-0005-0000-0000-0000793F0000}"/>
    <cellStyle name="Input 10 2 7" xfId="16469" xr:uid="{00000000-0005-0000-0000-00007A3F0000}"/>
    <cellStyle name="Input 10 3" xfId="16470" xr:uid="{00000000-0005-0000-0000-00007B3F0000}"/>
    <cellStyle name="Input 10 3 2" xfId="16471" xr:uid="{00000000-0005-0000-0000-00007C3F0000}"/>
    <cellStyle name="Input 10 3 3" xfId="16472" xr:uid="{00000000-0005-0000-0000-00007D3F0000}"/>
    <cellStyle name="Input 10 3 4" xfId="16473" xr:uid="{00000000-0005-0000-0000-00007E3F0000}"/>
    <cellStyle name="Input 10 4" xfId="16474" xr:uid="{00000000-0005-0000-0000-00007F3F0000}"/>
    <cellStyle name="Input 10 4 2" xfId="16475" xr:uid="{00000000-0005-0000-0000-0000803F0000}"/>
    <cellStyle name="Input 10 5" xfId="16476" xr:uid="{00000000-0005-0000-0000-0000813F0000}"/>
    <cellStyle name="Input 10 5 2" xfId="16477" xr:uid="{00000000-0005-0000-0000-0000823F0000}"/>
    <cellStyle name="Input 10 5 3" xfId="16478" xr:uid="{00000000-0005-0000-0000-0000833F0000}"/>
    <cellStyle name="Input 10 6" xfId="16479" xr:uid="{00000000-0005-0000-0000-0000843F0000}"/>
    <cellStyle name="Input 10 6 2" xfId="16480" xr:uid="{00000000-0005-0000-0000-0000853F0000}"/>
    <cellStyle name="Input 10 7" xfId="16481" xr:uid="{00000000-0005-0000-0000-0000863F0000}"/>
    <cellStyle name="Input 10 8" xfId="16482" xr:uid="{00000000-0005-0000-0000-0000873F0000}"/>
    <cellStyle name="Input 10 9" xfId="16483" xr:uid="{00000000-0005-0000-0000-0000883F0000}"/>
    <cellStyle name="Input 100" xfId="16484" xr:uid="{00000000-0005-0000-0000-0000893F0000}"/>
    <cellStyle name="Input 100 2" xfId="16485" xr:uid="{00000000-0005-0000-0000-00008A3F0000}"/>
    <cellStyle name="Input 100 3" xfId="16486" xr:uid="{00000000-0005-0000-0000-00008B3F0000}"/>
    <cellStyle name="Input 101" xfId="16487" xr:uid="{00000000-0005-0000-0000-00008C3F0000}"/>
    <cellStyle name="Input 101 2" xfId="16488" xr:uid="{00000000-0005-0000-0000-00008D3F0000}"/>
    <cellStyle name="Input 101 3" xfId="16489" xr:uid="{00000000-0005-0000-0000-00008E3F0000}"/>
    <cellStyle name="Input 102" xfId="16490" xr:uid="{00000000-0005-0000-0000-00008F3F0000}"/>
    <cellStyle name="Input 102 2" xfId="16491" xr:uid="{00000000-0005-0000-0000-0000903F0000}"/>
    <cellStyle name="Input 102 3" xfId="16492" xr:uid="{00000000-0005-0000-0000-0000913F0000}"/>
    <cellStyle name="Input 103" xfId="16493" xr:uid="{00000000-0005-0000-0000-0000923F0000}"/>
    <cellStyle name="Input 103 2" xfId="16494" xr:uid="{00000000-0005-0000-0000-0000933F0000}"/>
    <cellStyle name="Input 104" xfId="16495" xr:uid="{00000000-0005-0000-0000-0000943F0000}"/>
    <cellStyle name="Input 104 2" xfId="16496" xr:uid="{00000000-0005-0000-0000-0000953F0000}"/>
    <cellStyle name="Input 105" xfId="16497" xr:uid="{00000000-0005-0000-0000-0000963F0000}"/>
    <cellStyle name="Input 105 2" xfId="16498" xr:uid="{00000000-0005-0000-0000-0000973F0000}"/>
    <cellStyle name="Input 106" xfId="16499" xr:uid="{00000000-0005-0000-0000-0000983F0000}"/>
    <cellStyle name="Input 106 2" xfId="16500" xr:uid="{00000000-0005-0000-0000-0000993F0000}"/>
    <cellStyle name="Input 107" xfId="16501" xr:uid="{00000000-0005-0000-0000-00009A3F0000}"/>
    <cellStyle name="Input 107 2" xfId="16502" xr:uid="{00000000-0005-0000-0000-00009B3F0000}"/>
    <cellStyle name="Input 108" xfId="16503" xr:uid="{00000000-0005-0000-0000-00009C3F0000}"/>
    <cellStyle name="Input 108 2" xfId="16504" xr:uid="{00000000-0005-0000-0000-00009D3F0000}"/>
    <cellStyle name="Input 109" xfId="16505" xr:uid="{00000000-0005-0000-0000-00009E3F0000}"/>
    <cellStyle name="Input 109 2" xfId="16506" xr:uid="{00000000-0005-0000-0000-00009F3F0000}"/>
    <cellStyle name="Input 11" xfId="16507" xr:uid="{00000000-0005-0000-0000-0000A03F0000}"/>
    <cellStyle name="Input 11 2" xfId="16508" xr:uid="{00000000-0005-0000-0000-0000A13F0000}"/>
    <cellStyle name="Input 11 2 2" xfId="16509" xr:uid="{00000000-0005-0000-0000-0000A23F0000}"/>
    <cellStyle name="Input 11 2 2 2" xfId="16510" xr:uid="{00000000-0005-0000-0000-0000A33F0000}"/>
    <cellStyle name="Input 11 2 2 3" xfId="16511" xr:uid="{00000000-0005-0000-0000-0000A43F0000}"/>
    <cellStyle name="Input 11 2 2 4" xfId="16512" xr:uid="{00000000-0005-0000-0000-0000A53F0000}"/>
    <cellStyle name="Input 11 2 3" xfId="16513" xr:uid="{00000000-0005-0000-0000-0000A63F0000}"/>
    <cellStyle name="Input 11 2 3 2" xfId="16514" xr:uid="{00000000-0005-0000-0000-0000A73F0000}"/>
    <cellStyle name="Input 11 2 4" xfId="16515" xr:uid="{00000000-0005-0000-0000-0000A83F0000}"/>
    <cellStyle name="Input 11 2 4 2" xfId="16516" xr:uid="{00000000-0005-0000-0000-0000A93F0000}"/>
    <cellStyle name="Input 11 2 5" xfId="16517" xr:uid="{00000000-0005-0000-0000-0000AA3F0000}"/>
    <cellStyle name="Input 11 2 6" xfId="16518" xr:uid="{00000000-0005-0000-0000-0000AB3F0000}"/>
    <cellStyle name="Input 11 2 7" xfId="16519" xr:uid="{00000000-0005-0000-0000-0000AC3F0000}"/>
    <cellStyle name="Input 11 3" xfId="16520" xr:uid="{00000000-0005-0000-0000-0000AD3F0000}"/>
    <cellStyle name="Input 11 3 2" xfId="16521" xr:uid="{00000000-0005-0000-0000-0000AE3F0000}"/>
    <cellStyle name="Input 11 3 3" xfId="16522" xr:uid="{00000000-0005-0000-0000-0000AF3F0000}"/>
    <cellStyle name="Input 11 3 4" xfId="16523" xr:uid="{00000000-0005-0000-0000-0000B03F0000}"/>
    <cellStyle name="Input 11 4" xfId="16524" xr:uid="{00000000-0005-0000-0000-0000B13F0000}"/>
    <cellStyle name="Input 11 4 2" xfId="16525" xr:uid="{00000000-0005-0000-0000-0000B23F0000}"/>
    <cellStyle name="Input 11 5" xfId="16526" xr:uid="{00000000-0005-0000-0000-0000B33F0000}"/>
    <cellStyle name="Input 11 5 2" xfId="16527" xr:uid="{00000000-0005-0000-0000-0000B43F0000}"/>
    <cellStyle name="Input 11 5 3" xfId="16528" xr:uid="{00000000-0005-0000-0000-0000B53F0000}"/>
    <cellStyle name="Input 11 6" xfId="16529" xr:uid="{00000000-0005-0000-0000-0000B63F0000}"/>
    <cellStyle name="Input 11 7" xfId="16530" xr:uid="{00000000-0005-0000-0000-0000B73F0000}"/>
    <cellStyle name="Input 11 8" xfId="16531" xr:uid="{00000000-0005-0000-0000-0000B83F0000}"/>
    <cellStyle name="Input 110" xfId="16532" xr:uid="{00000000-0005-0000-0000-0000B93F0000}"/>
    <cellStyle name="Input 110 2" xfId="16533" xr:uid="{00000000-0005-0000-0000-0000BA3F0000}"/>
    <cellStyle name="Input 111" xfId="16534" xr:uid="{00000000-0005-0000-0000-0000BB3F0000}"/>
    <cellStyle name="Input 112" xfId="16535" xr:uid="{00000000-0005-0000-0000-0000BC3F0000}"/>
    <cellStyle name="Input 113" xfId="16536" xr:uid="{00000000-0005-0000-0000-0000BD3F0000}"/>
    <cellStyle name="Input 114" xfId="16537" xr:uid="{00000000-0005-0000-0000-0000BE3F0000}"/>
    <cellStyle name="Input 115" xfId="16538" xr:uid="{00000000-0005-0000-0000-0000BF3F0000}"/>
    <cellStyle name="Input 116" xfId="16539" xr:uid="{00000000-0005-0000-0000-0000C03F0000}"/>
    <cellStyle name="Input 117" xfId="16540" xr:uid="{00000000-0005-0000-0000-0000C13F0000}"/>
    <cellStyle name="Input 118" xfId="16541" xr:uid="{00000000-0005-0000-0000-0000C23F0000}"/>
    <cellStyle name="Input 119" xfId="16542" xr:uid="{00000000-0005-0000-0000-0000C33F0000}"/>
    <cellStyle name="Input 12" xfId="16543" xr:uid="{00000000-0005-0000-0000-0000C43F0000}"/>
    <cellStyle name="Input 12 2" xfId="16544" xr:uid="{00000000-0005-0000-0000-0000C53F0000}"/>
    <cellStyle name="Input 12 2 2" xfId="16545" xr:uid="{00000000-0005-0000-0000-0000C63F0000}"/>
    <cellStyle name="Input 12 2 2 2" xfId="16546" xr:uid="{00000000-0005-0000-0000-0000C73F0000}"/>
    <cellStyle name="Input 12 2 2 3" xfId="16547" xr:uid="{00000000-0005-0000-0000-0000C83F0000}"/>
    <cellStyle name="Input 12 2 2 4" xfId="16548" xr:uid="{00000000-0005-0000-0000-0000C93F0000}"/>
    <cellStyle name="Input 12 2 3" xfId="16549" xr:uid="{00000000-0005-0000-0000-0000CA3F0000}"/>
    <cellStyle name="Input 12 2 3 2" xfId="16550" xr:uid="{00000000-0005-0000-0000-0000CB3F0000}"/>
    <cellStyle name="Input 12 2 4" xfId="16551" xr:uid="{00000000-0005-0000-0000-0000CC3F0000}"/>
    <cellStyle name="Input 12 2 4 2" xfId="16552" xr:uid="{00000000-0005-0000-0000-0000CD3F0000}"/>
    <cellStyle name="Input 12 2 5" xfId="16553" xr:uid="{00000000-0005-0000-0000-0000CE3F0000}"/>
    <cellStyle name="Input 12 2 6" xfId="16554" xr:uid="{00000000-0005-0000-0000-0000CF3F0000}"/>
    <cellStyle name="Input 12 2 7" xfId="16555" xr:uid="{00000000-0005-0000-0000-0000D03F0000}"/>
    <cellStyle name="Input 12 3" xfId="16556" xr:uid="{00000000-0005-0000-0000-0000D13F0000}"/>
    <cellStyle name="Input 12 3 2" xfId="16557" xr:uid="{00000000-0005-0000-0000-0000D23F0000}"/>
    <cellStyle name="Input 12 3 3" xfId="16558" xr:uid="{00000000-0005-0000-0000-0000D33F0000}"/>
    <cellStyle name="Input 12 3 4" xfId="16559" xr:uid="{00000000-0005-0000-0000-0000D43F0000}"/>
    <cellStyle name="Input 12 4" xfId="16560" xr:uid="{00000000-0005-0000-0000-0000D53F0000}"/>
    <cellStyle name="Input 12 4 2" xfId="16561" xr:uid="{00000000-0005-0000-0000-0000D63F0000}"/>
    <cellStyle name="Input 12 5" xfId="16562" xr:uid="{00000000-0005-0000-0000-0000D73F0000}"/>
    <cellStyle name="Input 12 5 2" xfId="16563" xr:uid="{00000000-0005-0000-0000-0000D83F0000}"/>
    <cellStyle name="Input 12 5 3" xfId="16564" xr:uid="{00000000-0005-0000-0000-0000D93F0000}"/>
    <cellStyle name="Input 12 6" xfId="16565" xr:uid="{00000000-0005-0000-0000-0000DA3F0000}"/>
    <cellStyle name="Input 12 7" xfId="16566" xr:uid="{00000000-0005-0000-0000-0000DB3F0000}"/>
    <cellStyle name="Input 12 8" xfId="16567" xr:uid="{00000000-0005-0000-0000-0000DC3F0000}"/>
    <cellStyle name="Input 120" xfId="16568" xr:uid="{00000000-0005-0000-0000-0000DD3F0000}"/>
    <cellStyle name="Input 121" xfId="16569" xr:uid="{00000000-0005-0000-0000-0000DE3F0000}"/>
    <cellStyle name="Input 122" xfId="16570" xr:uid="{00000000-0005-0000-0000-0000DF3F0000}"/>
    <cellStyle name="Input 123" xfId="16571" xr:uid="{00000000-0005-0000-0000-0000E03F0000}"/>
    <cellStyle name="Input 124" xfId="16572" xr:uid="{00000000-0005-0000-0000-0000E13F0000}"/>
    <cellStyle name="Input 125" xfId="16573" xr:uid="{00000000-0005-0000-0000-0000E23F0000}"/>
    <cellStyle name="Input 126" xfId="16574" xr:uid="{00000000-0005-0000-0000-0000E33F0000}"/>
    <cellStyle name="Input 127" xfId="16575" xr:uid="{00000000-0005-0000-0000-0000E43F0000}"/>
    <cellStyle name="Input 128" xfId="16576" xr:uid="{00000000-0005-0000-0000-0000E53F0000}"/>
    <cellStyle name="Input 129" xfId="16577" xr:uid="{00000000-0005-0000-0000-0000E63F0000}"/>
    <cellStyle name="Input 13" xfId="16578" xr:uid="{00000000-0005-0000-0000-0000E73F0000}"/>
    <cellStyle name="Input 13 2" xfId="16579" xr:uid="{00000000-0005-0000-0000-0000E83F0000}"/>
    <cellStyle name="Input 13 2 2" xfId="16580" xr:uid="{00000000-0005-0000-0000-0000E93F0000}"/>
    <cellStyle name="Input 13 2 2 2" xfId="16581" xr:uid="{00000000-0005-0000-0000-0000EA3F0000}"/>
    <cellStyle name="Input 13 2 2 3" xfId="16582" xr:uid="{00000000-0005-0000-0000-0000EB3F0000}"/>
    <cellStyle name="Input 13 2 2 4" xfId="16583" xr:uid="{00000000-0005-0000-0000-0000EC3F0000}"/>
    <cellStyle name="Input 13 2 3" xfId="16584" xr:uid="{00000000-0005-0000-0000-0000ED3F0000}"/>
    <cellStyle name="Input 13 2 3 2" xfId="16585" xr:uid="{00000000-0005-0000-0000-0000EE3F0000}"/>
    <cellStyle name="Input 13 2 4" xfId="16586" xr:uid="{00000000-0005-0000-0000-0000EF3F0000}"/>
    <cellStyle name="Input 13 2 4 2" xfId="16587" xr:uid="{00000000-0005-0000-0000-0000F03F0000}"/>
    <cellStyle name="Input 13 2 5" xfId="16588" xr:uid="{00000000-0005-0000-0000-0000F13F0000}"/>
    <cellStyle name="Input 13 2 6" xfId="16589" xr:uid="{00000000-0005-0000-0000-0000F23F0000}"/>
    <cellStyle name="Input 13 2 7" xfId="16590" xr:uid="{00000000-0005-0000-0000-0000F33F0000}"/>
    <cellStyle name="Input 13 3" xfId="16591" xr:uid="{00000000-0005-0000-0000-0000F43F0000}"/>
    <cellStyle name="Input 13 3 2" xfId="16592" xr:uid="{00000000-0005-0000-0000-0000F53F0000}"/>
    <cellStyle name="Input 13 3 3" xfId="16593" xr:uid="{00000000-0005-0000-0000-0000F63F0000}"/>
    <cellStyle name="Input 13 3 4" xfId="16594" xr:uid="{00000000-0005-0000-0000-0000F73F0000}"/>
    <cellStyle name="Input 13 4" xfId="16595" xr:uid="{00000000-0005-0000-0000-0000F83F0000}"/>
    <cellStyle name="Input 13 4 2" xfId="16596" xr:uid="{00000000-0005-0000-0000-0000F93F0000}"/>
    <cellStyle name="Input 13 5" xfId="16597" xr:uid="{00000000-0005-0000-0000-0000FA3F0000}"/>
    <cellStyle name="Input 13 5 2" xfId="16598" xr:uid="{00000000-0005-0000-0000-0000FB3F0000}"/>
    <cellStyle name="Input 13 5 3" xfId="16599" xr:uid="{00000000-0005-0000-0000-0000FC3F0000}"/>
    <cellStyle name="Input 13 6" xfId="16600" xr:uid="{00000000-0005-0000-0000-0000FD3F0000}"/>
    <cellStyle name="Input 13 7" xfId="16601" xr:uid="{00000000-0005-0000-0000-0000FE3F0000}"/>
    <cellStyle name="Input 13 8" xfId="16602" xr:uid="{00000000-0005-0000-0000-0000FF3F0000}"/>
    <cellStyle name="Input 130" xfId="16603" xr:uid="{00000000-0005-0000-0000-000000400000}"/>
    <cellStyle name="Input 130 2" xfId="16604" xr:uid="{00000000-0005-0000-0000-000001400000}"/>
    <cellStyle name="Input 130 2 2" xfId="16605" xr:uid="{00000000-0005-0000-0000-000002400000}"/>
    <cellStyle name="Input 130 3" xfId="16606" xr:uid="{00000000-0005-0000-0000-000003400000}"/>
    <cellStyle name="Input 130 3 2" xfId="16607" xr:uid="{00000000-0005-0000-0000-000004400000}"/>
    <cellStyle name="Input 130 4" xfId="16608" xr:uid="{00000000-0005-0000-0000-000005400000}"/>
    <cellStyle name="Input 131" xfId="16609" xr:uid="{00000000-0005-0000-0000-000006400000}"/>
    <cellStyle name="Input 131 2" xfId="16610" xr:uid="{00000000-0005-0000-0000-000007400000}"/>
    <cellStyle name="Input 131 2 2" xfId="16611" xr:uid="{00000000-0005-0000-0000-000008400000}"/>
    <cellStyle name="Input 131 3" xfId="16612" xr:uid="{00000000-0005-0000-0000-000009400000}"/>
    <cellStyle name="Input 131 3 2" xfId="16613" xr:uid="{00000000-0005-0000-0000-00000A400000}"/>
    <cellStyle name="Input 131 4" xfId="16614" xr:uid="{00000000-0005-0000-0000-00000B400000}"/>
    <cellStyle name="Input 132" xfId="16615" xr:uid="{00000000-0005-0000-0000-00000C400000}"/>
    <cellStyle name="Input 132 2" xfId="16616" xr:uid="{00000000-0005-0000-0000-00000D400000}"/>
    <cellStyle name="Input 132 2 2" xfId="16617" xr:uid="{00000000-0005-0000-0000-00000E400000}"/>
    <cellStyle name="Input 132 3" xfId="16618" xr:uid="{00000000-0005-0000-0000-00000F400000}"/>
    <cellStyle name="Input 132 3 2" xfId="16619" xr:uid="{00000000-0005-0000-0000-000010400000}"/>
    <cellStyle name="Input 132 4" xfId="16620" xr:uid="{00000000-0005-0000-0000-000011400000}"/>
    <cellStyle name="Input 133" xfId="16621" xr:uid="{00000000-0005-0000-0000-000012400000}"/>
    <cellStyle name="Input 133 2" xfId="16622" xr:uid="{00000000-0005-0000-0000-000013400000}"/>
    <cellStyle name="Input 133 2 2" xfId="16623" xr:uid="{00000000-0005-0000-0000-000014400000}"/>
    <cellStyle name="Input 133 3" xfId="16624" xr:uid="{00000000-0005-0000-0000-000015400000}"/>
    <cellStyle name="Input 133 3 2" xfId="16625" xr:uid="{00000000-0005-0000-0000-000016400000}"/>
    <cellStyle name="Input 133 4" xfId="16626" xr:uid="{00000000-0005-0000-0000-000017400000}"/>
    <cellStyle name="Input 134" xfId="16627" xr:uid="{00000000-0005-0000-0000-000018400000}"/>
    <cellStyle name="Input 134 2" xfId="16628" xr:uid="{00000000-0005-0000-0000-000019400000}"/>
    <cellStyle name="Input 134 2 2" xfId="16629" xr:uid="{00000000-0005-0000-0000-00001A400000}"/>
    <cellStyle name="Input 134 3" xfId="16630" xr:uid="{00000000-0005-0000-0000-00001B400000}"/>
    <cellStyle name="Input 134 3 2" xfId="16631" xr:uid="{00000000-0005-0000-0000-00001C400000}"/>
    <cellStyle name="Input 134 4" xfId="16632" xr:uid="{00000000-0005-0000-0000-00001D400000}"/>
    <cellStyle name="Input 135" xfId="16633" xr:uid="{00000000-0005-0000-0000-00001E400000}"/>
    <cellStyle name="Input 135 2" xfId="16634" xr:uid="{00000000-0005-0000-0000-00001F400000}"/>
    <cellStyle name="Input 135 2 2" xfId="16635" xr:uid="{00000000-0005-0000-0000-000020400000}"/>
    <cellStyle name="Input 135 3" xfId="16636" xr:uid="{00000000-0005-0000-0000-000021400000}"/>
    <cellStyle name="Input 135 3 2" xfId="16637" xr:uid="{00000000-0005-0000-0000-000022400000}"/>
    <cellStyle name="Input 135 4" xfId="16638" xr:uid="{00000000-0005-0000-0000-000023400000}"/>
    <cellStyle name="Input 136" xfId="16639" xr:uid="{00000000-0005-0000-0000-000024400000}"/>
    <cellStyle name="Input 136 2" xfId="16640" xr:uid="{00000000-0005-0000-0000-000025400000}"/>
    <cellStyle name="Input 136 2 2" xfId="16641" xr:uid="{00000000-0005-0000-0000-000026400000}"/>
    <cellStyle name="Input 136 3" xfId="16642" xr:uid="{00000000-0005-0000-0000-000027400000}"/>
    <cellStyle name="Input 136 3 2" xfId="16643" xr:uid="{00000000-0005-0000-0000-000028400000}"/>
    <cellStyle name="Input 136 4" xfId="16644" xr:uid="{00000000-0005-0000-0000-000029400000}"/>
    <cellStyle name="Input 137" xfId="16645" xr:uid="{00000000-0005-0000-0000-00002A400000}"/>
    <cellStyle name="Input 137 2" xfId="16646" xr:uid="{00000000-0005-0000-0000-00002B400000}"/>
    <cellStyle name="Input 137 2 2" xfId="16647" xr:uid="{00000000-0005-0000-0000-00002C400000}"/>
    <cellStyle name="Input 137 3" xfId="16648" xr:uid="{00000000-0005-0000-0000-00002D400000}"/>
    <cellStyle name="Input 137 3 2" xfId="16649" xr:uid="{00000000-0005-0000-0000-00002E400000}"/>
    <cellStyle name="Input 137 4" xfId="16650" xr:uid="{00000000-0005-0000-0000-00002F400000}"/>
    <cellStyle name="Input 138" xfId="16651" xr:uid="{00000000-0005-0000-0000-000030400000}"/>
    <cellStyle name="Input 138 2" xfId="16652" xr:uid="{00000000-0005-0000-0000-000031400000}"/>
    <cellStyle name="Input 138 2 2" xfId="16653" xr:uid="{00000000-0005-0000-0000-000032400000}"/>
    <cellStyle name="Input 138 3" xfId="16654" xr:uid="{00000000-0005-0000-0000-000033400000}"/>
    <cellStyle name="Input 138 3 2" xfId="16655" xr:uid="{00000000-0005-0000-0000-000034400000}"/>
    <cellStyle name="Input 138 4" xfId="16656" xr:uid="{00000000-0005-0000-0000-000035400000}"/>
    <cellStyle name="Input 139" xfId="16657" xr:uid="{00000000-0005-0000-0000-000036400000}"/>
    <cellStyle name="Input 139 2" xfId="16658" xr:uid="{00000000-0005-0000-0000-000037400000}"/>
    <cellStyle name="Input 139 2 2" xfId="16659" xr:uid="{00000000-0005-0000-0000-000038400000}"/>
    <cellStyle name="Input 139 3" xfId="16660" xr:uid="{00000000-0005-0000-0000-000039400000}"/>
    <cellStyle name="Input 139 3 2" xfId="16661" xr:uid="{00000000-0005-0000-0000-00003A400000}"/>
    <cellStyle name="Input 139 4" xfId="16662" xr:uid="{00000000-0005-0000-0000-00003B400000}"/>
    <cellStyle name="Input 14" xfId="16663" xr:uid="{00000000-0005-0000-0000-00003C400000}"/>
    <cellStyle name="Input 14 2" xfId="16664" xr:uid="{00000000-0005-0000-0000-00003D400000}"/>
    <cellStyle name="Input 14 2 2" xfId="16665" xr:uid="{00000000-0005-0000-0000-00003E400000}"/>
    <cellStyle name="Input 14 2 2 2" xfId="16666" xr:uid="{00000000-0005-0000-0000-00003F400000}"/>
    <cellStyle name="Input 14 2 2 3" xfId="16667" xr:uid="{00000000-0005-0000-0000-000040400000}"/>
    <cellStyle name="Input 14 2 2 4" xfId="16668" xr:uid="{00000000-0005-0000-0000-000041400000}"/>
    <cellStyle name="Input 14 2 3" xfId="16669" xr:uid="{00000000-0005-0000-0000-000042400000}"/>
    <cellStyle name="Input 14 2 3 2" xfId="16670" xr:uid="{00000000-0005-0000-0000-000043400000}"/>
    <cellStyle name="Input 14 2 4" xfId="16671" xr:uid="{00000000-0005-0000-0000-000044400000}"/>
    <cellStyle name="Input 14 2 4 2" xfId="16672" xr:uid="{00000000-0005-0000-0000-000045400000}"/>
    <cellStyle name="Input 14 2 5" xfId="16673" xr:uid="{00000000-0005-0000-0000-000046400000}"/>
    <cellStyle name="Input 14 2 6" xfId="16674" xr:uid="{00000000-0005-0000-0000-000047400000}"/>
    <cellStyle name="Input 14 2 7" xfId="16675" xr:uid="{00000000-0005-0000-0000-000048400000}"/>
    <cellStyle name="Input 14 3" xfId="16676" xr:uid="{00000000-0005-0000-0000-000049400000}"/>
    <cellStyle name="Input 14 3 2" xfId="16677" xr:uid="{00000000-0005-0000-0000-00004A400000}"/>
    <cellStyle name="Input 14 3 3" xfId="16678" xr:uid="{00000000-0005-0000-0000-00004B400000}"/>
    <cellStyle name="Input 14 3 4" xfId="16679" xr:uid="{00000000-0005-0000-0000-00004C400000}"/>
    <cellStyle name="Input 14 4" xfId="16680" xr:uid="{00000000-0005-0000-0000-00004D400000}"/>
    <cellStyle name="Input 14 4 2" xfId="16681" xr:uid="{00000000-0005-0000-0000-00004E400000}"/>
    <cellStyle name="Input 14 5" xfId="16682" xr:uid="{00000000-0005-0000-0000-00004F400000}"/>
    <cellStyle name="Input 14 5 2" xfId="16683" xr:uid="{00000000-0005-0000-0000-000050400000}"/>
    <cellStyle name="Input 14 5 3" xfId="16684" xr:uid="{00000000-0005-0000-0000-000051400000}"/>
    <cellStyle name="Input 14 6" xfId="16685" xr:uid="{00000000-0005-0000-0000-000052400000}"/>
    <cellStyle name="Input 14 7" xfId="16686" xr:uid="{00000000-0005-0000-0000-000053400000}"/>
    <cellStyle name="Input 140" xfId="16687" xr:uid="{00000000-0005-0000-0000-000054400000}"/>
    <cellStyle name="Input 140 2" xfId="16688" xr:uid="{00000000-0005-0000-0000-000055400000}"/>
    <cellStyle name="Input 140 2 2" xfId="16689" xr:uid="{00000000-0005-0000-0000-000056400000}"/>
    <cellStyle name="Input 140 3" xfId="16690" xr:uid="{00000000-0005-0000-0000-000057400000}"/>
    <cellStyle name="Input 140 3 2" xfId="16691" xr:uid="{00000000-0005-0000-0000-000058400000}"/>
    <cellStyle name="Input 140 4" xfId="16692" xr:uid="{00000000-0005-0000-0000-000059400000}"/>
    <cellStyle name="Input 141" xfId="16693" xr:uid="{00000000-0005-0000-0000-00005A400000}"/>
    <cellStyle name="Input 141 2" xfId="16694" xr:uid="{00000000-0005-0000-0000-00005B400000}"/>
    <cellStyle name="Input 141 2 2" xfId="16695" xr:uid="{00000000-0005-0000-0000-00005C400000}"/>
    <cellStyle name="Input 141 3" xfId="16696" xr:uid="{00000000-0005-0000-0000-00005D400000}"/>
    <cellStyle name="Input 141 3 2" xfId="16697" xr:uid="{00000000-0005-0000-0000-00005E400000}"/>
    <cellStyle name="Input 141 4" xfId="16698" xr:uid="{00000000-0005-0000-0000-00005F400000}"/>
    <cellStyle name="Input 142" xfId="16699" xr:uid="{00000000-0005-0000-0000-000060400000}"/>
    <cellStyle name="Input 142 2" xfId="16700" xr:uid="{00000000-0005-0000-0000-000061400000}"/>
    <cellStyle name="Input 142 2 2" xfId="16701" xr:uid="{00000000-0005-0000-0000-000062400000}"/>
    <cellStyle name="Input 142 3" xfId="16702" xr:uid="{00000000-0005-0000-0000-000063400000}"/>
    <cellStyle name="Input 142 3 2" xfId="16703" xr:uid="{00000000-0005-0000-0000-000064400000}"/>
    <cellStyle name="Input 142 4" xfId="16704" xr:uid="{00000000-0005-0000-0000-000065400000}"/>
    <cellStyle name="Input 143" xfId="16705" xr:uid="{00000000-0005-0000-0000-000066400000}"/>
    <cellStyle name="Input 143 2" xfId="16706" xr:uid="{00000000-0005-0000-0000-000067400000}"/>
    <cellStyle name="Input 143 2 2" xfId="16707" xr:uid="{00000000-0005-0000-0000-000068400000}"/>
    <cellStyle name="Input 143 3" xfId="16708" xr:uid="{00000000-0005-0000-0000-000069400000}"/>
    <cellStyle name="Input 143 3 2" xfId="16709" xr:uid="{00000000-0005-0000-0000-00006A400000}"/>
    <cellStyle name="Input 143 4" xfId="16710" xr:uid="{00000000-0005-0000-0000-00006B400000}"/>
    <cellStyle name="Input 144" xfId="16711" xr:uid="{00000000-0005-0000-0000-00006C400000}"/>
    <cellStyle name="Input 144 2" xfId="16712" xr:uid="{00000000-0005-0000-0000-00006D400000}"/>
    <cellStyle name="Input 144 2 2" xfId="16713" xr:uid="{00000000-0005-0000-0000-00006E400000}"/>
    <cellStyle name="Input 144 3" xfId="16714" xr:uid="{00000000-0005-0000-0000-00006F400000}"/>
    <cellStyle name="Input 144 3 2" xfId="16715" xr:uid="{00000000-0005-0000-0000-000070400000}"/>
    <cellStyle name="Input 144 4" xfId="16716" xr:uid="{00000000-0005-0000-0000-000071400000}"/>
    <cellStyle name="Input 145" xfId="16717" xr:uid="{00000000-0005-0000-0000-000072400000}"/>
    <cellStyle name="Input 145 2" xfId="16718" xr:uid="{00000000-0005-0000-0000-000073400000}"/>
    <cellStyle name="Input 145 2 2" xfId="16719" xr:uid="{00000000-0005-0000-0000-000074400000}"/>
    <cellStyle name="Input 145 3" xfId="16720" xr:uid="{00000000-0005-0000-0000-000075400000}"/>
    <cellStyle name="Input 145 3 2" xfId="16721" xr:uid="{00000000-0005-0000-0000-000076400000}"/>
    <cellStyle name="Input 145 4" xfId="16722" xr:uid="{00000000-0005-0000-0000-000077400000}"/>
    <cellStyle name="Input 146" xfId="16723" xr:uid="{00000000-0005-0000-0000-000078400000}"/>
    <cellStyle name="Input 146 2" xfId="16724" xr:uid="{00000000-0005-0000-0000-000079400000}"/>
    <cellStyle name="Input 146 2 2" xfId="16725" xr:uid="{00000000-0005-0000-0000-00007A400000}"/>
    <cellStyle name="Input 146 3" xfId="16726" xr:uid="{00000000-0005-0000-0000-00007B400000}"/>
    <cellStyle name="Input 146 3 2" xfId="16727" xr:uid="{00000000-0005-0000-0000-00007C400000}"/>
    <cellStyle name="Input 146 4" xfId="16728" xr:uid="{00000000-0005-0000-0000-00007D400000}"/>
    <cellStyle name="Input 147" xfId="16729" xr:uid="{00000000-0005-0000-0000-00007E400000}"/>
    <cellStyle name="Input 147 2" xfId="16730" xr:uid="{00000000-0005-0000-0000-00007F400000}"/>
    <cellStyle name="Input 147 2 2" xfId="16731" xr:uid="{00000000-0005-0000-0000-000080400000}"/>
    <cellStyle name="Input 147 3" xfId="16732" xr:uid="{00000000-0005-0000-0000-000081400000}"/>
    <cellStyle name="Input 147 3 2" xfId="16733" xr:uid="{00000000-0005-0000-0000-000082400000}"/>
    <cellStyle name="Input 147 4" xfId="16734" xr:uid="{00000000-0005-0000-0000-000083400000}"/>
    <cellStyle name="Input 148" xfId="16735" xr:uid="{00000000-0005-0000-0000-000084400000}"/>
    <cellStyle name="Input 148 2" xfId="16736" xr:uid="{00000000-0005-0000-0000-000085400000}"/>
    <cellStyle name="Input 148 2 2" xfId="16737" xr:uid="{00000000-0005-0000-0000-000086400000}"/>
    <cellStyle name="Input 148 3" xfId="16738" xr:uid="{00000000-0005-0000-0000-000087400000}"/>
    <cellStyle name="Input 148 3 2" xfId="16739" xr:uid="{00000000-0005-0000-0000-000088400000}"/>
    <cellStyle name="Input 148 4" xfId="16740" xr:uid="{00000000-0005-0000-0000-000089400000}"/>
    <cellStyle name="Input 149" xfId="16741" xr:uid="{00000000-0005-0000-0000-00008A400000}"/>
    <cellStyle name="Input 149 2" xfId="16742" xr:uid="{00000000-0005-0000-0000-00008B400000}"/>
    <cellStyle name="Input 149 2 2" xfId="16743" xr:uid="{00000000-0005-0000-0000-00008C400000}"/>
    <cellStyle name="Input 149 3" xfId="16744" xr:uid="{00000000-0005-0000-0000-00008D400000}"/>
    <cellStyle name="Input 149 3 2" xfId="16745" xr:uid="{00000000-0005-0000-0000-00008E400000}"/>
    <cellStyle name="Input 149 4" xfId="16746" xr:uid="{00000000-0005-0000-0000-00008F400000}"/>
    <cellStyle name="Input 15" xfId="16747" xr:uid="{00000000-0005-0000-0000-000090400000}"/>
    <cellStyle name="Input 15 2" xfId="16748" xr:uid="{00000000-0005-0000-0000-000091400000}"/>
    <cellStyle name="Input 15 2 2" xfId="16749" xr:uid="{00000000-0005-0000-0000-000092400000}"/>
    <cellStyle name="Input 15 2 2 2" xfId="16750" xr:uid="{00000000-0005-0000-0000-000093400000}"/>
    <cellStyle name="Input 15 2 2 3" xfId="16751" xr:uid="{00000000-0005-0000-0000-000094400000}"/>
    <cellStyle name="Input 15 2 2 4" xfId="16752" xr:uid="{00000000-0005-0000-0000-000095400000}"/>
    <cellStyle name="Input 15 2 3" xfId="16753" xr:uid="{00000000-0005-0000-0000-000096400000}"/>
    <cellStyle name="Input 15 2 3 2" xfId="16754" xr:uid="{00000000-0005-0000-0000-000097400000}"/>
    <cellStyle name="Input 15 2 4" xfId="16755" xr:uid="{00000000-0005-0000-0000-000098400000}"/>
    <cellStyle name="Input 15 2 4 2" xfId="16756" xr:uid="{00000000-0005-0000-0000-000099400000}"/>
    <cellStyle name="Input 15 2 5" xfId="16757" xr:uid="{00000000-0005-0000-0000-00009A400000}"/>
    <cellStyle name="Input 15 2 6" xfId="16758" xr:uid="{00000000-0005-0000-0000-00009B400000}"/>
    <cellStyle name="Input 15 2 7" xfId="16759" xr:uid="{00000000-0005-0000-0000-00009C400000}"/>
    <cellStyle name="Input 15 3" xfId="16760" xr:uid="{00000000-0005-0000-0000-00009D400000}"/>
    <cellStyle name="Input 15 3 2" xfId="16761" xr:uid="{00000000-0005-0000-0000-00009E400000}"/>
    <cellStyle name="Input 15 3 3" xfId="16762" xr:uid="{00000000-0005-0000-0000-00009F400000}"/>
    <cellStyle name="Input 15 3 4" xfId="16763" xr:uid="{00000000-0005-0000-0000-0000A0400000}"/>
    <cellStyle name="Input 15 4" xfId="16764" xr:uid="{00000000-0005-0000-0000-0000A1400000}"/>
    <cellStyle name="Input 15 4 2" xfId="16765" xr:uid="{00000000-0005-0000-0000-0000A2400000}"/>
    <cellStyle name="Input 15 5" xfId="16766" xr:uid="{00000000-0005-0000-0000-0000A3400000}"/>
    <cellStyle name="Input 15 5 2" xfId="16767" xr:uid="{00000000-0005-0000-0000-0000A4400000}"/>
    <cellStyle name="Input 15 5 3" xfId="16768" xr:uid="{00000000-0005-0000-0000-0000A5400000}"/>
    <cellStyle name="Input 15 6" xfId="16769" xr:uid="{00000000-0005-0000-0000-0000A6400000}"/>
    <cellStyle name="Input 15 7" xfId="16770" xr:uid="{00000000-0005-0000-0000-0000A7400000}"/>
    <cellStyle name="Input 150" xfId="16771" xr:uid="{00000000-0005-0000-0000-0000A8400000}"/>
    <cellStyle name="Input 150 2" xfId="16772" xr:uid="{00000000-0005-0000-0000-0000A9400000}"/>
    <cellStyle name="Input 150 2 2" xfId="16773" xr:uid="{00000000-0005-0000-0000-0000AA400000}"/>
    <cellStyle name="Input 150 3" xfId="16774" xr:uid="{00000000-0005-0000-0000-0000AB400000}"/>
    <cellStyle name="Input 150 3 2" xfId="16775" xr:uid="{00000000-0005-0000-0000-0000AC400000}"/>
    <cellStyle name="Input 150 4" xfId="16776" xr:uid="{00000000-0005-0000-0000-0000AD400000}"/>
    <cellStyle name="Input 151" xfId="16777" xr:uid="{00000000-0005-0000-0000-0000AE400000}"/>
    <cellStyle name="Input 151 2" xfId="16778" xr:uid="{00000000-0005-0000-0000-0000AF400000}"/>
    <cellStyle name="Input 151 2 2" xfId="16779" xr:uid="{00000000-0005-0000-0000-0000B0400000}"/>
    <cellStyle name="Input 151 3" xfId="16780" xr:uid="{00000000-0005-0000-0000-0000B1400000}"/>
    <cellStyle name="Input 151 3 2" xfId="16781" xr:uid="{00000000-0005-0000-0000-0000B2400000}"/>
    <cellStyle name="Input 151 4" xfId="16782" xr:uid="{00000000-0005-0000-0000-0000B3400000}"/>
    <cellStyle name="Input 152" xfId="16783" xr:uid="{00000000-0005-0000-0000-0000B4400000}"/>
    <cellStyle name="Input 152 2" xfId="16784" xr:uid="{00000000-0005-0000-0000-0000B5400000}"/>
    <cellStyle name="Input 152 2 2" xfId="16785" xr:uid="{00000000-0005-0000-0000-0000B6400000}"/>
    <cellStyle name="Input 152 3" xfId="16786" xr:uid="{00000000-0005-0000-0000-0000B7400000}"/>
    <cellStyle name="Input 152 3 2" xfId="16787" xr:uid="{00000000-0005-0000-0000-0000B8400000}"/>
    <cellStyle name="Input 152 4" xfId="16788" xr:uid="{00000000-0005-0000-0000-0000B9400000}"/>
    <cellStyle name="Input 153" xfId="16789" xr:uid="{00000000-0005-0000-0000-0000BA400000}"/>
    <cellStyle name="Input 153 2" xfId="16790" xr:uid="{00000000-0005-0000-0000-0000BB400000}"/>
    <cellStyle name="Input 153 2 2" xfId="16791" xr:uid="{00000000-0005-0000-0000-0000BC400000}"/>
    <cellStyle name="Input 153 3" xfId="16792" xr:uid="{00000000-0005-0000-0000-0000BD400000}"/>
    <cellStyle name="Input 153 3 2" xfId="16793" xr:uid="{00000000-0005-0000-0000-0000BE400000}"/>
    <cellStyle name="Input 153 4" xfId="16794" xr:uid="{00000000-0005-0000-0000-0000BF400000}"/>
    <cellStyle name="Input 154" xfId="16795" xr:uid="{00000000-0005-0000-0000-0000C0400000}"/>
    <cellStyle name="Input 154 2" xfId="16796" xr:uid="{00000000-0005-0000-0000-0000C1400000}"/>
    <cellStyle name="Input 154 2 2" xfId="16797" xr:uid="{00000000-0005-0000-0000-0000C2400000}"/>
    <cellStyle name="Input 154 3" xfId="16798" xr:uid="{00000000-0005-0000-0000-0000C3400000}"/>
    <cellStyle name="Input 154 3 2" xfId="16799" xr:uid="{00000000-0005-0000-0000-0000C4400000}"/>
    <cellStyle name="Input 154 4" xfId="16800" xr:uid="{00000000-0005-0000-0000-0000C5400000}"/>
    <cellStyle name="Input 155" xfId="16801" xr:uid="{00000000-0005-0000-0000-0000C6400000}"/>
    <cellStyle name="Input 155 2" xfId="16802" xr:uid="{00000000-0005-0000-0000-0000C7400000}"/>
    <cellStyle name="Input 155 2 2" xfId="16803" xr:uid="{00000000-0005-0000-0000-0000C8400000}"/>
    <cellStyle name="Input 155 3" xfId="16804" xr:uid="{00000000-0005-0000-0000-0000C9400000}"/>
    <cellStyle name="Input 155 3 2" xfId="16805" xr:uid="{00000000-0005-0000-0000-0000CA400000}"/>
    <cellStyle name="Input 155 4" xfId="16806" xr:uid="{00000000-0005-0000-0000-0000CB400000}"/>
    <cellStyle name="Input 156" xfId="16807" xr:uid="{00000000-0005-0000-0000-0000CC400000}"/>
    <cellStyle name="Input 156 2" xfId="16808" xr:uid="{00000000-0005-0000-0000-0000CD400000}"/>
    <cellStyle name="Input 156 2 2" xfId="16809" xr:uid="{00000000-0005-0000-0000-0000CE400000}"/>
    <cellStyle name="Input 156 3" xfId="16810" xr:uid="{00000000-0005-0000-0000-0000CF400000}"/>
    <cellStyle name="Input 156 3 2" xfId="16811" xr:uid="{00000000-0005-0000-0000-0000D0400000}"/>
    <cellStyle name="Input 156 4" xfId="16812" xr:uid="{00000000-0005-0000-0000-0000D1400000}"/>
    <cellStyle name="Input 157" xfId="16813" xr:uid="{00000000-0005-0000-0000-0000D2400000}"/>
    <cellStyle name="Input 157 2" xfId="16814" xr:uid="{00000000-0005-0000-0000-0000D3400000}"/>
    <cellStyle name="Input 157 2 2" xfId="16815" xr:uid="{00000000-0005-0000-0000-0000D4400000}"/>
    <cellStyle name="Input 157 3" xfId="16816" xr:uid="{00000000-0005-0000-0000-0000D5400000}"/>
    <cellStyle name="Input 157 3 2" xfId="16817" xr:uid="{00000000-0005-0000-0000-0000D6400000}"/>
    <cellStyle name="Input 157 4" xfId="16818" xr:uid="{00000000-0005-0000-0000-0000D7400000}"/>
    <cellStyle name="Input 158" xfId="16819" xr:uid="{00000000-0005-0000-0000-0000D8400000}"/>
    <cellStyle name="Input 158 2" xfId="16820" xr:uid="{00000000-0005-0000-0000-0000D9400000}"/>
    <cellStyle name="Input 158 2 2" xfId="16821" xr:uid="{00000000-0005-0000-0000-0000DA400000}"/>
    <cellStyle name="Input 158 3" xfId="16822" xr:uid="{00000000-0005-0000-0000-0000DB400000}"/>
    <cellStyle name="Input 158 3 2" xfId="16823" xr:uid="{00000000-0005-0000-0000-0000DC400000}"/>
    <cellStyle name="Input 158 4" xfId="16824" xr:uid="{00000000-0005-0000-0000-0000DD400000}"/>
    <cellStyle name="Input 159" xfId="16825" xr:uid="{00000000-0005-0000-0000-0000DE400000}"/>
    <cellStyle name="Input 159 2" xfId="16826" xr:uid="{00000000-0005-0000-0000-0000DF400000}"/>
    <cellStyle name="Input 159 2 2" xfId="16827" xr:uid="{00000000-0005-0000-0000-0000E0400000}"/>
    <cellStyle name="Input 159 3" xfId="16828" xr:uid="{00000000-0005-0000-0000-0000E1400000}"/>
    <cellStyle name="Input 159 3 2" xfId="16829" xr:uid="{00000000-0005-0000-0000-0000E2400000}"/>
    <cellStyle name="Input 159 4" xfId="16830" xr:uid="{00000000-0005-0000-0000-0000E3400000}"/>
    <cellStyle name="Input 16" xfId="16831" xr:uid="{00000000-0005-0000-0000-0000E4400000}"/>
    <cellStyle name="Input 16 2" xfId="16832" xr:uid="{00000000-0005-0000-0000-0000E5400000}"/>
    <cellStyle name="Input 16 2 2" xfId="16833" xr:uid="{00000000-0005-0000-0000-0000E6400000}"/>
    <cellStyle name="Input 16 2 2 2" xfId="16834" xr:uid="{00000000-0005-0000-0000-0000E7400000}"/>
    <cellStyle name="Input 16 2 2 3" xfId="16835" xr:uid="{00000000-0005-0000-0000-0000E8400000}"/>
    <cellStyle name="Input 16 2 2 4" xfId="16836" xr:uid="{00000000-0005-0000-0000-0000E9400000}"/>
    <cellStyle name="Input 16 2 3" xfId="16837" xr:uid="{00000000-0005-0000-0000-0000EA400000}"/>
    <cellStyle name="Input 16 2 3 2" xfId="16838" xr:uid="{00000000-0005-0000-0000-0000EB400000}"/>
    <cellStyle name="Input 16 2 4" xfId="16839" xr:uid="{00000000-0005-0000-0000-0000EC400000}"/>
    <cellStyle name="Input 16 2 4 2" xfId="16840" xr:uid="{00000000-0005-0000-0000-0000ED400000}"/>
    <cellStyle name="Input 16 2 5" xfId="16841" xr:uid="{00000000-0005-0000-0000-0000EE400000}"/>
    <cellStyle name="Input 16 2 6" xfId="16842" xr:uid="{00000000-0005-0000-0000-0000EF400000}"/>
    <cellStyle name="Input 16 2 7" xfId="16843" xr:uid="{00000000-0005-0000-0000-0000F0400000}"/>
    <cellStyle name="Input 16 3" xfId="16844" xr:uid="{00000000-0005-0000-0000-0000F1400000}"/>
    <cellStyle name="Input 16 3 2" xfId="16845" xr:uid="{00000000-0005-0000-0000-0000F2400000}"/>
    <cellStyle name="Input 16 3 3" xfId="16846" xr:uid="{00000000-0005-0000-0000-0000F3400000}"/>
    <cellStyle name="Input 16 3 4" xfId="16847" xr:uid="{00000000-0005-0000-0000-0000F4400000}"/>
    <cellStyle name="Input 16 4" xfId="16848" xr:uid="{00000000-0005-0000-0000-0000F5400000}"/>
    <cellStyle name="Input 16 4 2" xfId="16849" xr:uid="{00000000-0005-0000-0000-0000F6400000}"/>
    <cellStyle name="Input 16 5" xfId="16850" xr:uid="{00000000-0005-0000-0000-0000F7400000}"/>
    <cellStyle name="Input 16 5 2" xfId="16851" xr:uid="{00000000-0005-0000-0000-0000F8400000}"/>
    <cellStyle name="Input 16 5 3" xfId="16852" xr:uid="{00000000-0005-0000-0000-0000F9400000}"/>
    <cellStyle name="Input 16 6" xfId="16853" xr:uid="{00000000-0005-0000-0000-0000FA400000}"/>
    <cellStyle name="Input 16 7" xfId="16854" xr:uid="{00000000-0005-0000-0000-0000FB400000}"/>
    <cellStyle name="Input 16 8" xfId="16855" xr:uid="{00000000-0005-0000-0000-0000FC400000}"/>
    <cellStyle name="Input 160" xfId="16856" xr:uid="{00000000-0005-0000-0000-0000FD400000}"/>
    <cellStyle name="Input 160 2" xfId="16857" xr:uid="{00000000-0005-0000-0000-0000FE400000}"/>
    <cellStyle name="Input 160 2 2" xfId="16858" xr:uid="{00000000-0005-0000-0000-0000FF400000}"/>
    <cellStyle name="Input 160 3" xfId="16859" xr:uid="{00000000-0005-0000-0000-000000410000}"/>
    <cellStyle name="Input 160 3 2" xfId="16860" xr:uid="{00000000-0005-0000-0000-000001410000}"/>
    <cellStyle name="Input 160 4" xfId="16861" xr:uid="{00000000-0005-0000-0000-000002410000}"/>
    <cellStyle name="Input 161" xfId="16862" xr:uid="{00000000-0005-0000-0000-000003410000}"/>
    <cellStyle name="Input 161 2" xfId="16863" xr:uid="{00000000-0005-0000-0000-000004410000}"/>
    <cellStyle name="Input 161 2 2" xfId="16864" xr:uid="{00000000-0005-0000-0000-000005410000}"/>
    <cellStyle name="Input 161 3" xfId="16865" xr:uid="{00000000-0005-0000-0000-000006410000}"/>
    <cellStyle name="Input 161 3 2" xfId="16866" xr:uid="{00000000-0005-0000-0000-000007410000}"/>
    <cellStyle name="Input 161 4" xfId="16867" xr:uid="{00000000-0005-0000-0000-000008410000}"/>
    <cellStyle name="Input 162" xfId="16868" xr:uid="{00000000-0005-0000-0000-000009410000}"/>
    <cellStyle name="Input 162 2" xfId="16869" xr:uid="{00000000-0005-0000-0000-00000A410000}"/>
    <cellStyle name="Input 162 2 2" xfId="16870" xr:uid="{00000000-0005-0000-0000-00000B410000}"/>
    <cellStyle name="Input 162 3" xfId="16871" xr:uid="{00000000-0005-0000-0000-00000C410000}"/>
    <cellStyle name="Input 162 3 2" xfId="16872" xr:uid="{00000000-0005-0000-0000-00000D410000}"/>
    <cellStyle name="Input 162 4" xfId="16873" xr:uid="{00000000-0005-0000-0000-00000E410000}"/>
    <cellStyle name="Input 163" xfId="16874" xr:uid="{00000000-0005-0000-0000-00000F410000}"/>
    <cellStyle name="Input 163 2" xfId="16875" xr:uid="{00000000-0005-0000-0000-000010410000}"/>
    <cellStyle name="Input 163 2 2" xfId="16876" xr:uid="{00000000-0005-0000-0000-000011410000}"/>
    <cellStyle name="Input 163 3" xfId="16877" xr:uid="{00000000-0005-0000-0000-000012410000}"/>
    <cellStyle name="Input 163 3 2" xfId="16878" xr:uid="{00000000-0005-0000-0000-000013410000}"/>
    <cellStyle name="Input 163 4" xfId="16879" xr:uid="{00000000-0005-0000-0000-000014410000}"/>
    <cellStyle name="Input 164" xfId="16880" xr:uid="{00000000-0005-0000-0000-000015410000}"/>
    <cellStyle name="Input 164 2" xfId="16881" xr:uid="{00000000-0005-0000-0000-000016410000}"/>
    <cellStyle name="Input 164 2 2" xfId="16882" xr:uid="{00000000-0005-0000-0000-000017410000}"/>
    <cellStyle name="Input 164 3" xfId="16883" xr:uid="{00000000-0005-0000-0000-000018410000}"/>
    <cellStyle name="Input 164 3 2" xfId="16884" xr:uid="{00000000-0005-0000-0000-000019410000}"/>
    <cellStyle name="Input 164 4" xfId="16885" xr:uid="{00000000-0005-0000-0000-00001A410000}"/>
    <cellStyle name="Input 165" xfId="16886" xr:uid="{00000000-0005-0000-0000-00001B410000}"/>
    <cellStyle name="Input 165 2" xfId="16887" xr:uid="{00000000-0005-0000-0000-00001C410000}"/>
    <cellStyle name="Input 165 2 2" xfId="16888" xr:uid="{00000000-0005-0000-0000-00001D410000}"/>
    <cellStyle name="Input 165 3" xfId="16889" xr:uid="{00000000-0005-0000-0000-00001E410000}"/>
    <cellStyle name="Input 165 3 2" xfId="16890" xr:uid="{00000000-0005-0000-0000-00001F410000}"/>
    <cellStyle name="Input 165 4" xfId="16891" xr:uid="{00000000-0005-0000-0000-000020410000}"/>
    <cellStyle name="Input 166" xfId="16892" xr:uid="{00000000-0005-0000-0000-000021410000}"/>
    <cellStyle name="Input 166 2" xfId="16893" xr:uid="{00000000-0005-0000-0000-000022410000}"/>
    <cellStyle name="Input 166 2 2" xfId="16894" xr:uid="{00000000-0005-0000-0000-000023410000}"/>
    <cellStyle name="Input 166 3" xfId="16895" xr:uid="{00000000-0005-0000-0000-000024410000}"/>
    <cellStyle name="Input 166 3 2" xfId="16896" xr:uid="{00000000-0005-0000-0000-000025410000}"/>
    <cellStyle name="Input 166 4" xfId="16897" xr:uid="{00000000-0005-0000-0000-000026410000}"/>
    <cellStyle name="Input 167" xfId="16898" xr:uid="{00000000-0005-0000-0000-000027410000}"/>
    <cellStyle name="Input 167 2" xfId="16899" xr:uid="{00000000-0005-0000-0000-000028410000}"/>
    <cellStyle name="Input 167 2 2" xfId="16900" xr:uid="{00000000-0005-0000-0000-000029410000}"/>
    <cellStyle name="Input 167 3" xfId="16901" xr:uid="{00000000-0005-0000-0000-00002A410000}"/>
    <cellStyle name="Input 167 3 2" xfId="16902" xr:uid="{00000000-0005-0000-0000-00002B410000}"/>
    <cellStyle name="Input 167 4" xfId="16903" xr:uid="{00000000-0005-0000-0000-00002C410000}"/>
    <cellStyle name="Input 168" xfId="16904" xr:uid="{00000000-0005-0000-0000-00002D410000}"/>
    <cellStyle name="Input 168 2" xfId="16905" xr:uid="{00000000-0005-0000-0000-00002E410000}"/>
    <cellStyle name="Input 168 2 2" xfId="16906" xr:uid="{00000000-0005-0000-0000-00002F410000}"/>
    <cellStyle name="Input 168 3" xfId="16907" xr:uid="{00000000-0005-0000-0000-000030410000}"/>
    <cellStyle name="Input 168 3 2" xfId="16908" xr:uid="{00000000-0005-0000-0000-000031410000}"/>
    <cellStyle name="Input 168 4" xfId="16909" xr:uid="{00000000-0005-0000-0000-000032410000}"/>
    <cellStyle name="Input 169" xfId="16910" xr:uid="{00000000-0005-0000-0000-000033410000}"/>
    <cellStyle name="Input 169 2" xfId="16911" xr:uid="{00000000-0005-0000-0000-000034410000}"/>
    <cellStyle name="Input 169 2 2" xfId="16912" xr:uid="{00000000-0005-0000-0000-000035410000}"/>
    <cellStyle name="Input 169 3" xfId="16913" xr:uid="{00000000-0005-0000-0000-000036410000}"/>
    <cellStyle name="Input 169 3 2" xfId="16914" xr:uid="{00000000-0005-0000-0000-000037410000}"/>
    <cellStyle name="Input 169 4" xfId="16915" xr:uid="{00000000-0005-0000-0000-000038410000}"/>
    <cellStyle name="Input 17" xfId="16916" xr:uid="{00000000-0005-0000-0000-000039410000}"/>
    <cellStyle name="Input 17 2" xfId="16917" xr:uid="{00000000-0005-0000-0000-00003A410000}"/>
    <cellStyle name="Input 17 2 2" xfId="16918" xr:uid="{00000000-0005-0000-0000-00003B410000}"/>
    <cellStyle name="Input 17 2 2 2" xfId="16919" xr:uid="{00000000-0005-0000-0000-00003C410000}"/>
    <cellStyle name="Input 17 2 2 3" xfId="16920" xr:uid="{00000000-0005-0000-0000-00003D410000}"/>
    <cellStyle name="Input 17 2 2 4" xfId="16921" xr:uid="{00000000-0005-0000-0000-00003E410000}"/>
    <cellStyle name="Input 17 2 3" xfId="16922" xr:uid="{00000000-0005-0000-0000-00003F410000}"/>
    <cellStyle name="Input 17 2 3 2" xfId="16923" xr:uid="{00000000-0005-0000-0000-000040410000}"/>
    <cellStyle name="Input 17 2 4" xfId="16924" xr:uid="{00000000-0005-0000-0000-000041410000}"/>
    <cellStyle name="Input 17 2 4 2" xfId="16925" xr:uid="{00000000-0005-0000-0000-000042410000}"/>
    <cellStyle name="Input 17 2 5" xfId="16926" xr:uid="{00000000-0005-0000-0000-000043410000}"/>
    <cellStyle name="Input 17 2 6" xfId="16927" xr:uid="{00000000-0005-0000-0000-000044410000}"/>
    <cellStyle name="Input 17 2 7" xfId="16928" xr:uid="{00000000-0005-0000-0000-000045410000}"/>
    <cellStyle name="Input 17 3" xfId="16929" xr:uid="{00000000-0005-0000-0000-000046410000}"/>
    <cellStyle name="Input 17 3 2" xfId="16930" xr:uid="{00000000-0005-0000-0000-000047410000}"/>
    <cellStyle name="Input 17 3 3" xfId="16931" xr:uid="{00000000-0005-0000-0000-000048410000}"/>
    <cellStyle name="Input 17 3 4" xfId="16932" xr:uid="{00000000-0005-0000-0000-000049410000}"/>
    <cellStyle name="Input 17 4" xfId="16933" xr:uid="{00000000-0005-0000-0000-00004A410000}"/>
    <cellStyle name="Input 17 4 2" xfId="16934" xr:uid="{00000000-0005-0000-0000-00004B410000}"/>
    <cellStyle name="Input 17 5" xfId="16935" xr:uid="{00000000-0005-0000-0000-00004C410000}"/>
    <cellStyle name="Input 17 5 2" xfId="16936" xr:uid="{00000000-0005-0000-0000-00004D410000}"/>
    <cellStyle name="Input 17 5 3" xfId="16937" xr:uid="{00000000-0005-0000-0000-00004E410000}"/>
    <cellStyle name="Input 17 6" xfId="16938" xr:uid="{00000000-0005-0000-0000-00004F410000}"/>
    <cellStyle name="Input 17 7" xfId="16939" xr:uid="{00000000-0005-0000-0000-000050410000}"/>
    <cellStyle name="Input 17 8" xfId="16940" xr:uid="{00000000-0005-0000-0000-000051410000}"/>
    <cellStyle name="Input 170" xfId="16941" xr:uid="{00000000-0005-0000-0000-000052410000}"/>
    <cellStyle name="Input 170 2" xfId="16942" xr:uid="{00000000-0005-0000-0000-000053410000}"/>
    <cellStyle name="Input 170 2 2" xfId="16943" xr:uid="{00000000-0005-0000-0000-000054410000}"/>
    <cellStyle name="Input 170 3" xfId="16944" xr:uid="{00000000-0005-0000-0000-000055410000}"/>
    <cellStyle name="Input 170 3 2" xfId="16945" xr:uid="{00000000-0005-0000-0000-000056410000}"/>
    <cellStyle name="Input 170 4" xfId="16946" xr:uid="{00000000-0005-0000-0000-000057410000}"/>
    <cellStyle name="Input 171" xfId="16947" xr:uid="{00000000-0005-0000-0000-000058410000}"/>
    <cellStyle name="Input 171 2" xfId="16948" xr:uid="{00000000-0005-0000-0000-000059410000}"/>
    <cellStyle name="Input 171 2 2" xfId="16949" xr:uid="{00000000-0005-0000-0000-00005A410000}"/>
    <cellStyle name="Input 171 3" xfId="16950" xr:uid="{00000000-0005-0000-0000-00005B410000}"/>
    <cellStyle name="Input 171 3 2" xfId="16951" xr:uid="{00000000-0005-0000-0000-00005C410000}"/>
    <cellStyle name="Input 171 4" xfId="16952" xr:uid="{00000000-0005-0000-0000-00005D410000}"/>
    <cellStyle name="Input 172" xfId="16953" xr:uid="{00000000-0005-0000-0000-00005E410000}"/>
    <cellStyle name="Input 172 2" xfId="16954" xr:uid="{00000000-0005-0000-0000-00005F410000}"/>
    <cellStyle name="Input 172 2 2" xfId="16955" xr:uid="{00000000-0005-0000-0000-000060410000}"/>
    <cellStyle name="Input 172 3" xfId="16956" xr:uid="{00000000-0005-0000-0000-000061410000}"/>
    <cellStyle name="Input 172 3 2" xfId="16957" xr:uid="{00000000-0005-0000-0000-000062410000}"/>
    <cellStyle name="Input 172 4" xfId="16958" xr:uid="{00000000-0005-0000-0000-000063410000}"/>
    <cellStyle name="Input 173" xfId="16959" xr:uid="{00000000-0005-0000-0000-000064410000}"/>
    <cellStyle name="Input 173 2" xfId="16960" xr:uid="{00000000-0005-0000-0000-000065410000}"/>
    <cellStyle name="Input 173 2 2" xfId="16961" xr:uid="{00000000-0005-0000-0000-000066410000}"/>
    <cellStyle name="Input 173 3" xfId="16962" xr:uid="{00000000-0005-0000-0000-000067410000}"/>
    <cellStyle name="Input 173 3 2" xfId="16963" xr:uid="{00000000-0005-0000-0000-000068410000}"/>
    <cellStyle name="Input 173 4" xfId="16964" xr:uid="{00000000-0005-0000-0000-000069410000}"/>
    <cellStyle name="Input 174" xfId="16965" xr:uid="{00000000-0005-0000-0000-00006A410000}"/>
    <cellStyle name="Input 174 2" xfId="16966" xr:uid="{00000000-0005-0000-0000-00006B410000}"/>
    <cellStyle name="Input 174 2 2" xfId="16967" xr:uid="{00000000-0005-0000-0000-00006C410000}"/>
    <cellStyle name="Input 174 3" xfId="16968" xr:uid="{00000000-0005-0000-0000-00006D410000}"/>
    <cellStyle name="Input 174 3 2" xfId="16969" xr:uid="{00000000-0005-0000-0000-00006E410000}"/>
    <cellStyle name="Input 174 4" xfId="16970" xr:uid="{00000000-0005-0000-0000-00006F410000}"/>
    <cellStyle name="Input 175" xfId="16971" xr:uid="{00000000-0005-0000-0000-000070410000}"/>
    <cellStyle name="Input 175 2" xfId="16972" xr:uid="{00000000-0005-0000-0000-000071410000}"/>
    <cellStyle name="Input 175 2 2" xfId="16973" xr:uid="{00000000-0005-0000-0000-000072410000}"/>
    <cellStyle name="Input 175 3" xfId="16974" xr:uid="{00000000-0005-0000-0000-000073410000}"/>
    <cellStyle name="Input 175 3 2" xfId="16975" xr:uid="{00000000-0005-0000-0000-000074410000}"/>
    <cellStyle name="Input 175 4" xfId="16976" xr:uid="{00000000-0005-0000-0000-000075410000}"/>
    <cellStyle name="Input 176" xfId="16977" xr:uid="{00000000-0005-0000-0000-000076410000}"/>
    <cellStyle name="Input 176 2" xfId="16978" xr:uid="{00000000-0005-0000-0000-000077410000}"/>
    <cellStyle name="Input 176 2 2" xfId="16979" xr:uid="{00000000-0005-0000-0000-000078410000}"/>
    <cellStyle name="Input 176 3" xfId="16980" xr:uid="{00000000-0005-0000-0000-000079410000}"/>
    <cellStyle name="Input 176 3 2" xfId="16981" xr:uid="{00000000-0005-0000-0000-00007A410000}"/>
    <cellStyle name="Input 176 4" xfId="16982" xr:uid="{00000000-0005-0000-0000-00007B410000}"/>
    <cellStyle name="Input 177" xfId="16983" xr:uid="{00000000-0005-0000-0000-00007C410000}"/>
    <cellStyle name="Input 177 2" xfId="16984" xr:uid="{00000000-0005-0000-0000-00007D410000}"/>
    <cellStyle name="Input 177 2 2" xfId="16985" xr:uid="{00000000-0005-0000-0000-00007E410000}"/>
    <cellStyle name="Input 177 3" xfId="16986" xr:uid="{00000000-0005-0000-0000-00007F410000}"/>
    <cellStyle name="Input 177 3 2" xfId="16987" xr:uid="{00000000-0005-0000-0000-000080410000}"/>
    <cellStyle name="Input 177 4" xfId="16988" xr:uid="{00000000-0005-0000-0000-000081410000}"/>
    <cellStyle name="Input 178" xfId="16989" xr:uid="{00000000-0005-0000-0000-000082410000}"/>
    <cellStyle name="Input 178 2" xfId="16990" xr:uid="{00000000-0005-0000-0000-000083410000}"/>
    <cellStyle name="Input 178 2 2" xfId="16991" xr:uid="{00000000-0005-0000-0000-000084410000}"/>
    <cellStyle name="Input 178 3" xfId="16992" xr:uid="{00000000-0005-0000-0000-000085410000}"/>
    <cellStyle name="Input 178 3 2" xfId="16993" xr:uid="{00000000-0005-0000-0000-000086410000}"/>
    <cellStyle name="Input 178 4" xfId="16994" xr:uid="{00000000-0005-0000-0000-000087410000}"/>
    <cellStyle name="Input 179" xfId="16995" xr:uid="{00000000-0005-0000-0000-000088410000}"/>
    <cellStyle name="Input 179 2" xfId="16996" xr:uid="{00000000-0005-0000-0000-000089410000}"/>
    <cellStyle name="Input 179 2 2" xfId="16997" xr:uid="{00000000-0005-0000-0000-00008A410000}"/>
    <cellStyle name="Input 179 3" xfId="16998" xr:uid="{00000000-0005-0000-0000-00008B410000}"/>
    <cellStyle name="Input 179 3 2" xfId="16999" xr:uid="{00000000-0005-0000-0000-00008C410000}"/>
    <cellStyle name="Input 179 4" xfId="17000" xr:uid="{00000000-0005-0000-0000-00008D410000}"/>
    <cellStyle name="Input 18" xfId="17001" xr:uid="{00000000-0005-0000-0000-00008E410000}"/>
    <cellStyle name="Input 18 2" xfId="17002" xr:uid="{00000000-0005-0000-0000-00008F410000}"/>
    <cellStyle name="Input 18 2 2" xfId="17003" xr:uid="{00000000-0005-0000-0000-000090410000}"/>
    <cellStyle name="Input 18 2 2 2" xfId="17004" xr:uid="{00000000-0005-0000-0000-000091410000}"/>
    <cellStyle name="Input 18 2 2 3" xfId="17005" xr:uid="{00000000-0005-0000-0000-000092410000}"/>
    <cellStyle name="Input 18 2 2 4" xfId="17006" xr:uid="{00000000-0005-0000-0000-000093410000}"/>
    <cellStyle name="Input 18 2 3" xfId="17007" xr:uid="{00000000-0005-0000-0000-000094410000}"/>
    <cellStyle name="Input 18 2 3 2" xfId="17008" xr:uid="{00000000-0005-0000-0000-000095410000}"/>
    <cellStyle name="Input 18 2 4" xfId="17009" xr:uid="{00000000-0005-0000-0000-000096410000}"/>
    <cellStyle name="Input 18 2 4 2" xfId="17010" xr:uid="{00000000-0005-0000-0000-000097410000}"/>
    <cellStyle name="Input 18 2 5" xfId="17011" xr:uid="{00000000-0005-0000-0000-000098410000}"/>
    <cellStyle name="Input 18 2 6" xfId="17012" xr:uid="{00000000-0005-0000-0000-000099410000}"/>
    <cellStyle name="Input 18 2 7" xfId="17013" xr:uid="{00000000-0005-0000-0000-00009A410000}"/>
    <cellStyle name="Input 18 3" xfId="17014" xr:uid="{00000000-0005-0000-0000-00009B410000}"/>
    <cellStyle name="Input 18 3 2" xfId="17015" xr:uid="{00000000-0005-0000-0000-00009C410000}"/>
    <cellStyle name="Input 18 3 3" xfId="17016" xr:uid="{00000000-0005-0000-0000-00009D410000}"/>
    <cellStyle name="Input 18 3 4" xfId="17017" xr:uid="{00000000-0005-0000-0000-00009E410000}"/>
    <cellStyle name="Input 18 4" xfId="17018" xr:uid="{00000000-0005-0000-0000-00009F410000}"/>
    <cellStyle name="Input 18 4 2" xfId="17019" xr:uid="{00000000-0005-0000-0000-0000A0410000}"/>
    <cellStyle name="Input 18 5" xfId="17020" xr:uid="{00000000-0005-0000-0000-0000A1410000}"/>
    <cellStyle name="Input 18 5 2" xfId="17021" xr:uid="{00000000-0005-0000-0000-0000A2410000}"/>
    <cellStyle name="Input 18 5 3" xfId="17022" xr:uid="{00000000-0005-0000-0000-0000A3410000}"/>
    <cellStyle name="Input 18 6" xfId="17023" xr:uid="{00000000-0005-0000-0000-0000A4410000}"/>
    <cellStyle name="Input 18 7" xfId="17024" xr:uid="{00000000-0005-0000-0000-0000A5410000}"/>
    <cellStyle name="Input 18 8" xfId="17025" xr:uid="{00000000-0005-0000-0000-0000A6410000}"/>
    <cellStyle name="Input 180" xfId="17026" xr:uid="{00000000-0005-0000-0000-0000A7410000}"/>
    <cellStyle name="Input 180 2" xfId="17027" xr:uid="{00000000-0005-0000-0000-0000A8410000}"/>
    <cellStyle name="Input 180 2 2" xfId="17028" xr:uid="{00000000-0005-0000-0000-0000A9410000}"/>
    <cellStyle name="Input 180 3" xfId="17029" xr:uid="{00000000-0005-0000-0000-0000AA410000}"/>
    <cellStyle name="Input 180 3 2" xfId="17030" xr:uid="{00000000-0005-0000-0000-0000AB410000}"/>
    <cellStyle name="Input 180 4" xfId="17031" xr:uid="{00000000-0005-0000-0000-0000AC410000}"/>
    <cellStyle name="Input 181" xfId="17032" xr:uid="{00000000-0005-0000-0000-0000AD410000}"/>
    <cellStyle name="Input 181 2" xfId="17033" xr:uid="{00000000-0005-0000-0000-0000AE410000}"/>
    <cellStyle name="Input 181 2 2" xfId="17034" xr:uid="{00000000-0005-0000-0000-0000AF410000}"/>
    <cellStyle name="Input 181 3" xfId="17035" xr:uid="{00000000-0005-0000-0000-0000B0410000}"/>
    <cellStyle name="Input 181 3 2" xfId="17036" xr:uid="{00000000-0005-0000-0000-0000B1410000}"/>
    <cellStyle name="Input 181 4" xfId="17037" xr:uid="{00000000-0005-0000-0000-0000B2410000}"/>
    <cellStyle name="Input 182" xfId="17038" xr:uid="{00000000-0005-0000-0000-0000B3410000}"/>
    <cellStyle name="Input 182 2" xfId="17039" xr:uid="{00000000-0005-0000-0000-0000B4410000}"/>
    <cellStyle name="Input 182 2 2" xfId="17040" xr:uid="{00000000-0005-0000-0000-0000B5410000}"/>
    <cellStyle name="Input 182 3" xfId="17041" xr:uid="{00000000-0005-0000-0000-0000B6410000}"/>
    <cellStyle name="Input 182 3 2" xfId="17042" xr:uid="{00000000-0005-0000-0000-0000B7410000}"/>
    <cellStyle name="Input 182 4" xfId="17043" xr:uid="{00000000-0005-0000-0000-0000B8410000}"/>
    <cellStyle name="Input 183" xfId="17044" xr:uid="{00000000-0005-0000-0000-0000B9410000}"/>
    <cellStyle name="Input 183 2" xfId="17045" xr:uid="{00000000-0005-0000-0000-0000BA410000}"/>
    <cellStyle name="Input 183 2 2" xfId="17046" xr:uid="{00000000-0005-0000-0000-0000BB410000}"/>
    <cellStyle name="Input 183 3" xfId="17047" xr:uid="{00000000-0005-0000-0000-0000BC410000}"/>
    <cellStyle name="Input 183 3 2" xfId="17048" xr:uid="{00000000-0005-0000-0000-0000BD410000}"/>
    <cellStyle name="Input 183 4" xfId="17049" xr:uid="{00000000-0005-0000-0000-0000BE410000}"/>
    <cellStyle name="Input 184" xfId="17050" xr:uid="{00000000-0005-0000-0000-0000BF410000}"/>
    <cellStyle name="Input 184 2" xfId="17051" xr:uid="{00000000-0005-0000-0000-0000C0410000}"/>
    <cellStyle name="Input 184 2 2" xfId="17052" xr:uid="{00000000-0005-0000-0000-0000C1410000}"/>
    <cellStyle name="Input 184 3" xfId="17053" xr:uid="{00000000-0005-0000-0000-0000C2410000}"/>
    <cellStyle name="Input 184 3 2" xfId="17054" xr:uid="{00000000-0005-0000-0000-0000C3410000}"/>
    <cellStyle name="Input 184 4" xfId="17055" xr:uid="{00000000-0005-0000-0000-0000C4410000}"/>
    <cellStyle name="Input 185" xfId="17056" xr:uid="{00000000-0005-0000-0000-0000C5410000}"/>
    <cellStyle name="Input 185 2" xfId="17057" xr:uid="{00000000-0005-0000-0000-0000C6410000}"/>
    <cellStyle name="Input 185 2 2" xfId="17058" xr:uid="{00000000-0005-0000-0000-0000C7410000}"/>
    <cellStyle name="Input 185 3" xfId="17059" xr:uid="{00000000-0005-0000-0000-0000C8410000}"/>
    <cellStyle name="Input 185 3 2" xfId="17060" xr:uid="{00000000-0005-0000-0000-0000C9410000}"/>
    <cellStyle name="Input 185 4" xfId="17061" xr:uid="{00000000-0005-0000-0000-0000CA410000}"/>
    <cellStyle name="Input 186" xfId="17062" xr:uid="{00000000-0005-0000-0000-0000CB410000}"/>
    <cellStyle name="Input 186 2" xfId="17063" xr:uid="{00000000-0005-0000-0000-0000CC410000}"/>
    <cellStyle name="Input 187" xfId="17064" xr:uid="{00000000-0005-0000-0000-0000CD410000}"/>
    <cellStyle name="Input 187 2" xfId="17065" xr:uid="{00000000-0005-0000-0000-0000CE410000}"/>
    <cellStyle name="Input 188" xfId="17066" xr:uid="{00000000-0005-0000-0000-0000CF410000}"/>
    <cellStyle name="Input 189" xfId="17067" xr:uid="{00000000-0005-0000-0000-0000D0410000}"/>
    <cellStyle name="Input 19" xfId="17068" xr:uid="{00000000-0005-0000-0000-0000D1410000}"/>
    <cellStyle name="Input 19 2" xfId="17069" xr:uid="{00000000-0005-0000-0000-0000D2410000}"/>
    <cellStyle name="Input 19 2 2" xfId="17070" xr:uid="{00000000-0005-0000-0000-0000D3410000}"/>
    <cellStyle name="Input 19 2 2 2" xfId="17071" xr:uid="{00000000-0005-0000-0000-0000D4410000}"/>
    <cellStyle name="Input 19 2 2 3" xfId="17072" xr:uid="{00000000-0005-0000-0000-0000D5410000}"/>
    <cellStyle name="Input 19 2 2 4" xfId="17073" xr:uid="{00000000-0005-0000-0000-0000D6410000}"/>
    <cellStyle name="Input 19 2 3" xfId="17074" xr:uid="{00000000-0005-0000-0000-0000D7410000}"/>
    <cellStyle name="Input 19 2 3 2" xfId="17075" xr:uid="{00000000-0005-0000-0000-0000D8410000}"/>
    <cellStyle name="Input 19 2 4" xfId="17076" xr:uid="{00000000-0005-0000-0000-0000D9410000}"/>
    <cellStyle name="Input 19 2 4 2" xfId="17077" xr:uid="{00000000-0005-0000-0000-0000DA410000}"/>
    <cellStyle name="Input 19 2 5" xfId="17078" xr:uid="{00000000-0005-0000-0000-0000DB410000}"/>
    <cellStyle name="Input 19 2 6" xfId="17079" xr:uid="{00000000-0005-0000-0000-0000DC410000}"/>
    <cellStyle name="Input 19 2 7" xfId="17080" xr:uid="{00000000-0005-0000-0000-0000DD410000}"/>
    <cellStyle name="Input 19 3" xfId="17081" xr:uid="{00000000-0005-0000-0000-0000DE410000}"/>
    <cellStyle name="Input 19 3 2" xfId="17082" xr:uid="{00000000-0005-0000-0000-0000DF410000}"/>
    <cellStyle name="Input 19 3 3" xfId="17083" xr:uid="{00000000-0005-0000-0000-0000E0410000}"/>
    <cellStyle name="Input 19 3 4" xfId="17084" xr:uid="{00000000-0005-0000-0000-0000E1410000}"/>
    <cellStyle name="Input 19 4" xfId="17085" xr:uid="{00000000-0005-0000-0000-0000E2410000}"/>
    <cellStyle name="Input 19 4 2" xfId="17086" xr:uid="{00000000-0005-0000-0000-0000E3410000}"/>
    <cellStyle name="Input 19 5" xfId="17087" xr:uid="{00000000-0005-0000-0000-0000E4410000}"/>
    <cellStyle name="Input 19 5 2" xfId="17088" xr:uid="{00000000-0005-0000-0000-0000E5410000}"/>
    <cellStyle name="Input 19 5 3" xfId="17089" xr:uid="{00000000-0005-0000-0000-0000E6410000}"/>
    <cellStyle name="Input 19 6" xfId="17090" xr:uid="{00000000-0005-0000-0000-0000E7410000}"/>
    <cellStyle name="Input 19 7" xfId="17091" xr:uid="{00000000-0005-0000-0000-0000E8410000}"/>
    <cellStyle name="Input 19 8" xfId="17092" xr:uid="{00000000-0005-0000-0000-0000E9410000}"/>
    <cellStyle name="Input 2" xfId="17093" xr:uid="{00000000-0005-0000-0000-0000EA410000}"/>
    <cellStyle name="Input 2 10" xfId="17094" xr:uid="{00000000-0005-0000-0000-0000EB410000}"/>
    <cellStyle name="Input 2 10 2" xfId="17095" xr:uid="{00000000-0005-0000-0000-0000EC410000}"/>
    <cellStyle name="Input 2 11" xfId="17096" xr:uid="{00000000-0005-0000-0000-0000ED410000}"/>
    <cellStyle name="Input 2 11 2" xfId="17097" xr:uid="{00000000-0005-0000-0000-0000EE410000}"/>
    <cellStyle name="Input 2 12" xfId="17098" xr:uid="{00000000-0005-0000-0000-0000EF410000}"/>
    <cellStyle name="Input 2 12 2" xfId="17099" xr:uid="{00000000-0005-0000-0000-0000F0410000}"/>
    <cellStyle name="Input 2 13" xfId="17100" xr:uid="{00000000-0005-0000-0000-0000F1410000}"/>
    <cellStyle name="Input 2 13 2" xfId="17101" xr:uid="{00000000-0005-0000-0000-0000F2410000}"/>
    <cellStyle name="Input 2 14" xfId="17102" xr:uid="{00000000-0005-0000-0000-0000F3410000}"/>
    <cellStyle name="Input 2 15" xfId="17103" xr:uid="{00000000-0005-0000-0000-0000F4410000}"/>
    <cellStyle name="Input 2 16" xfId="17104" xr:uid="{00000000-0005-0000-0000-0000F5410000}"/>
    <cellStyle name="Input 2 2" xfId="17105" xr:uid="{00000000-0005-0000-0000-0000F6410000}"/>
    <cellStyle name="Input 2 2 10" xfId="17106" xr:uid="{00000000-0005-0000-0000-0000F7410000}"/>
    <cellStyle name="Input 2 2 11" xfId="17107" xr:uid="{00000000-0005-0000-0000-0000F8410000}"/>
    <cellStyle name="Input 2 2 2" xfId="17108" xr:uid="{00000000-0005-0000-0000-0000F9410000}"/>
    <cellStyle name="Input 2 2 2 2" xfId="17109" xr:uid="{00000000-0005-0000-0000-0000FA410000}"/>
    <cellStyle name="Input 2 2 2 2 2" xfId="17110" xr:uid="{00000000-0005-0000-0000-0000FB410000}"/>
    <cellStyle name="Input 2 2 2 2 2 2" xfId="17111" xr:uid="{00000000-0005-0000-0000-0000FC410000}"/>
    <cellStyle name="Input 2 2 2 2 3" xfId="17112" xr:uid="{00000000-0005-0000-0000-0000FD410000}"/>
    <cellStyle name="Input 2 2 2 2 3 2" xfId="17113" xr:uid="{00000000-0005-0000-0000-0000FE410000}"/>
    <cellStyle name="Input 2 2 2 2 4" xfId="17114" xr:uid="{00000000-0005-0000-0000-0000FF410000}"/>
    <cellStyle name="Input 2 2 2 2 4 2" xfId="17115" xr:uid="{00000000-0005-0000-0000-000000420000}"/>
    <cellStyle name="Input 2 2 2 2 5" xfId="17116" xr:uid="{00000000-0005-0000-0000-000001420000}"/>
    <cellStyle name="Input 2 2 2 3" xfId="17117" xr:uid="{00000000-0005-0000-0000-000002420000}"/>
    <cellStyle name="Input 2 2 2 3 2" xfId="17118" xr:uid="{00000000-0005-0000-0000-000003420000}"/>
    <cellStyle name="Input 2 2 2 3 2 2" xfId="17119" xr:uid="{00000000-0005-0000-0000-000004420000}"/>
    <cellStyle name="Input 2 2 2 3 3" xfId="17120" xr:uid="{00000000-0005-0000-0000-000005420000}"/>
    <cellStyle name="Input 2 2 2 3 3 2" xfId="17121" xr:uid="{00000000-0005-0000-0000-000006420000}"/>
    <cellStyle name="Input 2 2 2 3 4" xfId="17122" xr:uid="{00000000-0005-0000-0000-000007420000}"/>
    <cellStyle name="Input 2 2 2 4" xfId="17123" xr:uid="{00000000-0005-0000-0000-000008420000}"/>
    <cellStyle name="Input 2 2 2 4 2" xfId="17124" xr:uid="{00000000-0005-0000-0000-000009420000}"/>
    <cellStyle name="Input 2 2 2 5" xfId="17125" xr:uid="{00000000-0005-0000-0000-00000A420000}"/>
    <cellStyle name="Input 2 2 2 5 2" xfId="17126" xr:uid="{00000000-0005-0000-0000-00000B420000}"/>
    <cellStyle name="Input 2 2 2 6" xfId="17127" xr:uid="{00000000-0005-0000-0000-00000C420000}"/>
    <cellStyle name="Input 2 2 2 6 2" xfId="17128" xr:uid="{00000000-0005-0000-0000-00000D420000}"/>
    <cellStyle name="Input 2 2 2 7" xfId="17129" xr:uid="{00000000-0005-0000-0000-00000E420000}"/>
    <cellStyle name="Input 2 2 2 8" xfId="17130" xr:uid="{00000000-0005-0000-0000-00000F420000}"/>
    <cellStyle name="Input 2 2 2 9" xfId="17131" xr:uid="{00000000-0005-0000-0000-000010420000}"/>
    <cellStyle name="Input 2 2 3" xfId="17132" xr:uid="{00000000-0005-0000-0000-000011420000}"/>
    <cellStyle name="Input 2 2 3 2" xfId="17133" xr:uid="{00000000-0005-0000-0000-000012420000}"/>
    <cellStyle name="Input 2 2 3 2 2" xfId="17134" xr:uid="{00000000-0005-0000-0000-000013420000}"/>
    <cellStyle name="Input 2 2 3 3" xfId="17135" xr:uid="{00000000-0005-0000-0000-000014420000}"/>
    <cellStyle name="Input 2 2 3 3 2" xfId="17136" xr:uid="{00000000-0005-0000-0000-000015420000}"/>
    <cellStyle name="Input 2 2 3 4" xfId="17137" xr:uid="{00000000-0005-0000-0000-000016420000}"/>
    <cellStyle name="Input 2 2 3 4 2" xfId="17138" xr:uid="{00000000-0005-0000-0000-000017420000}"/>
    <cellStyle name="Input 2 2 4" xfId="17139" xr:uid="{00000000-0005-0000-0000-000018420000}"/>
    <cellStyle name="Input 2 2 4 2" xfId="17140" xr:uid="{00000000-0005-0000-0000-000019420000}"/>
    <cellStyle name="Input 2 2 4 2 2" xfId="17141" xr:uid="{00000000-0005-0000-0000-00001A420000}"/>
    <cellStyle name="Input 2 2 4 3" xfId="17142" xr:uid="{00000000-0005-0000-0000-00001B420000}"/>
    <cellStyle name="Input 2 2 4 3 2" xfId="17143" xr:uid="{00000000-0005-0000-0000-00001C420000}"/>
    <cellStyle name="Input 2 2 4 4" xfId="17144" xr:uid="{00000000-0005-0000-0000-00001D420000}"/>
    <cellStyle name="Input 2 2 4 4 2" xfId="17145" xr:uid="{00000000-0005-0000-0000-00001E420000}"/>
    <cellStyle name="Input 2 2 4 5" xfId="17146" xr:uid="{00000000-0005-0000-0000-00001F420000}"/>
    <cellStyle name="Input 2 2 5" xfId="17147" xr:uid="{00000000-0005-0000-0000-000020420000}"/>
    <cellStyle name="Input 2 2 5 2" xfId="17148" xr:uid="{00000000-0005-0000-0000-000021420000}"/>
    <cellStyle name="Input 2 2 5 2 2" xfId="17149" xr:uid="{00000000-0005-0000-0000-000022420000}"/>
    <cellStyle name="Input 2 2 5 3" xfId="17150" xr:uid="{00000000-0005-0000-0000-000023420000}"/>
    <cellStyle name="Input 2 2 5 3 2" xfId="17151" xr:uid="{00000000-0005-0000-0000-000024420000}"/>
    <cellStyle name="Input 2 2 5 4" xfId="17152" xr:uid="{00000000-0005-0000-0000-000025420000}"/>
    <cellStyle name="Input 2 2 6" xfId="17153" xr:uid="{00000000-0005-0000-0000-000026420000}"/>
    <cellStyle name="Input 2 2 6 2" xfId="17154" xr:uid="{00000000-0005-0000-0000-000027420000}"/>
    <cellStyle name="Input 2 2 7" xfId="17155" xr:uid="{00000000-0005-0000-0000-000028420000}"/>
    <cellStyle name="Input 2 2 7 2" xfId="17156" xr:uid="{00000000-0005-0000-0000-000029420000}"/>
    <cellStyle name="Input 2 2 8" xfId="17157" xr:uid="{00000000-0005-0000-0000-00002A420000}"/>
    <cellStyle name="Input 2 2 8 2" xfId="17158" xr:uid="{00000000-0005-0000-0000-00002B420000}"/>
    <cellStyle name="Input 2 2 9" xfId="17159" xr:uid="{00000000-0005-0000-0000-00002C420000}"/>
    <cellStyle name="Input 2 2 9 2" xfId="17160" xr:uid="{00000000-0005-0000-0000-00002D420000}"/>
    <cellStyle name="Input 2 3" xfId="17161" xr:uid="{00000000-0005-0000-0000-00002E420000}"/>
    <cellStyle name="Input 2 3 2" xfId="17162" xr:uid="{00000000-0005-0000-0000-00002F420000}"/>
    <cellStyle name="Input 2 3 2 2" xfId="17163" xr:uid="{00000000-0005-0000-0000-000030420000}"/>
    <cellStyle name="Input 2 3 2 2 2" xfId="17164" xr:uid="{00000000-0005-0000-0000-000031420000}"/>
    <cellStyle name="Input 2 3 2 3" xfId="17165" xr:uid="{00000000-0005-0000-0000-000032420000}"/>
    <cellStyle name="Input 2 3 2 3 2" xfId="17166" xr:uid="{00000000-0005-0000-0000-000033420000}"/>
    <cellStyle name="Input 2 3 2 4" xfId="17167" xr:uid="{00000000-0005-0000-0000-000034420000}"/>
    <cellStyle name="Input 2 3 2 4 2" xfId="17168" xr:uid="{00000000-0005-0000-0000-000035420000}"/>
    <cellStyle name="Input 2 3 2 5" xfId="17169" xr:uid="{00000000-0005-0000-0000-000036420000}"/>
    <cellStyle name="Input 2 3 3" xfId="17170" xr:uid="{00000000-0005-0000-0000-000037420000}"/>
    <cellStyle name="Input 2 3 3 2" xfId="17171" xr:uid="{00000000-0005-0000-0000-000038420000}"/>
    <cellStyle name="Input 2 3 3 2 2" xfId="17172" xr:uid="{00000000-0005-0000-0000-000039420000}"/>
    <cellStyle name="Input 2 3 3 3" xfId="17173" xr:uid="{00000000-0005-0000-0000-00003A420000}"/>
    <cellStyle name="Input 2 3 3 3 2" xfId="17174" xr:uid="{00000000-0005-0000-0000-00003B420000}"/>
    <cellStyle name="Input 2 3 3 4" xfId="17175" xr:uid="{00000000-0005-0000-0000-00003C420000}"/>
    <cellStyle name="Input 2 3 3 4 2" xfId="17176" xr:uid="{00000000-0005-0000-0000-00003D420000}"/>
    <cellStyle name="Input 2 3 4" xfId="17177" xr:uid="{00000000-0005-0000-0000-00003E420000}"/>
    <cellStyle name="Input 2 3 4 2" xfId="17178" xr:uid="{00000000-0005-0000-0000-00003F420000}"/>
    <cellStyle name="Input 2 3 5" xfId="17179" xr:uid="{00000000-0005-0000-0000-000040420000}"/>
    <cellStyle name="Input 2 3 5 2" xfId="17180" xr:uid="{00000000-0005-0000-0000-000041420000}"/>
    <cellStyle name="Input 2 3 6" xfId="17181" xr:uid="{00000000-0005-0000-0000-000042420000}"/>
    <cellStyle name="Input 2 3 6 2" xfId="17182" xr:uid="{00000000-0005-0000-0000-000043420000}"/>
    <cellStyle name="Input 2 3 7" xfId="17183" xr:uid="{00000000-0005-0000-0000-000044420000}"/>
    <cellStyle name="Input 2 3 8" xfId="17184" xr:uid="{00000000-0005-0000-0000-000045420000}"/>
    <cellStyle name="Input 2 3 9" xfId="17185" xr:uid="{00000000-0005-0000-0000-000046420000}"/>
    <cellStyle name="Input 2 4" xfId="17186" xr:uid="{00000000-0005-0000-0000-000047420000}"/>
    <cellStyle name="Input 2 4 2" xfId="17187" xr:uid="{00000000-0005-0000-0000-000048420000}"/>
    <cellStyle name="Input 2 4 3" xfId="17188" xr:uid="{00000000-0005-0000-0000-000049420000}"/>
    <cellStyle name="Input 2 4 3 2" xfId="17189" xr:uid="{00000000-0005-0000-0000-00004A420000}"/>
    <cellStyle name="Input 2 4 4" xfId="17190" xr:uid="{00000000-0005-0000-0000-00004B420000}"/>
    <cellStyle name="Input 2 4 4 2" xfId="17191" xr:uid="{00000000-0005-0000-0000-00004C420000}"/>
    <cellStyle name="Input 2 4 5" xfId="17192" xr:uid="{00000000-0005-0000-0000-00004D420000}"/>
    <cellStyle name="Input 2 4 5 2" xfId="17193" xr:uid="{00000000-0005-0000-0000-00004E420000}"/>
    <cellStyle name="Input 2 4 6" xfId="17194" xr:uid="{00000000-0005-0000-0000-00004F420000}"/>
    <cellStyle name="Input 2 4 7" xfId="17195" xr:uid="{00000000-0005-0000-0000-000050420000}"/>
    <cellStyle name="Input 2 5" xfId="17196" xr:uid="{00000000-0005-0000-0000-000051420000}"/>
    <cellStyle name="Input 2 5 2" xfId="17197" xr:uid="{00000000-0005-0000-0000-000052420000}"/>
    <cellStyle name="Input 2 5 2 2" xfId="17198" xr:uid="{00000000-0005-0000-0000-000053420000}"/>
    <cellStyle name="Input 2 5 3" xfId="17199" xr:uid="{00000000-0005-0000-0000-000054420000}"/>
    <cellStyle name="Input 2 5 3 2" xfId="17200" xr:uid="{00000000-0005-0000-0000-000055420000}"/>
    <cellStyle name="Input 2 5 4" xfId="17201" xr:uid="{00000000-0005-0000-0000-000056420000}"/>
    <cellStyle name="Input 2 5 4 2" xfId="17202" xr:uid="{00000000-0005-0000-0000-000057420000}"/>
    <cellStyle name="Input 2 5 5" xfId="17203" xr:uid="{00000000-0005-0000-0000-000058420000}"/>
    <cellStyle name="Input 2 5 5 2" xfId="17204" xr:uid="{00000000-0005-0000-0000-000059420000}"/>
    <cellStyle name="Input 2 5 6" xfId="17205" xr:uid="{00000000-0005-0000-0000-00005A420000}"/>
    <cellStyle name="Input 2 6" xfId="17206" xr:uid="{00000000-0005-0000-0000-00005B420000}"/>
    <cellStyle name="Input 2 6 2" xfId="17207" xr:uid="{00000000-0005-0000-0000-00005C420000}"/>
    <cellStyle name="Input 2 6 3" xfId="17208" xr:uid="{00000000-0005-0000-0000-00005D420000}"/>
    <cellStyle name="Input 2 6 3 2" xfId="17209" xr:uid="{00000000-0005-0000-0000-00005E420000}"/>
    <cellStyle name="Input 2 6 4" xfId="17210" xr:uid="{00000000-0005-0000-0000-00005F420000}"/>
    <cellStyle name="Input 2 6 4 2" xfId="17211" xr:uid="{00000000-0005-0000-0000-000060420000}"/>
    <cellStyle name="Input 2 6 5" xfId="17212" xr:uid="{00000000-0005-0000-0000-000061420000}"/>
    <cellStyle name="Input 2 6 5 2" xfId="17213" xr:uid="{00000000-0005-0000-0000-000062420000}"/>
    <cellStyle name="Input 2 7" xfId="17214" xr:uid="{00000000-0005-0000-0000-000063420000}"/>
    <cellStyle name="Input 2 7 2" xfId="17215" xr:uid="{00000000-0005-0000-0000-000064420000}"/>
    <cellStyle name="Input 2 7 2 2" xfId="17216" xr:uid="{00000000-0005-0000-0000-000065420000}"/>
    <cellStyle name="Input 2 8" xfId="17217" xr:uid="{00000000-0005-0000-0000-000066420000}"/>
    <cellStyle name="Input 2 8 2" xfId="17218" xr:uid="{00000000-0005-0000-0000-000067420000}"/>
    <cellStyle name="Input 2 9" xfId="17219" xr:uid="{00000000-0005-0000-0000-000068420000}"/>
    <cellStyle name="Input 2 9 2" xfId="17220" xr:uid="{00000000-0005-0000-0000-000069420000}"/>
    <cellStyle name="Input 20" xfId="17221" xr:uid="{00000000-0005-0000-0000-00006A420000}"/>
    <cellStyle name="Input 20 2" xfId="17222" xr:uid="{00000000-0005-0000-0000-00006B420000}"/>
    <cellStyle name="Input 20 2 2" xfId="17223" xr:uid="{00000000-0005-0000-0000-00006C420000}"/>
    <cellStyle name="Input 20 2 2 2" xfId="17224" xr:uid="{00000000-0005-0000-0000-00006D420000}"/>
    <cellStyle name="Input 20 2 2 3" xfId="17225" xr:uid="{00000000-0005-0000-0000-00006E420000}"/>
    <cellStyle name="Input 20 2 2 4" xfId="17226" xr:uid="{00000000-0005-0000-0000-00006F420000}"/>
    <cellStyle name="Input 20 2 3" xfId="17227" xr:uid="{00000000-0005-0000-0000-000070420000}"/>
    <cellStyle name="Input 20 2 3 2" xfId="17228" xr:uid="{00000000-0005-0000-0000-000071420000}"/>
    <cellStyle name="Input 20 2 4" xfId="17229" xr:uid="{00000000-0005-0000-0000-000072420000}"/>
    <cellStyle name="Input 20 2 4 2" xfId="17230" xr:uid="{00000000-0005-0000-0000-000073420000}"/>
    <cellStyle name="Input 20 2 5" xfId="17231" xr:uid="{00000000-0005-0000-0000-000074420000}"/>
    <cellStyle name="Input 20 2 6" xfId="17232" xr:uid="{00000000-0005-0000-0000-000075420000}"/>
    <cellStyle name="Input 20 2 7" xfId="17233" xr:uid="{00000000-0005-0000-0000-000076420000}"/>
    <cellStyle name="Input 20 3" xfId="17234" xr:uid="{00000000-0005-0000-0000-000077420000}"/>
    <cellStyle name="Input 20 3 2" xfId="17235" xr:uid="{00000000-0005-0000-0000-000078420000}"/>
    <cellStyle name="Input 20 3 3" xfId="17236" xr:uid="{00000000-0005-0000-0000-000079420000}"/>
    <cellStyle name="Input 20 3 4" xfId="17237" xr:uid="{00000000-0005-0000-0000-00007A420000}"/>
    <cellStyle name="Input 20 4" xfId="17238" xr:uid="{00000000-0005-0000-0000-00007B420000}"/>
    <cellStyle name="Input 20 4 2" xfId="17239" xr:uid="{00000000-0005-0000-0000-00007C420000}"/>
    <cellStyle name="Input 20 5" xfId="17240" xr:uid="{00000000-0005-0000-0000-00007D420000}"/>
    <cellStyle name="Input 20 5 2" xfId="17241" xr:uid="{00000000-0005-0000-0000-00007E420000}"/>
    <cellStyle name="Input 20 5 3" xfId="17242" xr:uid="{00000000-0005-0000-0000-00007F420000}"/>
    <cellStyle name="Input 20 6" xfId="17243" xr:uid="{00000000-0005-0000-0000-000080420000}"/>
    <cellStyle name="Input 20 7" xfId="17244" xr:uid="{00000000-0005-0000-0000-000081420000}"/>
    <cellStyle name="Input 20 8" xfId="17245" xr:uid="{00000000-0005-0000-0000-000082420000}"/>
    <cellStyle name="Input 21" xfId="17246" xr:uid="{00000000-0005-0000-0000-000083420000}"/>
    <cellStyle name="Input 21 2" xfId="17247" xr:uid="{00000000-0005-0000-0000-000084420000}"/>
    <cellStyle name="Input 21 2 2" xfId="17248" xr:uid="{00000000-0005-0000-0000-000085420000}"/>
    <cellStyle name="Input 21 2 2 2" xfId="17249" xr:uid="{00000000-0005-0000-0000-000086420000}"/>
    <cellStyle name="Input 21 2 2 3" xfId="17250" xr:uid="{00000000-0005-0000-0000-000087420000}"/>
    <cellStyle name="Input 21 2 2 4" xfId="17251" xr:uid="{00000000-0005-0000-0000-000088420000}"/>
    <cellStyle name="Input 21 2 3" xfId="17252" xr:uid="{00000000-0005-0000-0000-000089420000}"/>
    <cellStyle name="Input 21 2 3 2" xfId="17253" xr:uid="{00000000-0005-0000-0000-00008A420000}"/>
    <cellStyle name="Input 21 2 4" xfId="17254" xr:uid="{00000000-0005-0000-0000-00008B420000}"/>
    <cellStyle name="Input 21 2 4 2" xfId="17255" xr:uid="{00000000-0005-0000-0000-00008C420000}"/>
    <cellStyle name="Input 21 2 5" xfId="17256" xr:uid="{00000000-0005-0000-0000-00008D420000}"/>
    <cellStyle name="Input 21 2 6" xfId="17257" xr:uid="{00000000-0005-0000-0000-00008E420000}"/>
    <cellStyle name="Input 21 2 7" xfId="17258" xr:uid="{00000000-0005-0000-0000-00008F420000}"/>
    <cellStyle name="Input 21 3" xfId="17259" xr:uid="{00000000-0005-0000-0000-000090420000}"/>
    <cellStyle name="Input 21 3 2" xfId="17260" xr:uid="{00000000-0005-0000-0000-000091420000}"/>
    <cellStyle name="Input 21 3 3" xfId="17261" xr:uid="{00000000-0005-0000-0000-000092420000}"/>
    <cellStyle name="Input 21 3 4" xfId="17262" xr:uid="{00000000-0005-0000-0000-000093420000}"/>
    <cellStyle name="Input 21 4" xfId="17263" xr:uid="{00000000-0005-0000-0000-000094420000}"/>
    <cellStyle name="Input 21 4 2" xfId="17264" xr:uid="{00000000-0005-0000-0000-000095420000}"/>
    <cellStyle name="Input 21 5" xfId="17265" xr:uid="{00000000-0005-0000-0000-000096420000}"/>
    <cellStyle name="Input 21 5 2" xfId="17266" xr:uid="{00000000-0005-0000-0000-000097420000}"/>
    <cellStyle name="Input 21 5 3" xfId="17267" xr:uid="{00000000-0005-0000-0000-000098420000}"/>
    <cellStyle name="Input 21 6" xfId="17268" xr:uid="{00000000-0005-0000-0000-000099420000}"/>
    <cellStyle name="Input 21 7" xfId="17269" xr:uid="{00000000-0005-0000-0000-00009A420000}"/>
    <cellStyle name="Input 21 8" xfId="17270" xr:uid="{00000000-0005-0000-0000-00009B420000}"/>
    <cellStyle name="Input 22" xfId="17271" xr:uid="{00000000-0005-0000-0000-00009C420000}"/>
    <cellStyle name="Input 22 2" xfId="17272" xr:uid="{00000000-0005-0000-0000-00009D420000}"/>
    <cellStyle name="Input 22 2 2" xfId="17273" xr:uid="{00000000-0005-0000-0000-00009E420000}"/>
    <cellStyle name="Input 22 2 2 2" xfId="17274" xr:uid="{00000000-0005-0000-0000-00009F420000}"/>
    <cellStyle name="Input 22 2 2 3" xfId="17275" xr:uid="{00000000-0005-0000-0000-0000A0420000}"/>
    <cellStyle name="Input 22 2 2 4" xfId="17276" xr:uid="{00000000-0005-0000-0000-0000A1420000}"/>
    <cellStyle name="Input 22 2 3" xfId="17277" xr:uid="{00000000-0005-0000-0000-0000A2420000}"/>
    <cellStyle name="Input 22 2 3 2" xfId="17278" xr:uid="{00000000-0005-0000-0000-0000A3420000}"/>
    <cellStyle name="Input 22 2 4" xfId="17279" xr:uid="{00000000-0005-0000-0000-0000A4420000}"/>
    <cellStyle name="Input 22 2 4 2" xfId="17280" xr:uid="{00000000-0005-0000-0000-0000A5420000}"/>
    <cellStyle name="Input 22 2 5" xfId="17281" xr:uid="{00000000-0005-0000-0000-0000A6420000}"/>
    <cellStyle name="Input 22 2 6" xfId="17282" xr:uid="{00000000-0005-0000-0000-0000A7420000}"/>
    <cellStyle name="Input 22 2 7" xfId="17283" xr:uid="{00000000-0005-0000-0000-0000A8420000}"/>
    <cellStyle name="Input 22 3" xfId="17284" xr:uid="{00000000-0005-0000-0000-0000A9420000}"/>
    <cellStyle name="Input 22 3 2" xfId="17285" xr:uid="{00000000-0005-0000-0000-0000AA420000}"/>
    <cellStyle name="Input 22 3 3" xfId="17286" xr:uid="{00000000-0005-0000-0000-0000AB420000}"/>
    <cellStyle name="Input 22 3 4" xfId="17287" xr:uid="{00000000-0005-0000-0000-0000AC420000}"/>
    <cellStyle name="Input 22 4" xfId="17288" xr:uid="{00000000-0005-0000-0000-0000AD420000}"/>
    <cellStyle name="Input 22 4 2" xfId="17289" xr:uid="{00000000-0005-0000-0000-0000AE420000}"/>
    <cellStyle name="Input 22 5" xfId="17290" xr:uid="{00000000-0005-0000-0000-0000AF420000}"/>
    <cellStyle name="Input 22 5 2" xfId="17291" xr:uid="{00000000-0005-0000-0000-0000B0420000}"/>
    <cellStyle name="Input 22 5 3" xfId="17292" xr:uid="{00000000-0005-0000-0000-0000B1420000}"/>
    <cellStyle name="Input 22 6" xfId="17293" xr:uid="{00000000-0005-0000-0000-0000B2420000}"/>
    <cellStyle name="Input 22 7" xfId="17294" xr:uid="{00000000-0005-0000-0000-0000B3420000}"/>
    <cellStyle name="Input 22 8" xfId="17295" xr:uid="{00000000-0005-0000-0000-0000B4420000}"/>
    <cellStyle name="Input 23" xfId="17296" xr:uid="{00000000-0005-0000-0000-0000B5420000}"/>
    <cellStyle name="Input 23 2" xfId="17297" xr:uid="{00000000-0005-0000-0000-0000B6420000}"/>
    <cellStyle name="Input 23 2 2" xfId="17298" xr:uid="{00000000-0005-0000-0000-0000B7420000}"/>
    <cellStyle name="Input 23 2 2 2" xfId="17299" xr:uid="{00000000-0005-0000-0000-0000B8420000}"/>
    <cellStyle name="Input 23 2 2 3" xfId="17300" xr:uid="{00000000-0005-0000-0000-0000B9420000}"/>
    <cellStyle name="Input 23 2 2 4" xfId="17301" xr:uid="{00000000-0005-0000-0000-0000BA420000}"/>
    <cellStyle name="Input 23 2 3" xfId="17302" xr:uid="{00000000-0005-0000-0000-0000BB420000}"/>
    <cellStyle name="Input 23 2 3 2" xfId="17303" xr:uid="{00000000-0005-0000-0000-0000BC420000}"/>
    <cellStyle name="Input 23 2 4" xfId="17304" xr:uid="{00000000-0005-0000-0000-0000BD420000}"/>
    <cellStyle name="Input 23 2 4 2" xfId="17305" xr:uid="{00000000-0005-0000-0000-0000BE420000}"/>
    <cellStyle name="Input 23 2 5" xfId="17306" xr:uid="{00000000-0005-0000-0000-0000BF420000}"/>
    <cellStyle name="Input 23 2 6" xfId="17307" xr:uid="{00000000-0005-0000-0000-0000C0420000}"/>
    <cellStyle name="Input 23 2 7" xfId="17308" xr:uid="{00000000-0005-0000-0000-0000C1420000}"/>
    <cellStyle name="Input 23 3" xfId="17309" xr:uid="{00000000-0005-0000-0000-0000C2420000}"/>
    <cellStyle name="Input 23 3 2" xfId="17310" xr:uid="{00000000-0005-0000-0000-0000C3420000}"/>
    <cellStyle name="Input 23 3 3" xfId="17311" xr:uid="{00000000-0005-0000-0000-0000C4420000}"/>
    <cellStyle name="Input 23 3 4" xfId="17312" xr:uid="{00000000-0005-0000-0000-0000C5420000}"/>
    <cellStyle name="Input 23 4" xfId="17313" xr:uid="{00000000-0005-0000-0000-0000C6420000}"/>
    <cellStyle name="Input 23 4 2" xfId="17314" xr:uid="{00000000-0005-0000-0000-0000C7420000}"/>
    <cellStyle name="Input 23 5" xfId="17315" xr:uid="{00000000-0005-0000-0000-0000C8420000}"/>
    <cellStyle name="Input 23 5 2" xfId="17316" xr:uid="{00000000-0005-0000-0000-0000C9420000}"/>
    <cellStyle name="Input 23 5 3" xfId="17317" xr:uid="{00000000-0005-0000-0000-0000CA420000}"/>
    <cellStyle name="Input 23 6" xfId="17318" xr:uid="{00000000-0005-0000-0000-0000CB420000}"/>
    <cellStyle name="Input 23 7" xfId="17319" xr:uid="{00000000-0005-0000-0000-0000CC420000}"/>
    <cellStyle name="Input 23 8" xfId="17320" xr:uid="{00000000-0005-0000-0000-0000CD420000}"/>
    <cellStyle name="Input 24" xfId="17321" xr:uid="{00000000-0005-0000-0000-0000CE420000}"/>
    <cellStyle name="Input 24 2" xfId="17322" xr:uid="{00000000-0005-0000-0000-0000CF420000}"/>
    <cellStyle name="Input 24 2 2" xfId="17323" xr:uid="{00000000-0005-0000-0000-0000D0420000}"/>
    <cellStyle name="Input 24 2 2 2" xfId="17324" xr:uid="{00000000-0005-0000-0000-0000D1420000}"/>
    <cellStyle name="Input 24 2 2 3" xfId="17325" xr:uid="{00000000-0005-0000-0000-0000D2420000}"/>
    <cellStyle name="Input 24 2 2 4" xfId="17326" xr:uid="{00000000-0005-0000-0000-0000D3420000}"/>
    <cellStyle name="Input 24 2 3" xfId="17327" xr:uid="{00000000-0005-0000-0000-0000D4420000}"/>
    <cellStyle name="Input 24 2 3 2" xfId="17328" xr:uid="{00000000-0005-0000-0000-0000D5420000}"/>
    <cellStyle name="Input 24 2 4" xfId="17329" xr:uid="{00000000-0005-0000-0000-0000D6420000}"/>
    <cellStyle name="Input 24 2 5" xfId="17330" xr:uid="{00000000-0005-0000-0000-0000D7420000}"/>
    <cellStyle name="Input 24 2 6" xfId="17331" xr:uid="{00000000-0005-0000-0000-0000D8420000}"/>
    <cellStyle name="Input 24 3" xfId="17332" xr:uid="{00000000-0005-0000-0000-0000D9420000}"/>
    <cellStyle name="Input 24 3 2" xfId="17333" xr:uid="{00000000-0005-0000-0000-0000DA420000}"/>
    <cellStyle name="Input 24 3 3" xfId="17334" xr:uid="{00000000-0005-0000-0000-0000DB420000}"/>
    <cellStyle name="Input 24 3 4" xfId="17335" xr:uid="{00000000-0005-0000-0000-0000DC420000}"/>
    <cellStyle name="Input 24 4" xfId="17336" xr:uid="{00000000-0005-0000-0000-0000DD420000}"/>
    <cellStyle name="Input 24 4 2" xfId="17337" xr:uid="{00000000-0005-0000-0000-0000DE420000}"/>
    <cellStyle name="Input 24 5" xfId="17338" xr:uid="{00000000-0005-0000-0000-0000DF420000}"/>
    <cellStyle name="Input 24 5 2" xfId="17339" xr:uid="{00000000-0005-0000-0000-0000E0420000}"/>
    <cellStyle name="Input 24 5 3" xfId="17340" xr:uid="{00000000-0005-0000-0000-0000E1420000}"/>
    <cellStyle name="Input 24 6" xfId="17341" xr:uid="{00000000-0005-0000-0000-0000E2420000}"/>
    <cellStyle name="Input 24 7" xfId="17342" xr:uid="{00000000-0005-0000-0000-0000E3420000}"/>
    <cellStyle name="Input 24 8" xfId="17343" xr:uid="{00000000-0005-0000-0000-0000E4420000}"/>
    <cellStyle name="Input 25" xfId="17344" xr:uid="{00000000-0005-0000-0000-0000E5420000}"/>
    <cellStyle name="Input 25 2" xfId="17345" xr:uid="{00000000-0005-0000-0000-0000E6420000}"/>
    <cellStyle name="Input 25 2 2" xfId="17346" xr:uid="{00000000-0005-0000-0000-0000E7420000}"/>
    <cellStyle name="Input 25 2 2 2" xfId="17347" xr:uid="{00000000-0005-0000-0000-0000E8420000}"/>
    <cellStyle name="Input 25 2 2 3" xfId="17348" xr:uid="{00000000-0005-0000-0000-0000E9420000}"/>
    <cellStyle name="Input 25 2 2 4" xfId="17349" xr:uid="{00000000-0005-0000-0000-0000EA420000}"/>
    <cellStyle name="Input 25 2 3" xfId="17350" xr:uid="{00000000-0005-0000-0000-0000EB420000}"/>
    <cellStyle name="Input 25 2 3 2" xfId="17351" xr:uid="{00000000-0005-0000-0000-0000EC420000}"/>
    <cellStyle name="Input 25 2 4" xfId="17352" xr:uid="{00000000-0005-0000-0000-0000ED420000}"/>
    <cellStyle name="Input 25 2 5" xfId="17353" xr:uid="{00000000-0005-0000-0000-0000EE420000}"/>
    <cellStyle name="Input 25 2 6" xfId="17354" xr:uid="{00000000-0005-0000-0000-0000EF420000}"/>
    <cellStyle name="Input 25 3" xfId="17355" xr:uid="{00000000-0005-0000-0000-0000F0420000}"/>
    <cellStyle name="Input 25 3 2" xfId="17356" xr:uid="{00000000-0005-0000-0000-0000F1420000}"/>
    <cellStyle name="Input 25 3 3" xfId="17357" xr:uid="{00000000-0005-0000-0000-0000F2420000}"/>
    <cellStyle name="Input 25 3 4" xfId="17358" xr:uid="{00000000-0005-0000-0000-0000F3420000}"/>
    <cellStyle name="Input 25 4" xfId="17359" xr:uid="{00000000-0005-0000-0000-0000F4420000}"/>
    <cellStyle name="Input 25 4 2" xfId="17360" xr:uid="{00000000-0005-0000-0000-0000F5420000}"/>
    <cellStyle name="Input 25 5" xfId="17361" xr:uid="{00000000-0005-0000-0000-0000F6420000}"/>
    <cellStyle name="Input 25 5 2" xfId="17362" xr:uid="{00000000-0005-0000-0000-0000F7420000}"/>
    <cellStyle name="Input 25 5 3" xfId="17363" xr:uid="{00000000-0005-0000-0000-0000F8420000}"/>
    <cellStyle name="Input 25 6" xfId="17364" xr:uid="{00000000-0005-0000-0000-0000F9420000}"/>
    <cellStyle name="Input 25 7" xfId="17365" xr:uid="{00000000-0005-0000-0000-0000FA420000}"/>
    <cellStyle name="Input 25 8" xfId="17366" xr:uid="{00000000-0005-0000-0000-0000FB420000}"/>
    <cellStyle name="Input 26" xfId="17367" xr:uid="{00000000-0005-0000-0000-0000FC420000}"/>
    <cellStyle name="Input 26 2" xfId="17368" xr:uid="{00000000-0005-0000-0000-0000FD420000}"/>
    <cellStyle name="Input 26 2 2" xfId="17369" xr:uid="{00000000-0005-0000-0000-0000FE420000}"/>
    <cellStyle name="Input 26 2 2 2" xfId="17370" xr:uid="{00000000-0005-0000-0000-0000FF420000}"/>
    <cellStyle name="Input 26 2 2 3" xfId="17371" xr:uid="{00000000-0005-0000-0000-000000430000}"/>
    <cellStyle name="Input 26 2 2 4" xfId="17372" xr:uid="{00000000-0005-0000-0000-000001430000}"/>
    <cellStyle name="Input 26 2 3" xfId="17373" xr:uid="{00000000-0005-0000-0000-000002430000}"/>
    <cellStyle name="Input 26 2 3 2" xfId="17374" xr:uid="{00000000-0005-0000-0000-000003430000}"/>
    <cellStyle name="Input 26 2 4" xfId="17375" xr:uid="{00000000-0005-0000-0000-000004430000}"/>
    <cellStyle name="Input 26 2 5" xfId="17376" xr:uid="{00000000-0005-0000-0000-000005430000}"/>
    <cellStyle name="Input 26 2 6" xfId="17377" xr:uid="{00000000-0005-0000-0000-000006430000}"/>
    <cellStyle name="Input 26 3" xfId="17378" xr:uid="{00000000-0005-0000-0000-000007430000}"/>
    <cellStyle name="Input 26 3 2" xfId="17379" xr:uid="{00000000-0005-0000-0000-000008430000}"/>
    <cellStyle name="Input 26 3 3" xfId="17380" xr:uid="{00000000-0005-0000-0000-000009430000}"/>
    <cellStyle name="Input 26 3 4" xfId="17381" xr:uid="{00000000-0005-0000-0000-00000A430000}"/>
    <cellStyle name="Input 26 4" xfId="17382" xr:uid="{00000000-0005-0000-0000-00000B430000}"/>
    <cellStyle name="Input 26 4 2" xfId="17383" xr:uid="{00000000-0005-0000-0000-00000C430000}"/>
    <cellStyle name="Input 26 5" xfId="17384" xr:uid="{00000000-0005-0000-0000-00000D430000}"/>
    <cellStyle name="Input 26 5 2" xfId="17385" xr:uid="{00000000-0005-0000-0000-00000E430000}"/>
    <cellStyle name="Input 26 5 3" xfId="17386" xr:uid="{00000000-0005-0000-0000-00000F430000}"/>
    <cellStyle name="Input 26 6" xfId="17387" xr:uid="{00000000-0005-0000-0000-000010430000}"/>
    <cellStyle name="Input 26 7" xfId="17388" xr:uid="{00000000-0005-0000-0000-000011430000}"/>
    <cellStyle name="Input 26 8" xfId="17389" xr:uid="{00000000-0005-0000-0000-000012430000}"/>
    <cellStyle name="Input 27" xfId="17390" xr:uid="{00000000-0005-0000-0000-000013430000}"/>
    <cellStyle name="Input 27 2" xfId="17391" xr:uid="{00000000-0005-0000-0000-000014430000}"/>
    <cellStyle name="Input 27 2 2" xfId="17392" xr:uid="{00000000-0005-0000-0000-000015430000}"/>
    <cellStyle name="Input 27 2 2 2" xfId="17393" xr:uid="{00000000-0005-0000-0000-000016430000}"/>
    <cellStyle name="Input 27 2 2 3" xfId="17394" xr:uid="{00000000-0005-0000-0000-000017430000}"/>
    <cellStyle name="Input 27 2 2 4" xfId="17395" xr:uid="{00000000-0005-0000-0000-000018430000}"/>
    <cellStyle name="Input 27 2 3" xfId="17396" xr:uid="{00000000-0005-0000-0000-000019430000}"/>
    <cellStyle name="Input 27 2 3 2" xfId="17397" xr:uid="{00000000-0005-0000-0000-00001A430000}"/>
    <cellStyle name="Input 27 2 4" xfId="17398" xr:uid="{00000000-0005-0000-0000-00001B430000}"/>
    <cellStyle name="Input 27 2 5" xfId="17399" xr:uid="{00000000-0005-0000-0000-00001C430000}"/>
    <cellStyle name="Input 27 2 6" xfId="17400" xr:uid="{00000000-0005-0000-0000-00001D430000}"/>
    <cellStyle name="Input 27 3" xfId="17401" xr:uid="{00000000-0005-0000-0000-00001E430000}"/>
    <cellStyle name="Input 27 3 2" xfId="17402" xr:uid="{00000000-0005-0000-0000-00001F430000}"/>
    <cellStyle name="Input 27 3 3" xfId="17403" xr:uid="{00000000-0005-0000-0000-000020430000}"/>
    <cellStyle name="Input 27 3 4" xfId="17404" xr:uid="{00000000-0005-0000-0000-000021430000}"/>
    <cellStyle name="Input 27 4" xfId="17405" xr:uid="{00000000-0005-0000-0000-000022430000}"/>
    <cellStyle name="Input 27 4 2" xfId="17406" xr:uid="{00000000-0005-0000-0000-000023430000}"/>
    <cellStyle name="Input 27 5" xfId="17407" xr:uid="{00000000-0005-0000-0000-000024430000}"/>
    <cellStyle name="Input 27 5 2" xfId="17408" xr:uid="{00000000-0005-0000-0000-000025430000}"/>
    <cellStyle name="Input 27 5 3" xfId="17409" xr:uid="{00000000-0005-0000-0000-000026430000}"/>
    <cellStyle name="Input 27 6" xfId="17410" xr:uid="{00000000-0005-0000-0000-000027430000}"/>
    <cellStyle name="Input 27 7" xfId="17411" xr:uid="{00000000-0005-0000-0000-000028430000}"/>
    <cellStyle name="Input 27 8" xfId="17412" xr:uid="{00000000-0005-0000-0000-000029430000}"/>
    <cellStyle name="Input 28" xfId="17413" xr:uid="{00000000-0005-0000-0000-00002A430000}"/>
    <cellStyle name="Input 28 2" xfId="17414" xr:uid="{00000000-0005-0000-0000-00002B430000}"/>
    <cellStyle name="Input 28 2 2" xfId="17415" xr:uid="{00000000-0005-0000-0000-00002C430000}"/>
    <cellStyle name="Input 28 2 2 2" xfId="17416" xr:uid="{00000000-0005-0000-0000-00002D430000}"/>
    <cellStyle name="Input 28 2 2 3" xfId="17417" xr:uid="{00000000-0005-0000-0000-00002E430000}"/>
    <cellStyle name="Input 28 2 2 4" xfId="17418" xr:uid="{00000000-0005-0000-0000-00002F430000}"/>
    <cellStyle name="Input 28 2 3" xfId="17419" xr:uid="{00000000-0005-0000-0000-000030430000}"/>
    <cellStyle name="Input 28 2 3 2" xfId="17420" xr:uid="{00000000-0005-0000-0000-000031430000}"/>
    <cellStyle name="Input 28 2 4" xfId="17421" xr:uid="{00000000-0005-0000-0000-000032430000}"/>
    <cellStyle name="Input 28 2 5" xfId="17422" xr:uid="{00000000-0005-0000-0000-000033430000}"/>
    <cellStyle name="Input 28 2 6" xfId="17423" xr:uid="{00000000-0005-0000-0000-000034430000}"/>
    <cellStyle name="Input 28 3" xfId="17424" xr:uid="{00000000-0005-0000-0000-000035430000}"/>
    <cellStyle name="Input 28 3 2" xfId="17425" xr:uid="{00000000-0005-0000-0000-000036430000}"/>
    <cellStyle name="Input 28 3 3" xfId="17426" xr:uid="{00000000-0005-0000-0000-000037430000}"/>
    <cellStyle name="Input 28 3 4" xfId="17427" xr:uid="{00000000-0005-0000-0000-000038430000}"/>
    <cellStyle name="Input 28 4" xfId="17428" xr:uid="{00000000-0005-0000-0000-000039430000}"/>
    <cellStyle name="Input 28 4 2" xfId="17429" xr:uid="{00000000-0005-0000-0000-00003A430000}"/>
    <cellStyle name="Input 28 5" xfId="17430" xr:uid="{00000000-0005-0000-0000-00003B430000}"/>
    <cellStyle name="Input 28 5 2" xfId="17431" xr:uid="{00000000-0005-0000-0000-00003C430000}"/>
    <cellStyle name="Input 28 5 3" xfId="17432" xr:uid="{00000000-0005-0000-0000-00003D430000}"/>
    <cellStyle name="Input 28 6" xfId="17433" xr:uid="{00000000-0005-0000-0000-00003E430000}"/>
    <cellStyle name="Input 28 7" xfId="17434" xr:uid="{00000000-0005-0000-0000-00003F430000}"/>
    <cellStyle name="Input 28 8" xfId="17435" xr:uid="{00000000-0005-0000-0000-000040430000}"/>
    <cellStyle name="Input 29" xfId="17436" xr:uid="{00000000-0005-0000-0000-000041430000}"/>
    <cellStyle name="Input 29 2" xfId="17437" xr:uid="{00000000-0005-0000-0000-000042430000}"/>
    <cellStyle name="Input 29 2 2" xfId="17438" xr:uid="{00000000-0005-0000-0000-000043430000}"/>
    <cellStyle name="Input 29 2 2 2" xfId="17439" xr:uid="{00000000-0005-0000-0000-000044430000}"/>
    <cellStyle name="Input 29 2 2 3" xfId="17440" xr:uid="{00000000-0005-0000-0000-000045430000}"/>
    <cellStyle name="Input 29 2 2 4" xfId="17441" xr:uid="{00000000-0005-0000-0000-000046430000}"/>
    <cellStyle name="Input 29 2 3" xfId="17442" xr:uid="{00000000-0005-0000-0000-000047430000}"/>
    <cellStyle name="Input 29 2 3 2" xfId="17443" xr:uid="{00000000-0005-0000-0000-000048430000}"/>
    <cellStyle name="Input 29 2 4" xfId="17444" xr:uid="{00000000-0005-0000-0000-000049430000}"/>
    <cellStyle name="Input 29 2 5" xfId="17445" xr:uid="{00000000-0005-0000-0000-00004A430000}"/>
    <cellStyle name="Input 29 2 6" xfId="17446" xr:uid="{00000000-0005-0000-0000-00004B430000}"/>
    <cellStyle name="Input 29 3" xfId="17447" xr:uid="{00000000-0005-0000-0000-00004C430000}"/>
    <cellStyle name="Input 29 3 2" xfId="17448" xr:uid="{00000000-0005-0000-0000-00004D430000}"/>
    <cellStyle name="Input 29 3 3" xfId="17449" xr:uid="{00000000-0005-0000-0000-00004E430000}"/>
    <cellStyle name="Input 29 3 4" xfId="17450" xr:uid="{00000000-0005-0000-0000-00004F430000}"/>
    <cellStyle name="Input 29 4" xfId="17451" xr:uid="{00000000-0005-0000-0000-000050430000}"/>
    <cellStyle name="Input 29 4 2" xfId="17452" xr:uid="{00000000-0005-0000-0000-000051430000}"/>
    <cellStyle name="Input 29 5" xfId="17453" xr:uid="{00000000-0005-0000-0000-000052430000}"/>
    <cellStyle name="Input 29 5 2" xfId="17454" xr:uid="{00000000-0005-0000-0000-000053430000}"/>
    <cellStyle name="Input 29 5 3" xfId="17455" xr:uid="{00000000-0005-0000-0000-000054430000}"/>
    <cellStyle name="Input 29 6" xfId="17456" xr:uid="{00000000-0005-0000-0000-000055430000}"/>
    <cellStyle name="Input 29 7" xfId="17457" xr:uid="{00000000-0005-0000-0000-000056430000}"/>
    <cellStyle name="Input 29 8" xfId="17458" xr:uid="{00000000-0005-0000-0000-000057430000}"/>
    <cellStyle name="Input 3" xfId="17459" xr:uid="{00000000-0005-0000-0000-000058430000}"/>
    <cellStyle name="Input 3 10" xfId="17460" xr:uid="{00000000-0005-0000-0000-000059430000}"/>
    <cellStyle name="Input 3 10 2" xfId="17461" xr:uid="{00000000-0005-0000-0000-00005A430000}"/>
    <cellStyle name="Input 3 11" xfId="17462" xr:uid="{00000000-0005-0000-0000-00005B430000}"/>
    <cellStyle name="Input 3 12" xfId="17463" xr:uid="{00000000-0005-0000-0000-00005C430000}"/>
    <cellStyle name="Input 3 13" xfId="17464" xr:uid="{00000000-0005-0000-0000-00005D430000}"/>
    <cellStyle name="Input 3 2" xfId="17465" xr:uid="{00000000-0005-0000-0000-00005E430000}"/>
    <cellStyle name="Input 3 2 2" xfId="17466" xr:uid="{00000000-0005-0000-0000-00005F430000}"/>
    <cellStyle name="Input 3 2 2 2" xfId="17467" xr:uid="{00000000-0005-0000-0000-000060430000}"/>
    <cellStyle name="Input 3 2 2 2 2" xfId="17468" xr:uid="{00000000-0005-0000-0000-000061430000}"/>
    <cellStyle name="Input 3 2 2 3" xfId="17469" xr:uid="{00000000-0005-0000-0000-000062430000}"/>
    <cellStyle name="Input 3 2 2 3 2" xfId="17470" xr:uid="{00000000-0005-0000-0000-000063430000}"/>
    <cellStyle name="Input 3 2 2 4" xfId="17471" xr:uid="{00000000-0005-0000-0000-000064430000}"/>
    <cellStyle name="Input 3 2 2 4 2" xfId="17472" xr:uid="{00000000-0005-0000-0000-000065430000}"/>
    <cellStyle name="Input 3 2 2 5" xfId="17473" xr:uid="{00000000-0005-0000-0000-000066430000}"/>
    <cellStyle name="Input 3 2 2 6" xfId="17474" xr:uid="{00000000-0005-0000-0000-000067430000}"/>
    <cellStyle name="Input 3 2 3" xfId="17475" xr:uid="{00000000-0005-0000-0000-000068430000}"/>
    <cellStyle name="Input 3 2 3 2" xfId="17476" xr:uid="{00000000-0005-0000-0000-000069430000}"/>
    <cellStyle name="Input 3 2 3 3" xfId="17477" xr:uid="{00000000-0005-0000-0000-00006A430000}"/>
    <cellStyle name="Input 3 2 4" xfId="17478" xr:uid="{00000000-0005-0000-0000-00006B430000}"/>
    <cellStyle name="Input 3 2 4 2" xfId="17479" xr:uid="{00000000-0005-0000-0000-00006C430000}"/>
    <cellStyle name="Input 3 2 5" xfId="17480" xr:uid="{00000000-0005-0000-0000-00006D430000}"/>
    <cellStyle name="Input 3 2 5 2" xfId="17481" xr:uid="{00000000-0005-0000-0000-00006E430000}"/>
    <cellStyle name="Input 3 2 6" xfId="17482" xr:uid="{00000000-0005-0000-0000-00006F430000}"/>
    <cellStyle name="Input 3 2 6 2" xfId="17483" xr:uid="{00000000-0005-0000-0000-000070430000}"/>
    <cellStyle name="Input 3 2 7" xfId="17484" xr:uid="{00000000-0005-0000-0000-000071430000}"/>
    <cellStyle name="Input 3 2 7 2" xfId="17485" xr:uid="{00000000-0005-0000-0000-000072430000}"/>
    <cellStyle name="Input 3 2 8" xfId="17486" xr:uid="{00000000-0005-0000-0000-000073430000}"/>
    <cellStyle name="Input 3 2 9" xfId="17487" xr:uid="{00000000-0005-0000-0000-000074430000}"/>
    <cellStyle name="Input 3 3" xfId="17488" xr:uid="{00000000-0005-0000-0000-000075430000}"/>
    <cellStyle name="Input 3 3 2" xfId="17489" xr:uid="{00000000-0005-0000-0000-000076430000}"/>
    <cellStyle name="Input 3 3 2 2" xfId="17490" xr:uid="{00000000-0005-0000-0000-000077430000}"/>
    <cellStyle name="Input 3 3 3" xfId="17491" xr:uid="{00000000-0005-0000-0000-000078430000}"/>
    <cellStyle name="Input 3 3 3 2" xfId="17492" xr:uid="{00000000-0005-0000-0000-000079430000}"/>
    <cellStyle name="Input 3 3 4" xfId="17493" xr:uid="{00000000-0005-0000-0000-00007A430000}"/>
    <cellStyle name="Input 3 3 4 2" xfId="17494" xr:uid="{00000000-0005-0000-0000-00007B430000}"/>
    <cellStyle name="Input 3 3 5" xfId="17495" xr:uid="{00000000-0005-0000-0000-00007C430000}"/>
    <cellStyle name="Input 3 3 5 2" xfId="17496" xr:uid="{00000000-0005-0000-0000-00007D430000}"/>
    <cellStyle name="Input 3 3 6" xfId="17497" xr:uid="{00000000-0005-0000-0000-00007E430000}"/>
    <cellStyle name="Input 3 3 7" xfId="17498" xr:uid="{00000000-0005-0000-0000-00007F430000}"/>
    <cellStyle name="Input 3 3 8" xfId="17499" xr:uid="{00000000-0005-0000-0000-000080430000}"/>
    <cellStyle name="Input 3 4" xfId="17500" xr:uid="{00000000-0005-0000-0000-000081430000}"/>
    <cellStyle name="Input 3 4 2" xfId="17501" xr:uid="{00000000-0005-0000-0000-000082430000}"/>
    <cellStyle name="Input 3 4 2 2" xfId="17502" xr:uid="{00000000-0005-0000-0000-000083430000}"/>
    <cellStyle name="Input 3 4 3" xfId="17503" xr:uid="{00000000-0005-0000-0000-000084430000}"/>
    <cellStyle name="Input 3 4 3 2" xfId="17504" xr:uid="{00000000-0005-0000-0000-000085430000}"/>
    <cellStyle name="Input 3 4 4" xfId="17505" xr:uid="{00000000-0005-0000-0000-000086430000}"/>
    <cellStyle name="Input 3 4 4 2" xfId="17506" xr:uid="{00000000-0005-0000-0000-000087430000}"/>
    <cellStyle name="Input 3 4 5" xfId="17507" xr:uid="{00000000-0005-0000-0000-000088430000}"/>
    <cellStyle name="Input 3 4 5 2" xfId="17508" xr:uid="{00000000-0005-0000-0000-000089430000}"/>
    <cellStyle name="Input 3 4 6" xfId="17509" xr:uid="{00000000-0005-0000-0000-00008A430000}"/>
    <cellStyle name="Input 3 4 7" xfId="17510" xr:uid="{00000000-0005-0000-0000-00008B430000}"/>
    <cellStyle name="Input 3 4 8" xfId="17511" xr:uid="{00000000-0005-0000-0000-00008C430000}"/>
    <cellStyle name="Input 3 5" xfId="17512" xr:uid="{00000000-0005-0000-0000-00008D430000}"/>
    <cellStyle name="Input 3 5 2" xfId="17513" xr:uid="{00000000-0005-0000-0000-00008E430000}"/>
    <cellStyle name="Input 3 5 2 2" xfId="17514" xr:uid="{00000000-0005-0000-0000-00008F430000}"/>
    <cellStyle name="Input 3 5 3" xfId="17515" xr:uid="{00000000-0005-0000-0000-000090430000}"/>
    <cellStyle name="Input 3 5 3 2" xfId="17516" xr:uid="{00000000-0005-0000-0000-000091430000}"/>
    <cellStyle name="Input 3 5 4" xfId="17517" xr:uid="{00000000-0005-0000-0000-000092430000}"/>
    <cellStyle name="Input 3 5 4 2" xfId="17518" xr:uid="{00000000-0005-0000-0000-000093430000}"/>
    <cellStyle name="Input 3 5 5" xfId="17519" xr:uid="{00000000-0005-0000-0000-000094430000}"/>
    <cellStyle name="Input 3 6" xfId="17520" xr:uid="{00000000-0005-0000-0000-000095430000}"/>
    <cellStyle name="Input 3 6 2" xfId="17521" xr:uid="{00000000-0005-0000-0000-000096430000}"/>
    <cellStyle name="Input 3 7" xfId="17522" xr:uid="{00000000-0005-0000-0000-000097430000}"/>
    <cellStyle name="Input 3 7 2" xfId="17523" xr:uid="{00000000-0005-0000-0000-000098430000}"/>
    <cellStyle name="Input 3 8" xfId="17524" xr:uid="{00000000-0005-0000-0000-000099430000}"/>
    <cellStyle name="Input 3 8 2" xfId="17525" xr:uid="{00000000-0005-0000-0000-00009A430000}"/>
    <cellStyle name="Input 3 9" xfId="17526" xr:uid="{00000000-0005-0000-0000-00009B430000}"/>
    <cellStyle name="Input 3 9 2" xfId="17527" xr:uid="{00000000-0005-0000-0000-00009C430000}"/>
    <cellStyle name="Input 30" xfId="17528" xr:uid="{00000000-0005-0000-0000-00009D430000}"/>
    <cellStyle name="Input 30 2" xfId="17529" xr:uid="{00000000-0005-0000-0000-00009E430000}"/>
    <cellStyle name="Input 30 2 2" xfId="17530" xr:uid="{00000000-0005-0000-0000-00009F430000}"/>
    <cellStyle name="Input 30 2 2 2" xfId="17531" xr:uid="{00000000-0005-0000-0000-0000A0430000}"/>
    <cellStyle name="Input 30 2 2 3" xfId="17532" xr:uid="{00000000-0005-0000-0000-0000A1430000}"/>
    <cellStyle name="Input 30 2 2 4" xfId="17533" xr:uid="{00000000-0005-0000-0000-0000A2430000}"/>
    <cellStyle name="Input 30 2 3" xfId="17534" xr:uid="{00000000-0005-0000-0000-0000A3430000}"/>
    <cellStyle name="Input 30 2 3 2" xfId="17535" xr:uid="{00000000-0005-0000-0000-0000A4430000}"/>
    <cellStyle name="Input 30 2 4" xfId="17536" xr:uid="{00000000-0005-0000-0000-0000A5430000}"/>
    <cellStyle name="Input 30 2 5" xfId="17537" xr:uid="{00000000-0005-0000-0000-0000A6430000}"/>
    <cellStyle name="Input 30 2 6" xfId="17538" xr:uid="{00000000-0005-0000-0000-0000A7430000}"/>
    <cellStyle name="Input 30 3" xfId="17539" xr:uid="{00000000-0005-0000-0000-0000A8430000}"/>
    <cellStyle name="Input 30 3 2" xfId="17540" xr:uid="{00000000-0005-0000-0000-0000A9430000}"/>
    <cellStyle name="Input 30 3 3" xfId="17541" xr:uid="{00000000-0005-0000-0000-0000AA430000}"/>
    <cellStyle name="Input 30 3 4" xfId="17542" xr:uid="{00000000-0005-0000-0000-0000AB430000}"/>
    <cellStyle name="Input 30 4" xfId="17543" xr:uid="{00000000-0005-0000-0000-0000AC430000}"/>
    <cellStyle name="Input 30 4 2" xfId="17544" xr:uid="{00000000-0005-0000-0000-0000AD430000}"/>
    <cellStyle name="Input 30 5" xfId="17545" xr:uid="{00000000-0005-0000-0000-0000AE430000}"/>
    <cellStyle name="Input 30 5 2" xfId="17546" xr:uid="{00000000-0005-0000-0000-0000AF430000}"/>
    <cellStyle name="Input 30 5 3" xfId="17547" xr:uid="{00000000-0005-0000-0000-0000B0430000}"/>
    <cellStyle name="Input 30 6" xfId="17548" xr:uid="{00000000-0005-0000-0000-0000B1430000}"/>
    <cellStyle name="Input 30 7" xfId="17549" xr:uid="{00000000-0005-0000-0000-0000B2430000}"/>
    <cellStyle name="Input 30 8" xfId="17550" xr:uid="{00000000-0005-0000-0000-0000B3430000}"/>
    <cellStyle name="Input 31" xfId="17551" xr:uid="{00000000-0005-0000-0000-0000B4430000}"/>
    <cellStyle name="Input 31 2" xfId="17552" xr:uid="{00000000-0005-0000-0000-0000B5430000}"/>
    <cellStyle name="Input 31 2 2" xfId="17553" xr:uid="{00000000-0005-0000-0000-0000B6430000}"/>
    <cellStyle name="Input 31 2 2 2" xfId="17554" xr:uid="{00000000-0005-0000-0000-0000B7430000}"/>
    <cellStyle name="Input 31 2 2 3" xfId="17555" xr:uid="{00000000-0005-0000-0000-0000B8430000}"/>
    <cellStyle name="Input 31 2 2 4" xfId="17556" xr:uid="{00000000-0005-0000-0000-0000B9430000}"/>
    <cellStyle name="Input 31 2 3" xfId="17557" xr:uid="{00000000-0005-0000-0000-0000BA430000}"/>
    <cellStyle name="Input 31 2 3 2" xfId="17558" xr:uid="{00000000-0005-0000-0000-0000BB430000}"/>
    <cellStyle name="Input 31 2 4" xfId="17559" xr:uid="{00000000-0005-0000-0000-0000BC430000}"/>
    <cellStyle name="Input 31 2 5" xfId="17560" xr:uid="{00000000-0005-0000-0000-0000BD430000}"/>
    <cellStyle name="Input 31 2 6" xfId="17561" xr:uid="{00000000-0005-0000-0000-0000BE430000}"/>
    <cellStyle name="Input 31 3" xfId="17562" xr:uid="{00000000-0005-0000-0000-0000BF430000}"/>
    <cellStyle name="Input 31 3 2" xfId="17563" xr:uid="{00000000-0005-0000-0000-0000C0430000}"/>
    <cellStyle name="Input 31 3 3" xfId="17564" xr:uid="{00000000-0005-0000-0000-0000C1430000}"/>
    <cellStyle name="Input 31 3 4" xfId="17565" xr:uid="{00000000-0005-0000-0000-0000C2430000}"/>
    <cellStyle name="Input 31 4" xfId="17566" xr:uid="{00000000-0005-0000-0000-0000C3430000}"/>
    <cellStyle name="Input 31 4 2" xfId="17567" xr:uid="{00000000-0005-0000-0000-0000C4430000}"/>
    <cellStyle name="Input 31 5" xfId="17568" xr:uid="{00000000-0005-0000-0000-0000C5430000}"/>
    <cellStyle name="Input 31 5 2" xfId="17569" xr:uid="{00000000-0005-0000-0000-0000C6430000}"/>
    <cellStyle name="Input 31 5 3" xfId="17570" xr:uid="{00000000-0005-0000-0000-0000C7430000}"/>
    <cellStyle name="Input 31 6" xfId="17571" xr:uid="{00000000-0005-0000-0000-0000C8430000}"/>
    <cellStyle name="Input 31 7" xfId="17572" xr:uid="{00000000-0005-0000-0000-0000C9430000}"/>
    <cellStyle name="Input 31 8" xfId="17573" xr:uid="{00000000-0005-0000-0000-0000CA430000}"/>
    <cellStyle name="Input 32" xfId="17574" xr:uid="{00000000-0005-0000-0000-0000CB430000}"/>
    <cellStyle name="Input 32 2" xfId="17575" xr:uid="{00000000-0005-0000-0000-0000CC430000}"/>
    <cellStyle name="Input 32 2 2" xfId="17576" xr:uid="{00000000-0005-0000-0000-0000CD430000}"/>
    <cellStyle name="Input 32 2 2 2" xfId="17577" xr:uid="{00000000-0005-0000-0000-0000CE430000}"/>
    <cellStyle name="Input 32 2 2 3" xfId="17578" xr:uid="{00000000-0005-0000-0000-0000CF430000}"/>
    <cellStyle name="Input 32 2 2 4" xfId="17579" xr:uid="{00000000-0005-0000-0000-0000D0430000}"/>
    <cellStyle name="Input 32 2 3" xfId="17580" xr:uid="{00000000-0005-0000-0000-0000D1430000}"/>
    <cellStyle name="Input 32 2 3 2" xfId="17581" xr:uid="{00000000-0005-0000-0000-0000D2430000}"/>
    <cellStyle name="Input 32 2 4" xfId="17582" xr:uid="{00000000-0005-0000-0000-0000D3430000}"/>
    <cellStyle name="Input 32 2 5" xfId="17583" xr:uid="{00000000-0005-0000-0000-0000D4430000}"/>
    <cellStyle name="Input 32 2 6" xfId="17584" xr:uid="{00000000-0005-0000-0000-0000D5430000}"/>
    <cellStyle name="Input 32 3" xfId="17585" xr:uid="{00000000-0005-0000-0000-0000D6430000}"/>
    <cellStyle name="Input 32 3 2" xfId="17586" xr:uid="{00000000-0005-0000-0000-0000D7430000}"/>
    <cellStyle name="Input 32 3 3" xfId="17587" xr:uid="{00000000-0005-0000-0000-0000D8430000}"/>
    <cellStyle name="Input 32 3 4" xfId="17588" xr:uid="{00000000-0005-0000-0000-0000D9430000}"/>
    <cellStyle name="Input 32 4" xfId="17589" xr:uid="{00000000-0005-0000-0000-0000DA430000}"/>
    <cellStyle name="Input 32 4 2" xfId="17590" xr:uid="{00000000-0005-0000-0000-0000DB430000}"/>
    <cellStyle name="Input 32 5" xfId="17591" xr:uid="{00000000-0005-0000-0000-0000DC430000}"/>
    <cellStyle name="Input 32 5 2" xfId="17592" xr:uid="{00000000-0005-0000-0000-0000DD430000}"/>
    <cellStyle name="Input 32 5 3" xfId="17593" xr:uid="{00000000-0005-0000-0000-0000DE430000}"/>
    <cellStyle name="Input 32 6" xfId="17594" xr:uid="{00000000-0005-0000-0000-0000DF430000}"/>
    <cellStyle name="Input 32 7" xfId="17595" xr:uid="{00000000-0005-0000-0000-0000E0430000}"/>
    <cellStyle name="Input 32 8" xfId="17596" xr:uid="{00000000-0005-0000-0000-0000E1430000}"/>
    <cellStyle name="Input 33" xfId="17597" xr:uid="{00000000-0005-0000-0000-0000E2430000}"/>
    <cellStyle name="Input 33 2" xfId="17598" xr:uid="{00000000-0005-0000-0000-0000E3430000}"/>
    <cellStyle name="Input 33 2 2" xfId="17599" xr:uid="{00000000-0005-0000-0000-0000E4430000}"/>
    <cellStyle name="Input 33 2 2 2" xfId="17600" xr:uid="{00000000-0005-0000-0000-0000E5430000}"/>
    <cellStyle name="Input 33 2 2 3" xfId="17601" xr:uid="{00000000-0005-0000-0000-0000E6430000}"/>
    <cellStyle name="Input 33 2 2 4" xfId="17602" xr:uid="{00000000-0005-0000-0000-0000E7430000}"/>
    <cellStyle name="Input 33 2 3" xfId="17603" xr:uid="{00000000-0005-0000-0000-0000E8430000}"/>
    <cellStyle name="Input 33 2 3 2" xfId="17604" xr:uid="{00000000-0005-0000-0000-0000E9430000}"/>
    <cellStyle name="Input 33 2 4" xfId="17605" xr:uid="{00000000-0005-0000-0000-0000EA430000}"/>
    <cellStyle name="Input 33 2 5" xfId="17606" xr:uid="{00000000-0005-0000-0000-0000EB430000}"/>
    <cellStyle name="Input 33 2 6" xfId="17607" xr:uid="{00000000-0005-0000-0000-0000EC430000}"/>
    <cellStyle name="Input 33 3" xfId="17608" xr:uid="{00000000-0005-0000-0000-0000ED430000}"/>
    <cellStyle name="Input 33 3 2" xfId="17609" xr:uid="{00000000-0005-0000-0000-0000EE430000}"/>
    <cellStyle name="Input 33 3 3" xfId="17610" xr:uid="{00000000-0005-0000-0000-0000EF430000}"/>
    <cellStyle name="Input 33 3 4" xfId="17611" xr:uid="{00000000-0005-0000-0000-0000F0430000}"/>
    <cellStyle name="Input 33 4" xfId="17612" xr:uid="{00000000-0005-0000-0000-0000F1430000}"/>
    <cellStyle name="Input 33 4 2" xfId="17613" xr:uid="{00000000-0005-0000-0000-0000F2430000}"/>
    <cellStyle name="Input 33 5" xfId="17614" xr:uid="{00000000-0005-0000-0000-0000F3430000}"/>
    <cellStyle name="Input 33 5 2" xfId="17615" xr:uid="{00000000-0005-0000-0000-0000F4430000}"/>
    <cellStyle name="Input 33 5 3" xfId="17616" xr:uid="{00000000-0005-0000-0000-0000F5430000}"/>
    <cellStyle name="Input 33 6" xfId="17617" xr:uid="{00000000-0005-0000-0000-0000F6430000}"/>
    <cellStyle name="Input 33 7" xfId="17618" xr:uid="{00000000-0005-0000-0000-0000F7430000}"/>
    <cellStyle name="Input 33 8" xfId="17619" xr:uid="{00000000-0005-0000-0000-0000F8430000}"/>
    <cellStyle name="Input 34" xfId="17620" xr:uid="{00000000-0005-0000-0000-0000F9430000}"/>
    <cellStyle name="Input 34 2" xfId="17621" xr:uid="{00000000-0005-0000-0000-0000FA430000}"/>
    <cellStyle name="Input 34 2 2" xfId="17622" xr:uid="{00000000-0005-0000-0000-0000FB430000}"/>
    <cellStyle name="Input 34 2 2 2" xfId="17623" xr:uid="{00000000-0005-0000-0000-0000FC430000}"/>
    <cellStyle name="Input 34 2 2 3" xfId="17624" xr:uid="{00000000-0005-0000-0000-0000FD430000}"/>
    <cellStyle name="Input 34 2 2 4" xfId="17625" xr:uid="{00000000-0005-0000-0000-0000FE430000}"/>
    <cellStyle name="Input 34 2 3" xfId="17626" xr:uid="{00000000-0005-0000-0000-0000FF430000}"/>
    <cellStyle name="Input 34 2 3 2" xfId="17627" xr:uid="{00000000-0005-0000-0000-000000440000}"/>
    <cellStyle name="Input 34 2 4" xfId="17628" xr:uid="{00000000-0005-0000-0000-000001440000}"/>
    <cellStyle name="Input 34 2 5" xfId="17629" xr:uid="{00000000-0005-0000-0000-000002440000}"/>
    <cellStyle name="Input 34 2 6" xfId="17630" xr:uid="{00000000-0005-0000-0000-000003440000}"/>
    <cellStyle name="Input 34 3" xfId="17631" xr:uid="{00000000-0005-0000-0000-000004440000}"/>
    <cellStyle name="Input 34 3 2" xfId="17632" xr:uid="{00000000-0005-0000-0000-000005440000}"/>
    <cellStyle name="Input 34 3 3" xfId="17633" xr:uid="{00000000-0005-0000-0000-000006440000}"/>
    <cellStyle name="Input 34 3 4" xfId="17634" xr:uid="{00000000-0005-0000-0000-000007440000}"/>
    <cellStyle name="Input 34 4" xfId="17635" xr:uid="{00000000-0005-0000-0000-000008440000}"/>
    <cellStyle name="Input 34 4 2" xfId="17636" xr:uid="{00000000-0005-0000-0000-000009440000}"/>
    <cellStyle name="Input 34 4 2 2" xfId="17637" xr:uid="{00000000-0005-0000-0000-00000A440000}"/>
    <cellStyle name="Input 34 4 3" xfId="17638" xr:uid="{00000000-0005-0000-0000-00000B440000}"/>
    <cellStyle name="Input 34 5" xfId="17639" xr:uid="{00000000-0005-0000-0000-00000C440000}"/>
    <cellStyle name="Input 34 5 2" xfId="17640" xr:uid="{00000000-0005-0000-0000-00000D440000}"/>
    <cellStyle name="Input 34 6" xfId="17641" xr:uid="{00000000-0005-0000-0000-00000E440000}"/>
    <cellStyle name="Input 34 7" xfId="17642" xr:uid="{00000000-0005-0000-0000-00000F440000}"/>
    <cellStyle name="Input 35" xfId="17643" xr:uid="{00000000-0005-0000-0000-000010440000}"/>
    <cellStyle name="Input 35 2" xfId="17644" xr:uid="{00000000-0005-0000-0000-000011440000}"/>
    <cellStyle name="Input 35 2 2" xfId="17645" xr:uid="{00000000-0005-0000-0000-000012440000}"/>
    <cellStyle name="Input 35 2 2 2" xfId="17646" xr:uid="{00000000-0005-0000-0000-000013440000}"/>
    <cellStyle name="Input 35 2 2 3" xfId="17647" xr:uid="{00000000-0005-0000-0000-000014440000}"/>
    <cellStyle name="Input 35 2 2 4" xfId="17648" xr:uid="{00000000-0005-0000-0000-000015440000}"/>
    <cellStyle name="Input 35 2 3" xfId="17649" xr:uid="{00000000-0005-0000-0000-000016440000}"/>
    <cellStyle name="Input 35 2 3 2" xfId="17650" xr:uid="{00000000-0005-0000-0000-000017440000}"/>
    <cellStyle name="Input 35 2 4" xfId="17651" xr:uid="{00000000-0005-0000-0000-000018440000}"/>
    <cellStyle name="Input 35 2 5" xfId="17652" xr:uid="{00000000-0005-0000-0000-000019440000}"/>
    <cellStyle name="Input 35 2 6" xfId="17653" xr:uid="{00000000-0005-0000-0000-00001A440000}"/>
    <cellStyle name="Input 35 3" xfId="17654" xr:uid="{00000000-0005-0000-0000-00001B440000}"/>
    <cellStyle name="Input 35 3 2" xfId="17655" xr:uid="{00000000-0005-0000-0000-00001C440000}"/>
    <cellStyle name="Input 35 3 3" xfId="17656" xr:uid="{00000000-0005-0000-0000-00001D440000}"/>
    <cellStyle name="Input 35 3 4" xfId="17657" xr:uid="{00000000-0005-0000-0000-00001E440000}"/>
    <cellStyle name="Input 35 4" xfId="17658" xr:uid="{00000000-0005-0000-0000-00001F440000}"/>
    <cellStyle name="Input 35 4 2" xfId="17659" xr:uid="{00000000-0005-0000-0000-000020440000}"/>
    <cellStyle name="Input 35 4 2 2" xfId="17660" xr:uid="{00000000-0005-0000-0000-000021440000}"/>
    <cellStyle name="Input 35 4 3" xfId="17661" xr:uid="{00000000-0005-0000-0000-000022440000}"/>
    <cellStyle name="Input 35 5" xfId="17662" xr:uid="{00000000-0005-0000-0000-000023440000}"/>
    <cellStyle name="Input 35 5 2" xfId="17663" xr:uid="{00000000-0005-0000-0000-000024440000}"/>
    <cellStyle name="Input 35 6" xfId="17664" xr:uid="{00000000-0005-0000-0000-000025440000}"/>
    <cellStyle name="Input 35 7" xfId="17665" xr:uid="{00000000-0005-0000-0000-000026440000}"/>
    <cellStyle name="Input 36" xfId="17666" xr:uid="{00000000-0005-0000-0000-000027440000}"/>
    <cellStyle name="Input 36 2" xfId="17667" xr:uid="{00000000-0005-0000-0000-000028440000}"/>
    <cellStyle name="Input 36 2 2" xfId="17668" xr:uid="{00000000-0005-0000-0000-000029440000}"/>
    <cellStyle name="Input 36 2 2 2" xfId="17669" xr:uid="{00000000-0005-0000-0000-00002A440000}"/>
    <cellStyle name="Input 36 2 2 3" xfId="17670" xr:uid="{00000000-0005-0000-0000-00002B440000}"/>
    <cellStyle name="Input 36 2 2 4" xfId="17671" xr:uid="{00000000-0005-0000-0000-00002C440000}"/>
    <cellStyle name="Input 36 2 3" xfId="17672" xr:uid="{00000000-0005-0000-0000-00002D440000}"/>
    <cellStyle name="Input 36 2 3 2" xfId="17673" xr:uid="{00000000-0005-0000-0000-00002E440000}"/>
    <cellStyle name="Input 36 2 4" xfId="17674" xr:uid="{00000000-0005-0000-0000-00002F440000}"/>
    <cellStyle name="Input 36 2 5" xfId="17675" xr:uid="{00000000-0005-0000-0000-000030440000}"/>
    <cellStyle name="Input 36 2 6" xfId="17676" xr:uid="{00000000-0005-0000-0000-000031440000}"/>
    <cellStyle name="Input 36 3" xfId="17677" xr:uid="{00000000-0005-0000-0000-000032440000}"/>
    <cellStyle name="Input 36 3 2" xfId="17678" xr:uid="{00000000-0005-0000-0000-000033440000}"/>
    <cellStyle name="Input 36 3 3" xfId="17679" xr:uid="{00000000-0005-0000-0000-000034440000}"/>
    <cellStyle name="Input 36 3 4" xfId="17680" xr:uid="{00000000-0005-0000-0000-000035440000}"/>
    <cellStyle name="Input 36 4" xfId="17681" xr:uid="{00000000-0005-0000-0000-000036440000}"/>
    <cellStyle name="Input 36 4 2" xfId="17682" xr:uid="{00000000-0005-0000-0000-000037440000}"/>
    <cellStyle name="Input 36 4 3" xfId="17683" xr:uid="{00000000-0005-0000-0000-000038440000}"/>
    <cellStyle name="Input 36 5" xfId="17684" xr:uid="{00000000-0005-0000-0000-000039440000}"/>
    <cellStyle name="Input 36 5 2" xfId="17685" xr:uid="{00000000-0005-0000-0000-00003A440000}"/>
    <cellStyle name="Input 36 6" xfId="17686" xr:uid="{00000000-0005-0000-0000-00003B440000}"/>
    <cellStyle name="Input 36 7" xfId="17687" xr:uid="{00000000-0005-0000-0000-00003C440000}"/>
    <cellStyle name="Input 37" xfId="17688" xr:uid="{00000000-0005-0000-0000-00003D440000}"/>
    <cellStyle name="Input 37 2" xfId="17689" xr:uid="{00000000-0005-0000-0000-00003E440000}"/>
    <cellStyle name="Input 37 2 2" xfId="17690" xr:uid="{00000000-0005-0000-0000-00003F440000}"/>
    <cellStyle name="Input 37 2 2 2" xfId="17691" xr:uid="{00000000-0005-0000-0000-000040440000}"/>
    <cellStyle name="Input 37 2 2 3" xfId="17692" xr:uid="{00000000-0005-0000-0000-000041440000}"/>
    <cellStyle name="Input 37 2 2 4" xfId="17693" xr:uid="{00000000-0005-0000-0000-000042440000}"/>
    <cellStyle name="Input 37 2 3" xfId="17694" xr:uid="{00000000-0005-0000-0000-000043440000}"/>
    <cellStyle name="Input 37 2 3 2" xfId="17695" xr:uid="{00000000-0005-0000-0000-000044440000}"/>
    <cellStyle name="Input 37 2 4" xfId="17696" xr:uid="{00000000-0005-0000-0000-000045440000}"/>
    <cellStyle name="Input 37 2 5" xfId="17697" xr:uid="{00000000-0005-0000-0000-000046440000}"/>
    <cellStyle name="Input 37 2 6" xfId="17698" xr:uid="{00000000-0005-0000-0000-000047440000}"/>
    <cellStyle name="Input 37 3" xfId="17699" xr:uid="{00000000-0005-0000-0000-000048440000}"/>
    <cellStyle name="Input 37 3 2" xfId="17700" xr:uid="{00000000-0005-0000-0000-000049440000}"/>
    <cellStyle name="Input 37 3 3" xfId="17701" xr:uid="{00000000-0005-0000-0000-00004A440000}"/>
    <cellStyle name="Input 37 3 4" xfId="17702" xr:uid="{00000000-0005-0000-0000-00004B440000}"/>
    <cellStyle name="Input 37 4" xfId="17703" xr:uid="{00000000-0005-0000-0000-00004C440000}"/>
    <cellStyle name="Input 37 4 2" xfId="17704" xr:uid="{00000000-0005-0000-0000-00004D440000}"/>
    <cellStyle name="Input 37 4 3" xfId="17705" xr:uid="{00000000-0005-0000-0000-00004E440000}"/>
    <cellStyle name="Input 37 5" xfId="17706" xr:uid="{00000000-0005-0000-0000-00004F440000}"/>
    <cellStyle name="Input 37 5 2" xfId="17707" xr:uid="{00000000-0005-0000-0000-000050440000}"/>
    <cellStyle name="Input 37 6" xfId="17708" xr:uid="{00000000-0005-0000-0000-000051440000}"/>
    <cellStyle name="Input 37 7" xfId="17709" xr:uid="{00000000-0005-0000-0000-000052440000}"/>
    <cellStyle name="Input 38" xfId="17710" xr:uid="{00000000-0005-0000-0000-000053440000}"/>
    <cellStyle name="Input 38 2" xfId="17711" xr:uid="{00000000-0005-0000-0000-000054440000}"/>
    <cellStyle name="Input 38 2 2" xfId="17712" xr:uid="{00000000-0005-0000-0000-000055440000}"/>
    <cellStyle name="Input 38 2 2 2" xfId="17713" xr:uid="{00000000-0005-0000-0000-000056440000}"/>
    <cellStyle name="Input 38 2 2 3" xfId="17714" xr:uid="{00000000-0005-0000-0000-000057440000}"/>
    <cellStyle name="Input 38 2 2 4" xfId="17715" xr:uid="{00000000-0005-0000-0000-000058440000}"/>
    <cellStyle name="Input 38 2 3" xfId="17716" xr:uid="{00000000-0005-0000-0000-000059440000}"/>
    <cellStyle name="Input 38 2 3 2" xfId="17717" xr:uid="{00000000-0005-0000-0000-00005A440000}"/>
    <cellStyle name="Input 38 2 4" xfId="17718" xr:uid="{00000000-0005-0000-0000-00005B440000}"/>
    <cellStyle name="Input 38 2 5" xfId="17719" xr:uid="{00000000-0005-0000-0000-00005C440000}"/>
    <cellStyle name="Input 38 2 6" xfId="17720" xr:uid="{00000000-0005-0000-0000-00005D440000}"/>
    <cellStyle name="Input 38 3" xfId="17721" xr:uid="{00000000-0005-0000-0000-00005E440000}"/>
    <cellStyle name="Input 38 3 2" xfId="17722" xr:uid="{00000000-0005-0000-0000-00005F440000}"/>
    <cellStyle name="Input 38 3 3" xfId="17723" xr:uid="{00000000-0005-0000-0000-000060440000}"/>
    <cellStyle name="Input 38 3 4" xfId="17724" xr:uid="{00000000-0005-0000-0000-000061440000}"/>
    <cellStyle name="Input 38 4" xfId="17725" xr:uid="{00000000-0005-0000-0000-000062440000}"/>
    <cellStyle name="Input 38 4 2" xfId="17726" xr:uid="{00000000-0005-0000-0000-000063440000}"/>
    <cellStyle name="Input 38 4 3" xfId="17727" xr:uid="{00000000-0005-0000-0000-000064440000}"/>
    <cellStyle name="Input 38 5" xfId="17728" xr:uid="{00000000-0005-0000-0000-000065440000}"/>
    <cellStyle name="Input 38 5 2" xfId="17729" xr:uid="{00000000-0005-0000-0000-000066440000}"/>
    <cellStyle name="Input 38 6" xfId="17730" xr:uid="{00000000-0005-0000-0000-000067440000}"/>
    <cellStyle name="Input 38 7" xfId="17731" xr:uid="{00000000-0005-0000-0000-000068440000}"/>
    <cellStyle name="Input 39" xfId="17732" xr:uid="{00000000-0005-0000-0000-000069440000}"/>
    <cellStyle name="Input 39 2" xfId="17733" xr:uid="{00000000-0005-0000-0000-00006A440000}"/>
    <cellStyle name="Input 39 2 2" xfId="17734" xr:uid="{00000000-0005-0000-0000-00006B440000}"/>
    <cellStyle name="Input 39 2 2 2" xfId="17735" xr:uid="{00000000-0005-0000-0000-00006C440000}"/>
    <cellStyle name="Input 39 2 2 3" xfId="17736" xr:uid="{00000000-0005-0000-0000-00006D440000}"/>
    <cellStyle name="Input 39 2 2 4" xfId="17737" xr:uid="{00000000-0005-0000-0000-00006E440000}"/>
    <cellStyle name="Input 39 2 3" xfId="17738" xr:uid="{00000000-0005-0000-0000-00006F440000}"/>
    <cellStyle name="Input 39 2 3 2" xfId="17739" xr:uid="{00000000-0005-0000-0000-000070440000}"/>
    <cellStyle name="Input 39 2 4" xfId="17740" xr:uid="{00000000-0005-0000-0000-000071440000}"/>
    <cellStyle name="Input 39 2 5" xfId="17741" xr:uid="{00000000-0005-0000-0000-000072440000}"/>
    <cellStyle name="Input 39 2 6" xfId="17742" xr:uid="{00000000-0005-0000-0000-000073440000}"/>
    <cellStyle name="Input 39 3" xfId="17743" xr:uid="{00000000-0005-0000-0000-000074440000}"/>
    <cellStyle name="Input 39 3 2" xfId="17744" xr:uid="{00000000-0005-0000-0000-000075440000}"/>
    <cellStyle name="Input 39 3 3" xfId="17745" xr:uid="{00000000-0005-0000-0000-000076440000}"/>
    <cellStyle name="Input 39 3 4" xfId="17746" xr:uid="{00000000-0005-0000-0000-000077440000}"/>
    <cellStyle name="Input 39 4" xfId="17747" xr:uid="{00000000-0005-0000-0000-000078440000}"/>
    <cellStyle name="Input 39 4 2" xfId="17748" xr:uid="{00000000-0005-0000-0000-000079440000}"/>
    <cellStyle name="Input 39 4 3" xfId="17749" xr:uid="{00000000-0005-0000-0000-00007A440000}"/>
    <cellStyle name="Input 39 4 4" xfId="17750" xr:uid="{00000000-0005-0000-0000-00007B440000}"/>
    <cellStyle name="Input 39 5" xfId="17751" xr:uid="{00000000-0005-0000-0000-00007C440000}"/>
    <cellStyle name="Input 39 5 2" xfId="17752" xr:uid="{00000000-0005-0000-0000-00007D440000}"/>
    <cellStyle name="Input 39 5 3" xfId="17753" xr:uid="{00000000-0005-0000-0000-00007E440000}"/>
    <cellStyle name="Input 39 5 4" xfId="17754" xr:uid="{00000000-0005-0000-0000-00007F440000}"/>
    <cellStyle name="Input 39 6" xfId="17755" xr:uid="{00000000-0005-0000-0000-000080440000}"/>
    <cellStyle name="Input 39 7" xfId="17756" xr:uid="{00000000-0005-0000-0000-000081440000}"/>
    <cellStyle name="Input 39 8" xfId="17757" xr:uid="{00000000-0005-0000-0000-000082440000}"/>
    <cellStyle name="Input 4" xfId="17758" xr:uid="{00000000-0005-0000-0000-000083440000}"/>
    <cellStyle name="Input 4 10" xfId="17759" xr:uid="{00000000-0005-0000-0000-000084440000}"/>
    <cellStyle name="Input 4 11" xfId="17760" xr:uid="{00000000-0005-0000-0000-000085440000}"/>
    <cellStyle name="Input 4 2" xfId="17761" xr:uid="{00000000-0005-0000-0000-000086440000}"/>
    <cellStyle name="Input 4 2 10" xfId="17762" xr:uid="{00000000-0005-0000-0000-000087440000}"/>
    <cellStyle name="Input 4 2 2" xfId="17763" xr:uid="{00000000-0005-0000-0000-000088440000}"/>
    <cellStyle name="Input 4 2 2 2" xfId="17764" xr:uid="{00000000-0005-0000-0000-000089440000}"/>
    <cellStyle name="Input 4 2 2 2 2" xfId="17765" xr:uid="{00000000-0005-0000-0000-00008A440000}"/>
    <cellStyle name="Input 4 2 2 3" xfId="17766" xr:uid="{00000000-0005-0000-0000-00008B440000}"/>
    <cellStyle name="Input 4 2 2 3 2" xfId="17767" xr:uid="{00000000-0005-0000-0000-00008C440000}"/>
    <cellStyle name="Input 4 2 2 4" xfId="17768" xr:uid="{00000000-0005-0000-0000-00008D440000}"/>
    <cellStyle name="Input 4 2 2 4 2" xfId="17769" xr:uid="{00000000-0005-0000-0000-00008E440000}"/>
    <cellStyle name="Input 4 2 2 5" xfId="17770" xr:uid="{00000000-0005-0000-0000-00008F440000}"/>
    <cellStyle name="Input 4 2 2 6" xfId="17771" xr:uid="{00000000-0005-0000-0000-000090440000}"/>
    <cellStyle name="Input 4 2 2 7" xfId="17772" xr:uid="{00000000-0005-0000-0000-000091440000}"/>
    <cellStyle name="Input 4 2 3" xfId="17773" xr:uid="{00000000-0005-0000-0000-000092440000}"/>
    <cellStyle name="Input 4 2 3 2" xfId="17774" xr:uid="{00000000-0005-0000-0000-000093440000}"/>
    <cellStyle name="Input 4 2 3 3" xfId="17775" xr:uid="{00000000-0005-0000-0000-000094440000}"/>
    <cellStyle name="Input 4 2 4" xfId="17776" xr:uid="{00000000-0005-0000-0000-000095440000}"/>
    <cellStyle name="Input 4 2 4 2" xfId="17777" xr:uid="{00000000-0005-0000-0000-000096440000}"/>
    <cellStyle name="Input 4 2 5" xfId="17778" xr:uid="{00000000-0005-0000-0000-000097440000}"/>
    <cellStyle name="Input 4 2 5 2" xfId="17779" xr:uid="{00000000-0005-0000-0000-000098440000}"/>
    <cellStyle name="Input 4 2 6" xfId="17780" xr:uid="{00000000-0005-0000-0000-000099440000}"/>
    <cellStyle name="Input 4 2 6 2" xfId="17781" xr:uid="{00000000-0005-0000-0000-00009A440000}"/>
    <cellStyle name="Input 4 2 7" xfId="17782" xr:uid="{00000000-0005-0000-0000-00009B440000}"/>
    <cellStyle name="Input 4 2 7 2" xfId="17783" xr:uid="{00000000-0005-0000-0000-00009C440000}"/>
    <cellStyle name="Input 4 2 8" xfId="17784" xr:uid="{00000000-0005-0000-0000-00009D440000}"/>
    <cellStyle name="Input 4 2 9" xfId="17785" xr:uid="{00000000-0005-0000-0000-00009E440000}"/>
    <cellStyle name="Input 4 3" xfId="17786" xr:uid="{00000000-0005-0000-0000-00009F440000}"/>
    <cellStyle name="Input 4 3 2" xfId="17787" xr:uid="{00000000-0005-0000-0000-0000A0440000}"/>
    <cellStyle name="Input 4 3 2 2" xfId="17788" xr:uid="{00000000-0005-0000-0000-0000A1440000}"/>
    <cellStyle name="Input 4 3 3" xfId="17789" xr:uid="{00000000-0005-0000-0000-0000A2440000}"/>
    <cellStyle name="Input 4 3 3 2" xfId="17790" xr:uid="{00000000-0005-0000-0000-0000A3440000}"/>
    <cellStyle name="Input 4 3 4" xfId="17791" xr:uid="{00000000-0005-0000-0000-0000A4440000}"/>
    <cellStyle name="Input 4 3 4 2" xfId="17792" xr:uid="{00000000-0005-0000-0000-0000A5440000}"/>
    <cellStyle name="Input 4 3 5" xfId="17793" xr:uid="{00000000-0005-0000-0000-0000A6440000}"/>
    <cellStyle name="Input 4 3 6" xfId="17794" xr:uid="{00000000-0005-0000-0000-0000A7440000}"/>
    <cellStyle name="Input 4 3 7" xfId="17795" xr:uid="{00000000-0005-0000-0000-0000A8440000}"/>
    <cellStyle name="Input 4 4" xfId="17796" xr:uid="{00000000-0005-0000-0000-0000A9440000}"/>
    <cellStyle name="Input 4 4 2" xfId="17797" xr:uid="{00000000-0005-0000-0000-0000AA440000}"/>
    <cellStyle name="Input 4 4 2 2" xfId="17798" xr:uid="{00000000-0005-0000-0000-0000AB440000}"/>
    <cellStyle name="Input 4 4 3" xfId="17799" xr:uid="{00000000-0005-0000-0000-0000AC440000}"/>
    <cellStyle name="Input 4 4 3 2" xfId="17800" xr:uid="{00000000-0005-0000-0000-0000AD440000}"/>
    <cellStyle name="Input 4 4 4" xfId="17801" xr:uid="{00000000-0005-0000-0000-0000AE440000}"/>
    <cellStyle name="Input 4 4 4 2" xfId="17802" xr:uid="{00000000-0005-0000-0000-0000AF440000}"/>
    <cellStyle name="Input 4 4 5" xfId="17803" xr:uid="{00000000-0005-0000-0000-0000B0440000}"/>
    <cellStyle name="Input 4 4 6" xfId="17804" xr:uid="{00000000-0005-0000-0000-0000B1440000}"/>
    <cellStyle name="Input 4 4 7" xfId="17805" xr:uid="{00000000-0005-0000-0000-0000B2440000}"/>
    <cellStyle name="Input 4 5" xfId="17806" xr:uid="{00000000-0005-0000-0000-0000B3440000}"/>
    <cellStyle name="Input 4 5 2" xfId="17807" xr:uid="{00000000-0005-0000-0000-0000B4440000}"/>
    <cellStyle name="Input 4 5 2 2" xfId="17808" xr:uid="{00000000-0005-0000-0000-0000B5440000}"/>
    <cellStyle name="Input 4 5 3" xfId="17809" xr:uid="{00000000-0005-0000-0000-0000B6440000}"/>
    <cellStyle name="Input 4 5 3 2" xfId="17810" xr:uid="{00000000-0005-0000-0000-0000B7440000}"/>
    <cellStyle name="Input 4 5 4" xfId="17811" xr:uid="{00000000-0005-0000-0000-0000B8440000}"/>
    <cellStyle name="Input 4 5 5" xfId="17812" xr:uid="{00000000-0005-0000-0000-0000B9440000}"/>
    <cellStyle name="Input 4 5 6" xfId="17813" xr:uid="{00000000-0005-0000-0000-0000BA440000}"/>
    <cellStyle name="Input 4 6" xfId="17814" xr:uid="{00000000-0005-0000-0000-0000BB440000}"/>
    <cellStyle name="Input 4 6 2" xfId="17815" xr:uid="{00000000-0005-0000-0000-0000BC440000}"/>
    <cellStyle name="Input 4 7" xfId="17816" xr:uid="{00000000-0005-0000-0000-0000BD440000}"/>
    <cellStyle name="Input 4 7 2" xfId="17817" xr:uid="{00000000-0005-0000-0000-0000BE440000}"/>
    <cellStyle name="Input 4 8" xfId="17818" xr:uid="{00000000-0005-0000-0000-0000BF440000}"/>
    <cellStyle name="Input 4 8 2" xfId="17819" xr:uid="{00000000-0005-0000-0000-0000C0440000}"/>
    <cellStyle name="Input 4 9" xfId="17820" xr:uid="{00000000-0005-0000-0000-0000C1440000}"/>
    <cellStyle name="Input 4 9 2" xfId="17821" xr:uid="{00000000-0005-0000-0000-0000C2440000}"/>
    <cellStyle name="Input 40" xfId="17822" xr:uid="{00000000-0005-0000-0000-0000C3440000}"/>
    <cellStyle name="Input 40 2" xfId="17823" xr:uid="{00000000-0005-0000-0000-0000C4440000}"/>
    <cellStyle name="Input 40 2 2" xfId="17824" xr:uid="{00000000-0005-0000-0000-0000C5440000}"/>
    <cellStyle name="Input 40 2 2 2" xfId="17825" xr:uid="{00000000-0005-0000-0000-0000C6440000}"/>
    <cellStyle name="Input 40 2 3" xfId="17826" xr:uid="{00000000-0005-0000-0000-0000C7440000}"/>
    <cellStyle name="Input 40 2 3 2" xfId="17827" xr:uid="{00000000-0005-0000-0000-0000C8440000}"/>
    <cellStyle name="Input 40 2 4" xfId="17828" xr:uid="{00000000-0005-0000-0000-0000C9440000}"/>
    <cellStyle name="Input 40 3" xfId="17829" xr:uid="{00000000-0005-0000-0000-0000CA440000}"/>
    <cellStyle name="Input 40 3 2" xfId="17830" xr:uid="{00000000-0005-0000-0000-0000CB440000}"/>
    <cellStyle name="Input 40 4" xfId="17831" xr:uid="{00000000-0005-0000-0000-0000CC440000}"/>
    <cellStyle name="Input 40 4 2" xfId="17832" xr:uid="{00000000-0005-0000-0000-0000CD440000}"/>
    <cellStyle name="Input 40 5" xfId="17833" xr:uid="{00000000-0005-0000-0000-0000CE440000}"/>
    <cellStyle name="Input 40 5 2" xfId="17834" xr:uid="{00000000-0005-0000-0000-0000CF440000}"/>
    <cellStyle name="Input 40 6" xfId="17835" xr:uid="{00000000-0005-0000-0000-0000D0440000}"/>
    <cellStyle name="Input 40 7" xfId="17836" xr:uid="{00000000-0005-0000-0000-0000D1440000}"/>
    <cellStyle name="Input 40 8" xfId="17837" xr:uid="{00000000-0005-0000-0000-0000D2440000}"/>
    <cellStyle name="Input 41" xfId="17838" xr:uid="{00000000-0005-0000-0000-0000D3440000}"/>
    <cellStyle name="Input 41 2" xfId="17839" xr:uid="{00000000-0005-0000-0000-0000D4440000}"/>
    <cellStyle name="Input 41 2 2" xfId="17840" xr:uid="{00000000-0005-0000-0000-0000D5440000}"/>
    <cellStyle name="Input 41 2 2 2" xfId="17841" xr:uid="{00000000-0005-0000-0000-0000D6440000}"/>
    <cellStyle name="Input 41 2 3" xfId="17842" xr:uid="{00000000-0005-0000-0000-0000D7440000}"/>
    <cellStyle name="Input 41 2 3 2" xfId="17843" xr:uid="{00000000-0005-0000-0000-0000D8440000}"/>
    <cellStyle name="Input 41 2 4" xfId="17844" xr:uid="{00000000-0005-0000-0000-0000D9440000}"/>
    <cellStyle name="Input 41 3" xfId="17845" xr:uid="{00000000-0005-0000-0000-0000DA440000}"/>
    <cellStyle name="Input 41 3 2" xfId="17846" xr:uid="{00000000-0005-0000-0000-0000DB440000}"/>
    <cellStyle name="Input 41 4" xfId="17847" xr:uid="{00000000-0005-0000-0000-0000DC440000}"/>
    <cellStyle name="Input 41 4 2" xfId="17848" xr:uid="{00000000-0005-0000-0000-0000DD440000}"/>
    <cellStyle name="Input 41 5" xfId="17849" xr:uid="{00000000-0005-0000-0000-0000DE440000}"/>
    <cellStyle name="Input 41 5 2" xfId="17850" xr:uid="{00000000-0005-0000-0000-0000DF440000}"/>
    <cellStyle name="Input 41 6" xfId="17851" xr:uid="{00000000-0005-0000-0000-0000E0440000}"/>
    <cellStyle name="Input 41 7" xfId="17852" xr:uid="{00000000-0005-0000-0000-0000E1440000}"/>
    <cellStyle name="Input 41 8" xfId="17853" xr:uid="{00000000-0005-0000-0000-0000E2440000}"/>
    <cellStyle name="Input 42" xfId="17854" xr:uid="{00000000-0005-0000-0000-0000E3440000}"/>
    <cellStyle name="Input 42 2" xfId="17855" xr:uid="{00000000-0005-0000-0000-0000E4440000}"/>
    <cellStyle name="Input 42 2 2" xfId="17856" xr:uid="{00000000-0005-0000-0000-0000E5440000}"/>
    <cellStyle name="Input 42 2 2 2" xfId="17857" xr:uid="{00000000-0005-0000-0000-0000E6440000}"/>
    <cellStyle name="Input 42 2 3" xfId="17858" xr:uid="{00000000-0005-0000-0000-0000E7440000}"/>
    <cellStyle name="Input 42 2 3 2" xfId="17859" xr:uid="{00000000-0005-0000-0000-0000E8440000}"/>
    <cellStyle name="Input 42 2 4" xfId="17860" xr:uid="{00000000-0005-0000-0000-0000E9440000}"/>
    <cellStyle name="Input 42 3" xfId="17861" xr:uid="{00000000-0005-0000-0000-0000EA440000}"/>
    <cellStyle name="Input 42 3 2" xfId="17862" xr:uid="{00000000-0005-0000-0000-0000EB440000}"/>
    <cellStyle name="Input 42 4" xfId="17863" xr:uid="{00000000-0005-0000-0000-0000EC440000}"/>
    <cellStyle name="Input 42 4 2" xfId="17864" xr:uid="{00000000-0005-0000-0000-0000ED440000}"/>
    <cellStyle name="Input 42 5" xfId="17865" xr:uid="{00000000-0005-0000-0000-0000EE440000}"/>
    <cellStyle name="Input 42 5 2" xfId="17866" xr:uid="{00000000-0005-0000-0000-0000EF440000}"/>
    <cellStyle name="Input 42 6" xfId="17867" xr:uid="{00000000-0005-0000-0000-0000F0440000}"/>
    <cellStyle name="Input 42 7" xfId="17868" xr:uid="{00000000-0005-0000-0000-0000F1440000}"/>
    <cellStyle name="Input 42 8" xfId="17869" xr:uid="{00000000-0005-0000-0000-0000F2440000}"/>
    <cellStyle name="Input 43" xfId="17870" xr:uid="{00000000-0005-0000-0000-0000F3440000}"/>
    <cellStyle name="Input 43 2" xfId="17871" xr:uid="{00000000-0005-0000-0000-0000F4440000}"/>
    <cellStyle name="Input 43 2 2" xfId="17872" xr:uid="{00000000-0005-0000-0000-0000F5440000}"/>
    <cellStyle name="Input 43 2 2 2" xfId="17873" xr:uid="{00000000-0005-0000-0000-0000F6440000}"/>
    <cellStyle name="Input 43 2 3" xfId="17874" xr:uid="{00000000-0005-0000-0000-0000F7440000}"/>
    <cellStyle name="Input 43 2 3 2" xfId="17875" xr:uid="{00000000-0005-0000-0000-0000F8440000}"/>
    <cellStyle name="Input 43 2 4" xfId="17876" xr:uid="{00000000-0005-0000-0000-0000F9440000}"/>
    <cellStyle name="Input 43 3" xfId="17877" xr:uid="{00000000-0005-0000-0000-0000FA440000}"/>
    <cellStyle name="Input 43 3 2" xfId="17878" xr:uid="{00000000-0005-0000-0000-0000FB440000}"/>
    <cellStyle name="Input 43 4" xfId="17879" xr:uid="{00000000-0005-0000-0000-0000FC440000}"/>
    <cellStyle name="Input 43 4 2" xfId="17880" xr:uid="{00000000-0005-0000-0000-0000FD440000}"/>
    <cellStyle name="Input 43 5" xfId="17881" xr:uid="{00000000-0005-0000-0000-0000FE440000}"/>
    <cellStyle name="Input 43 5 2" xfId="17882" xr:uid="{00000000-0005-0000-0000-0000FF440000}"/>
    <cellStyle name="Input 43 6" xfId="17883" xr:uid="{00000000-0005-0000-0000-000000450000}"/>
    <cellStyle name="Input 43 7" xfId="17884" xr:uid="{00000000-0005-0000-0000-000001450000}"/>
    <cellStyle name="Input 43 8" xfId="17885" xr:uid="{00000000-0005-0000-0000-000002450000}"/>
    <cellStyle name="Input 44" xfId="17886" xr:uid="{00000000-0005-0000-0000-000003450000}"/>
    <cellStyle name="Input 44 2" xfId="17887" xr:uid="{00000000-0005-0000-0000-000004450000}"/>
    <cellStyle name="Input 44 2 2" xfId="17888" xr:uid="{00000000-0005-0000-0000-000005450000}"/>
    <cellStyle name="Input 44 2 2 2" xfId="17889" xr:uid="{00000000-0005-0000-0000-000006450000}"/>
    <cellStyle name="Input 44 2 3" xfId="17890" xr:uid="{00000000-0005-0000-0000-000007450000}"/>
    <cellStyle name="Input 44 2 3 2" xfId="17891" xr:uid="{00000000-0005-0000-0000-000008450000}"/>
    <cellStyle name="Input 44 2 4" xfId="17892" xr:uid="{00000000-0005-0000-0000-000009450000}"/>
    <cellStyle name="Input 44 3" xfId="17893" xr:uid="{00000000-0005-0000-0000-00000A450000}"/>
    <cellStyle name="Input 44 3 2" xfId="17894" xr:uid="{00000000-0005-0000-0000-00000B450000}"/>
    <cellStyle name="Input 44 4" xfId="17895" xr:uid="{00000000-0005-0000-0000-00000C450000}"/>
    <cellStyle name="Input 44 4 2" xfId="17896" xr:uid="{00000000-0005-0000-0000-00000D450000}"/>
    <cellStyle name="Input 44 5" xfId="17897" xr:uid="{00000000-0005-0000-0000-00000E450000}"/>
    <cellStyle name="Input 44 5 2" xfId="17898" xr:uid="{00000000-0005-0000-0000-00000F450000}"/>
    <cellStyle name="Input 44 6" xfId="17899" xr:uid="{00000000-0005-0000-0000-000010450000}"/>
    <cellStyle name="Input 44 7" xfId="17900" xr:uid="{00000000-0005-0000-0000-000011450000}"/>
    <cellStyle name="Input 44 8" xfId="17901" xr:uid="{00000000-0005-0000-0000-000012450000}"/>
    <cellStyle name="Input 45" xfId="17902" xr:uid="{00000000-0005-0000-0000-000013450000}"/>
    <cellStyle name="Input 45 2" xfId="17903" xr:uid="{00000000-0005-0000-0000-000014450000}"/>
    <cellStyle name="Input 45 2 2" xfId="17904" xr:uid="{00000000-0005-0000-0000-000015450000}"/>
    <cellStyle name="Input 45 2 2 2" xfId="17905" xr:uid="{00000000-0005-0000-0000-000016450000}"/>
    <cellStyle name="Input 45 2 3" xfId="17906" xr:uid="{00000000-0005-0000-0000-000017450000}"/>
    <cellStyle name="Input 45 2 3 2" xfId="17907" xr:uid="{00000000-0005-0000-0000-000018450000}"/>
    <cellStyle name="Input 45 2 4" xfId="17908" xr:uid="{00000000-0005-0000-0000-000019450000}"/>
    <cellStyle name="Input 45 3" xfId="17909" xr:uid="{00000000-0005-0000-0000-00001A450000}"/>
    <cellStyle name="Input 45 3 2" xfId="17910" xr:uid="{00000000-0005-0000-0000-00001B450000}"/>
    <cellStyle name="Input 45 4" xfId="17911" xr:uid="{00000000-0005-0000-0000-00001C450000}"/>
    <cellStyle name="Input 45 4 2" xfId="17912" xr:uid="{00000000-0005-0000-0000-00001D450000}"/>
    <cellStyle name="Input 45 5" xfId="17913" xr:uid="{00000000-0005-0000-0000-00001E450000}"/>
    <cellStyle name="Input 45 5 2" xfId="17914" xr:uid="{00000000-0005-0000-0000-00001F450000}"/>
    <cellStyle name="Input 45 6" xfId="17915" xr:uid="{00000000-0005-0000-0000-000020450000}"/>
    <cellStyle name="Input 45 7" xfId="17916" xr:uid="{00000000-0005-0000-0000-000021450000}"/>
    <cellStyle name="Input 45 8" xfId="17917" xr:uid="{00000000-0005-0000-0000-000022450000}"/>
    <cellStyle name="Input 46" xfId="17918" xr:uid="{00000000-0005-0000-0000-000023450000}"/>
    <cellStyle name="Input 46 2" xfId="17919" xr:uid="{00000000-0005-0000-0000-000024450000}"/>
    <cellStyle name="Input 46 2 2" xfId="17920" xr:uid="{00000000-0005-0000-0000-000025450000}"/>
    <cellStyle name="Input 46 2 2 2" xfId="17921" xr:uid="{00000000-0005-0000-0000-000026450000}"/>
    <cellStyle name="Input 46 2 3" xfId="17922" xr:uid="{00000000-0005-0000-0000-000027450000}"/>
    <cellStyle name="Input 46 2 3 2" xfId="17923" xr:uid="{00000000-0005-0000-0000-000028450000}"/>
    <cellStyle name="Input 46 2 4" xfId="17924" xr:uid="{00000000-0005-0000-0000-000029450000}"/>
    <cellStyle name="Input 46 3" xfId="17925" xr:uid="{00000000-0005-0000-0000-00002A450000}"/>
    <cellStyle name="Input 46 3 2" xfId="17926" xr:uid="{00000000-0005-0000-0000-00002B450000}"/>
    <cellStyle name="Input 46 4" xfId="17927" xr:uid="{00000000-0005-0000-0000-00002C450000}"/>
    <cellStyle name="Input 46 4 2" xfId="17928" xr:uid="{00000000-0005-0000-0000-00002D450000}"/>
    <cellStyle name="Input 46 5" xfId="17929" xr:uid="{00000000-0005-0000-0000-00002E450000}"/>
    <cellStyle name="Input 46 6" xfId="17930" xr:uid="{00000000-0005-0000-0000-00002F450000}"/>
    <cellStyle name="Input 46 7" xfId="17931" xr:uid="{00000000-0005-0000-0000-000030450000}"/>
    <cellStyle name="Input 47" xfId="17932" xr:uid="{00000000-0005-0000-0000-000031450000}"/>
    <cellStyle name="Input 47 2" xfId="17933" xr:uid="{00000000-0005-0000-0000-000032450000}"/>
    <cellStyle name="Input 47 2 2" xfId="17934" xr:uid="{00000000-0005-0000-0000-000033450000}"/>
    <cellStyle name="Input 47 2 2 2" xfId="17935" xr:uid="{00000000-0005-0000-0000-000034450000}"/>
    <cellStyle name="Input 47 2 3" xfId="17936" xr:uid="{00000000-0005-0000-0000-000035450000}"/>
    <cellStyle name="Input 47 2 3 2" xfId="17937" xr:uid="{00000000-0005-0000-0000-000036450000}"/>
    <cellStyle name="Input 47 2 4" xfId="17938" xr:uid="{00000000-0005-0000-0000-000037450000}"/>
    <cellStyle name="Input 47 3" xfId="17939" xr:uid="{00000000-0005-0000-0000-000038450000}"/>
    <cellStyle name="Input 47 3 2" xfId="17940" xr:uid="{00000000-0005-0000-0000-000039450000}"/>
    <cellStyle name="Input 47 4" xfId="17941" xr:uid="{00000000-0005-0000-0000-00003A450000}"/>
    <cellStyle name="Input 47 4 2" xfId="17942" xr:uid="{00000000-0005-0000-0000-00003B450000}"/>
    <cellStyle name="Input 47 5" xfId="17943" xr:uid="{00000000-0005-0000-0000-00003C450000}"/>
    <cellStyle name="Input 47 6" xfId="17944" xr:uid="{00000000-0005-0000-0000-00003D450000}"/>
    <cellStyle name="Input 47 7" xfId="17945" xr:uid="{00000000-0005-0000-0000-00003E450000}"/>
    <cellStyle name="Input 48" xfId="17946" xr:uid="{00000000-0005-0000-0000-00003F450000}"/>
    <cellStyle name="Input 48 2" xfId="17947" xr:uid="{00000000-0005-0000-0000-000040450000}"/>
    <cellStyle name="Input 48 2 2" xfId="17948" xr:uid="{00000000-0005-0000-0000-000041450000}"/>
    <cellStyle name="Input 48 2 2 2" xfId="17949" xr:uid="{00000000-0005-0000-0000-000042450000}"/>
    <cellStyle name="Input 48 2 3" xfId="17950" xr:uid="{00000000-0005-0000-0000-000043450000}"/>
    <cellStyle name="Input 48 2 3 2" xfId="17951" xr:uid="{00000000-0005-0000-0000-000044450000}"/>
    <cellStyle name="Input 48 2 4" xfId="17952" xr:uid="{00000000-0005-0000-0000-000045450000}"/>
    <cellStyle name="Input 48 3" xfId="17953" xr:uid="{00000000-0005-0000-0000-000046450000}"/>
    <cellStyle name="Input 48 3 2" xfId="17954" xr:uid="{00000000-0005-0000-0000-000047450000}"/>
    <cellStyle name="Input 48 4" xfId="17955" xr:uid="{00000000-0005-0000-0000-000048450000}"/>
    <cellStyle name="Input 48 4 2" xfId="17956" xr:uid="{00000000-0005-0000-0000-000049450000}"/>
    <cellStyle name="Input 48 5" xfId="17957" xr:uid="{00000000-0005-0000-0000-00004A450000}"/>
    <cellStyle name="Input 48 6" xfId="17958" xr:uid="{00000000-0005-0000-0000-00004B450000}"/>
    <cellStyle name="Input 48 7" xfId="17959" xr:uid="{00000000-0005-0000-0000-00004C450000}"/>
    <cellStyle name="Input 49" xfId="17960" xr:uid="{00000000-0005-0000-0000-00004D450000}"/>
    <cellStyle name="Input 49 2" xfId="17961" xr:uid="{00000000-0005-0000-0000-00004E450000}"/>
    <cellStyle name="Input 49 2 2" xfId="17962" xr:uid="{00000000-0005-0000-0000-00004F450000}"/>
    <cellStyle name="Input 49 2 2 2" xfId="17963" xr:uid="{00000000-0005-0000-0000-000050450000}"/>
    <cellStyle name="Input 49 2 3" xfId="17964" xr:uid="{00000000-0005-0000-0000-000051450000}"/>
    <cellStyle name="Input 49 2 3 2" xfId="17965" xr:uid="{00000000-0005-0000-0000-000052450000}"/>
    <cellStyle name="Input 49 2 4" xfId="17966" xr:uid="{00000000-0005-0000-0000-000053450000}"/>
    <cellStyle name="Input 49 3" xfId="17967" xr:uid="{00000000-0005-0000-0000-000054450000}"/>
    <cellStyle name="Input 49 3 2" xfId="17968" xr:uid="{00000000-0005-0000-0000-000055450000}"/>
    <cellStyle name="Input 49 4" xfId="17969" xr:uid="{00000000-0005-0000-0000-000056450000}"/>
    <cellStyle name="Input 49 4 2" xfId="17970" xr:uid="{00000000-0005-0000-0000-000057450000}"/>
    <cellStyle name="Input 49 5" xfId="17971" xr:uid="{00000000-0005-0000-0000-000058450000}"/>
    <cellStyle name="Input 49 6" xfId="17972" xr:uid="{00000000-0005-0000-0000-000059450000}"/>
    <cellStyle name="Input 49 7" xfId="17973" xr:uid="{00000000-0005-0000-0000-00005A450000}"/>
    <cellStyle name="Input 5" xfId="17974" xr:uid="{00000000-0005-0000-0000-00005B450000}"/>
    <cellStyle name="Input 5 10" xfId="17975" xr:uid="{00000000-0005-0000-0000-00005C450000}"/>
    <cellStyle name="Input 5 11" xfId="17976" xr:uid="{00000000-0005-0000-0000-00005D450000}"/>
    <cellStyle name="Input 5 12" xfId="17977" xr:uid="{00000000-0005-0000-0000-00005E450000}"/>
    <cellStyle name="Input 5 2" xfId="17978" xr:uid="{00000000-0005-0000-0000-00005F450000}"/>
    <cellStyle name="Input 5 2 2" xfId="17979" xr:uid="{00000000-0005-0000-0000-000060450000}"/>
    <cellStyle name="Input 5 2 2 2" xfId="17980" xr:uid="{00000000-0005-0000-0000-000061450000}"/>
    <cellStyle name="Input 5 2 2 2 2" xfId="17981" xr:uid="{00000000-0005-0000-0000-000062450000}"/>
    <cellStyle name="Input 5 2 2 3" xfId="17982" xr:uid="{00000000-0005-0000-0000-000063450000}"/>
    <cellStyle name="Input 5 2 2 3 2" xfId="17983" xr:uid="{00000000-0005-0000-0000-000064450000}"/>
    <cellStyle name="Input 5 2 2 4" xfId="17984" xr:uid="{00000000-0005-0000-0000-000065450000}"/>
    <cellStyle name="Input 5 2 2 4 2" xfId="17985" xr:uid="{00000000-0005-0000-0000-000066450000}"/>
    <cellStyle name="Input 5 2 2 5" xfId="17986" xr:uid="{00000000-0005-0000-0000-000067450000}"/>
    <cellStyle name="Input 5 2 2 6" xfId="17987" xr:uid="{00000000-0005-0000-0000-000068450000}"/>
    <cellStyle name="Input 5 2 2 7" xfId="17988" xr:uid="{00000000-0005-0000-0000-000069450000}"/>
    <cellStyle name="Input 5 2 3" xfId="17989" xr:uid="{00000000-0005-0000-0000-00006A450000}"/>
    <cellStyle name="Input 5 2 3 2" xfId="17990" xr:uid="{00000000-0005-0000-0000-00006B450000}"/>
    <cellStyle name="Input 5 2 3 3" xfId="17991" xr:uid="{00000000-0005-0000-0000-00006C450000}"/>
    <cellStyle name="Input 5 2 4" xfId="17992" xr:uid="{00000000-0005-0000-0000-00006D450000}"/>
    <cellStyle name="Input 5 2 4 2" xfId="17993" xr:uid="{00000000-0005-0000-0000-00006E450000}"/>
    <cellStyle name="Input 5 2 5" xfId="17994" xr:uid="{00000000-0005-0000-0000-00006F450000}"/>
    <cellStyle name="Input 5 2 5 2" xfId="17995" xr:uid="{00000000-0005-0000-0000-000070450000}"/>
    <cellStyle name="Input 5 2 6" xfId="17996" xr:uid="{00000000-0005-0000-0000-000071450000}"/>
    <cellStyle name="Input 5 2 6 2" xfId="17997" xr:uid="{00000000-0005-0000-0000-000072450000}"/>
    <cellStyle name="Input 5 2 7" xfId="17998" xr:uid="{00000000-0005-0000-0000-000073450000}"/>
    <cellStyle name="Input 5 2 8" xfId="17999" xr:uid="{00000000-0005-0000-0000-000074450000}"/>
    <cellStyle name="Input 5 2 9" xfId="18000" xr:uid="{00000000-0005-0000-0000-000075450000}"/>
    <cellStyle name="Input 5 3" xfId="18001" xr:uid="{00000000-0005-0000-0000-000076450000}"/>
    <cellStyle name="Input 5 3 2" xfId="18002" xr:uid="{00000000-0005-0000-0000-000077450000}"/>
    <cellStyle name="Input 5 3 2 2" xfId="18003" xr:uid="{00000000-0005-0000-0000-000078450000}"/>
    <cellStyle name="Input 5 3 3" xfId="18004" xr:uid="{00000000-0005-0000-0000-000079450000}"/>
    <cellStyle name="Input 5 3 3 2" xfId="18005" xr:uid="{00000000-0005-0000-0000-00007A450000}"/>
    <cellStyle name="Input 5 3 4" xfId="18006" xr:uid="{00000000-0005-0000-0000-00007B450000}"/>
    <cellStyle name="Input 5 3 4 2" xfId="18007" xr:uid="{00000000-0005-0000-0000-00007C450000}"/>
    <cellStyle name="Input 5 3 5" xfId="18008" xr:uid="{00000000-0005-0000-0000-00007D450000}"/>
    <cellStyle name="Input 5 3 6" xfId="18009" xr:uid="{00000000-0005-0000-0000-00007E450000}"/>
    <cellStyle name="Input 5 3 7" xfId="18010" xr:uid="{00000000-0005-0000-0000-00007F450000}"/>
    <cellStyle name="Input 5 4" xfId="18011" xr:uid="{00000000-0005-0000-0000-000080450000}"/>
    <cellStyle name="Input 5 4 2" xfId="18012" xr:uid="{00000000-0005-0000-0000-000081450000}"/>
    <cellStyle name="Input 5 4 2 2" xfId="18013" xr:uid="{00000000-0005-0000-0000-000082450000}"/>
    <cellStyle name="Input 5 4 3" xfId="18014" xr:uid="{00000000-0005-0000-0000-000083450000}"/>
    <cellStyle name="Input 5 4 3 2" xfId="18015" xr:uid="{00000000-0005-0000-0000-000084450000}"/>
    <cellStyle name="Input 5 4 4" xfId="18016" xr:uid="{00000000-0005-0000-0000-000085450000}"/>
    <cellStyle name="Input 5 4 5" xfId="18017" xr:uid="{00000000-0005-0000-0000-000086450000}"/>
    <cellStyle name="Input 5 4 6" xfId="18018" xr:uid="{00000000-0005-0000-0000-000087450000}"/>
    <cellStyle name="Input 5 5" xfId="18019" xr:uid="{00000000-0005-0000-0000-000088450000}"/>
    <cellStyle name="Input 5 5 2" xfId="18020" xr:uid="{00000000-0005-0000-0000-000089450000}"/>
    <cellStyle name="Input 5 5 2 2" xfId="18021" xr:uid="{00000000-0005-0000-0000-00008A450000}"/>
    <cellStyle name="Input 5 5 3" xfId="18022" xr:uid="{00000000-0005-0000-0000-00008B450000}"/>
    <cellStyle name="Input 5 5 3 2" xfId="18023" xr:uid="{00000000-0005-0000-0000-00008C450000}"/>
    <cellStyle name="Input 5 5 4" xfId="18024" xr:uid="{00000000-0005-0000-0000-00008D450000}"/>
    <cellStyle name="Input 5 5 5" xfId="18025" xr:uid="{00000000-0005-0000-0000-00008E450000}"/>
    <cellStyle name="Input 5 5 6" xfId="18026" xr:uid="{00000000-0005-0000-0000-00008F450000}"/>
    <cellStyle name="Input 5 6" xfId="18027" xr:uid="{00000000-0005-0000-0000-000090450000}"/>
    <cellStyle name="Input 5 6 2" xfId="18028" xr:uid="{00000000-0005-0000-0000-000091450000}"/>
    <cellStyle name="Input 5 7" xfId="18029" xr:uid="{00000000-0005-0000-0000-000092450000}"/>
    <cellStyle name="Input 5 7 2" xfId="18030" xr:uid="{00000000-0005-0000-0000-000093450000}"/>
    <cellStyle name="Input 5 8" xfId="18031" xr:uid="{00000000-0005-0000-0000-000094450000}"/>
    <cellStyle name="Input 5 8 2" xfId="18032" xr:uid="{00000000-0005-0000-0000-000095450000}"/>
    <cellStyle name="Input 5 9" xfId="18033" xr:uid="{00000000-0005-0000-0000-000096450000}"/>
    <cellStyle name="Input 5 9 2" xfId="18034" xr:uid="{00000000-0005-0000-0000-000097450000}"/>
    <cellStyle name="Input 50" xfId="18035" xr:uid="{00000000-0005-0000-0000-000098450000}"/>
    <cellStyle name="Input 50 2" xfId="18036" xr:uid="{00000000-0005-0000-0000-000099450000}"/>
    <cellStyle name="Input 50 3" xfId="18037" xr:uid="{00000000-0005-0000-0000-00009A450000}"/>
    <cellStyle name="Input 50 3 2" xfId="18038" xr:uid="{00000000-0005-0000-0000-00009B450000}"/>
    <cellStyle name="Input 50 4" xfId="18039" xr:uid="{00000000-0005-0000-0000-00009C450000}"/>
    <cellStyle name="Input 50 4 2" xfId="18040" xr:uid="{00000000-0005-0000-0000-00009D450000}"/>
    <cellStyle name="Input 50 5" xfId="18041" xr:uid="{00000000-0005-0000-0000-00009E450000}"/>
    <cellStyle name="Input 50 6" xfId="18042" xr:uid="{00000000-0005-0000-0000-00009F450000}"/>
    <cellStyle name="Input 50 7" xfId="18043" xr:uid="{00000000-0005-0000-0000-0000A0450000}"/>
    <cellStyle name="Input 51" xfId="18044" xr:uid="{00000000-0005-0000-0000-0000A1450000}"/>
    <cellStyle name="Input 51 2" xfId="18045" xr:uid="{00000000-0005-0000-0000-0000A2450000}"/>
    <cellStyle name="Input 51 3" xfId="18046" xr:uid="{00000000-0005-0000-0000-0000A3450000}"/>
    <cellStyle name="Input 51 3 2" xfId="18047" xr:uid="{00000000-0005-0000-0000-0000A4450000}"/>
    <cellStyle name="Input 51 4" xfId="18048" xr:uid="{00000000-0005-0000-0000-0000A5450000}"/>
    <cellStyle name="Input 51 4 2" xfId="18049" xr:uid="{00000000-0005-0000-0000-0000A6450000}"/>
    <cellStyle name="Input 51 5" xfId="18050" xr:uid="{00000000-0005-0000-0000-0000A7450000}"/>
    <cellStyle name="Input 51 6" xfId="18051" xr:uid="{00000000-0005-0000-0000-0000A8450000}"/>
    <cellStyle name="Input 51 7" xfId="18052" xr:uid="{00000000-0005-0000-0000-0000A9450000}"/>
    <cellStyle name="Input 52" xfId="18053" xr:uid="{00000000-0005-0000-0000-0000AA450000}"/>
    <cellStyle name="Input 52 2" xfId="18054" xr:uid="{00000000-0005-0000-0000-0000AB450000}"/>
    <cellStyle name="Input 52 3" xfId="18055" xr:uid="{00000000-0005-0000-0000-0000AC450000}"/>
    <cellStyle name="Input 52 3 2" xfId="18056" xr:uid="{00000000-0005-0000-0000-0000AD450000}"/>
    <cellStyle name="Input 52 4" xfId="18057" xr:uid="{00000000-0005-0000-0000-0000AE450000}"/>
    <cellStyle name="Input 52 4 2" xfId="18058" xr:uid="{00000000-0005-0000-0000-0000AF450000}"/>
    <cellStyle name="Input 52 5" xfId="18059" xr:uid="{00000000-0005-0000-0000-0000B0450000}"/>
    <cellStyle name="Input 52 6" xfId="18060" xr:uid="{00000000-0005-0000-0000-0000B1450000}"/>
    <cellStyle name="Input 52 7" xfId="18061" xr:uid="{00000000-0005-0000-0000-0000B2450000}"/>
    <cellStyle name="Input 53" xfId="18062" xr:uid="{00000000-0005-0000-0000-0000B3450000}"/>
    <cellStyle name="Input 53 2" xfId="18063" xr:uid="{00000000-0005-0000-0000-0000B4450000}"/>
    <cellStyle name="Input 53 3" xfId="18064" xr:uid="{00000000-0005-0000-0000-0000B5450000}"/>
    <cellStyle name="Input 53 3 2" xfId="18065" xr:uid="{00000000-0005-0000-0000-0000B6450000}"/>
    <cellStyle name="Input 53 4" xfId="18066" xr:uid="{00000000-0005-0000-0000-0000B7450000}"/>
    <cellStyle name="Input 53 4 2" xfId="18067" xr:uid="{00000000-0005-0000-0000-0000B8450000}"/>
    <cellStyle name="Input 53 5" xfId="18068" xr:uid="{00000000-0005-0000-0000-0000B9450000}"/>
    <cellStyle name="Input 53 6" xfId="18069" xr:uid="{00000000-0005-0000-0000-0000BA450000}"/>
    <cellStyle name="Input 53 7" xfId="18070" xr:uid="{00000000-0005-0000-0000-0000BB450000}"/>
    <cellStyle name="Input 54" xfId="18071" xr:uid="{00000000-0005-0000-0000-0000BC450000}"/>
    <cellStyle name="Input 54 2" xfId="18072" xr:uid="{00000000-0005-0000-0000-0000BD450000}"/>
    <cellStyle name="Input 54 3" xfId="18073" xr:uid="{00000000-0005-0000-0000-0000BE450000}"/>
    <cellStyle name="Input 54 3 2" xfId="18074" xr:uid="{00000000-0005-0000-0000-0000BF450000}"/>
    <cellStyle name="Input 54 4" xfId="18075" xr:uid="{00000000-0005-0000-0000-0000C0450000}"/>
    <cellStyle name="Input 54 4 2" xfId="18076" xr:uid="{00000000-0005-0000-0000-0000C1450000}"/>
    <cellStyle name="Input 54 5" xfId="18077" xr:uid="{00000000-0005-0000-0000-0000C2450000}"/>
    <cellStyle name="Input 54 6" xfId="18078" xr:uid="{00000000-0005-0000-0000-0000C3450000}"/>
    <cellStyle name="Input 54 7" xfId="18079" xr:uid="{00000000-0005-0000-0000-0000C4450000}"/>
    <cellStyle name="Input 55" xfId="18080" xr:uid="{00000000-0005-0000-0000-0000C5450000}"/>
    <cellStyle name="Input 55 2" xfId="18081" xr:uid="{00000000-0005-0000-0000-0000C6450000}"/>
    <cellStyle name="Input 55 3" xfId="18082" xr:uid="{00000000-0005-0000-0000-0000C7450000}"/>
    <cellStyle name="Input 55 3 2" xfId="18083" xr:uid="{00000000-0005-0000-0000-0000C8450000}"/>
    <cellStyle name="Input 55 4" xfId="18084" xr:uid="{00000000-0005-0000-0000-0000C9450000}"/>
    <cellStyle name="Input 55 4 2" xfId="18085" xr:uid="{00000000-0005-0000-0000-0000CA450000}"/>
    <cellStyle name="Input 55 5" xfId="18086" xr:uid="{00000000-0005-0000-0000-0000CB450000}"/>
    <cellStyle name="Input 55 6" xfId="18087" xr:uid="{00000000-0005-0000-0000-0000CC450000}"/>
    <cellStyle name="Input 55 7" xfId="18088" xr:uid="{00000000-0005-0000-0000-0000CD450000}"/>
    <cellStyle name="Input 56" xfId="18089" xr:uid="{00000000-0005-0000-0000-0000CE450000}"/>
    <cellStyle name="Input 56 2" xfId="18090" xr:uid="{00000000-0005-0000-0000-0000CF450000}"/>
    <cellStyle name="Input 56 3" xfId="18091" xr:uid="{00000000-0005-0000-0000-0000D0450000}"/>
    <cellStyle name="Input 57" xfId="18092" xr:uid="{00000000-0005-0000-0000-0000D1450000}"/>
    <cellStyle name="Input 57 2" xfId="18093" xr:uid="{00000000-0005-0000-0000-0000D2450000}"/>
    <cellStyle name="Input 57 3" xfId="18094" xr:uid="{00000000-0005-0000-0000-0000D3450000}"/>
    <cellStyle name="Input 58" xfId="18095" xr:uid="{00000000-0005-0000-0000-0000D4450000}"/>
    <cellStyle name="Input 58 2" xfId="18096" xr:uid="{00000000-0005-0000-0000-0000D5450000}"/>
    <cellStyle name="Input 58 3" xfId="18097" xr:uid="{00000000-0005-0000-0000-0000D6450000}"/>
    <cellStyle name="Input 59" xfId="18098" xr:uid="{00000000-0005-0000-0000-0000D7450000}"/>
    <cellStyle name="Input 59 2" xfId="18099" xr:uid="{00000000-0005-0000-0000-0000D8450000}"/>
    <cellStyle name="Input 59 3" xfId="18100" xr:uid="{00000000-0005-0000-0000-0000D9450000}"/>
    <cellStyle name="Input 6" xfId="18101" xr:uid="{00000000-0005-0000-0000-0000DA450000}"/>
    <cellStyle name="Input 6 10" xfId="18102" xr:uid="{00000000-0005-0000-0000-0000DB450000}"/>
    <cellStyle name="Input 6 11" xfId="18103" xr:uid="{00000000-0005-0000-0000-0000DC450000}"/>
    <cellStyle name="Input 6 2" xfId="18104" xr:uid="{00000000-0005-0000-0000-0000DD450000}"/>
    <cellStyle name="Input 6 2 2" xfId="18105" xr:uid="{00000000-0005-0000-0000-0000DE450000}"/>
    <cellStyle name="Input 6 2 2 2" xfId="18106" xr:uid="{00000000-0005-0000-0000-0000DF450000}"/>
    <cellStyle name="Input 6 2 2 2 2" xfId="18107" xr:uid="{00000000-0005-0000-0000-0000E0450000}"/>
    <cellStyle name="Input 6 2 2 3" xfId="18108" xr:uid="{00000000-0005-0000-0000-0000E1450000}"/>
    <cellStyle name="Input 6 2 2 3 2" xfId="18109" xr:uid="{00000000-0005-0000-0000-0000E2450000}"/>
    <cellStyle name="Input 6 2 2 4" xfId="18110" xr:uid="{00000000-0005-0000-0000-0000E3450000}"/>
    <cellStyle name="Input 6 2 2 5" xfId="18111" xr:uid="{00000000-0005-0000-0000-0000E4450000}"/>
    <cellStyle name="Input 6 2 2 6" xfId="18112" xr:uid="{00000000-0005-0000-0000-0000E5450000}"/>
    <cellStyle name="Input 6 2 3" xfId="18113" xr:uid="{00000000-0005-0000-0000-0000E6450000}"/>
    <cellStyle name="Input 6 2 3 2" xfId="18114" xr:uid="{00000000-0005-0000-0000-0000E7450000}"/>
    <cellStyle name="Input 6 2 3 3" xfId="18115" xr:uid="{00000000-0005-0000-0000-0000E8450000}"/>
    <cellStyle name="Input 6 2 4" xfId="18116" xr:uid="{00000000-0005-0000-0000-0000E9450000}"/>
    <cellStyle name="Input 6 2 4 2" xfId="18117" xr:uid="{00000000-0005-0000-0000-0000EA450000}"/>
    <cellStyle name="Input 6 2 5" xfId="18118" xr:uid="{00000000-0005-0000-0000-0000EB450000}"/>
    <cellStyle name="Input 6 2 5 2" xfId="18119" xr:uid="{00000000-0005-0000-0000-0000EC450000}"/>
    <cellStyle name="Input 6 2 6" xfId="18120" xr:uid="{00000000-0005-0000-0000-0000ED450000}"/>
    <cellStyle name="Input 6 2 7" xfId="18121" xr:uid="{00000000-0005-0000-0000-0000EE450000}"/>
    <cellStyle name="Input 6 2 8" xfId="18122" xr:uid="{00000000-0005-0000-0000-0000EF450000}"/>
    <cellStyle name="Input 6 3" xfId="18123" xr:uid="{00000000-0005-0000-0000-0000F0450000}"/>
    <cellStyle name="Input 6 3 2" xfId="18124" xr:uid="{00000000-0005-0000-0000-0000F1450000}"/>
    <cellStyle name="Input 6 3 2 2" xfId="18125" xr:uid="{00000000-0005-0000-0000-0000F2450000}"/>
    <cellStyle name="Input 6 3 3" xfId="18126" xr:uid="{00000000-0005-0000-0000-0000F3450000}"/>
    <cellStyle name="Input 6 3 3 2" xfId="18127" xr:uid="{00000000-0005-0000-0000-0000F4450000}"/>
    <cellStyle name="Input 6 3 4" xfId="18128" xr:uid="{00000000-0005-0000-0000-0000F5450000}"/>
    <cellStyle name="Input 6 3 4 2" xfId="18129" xr:uid="{00000000-0005-0000-0000-0000F6450000}"/>
    <cellStyle name="Input 6 3 5" xfId="18130" xr:uid="{00000000-0005-0000-0000-0000F7450000}"/>
    <cellStyle name="Input 6 3 6" xfId="18131" xr:uid="{00000000-0005-0000-0000-0000F8450000}"/>
    <cellStyle name="Input 6 3 7" xfId="18132" xr:uid="{00000000-0005-0000-0000-0000F9450000}"/>
    <cellStyle name="Input 6 4" xfId="18133" xr:uid="{00000000-0005-0000-0000-0000FA450000}"/>
    <cellStyle name="Input 6 4 2" xfId="18134" xr:uid="{00000000-0005-0000-0000-0000FB450000}"/>
    <cellStyle name="Input 6 4 2 2" xfId="18135" xr:uid="{00000000-0005-0000-0000-0000FC450000}"/>
    <cellStyle name="Input 6 4 3" xfId="18136" xr:uid="{00000000-0005-0000-0000-0000FD450000}"/>
    <cellStyle name="Input 6 4 3 2" xfId="18137" xr:uid="{00000000-0005-0000-0000-0000FE450000}"/>
    <cellStyle name="Input 6 4 4" xfId="18138" xr:uid="{00000000-0005-0000-0000-0000FF450000}"/>
    <cellStyle name="Input 6 4 4 2" xfId="18139" xr:uid="{00000000-0005-0000-0000-000000460000}"/>
    <cellStyle name="Input 6 4 5" xfId="18140" xr:uid="{00000000-0005-0000-0000-000001460000}"/>
    <cellStyle name="Input 6 4 6" xfId="18141" xr:uid="{00000000-0005-0000-0000-000002460000}"/>
    <cellStyle name="Input 6 4 7" xfId="18142" xr:uid="{00000000-0005-0000-0000-000003460000}"/>
    <cellStyle name="Input 6 5" xfId="18143" xr:uid="{00000000-0005-0000-0000-000004460000}"/>
    <cellStyle name="Input 6 5 2" xfId="18144" xr:uid="{00000000-0005-0000-0000-000005460000}"/>
    <cellStyle name="Input 6 5 2 2" xfId="18145" xr:uid="{00000000-0005-0000-0000-000006460000}"/>
    <cellStyle name="Input 6 5 3" xfId="18146" xr:uid="{00000000-0005-0000-0000-000007460000}"/>
    <cellStyle name="Input 6 5 3 2" xfId="18147" xr:uid="{00000000-0005-0000-0000-000008460000}"/>
    <cellStyle name="Input 6 5 4" xfId="18148" xr:uid="{00000000-0005-0000-0000-000009460000}"/>
    <cellStyle name="Input 6 5 5" xfId="18149" xr:uid="{00000000-0005-0000-0000-00000A460000}"/>
    <cellStyle name="Input 6 5 6" xfId="18150" xr:uid="{00000000-0005-0000-0000-00000B460000}"/>
    <cellStyle name="Input 6 6" xfId="18151" xr:uid="{00000000-0005-0000-0000-00000C460000}"/>
    <cellStyle name="Input 6 6 2" xfId="18152" xr:uid="{00000000-0005-0000-0000-00000D460000}"/>
    <cellStyle name="Input 6 7" xfId="18153" xr:uid="{00000000-0005-0000-0000-00000E460000}"/>
    <cellStyle name="Input 6 7 2" xfId="18154" xr:uid="{00000000-0005-0000-0000-00000F460000}"/>
    <cellStyle name="Input 6 8" xfId="18155" xr:uid="{00000000-0005-0000-0000-000010460000}"/>
    <cellStyle name="Input 6 8 2" xfId="18156" xr:uid="{00000000-0005-0000-0000-000011460000}"/>
    <cellStyle name="Input 6 9" xfId="18157" xr:uid="{00000000-0005-0000-0000-000012460000}"/>
    <cellStyle name="Input 6 9 2" xfId="18158" xr:uid="{00000000-0005-0000-0000-000013460000}"/>
    <cellStyle name="Input 60" xfId="18159" xr:uid="{00000000-0005-0000-0000-000014460000}"/>
    <cellStyle name="Input 60 2" xfId="18160" xr:uid="{00000000-0005-0000-0000-000015460000}"/>
    <cellStyle name="Input 60 3" xfId="18161" xr:uid="{00000000-0005-0000-0000-000016460000}"/>
    <cellStyle name="Input 61" xfId="18162" xr:uid="{00000000-0005-0000-0000-000017460000}"/>
    <cellStyle name="Input 61 2" xfId="18163" xr:uid="{00000000-0005-0000-0000-000018460000}"/>
    <cellStyle name="Input 61 3" xfId="18164" xr:uid="{00000000-0005-0000-0000-000019460000}"/>
    <cellStyle name="Input 62" xfId="18165" xr:uid="{00000000-0005-0000-0000-00001A460000}"/>
    <cellStyle name="Input 62 2" xfId="18166" xr:uid="{00000000-0005-0000-0000-00001B460000}"/>
    <cellStyle name="Input 62 3" xfId="18167" xr:uid="{00000000-0005-0000-0000-00001C460000}"/>
    <cellStyle name="Input 63" xfId="18168" xr:uid="{00000000-0005-0000-0000-00001D460000}"/>
    <cellStyle name="Input 63 2" xfId="18169" xr:uid="{00000000-0005-0000-0000-00001E460000}"/>
    <cellStyle name="Input 63 3" xfId="18170" xr:uid="{00000000-0005-0000-0000-00001F460000}"/>
    <cellStyle name="Input 64" xfId="18171" xr:uid="{00000000-0005-0000-0000-000020460000}"/>
    <cellStyle name="Input 64 2" xfId="18172" xr:uid="{00000000-0005-0000-0000-000021460000}"/>
    <cellStyle name="Input 64 3" xfId="18173" xr:uid="{00000000-0005-0000-0000-000022460000}"/>
    <cellStyle name="Input 65" xfId="18174" xr:uid="{00000000-0005-0000-0000-000023460000}"/>
    <cellStyle name="Input 65 2" xfId="18175" xr:uid="{00000000-0005-0000-0000-000024460000}"/>
    <cellStyle name="Input 65 3" xfId="18176" xr:uid="{00000000-0005-0000-0000-000025460000}"/>
    <cellStyle name="Input 66" xfId="18177" xr:uid="{00000000-0005-0000-0000-000026460000}"/>
    <cellStyle name="Input 66 2" xfId="18178" xr:uid="{00000000-0005-0000-0000-000027460000}"/>
    <cellStyle name="Input 66 3" xfId="18179" xr:uid="{00000000-0005-0000-0000-000028460000}"/>
    <cellStyle name="Input 67" xfId="18180" xr:uid="{00000000-0005-0000-0000-000029460000}"/>
    <cellStyle name="Input 67 2" xfId="18181" xr:uid="{00000000-0005-0000-0000-00002A460000}"/>
    <cellStyle name="Input 67 3" xfId="18182" xr:uid="{00000000-0005-0000-0000-00002B460000}"/>
    <cellStyle name="Input 68" xfId="18183" xr:uid="{00000000-0005-0000-0000-00002C460000}"/>
    <cellStyle name="Input 68 2" xfId="18184" xr:uid="{00000000-0005-0000-0000-00002D460000}"/>
    <cellStyle name="Input 68 3" xfId="18185" xr:uid="{00000000-0005-0000-0000-00002E460000}"/>
    <cellStyle name="Input 69" xfId="18186" xr:uid="{00000000-0005-0000-0000-00002F460000}"/>
    <cellStyle name="Input 69 2" xfId="18187" xr:uid="{00000000-0005-0000-0000-000030460000}"/>
    <cellStyle name="Input 69 3" xfId="18188" xr:uid="{00000000-0005-0000-0000-000031460000}"/>
    <cellStyle name="Input 7" xfId="18189" xr:uid="{00000000-0005-0000-0000-000032460000}"/>
    <cellStyle name="Input 7 10" xfId="18190" xr:uid="{00000000-0005-0000-0000-000033460000}"/>
    <cellStyle name="Input 7 11" xfId="18191" xr:uid="{00000000-0005-0000-0000-000034460000}"/>
    <cellStyle name="Input 7 2" xfId="18192" xr:uid="{00000000-0005-0000-0000-000035460000}"/>
    <cellStyle name="Input 7 2 2" xfId="18193" xr:uid="{00000000-0005-0000-0000-000036460000}"/>
    <cellStyle name="Input 7 2 2 2" xfId="18194" xr:uid="{00000000-0005-0000-0000-000037460000}"/>
    <cellStyle name="Input 7 2 2 2 2" xfId="18195" xr:uid="{00000000-0005-0000-0000-000038460000}"/>
    <cellStyle name="Input 7 2 2 3" xfId="18196" xr:uid="{00000000-0005-0000-0000-000039460000}"/>
    <cellStyle name="Input 7 2 2 3 2" xfId="18197" xr:uid="{00000000-0005-0000-0000-00003A460000}"/>
    <cellStyle name="Input 7 2 2 4" xfId="18198" xr:uid="{00000000-0005-0000-0000-00003B460000}"/>
    <cellStyle name="Input 7 2 2 5" xfId="18199" xr:uid="{00000000-0005-0000-0000-00003C460000}"/>
    <cellStyle name="Input 7 2 2 6" xfId="18200" xr:uid="{00000000-0005-0000-0000-00003D460000}"/>
    <cellStyle name="Input 7 2 3" xfId="18201" xr:uid="{00000000-0005-0000-0000-00003E460000}"/>
    <cellStyle name="Input 7 2 3 2" xfId="18202" xr:uid="{00000000-0005-0000-0000-00003F460000}"/>
    <cellStyle name="Input 7 2 3 3" xfId="18203" xr:uid="{00000000-0005-0000-0000-000040460000}"/>
    <cellStyle name="Input 7 2 4" xfId="18204" xr:uid="{00000000-0005-0000-0000-000041460000}"/>
    <cellStyle name="Input 7 2 4 2" xfId="18205" xr:uid="{00000000-0005-0000-0000-000042460000}"/>
    <cellStyle name="Input 7 2 5" xfId="18206" xr:uid="{00000000-0005-0000-0000-000043460000}"/>
    <cellStyle name="Input 7 2 5 2" xfId="18207" xr:uid="{00000000-0005-0000-0000-000044460000}"/>
    <cellStyle name="Input 7 2 6" xfId="18208" xr:uid="{00000000-0005-0000-0000-000045460000}"/>
    <cellStyle name="Input 7 2 7" xfId="18209" xr:uid="{00000000-0005-0000-0000-000046460000}"/>
    <cellStyle name="Input 7 2 8" xfId="18210" xr:uid="{00000000-0005-0000-0000-000047460000}"/>
    <cellStyle name="Input 7 3" xfId="18211" xr:uid="{00000000-0005-0000-0000-000048460000}"/>
    <cellStyle name="Input 7 3 2" xfId="18212" xr:uid="{00000000-0005-0000-0000-000049460000}"/>
    <cellStyle name="Input 7 3 2 2" xfId="18213" xr:uid="{00000000-0005-0000-0000-00004A460000}"/>
    <cellStyle name="Input 7 3 3" xfId="18214" xr:uid="{00000000-0005-0000-0000-00004B460000}"/>
    <cellStyle name="Input 7 3 3 2" xfId="18215" xr:uid="{00000000-0005-0000-0000-00004C460000}"/>
    <cellStyle name="Input 7 3 4" xfId="18216" xr:uid="{00000000-0005-0000-0000-00004D460000}"/>
    <cellStyle name="Input 7 3 4 2" xfId="18217" xr:uid="{00000000-0005-0000-0000-00004E460000}"/>
    <cellStyle name="Input 7 3 5" xfId="18218" xr:uid="{00000000-0005-0000-0000-00004F460000}"/>
    <cellStyle name="Input 7 3 6" xfId="18219" xr:uid="{00000000-0005-0000-0000-000050460000}"/>
    <cellStyle name="Input 7 3 7" xfId="18220" xr:uid="{00000000-0005-0000-0000-000051460000}"/>
    <cellStyle name="Input 7 4" xfId="18221" xr:uid="{00000000-0005-0000-0000-000052460000}"/>
    <cellStyle name="Input 7 4 2" xfId="18222" xr:uid="{00000000-0005-0000-0000-000053460000}"/>
    <cellStyle name="Input 7 4 2 2" xfId="18223" xr:uid="{00000000-0005-0000-0000-000054460000}"/>
    <cellStyle name="Input 7 4 3" xfId="18224" xr:uid="{00000000-0005-0000-0000-000055460000}"/>
    <cellStyle name="Input 7 4 3 2" xfId="18225" xr:uid="{00000000-0005-0000-0000-000056460000}"/>
    <cellStyle name="Input 7 4 4" xfId="18226" xr:uid="{00000000-0005-0000-0000-000057460000}"/>
    <cellStyle name="Input 7 4 4 2" xfId="18227" xr:uid="{00000000-0005-0000-0000-000058460000}"/>
    <cellStyle name="Input 7 4 5" xfId="18228" xr:uid="{00000000-0005-0000-0000-000059460000}"/>
    <cellStyle name="Input 7 4 6" xfId="18229" xr:uid="{00000000-0005-0000-0000-00005A460000}"/>
    <cellStyle name="Input 7 4 7" xfId="18230" xr:uid="{00000000-0005-0000-0000-00005B460000}"/>
    <cellStyle name="Input 7 5" xfId="18231" xr:uid="{00000000-0005-0000-0000-00005C460000}"/>
    <cellStyle name="Input 7 5 2" xfId="18232" xr:uid="{00000000-0005-0000-0000-00005D460000}"/>
    <cellStyle name="Input 7 5 2 2" xfId="18233" xr:uid="{00000000-0005-0000-0000-00005E460000}"/>
    <cellStyle name="Input 7 5 3" xfId="18234" xr:uid="{00000000-0005-0000-0000-00005F460000}"/>
    <cellStyle name="Input 7 5 3 2" xfId="18235" xr:uid="{00000000-0005-0000-0000-000060460000}"/>
    <cellStyle name="Input 7 5 4" xfId="18236" xr:uid="{00000000-0005-0000-0000-000061460000}"/>
    <cellStyle name="Input 7 5 5" xfId="18237" xr:uid="{00000000-0005-0000-0000-000062460000}"/>
    <cellStyle name="Input 7 5 6" xfId="18238" xr:uid="{00000000-0005-0000-0000-000063460000}"/>
    <cellStyle name="Input 7 6" xfId="18239" xr:uid="{00000000-0005-0000-0000-000064460000}"/>
    <cellStyle name="Input 7 6 2" xfId="18240" xr:uid="{00000000-0005-0000-0000-000065460000}"/>
    <cellStyle name="Input 7 7" xfId="18241" xr:uid="{00000000-0005-0000-0000-000066460000}"/>
    <cellStyle name="Input 7 7 2" xfId="18242" xr:uid="{00000000-0005-0000-0000-000067460000}"/>
    <cellStyle name="Input 7 8" xfId="18243" xr:uid="{00000000-0005-0000-0000-000068460000}"/>
    <cellStyle name="Input 7 8 2" xfId="18244" xr:uid="{00000000-0005-0000-0000-000069460000}"/>
    <cellStyle name="Input 7 9" xfId="18245" xr:uid="{00000000-0005-0000-0000-00006A460000}"/>
    <cellStyle name="Input 7 9 2" xfId="18246" xr:uid="{00000000-0005-0000-0000-00006B460000}"/>
    <cellStyle name="Input 70" xfId="18247" xr:uid="{00000000-0005-0000-0000-00006C460000}"/>
    <cellStyle name="Input 70 2" xfId="18248" xr:uid="{00000000-0005-0000-0000-00006D460000}"/>
    <cellStyle name="Input 70 3" xfId="18249" xr:uid="{00000000-0005-0000-0000-00006E460000}"/>
    <cellStyle name="Input 71" xfId="18250" xr:uid="{00000000-0005-0000-0000-00006F460000}"/>
    <cellStyle name="Input 71 2" xfId="18251" xr:uid="{00000000-0005-0000-0000-000070460000}"/>
    <cellStyle name="Input 71 3" xfId="18252" xr:uid="{00000000-0005-0000-0000-000071460000}"/>
    <cellStyle name="Input 72" xfId="18253" xr:uid="{00000000-0005-0000-0000-000072460000}"/>
    <cellStyle name="Input 72 2" xfId="18254" xr:uid="{00000000-0005-0000-0000-000073460000}"/>
    <cellStyle name="Input 72 3" xfId="18255" xr:uid="{00000000-0005-0000-0000-000074460000}"/>
    <cellStyle name="Input 73" xfId="18256" xr:uid="{00000000-0005-0000-0000-000075460000}"/>
    <cellStyle name="Input 73 2" xfId="18257" xr:uid="{00000000-0005-0000-0000-000076460000}"/>
    <cellStyle name="Input 73 3" xfId="18258" xr:uid="{00000000-0005-0000-0000-000077460000}"/>
    <cellStyle name="Input 74" xfId="18259" xr:uid="{00000000-0005-0000-0000-000078460000}"/>
    <cellStyle name="Input 74 2" xfId="18260" xr:uid="{00000000-0005-0000-0000-000079460000}"/>
    <cellStyle name="Input 74 3" xfId="18261" xr:uid="{00000000-0005-0000-0000-00007A460000}"/>
    <cellStyle name="Input 75" xfId="18262" xr:uid="{00000000-0005-0000-0000-00007B460000}"/>
    <cellStyle name="Input 75 2" xfId="18263" xr:uid="{00000000-0005-0000-0000-00007C460000}"/>
    <cellStyle name="Input 75 3" xfId="18264" xr:uid="{00000000-0005-0000-0000-00007D460000}"/>
    <cellStyle name="Input 76" xfId="18265" xr:uid="{00000000-0005-0000-0000-00007E460000}"/>
    <cellStyle name="Input 76 2" xfId="18266" xr:uid="{00000000-0005-0000-0000-00007F460000}"/>
    <cellStyle name="Input 76 3" xfId="18267" xr:uid="{00000000-0005-0000-0000-000080460000}"/>
    <cellStyle name="Input 77" xfId="18268" xr:uid="{00000000-0005-0000-0000-000081460000}"/>
    <cellStyle name="Input 77 2" xfId="18269" xr:uid="{00000000-0005-0000-0000-000082460000}"/>
    <cellStyle name="Input 77 3" xfId="18270" xr:uid="{00000000-0005-0000-0000-000083460000}"/>
    <cellStyle name="Input 77 3 2" xfId="18271" xr:uid="{00000000-0005-0000-0000-000084460000}"/>
    <cellStyle name="Input 77 4" xfId="18272" xr:uid="{00000000-0005-0000-0000-000085460000}"/>
    <cellStyle name="Input 77 4 2" xfId="18273" xr:uid="{00000000-0005-0000-0000-000086460000}"/>
    <cellStyle name="Input 77 5" xfId="18274" xr:uid="{00000000-0005-0000-0000-000087460000}"/>
    <cellStyle name="Input 77 6" xfId="18275" xr:uid="{00000000-0005-0000-0000-000088460000}"/>
    <cellStyle name="Input 77 7" xfId="18276" xr:uid="{00000000-0005-0000-0000-000089460000}"/>
    <cellStyle name="Input 78" xfId="18277" xr:uid="{00000000-0005-0000-0000-00008A460000}"/>
    <cellStyle name="Input 78 2" xfId="18278" xr:uid="{00000000-0005-0000-0000-00008B460000}"/>
    <cellStyle name="Input 78 3" xfId="18279" xr:uid="{00000000-0005-0000-0000-00008C460000}"/>
    <cellStyle name="Input 78 3 2" xfId="18280" xr:uid="{00000000-0005-0000-0000-00008D460000}"/>
    <cellStyle name="Input 78 4" xfId="18281" xr:uid="{00000000-0005-0000-0000-00008E460000}"/>
    <cellStyle name="Input 78 4 2" xfId="18282" xr:uid="{00000000-0005-0000-0000-00008F460000}"/>
    <cellStyle name="Input 78 5" xfId="18283" xr:uid="{00000000-0005-0000-0000-000090460000}"/>
    <cellStyle name="Input 78 6" xfId="18284" xr:uid="{00000000-0005-0000-0000-000091460000}"/>
    <cellStyle name="Input 78 7" xfId="18285" xr:uid="{00000000-0005-0000-0000-000092460000}"/>
    <cellStyle name="Input 79" xfId="18286" xr:uid="{00000000-0005-0000-0000-000093460000}"/>
    <cellStyle name="Input 79 2" xfId="18287" xr:uid="{00000000-0005-0000-0000-000094460000}"/>
    <cellStyle name="Input 79 3" xfId="18288" xr:uid="{00000000-0005-0000-0000-000095460000}"/>
    <cellStyle name="Input 79 3 2" xfId="18289" xr:uid="{00000000-0005-0000-0000-000096460000}"/>
    <cellStyle name="Input 79 4" xfId="18290" xr:uid="{00000000-0005-0000-0000-000097460000}"/>
    <cellStyle name="Input 79 4 2" xfId="18291" xr:uid="{00000000-0005-0000-0000-000098460000}"/>
    <cellStyle name="Input 79 5" xfId="18292" xr:uid="{00000000-0005-0000-0000-000099460000}"/>
    <cellStyle name="Input 79 6" xfId="18293" xr:uid="{00000000-0005-0000-0000-00009A460000}"/>
    <cellStyle name="Input 79 7" xfId="18294" xr:uid="{00000000-0005-0000-0000-00009B460000}"/>
    <cellStyle name="Input 8" xfId="18295" xr:uid="{00000000-0005-0000-0000-00009C460000}"/>
    <cellStyle name="Input 8 2" xfId="18296" xr:uid="{00000000-0005-0000-0000-00009D460000}"/>
    <cellStyle name="Input 8 2 2" xfId="18297" xr:uid="{00000000-0005-0000-0000-00009E460000}"/>
    <cellStyle name="Input 8 2 2 2" xfId="18298" xr:uid="{00000000-0005-0000-0000-00009F460000}"/>
    <cellStyle name="Input 8 2 2 3" xfId="18299" xr:uid="{00000000-0005-0000-0000-0000A0460000}"/>
    <cellStyle name="Input 8 2 2 4" xfId="18300" xr:uid="{00000000-0005-0000-0000-0000A1460000}"/>
    <cellStyle name="Input 8 2 3" xfId="18301" xr:uid="{00000000-0005-0000-0000-0000A2460000}"/>
    <cellStyle name="Input 8 2 3 2" xfId="18302" xr:uid="{00000000-0005-0000-0000-0000A3460000}"/>
    <cellStyle name="Input 8 2 4" xfId="18303" xr:uid="{00000000-0005-0000-0000-0000A4460000}"/>
    <cellStyle name="Input 8 2 4 2" xfId="18304" xr:uid="{00000000-0005-0000-0000-0000A5460000}"/>
    <cellStyle name="Input 8 2 5" xfId="18305" xr:uid="{00000000-0005-0000-0000-0000A6460000}"/>
    <cellStyle name="Input 8 2 6" xfId="18306" xr:uid="{00000000-0005-0000-0000-0000A7460000}"/>
    <cellStyle name="Input 8 2 7" xfId="18307" xr:uid="{00000000-0005-0000-0000-0000A8460000}"/>
    <cellStyle name="Input 8 3" xfId="18308" xr:uid="{00000000-0005-0000-0000-0000A9460000}"/>
    <cellStyle name="Input 8 3 2" xfId="18309" xr:uid="{00000000-0005-0000-0000-0000AA460000}"/>
    <cellStyle name="Input 8 3 2 2" xfId="18310" xr:uid="{00000000-0005-0000-0000-0000AB460000}"/>
    <cellStyle name="Input 8 3 3" xfId="18311" xr:uid="{00000000-0005-0000-0000-0000AC460000}"/>
    <cellStyle name="Input 8 3 3 2" xfId="18312" xr:uid="{00000000-0005-0000-0000-0000AD460000}"/>
    <cellStyle name="Input 8 3 4" xfId="18313" xr:uid="{00000000-0005-0000-0000-0000AE460000}"/>
    <cellStyle name="Input 8 3 4 2" xfId="18314" xr:uid="{00000000-0005-0000-0000-0000AF460000}"/>
    <cellStyle name="Input 8 3 5" xfId="18315" xr:uid="{00000000-0005-0000-0000-0000B0460000}"/>
    <cellStyle name="Input 8 3 6" xfId="18316" xr:uid="{00000000-0005-0000-0000-0000B1460000}"/>
    <cellStyle name="Input 8 3 7" xfId="18317" xr:uid="{00000000-0005-0000-0000-0000B2460000}"/>
    <cellStyle name="Input 8 4" xfId="18318" xr:uid="{00000000-0005-0000-0000-0000B3460000}"/>
    <cellStyle name="Input 8 4 2" xfId="18319" xr:uid="{00000000-0005-0000-0000-0000B4460000}"/>
    <cellStyle name="Input 8 4 3" xfId="18320" xr:uid="{00000000-0005-0000-0000-0000B5460000}"/>
    <cellStyle name="Input 8 4 4" xfId="18321" xr:uid="{00000000-0005-0000-0000-0000B6460000}"/>
    <cellStyle name="Input 8 5" xfId="18322" xr:uid="{00000000-0005-0000-0000-0000B7460000}"/>
    <cellStyle name="Input 8 5 2" xfId="18323" xr:uid="{00000000-0005-0000-0000-0000B8460000}"/>
    <cellStyle name="Input 8 5 3" xfId="18324" xr:uid="{00000000-0005-0000-0000-0000B9460000}"/>
    <cellStyle name="Input 8 6" xfId="18325" xr:uid="{00000000-0005-0000-0000-0000BA460000}"/>
    <cellStyle name="Input 8 6 2" xfId="18326" xr:uid="{00000000-0005-0000-0000-0000BB460000}"/>
    <cellStyle name="Input 8 6 3" xfId="18327" xr:uid="{00000000-0005-0000-0000-0000BC460000}"/>
    <cellStyle name="Input 8 7" xfId="18328" xr:uid="{00000000-0005-0000-0000-0000BD460000}"/>
    <cellStyle name="Input 8 7 2" xfId="18329" xr:uid="{00000000-0005-0000-0000-0000BE460000}"/>
    <cellStyle name="Input 8 8" xfId="18330" xr:uid="{00000000-0005-0000-0000-0000BF460000}"/>
    <cellStyle name="Input 8 9" xfId="18331" xr:uid="{00000000-0005-0000-0000-0000C0460000}"/>
    <cellStyle name="Input 80" xfId="18332" xr:uid="{00000000-0005-0000-0000-0000C1460000}"/>
    <cellStyle name="Input 80 2" xfId="18333" xr:uid="{00000000-0005-0000-0000-0000C2460000}"/>
    <cellStyle name="Input 80 3" xfId="18334" xr:uid="{00000000-0005-0000-0000-0000C3460000}"/>
    <cellStyle name="Input 80 3 2" xfId="18335" xr:uid="{00000000-0005-0000-0000-0000C4460000}"/>
    <cellStyle name="Input 80 4" xfId="18336" xr:uid="{00000000-0005-0000-0000-0000C5460000}"/>
    <cellStyle name="Input 80 4 2" xfId="18337" xr:uid="{00000000-0005-0000-0000-0000C6460000}"/>
    <cellStyle name="Input 80 5" xfId="18338" xr:uid="{00000000-0005-0000-0000-0000C7460000}"/>
    <cellStyle name="Input 80 6" xfId="18339" xr:uid="{00000000-0005-0000-0000-0000C8460000}"/>
    <cellStyle name="Input 80 7" xfId="18340" xr:uid="{00000000-0005-0000-0000-0000C9460000}"/>
    <cellStyle name="Input 81" xfId="18341" xr:uid="{00000000-0005-0000-0000-0000CA460000}"/>
    <cellStyle name="Input 81 2" xfId="18342" xr:uid="{00000000-0005-0000-0000-0000CB460000}"/>
    <cellStyle name="Input 81 3" xfId="18343" xr:uid="{00000000-0005-0000-0000-0000CC460000}"/>
    <cellStyle name="Input 81 3 2" xfId="18344" xr:uid="{00000000-0005-0000-0000-0000CD460000}"/>
    <cellStyle name="Input 81 4" xfId="18345" xr:uid="{00000000-0005-0000-0000-0000CE460000}"/>
    <cellStyle name="Input 81 4 2" xfId="18346" xr:uid="{00000000-0005-0000-0000-0000CF460000}"/>
    <cellStyle name="Input 81 5" xfId="18347" xr:uid="{00000000-0005-0000-0000-0000D0460000}"/>
    <cellStyle name="Input 81 6" xfId="18348" xr:uid="{00000000-0005-0000-0000-0000D1460000}"/>
    <cellStyle name="Input 81 7" xfId="18349" xr:uid="{00000000-0005-0000-0000-0000D2460000}"/>
    <cellStyle name="Input 82" xfId="18350" xr:uid="{00000000-0005-0000-0000-0000D3460000}"/>
    <cellStyle name="Input 82 2" xfId="18351" xr:uid="{00000000-0005-0000-0000-0000D4460000}"/>
    <cellStyle name="Input 82 3" xfId="18352" xr:uid="{00000000-0005-0000-0000-0000D5460000}"/>
    <cellStyle name="Input 82 3 2" xfId="18353" xr:uid="{00000000-0005-0000-0000-0000D6460000}"/>
    <cellStyle name="Input 82 4" xfId="18354" xr:uid="{00000000-0005-0000-0000-0000D7460000}"/>
    <cellStyle name="Input 82 4 2" xfId="18355" xr:uid="{00000000-0005-0000-0000-0000D8460000}"/>
    <cellStyle name="Input 82 5" xfId="18356" xr:uid="{00000000-0005-0000-0000-0000D9460000}"/>
    <cellStyle name="Input 82 6" xfId="18357" xr:uid="{00000000-0005-0000-0000-0000DA460000}"/>
    <cellStyle name="Input 82 7" xfId="18358" xr:uid="{00000000-0005-0000-0000-0000DB460000}"/>
    <cellStyle name="Input 83" xfId="18359" xr:uid="{00000000-0005-0000-0000-0000DC460000}"/>
    <cellStyle name="Input 83 2" xfId="18360" xr:uid="{00000000-0005-0000-0000-0000DD460000}"/>
    <cellStyle name="Input 83 3" xfId="18361" xr:uid="{00000000-0005-0000-0000-0000DE460000}"/>
    <cellStyle name="Input 84" xfId="18362" xr:uid="{00000000-0005-0000-0000-0000DF460000}"/>
    <cellStyle name="Input 84 2" xfId="18363" xr:uid="{00000000-0005-0000-0000-0000E0460000}"/>
    <cellStyle name="Input 84 3" xfId="18364" xr:uid="{00000000-0005-0000-0000-0000E1460000}"/>
    <cellStyle name="Input 85" xfId="18365" xr:uid="{00000000-0005-0000-0000-0000E2460000}"/>
    <cellStyle name="Input 85 2" xfId="18366" xr:uid="{00000000-0005-0000-0000-0000E3460000}"/>
    <cellStyle name="Input 85 3" xfId="18367" xr:uid="{00000000-0005-0000-0000-0000E4460000}"/>
    <cellStyle name="Input 86" xfId="18368" xr:uid="{00000000-0005-0000-0000-0000E5460000}"/>
    <cellStyle name="Input 86 2" xfId="18369" xr:uid="{00000000-0005-0000-0000-0000E6460000}"/>
    <cellStyle name="Input 86 3" xfId="18370" xr:uid="{00000000-0005-0000-0000-0000E7460000}"/>
    <cellStyle name="Input 87" xfId="18371" xr:uid="{00000000-0005-0000-0000-0000E8460000}"/>
    <cellStyle name="Input 87 2" xfId="18372" xr:uid="{00000000-0005-0000-0000-0000E9460000}"/>
    <cellStyle name="Input 87 3" xfId="18373" xr:uid="{00000000-0005-0000-0000-0000EA460000}"/>
    <cellStyle name="Input 88" xfId="18374" xr:uid="{00000000-0005-0000-0000-0000EB460000}"/>
    <cellStyle name="Input 88 2" xfId="18375" xr:uid="{00000000-0005-0000-0000-0000EC460000}"/>
    <cellStyle name="Input 88 3" xfId="18376" xr:uid="{00000000-0005-0000-0000-0000ED460000}"/>
    <cellStyle name="Input 89" xfId="18377" xr:uid="{00000000-0005-0000-0000-0000EE460000}"/>
    <cellStyle name="Input 89 2" xfId="18378" xr:uid="{00000000-0005-0000-0000-0000EF460000}"/>
    <cellStyle name="Input 89 3" xfId="18379" xr:uid="{00000000-0005-0000-0000-0000F0460000}"/>
    <cellStyle name="Input 9" xfId="18380" xr:uid="{00000000-0005-0000-0000-0000F1460000}"/>
    <cellStyle name="Input 9 2" xfId="18381" xr:uid="{00000000-0005-0000-0000-0000F2460000}"/>
    <cellStyle name="Input 9 2 2" xfId="18382" xr:uid="{00000000-0005-0000-0000-0000F3460000}"/>
    <cellStyle name="Input 9 2 2 2" xfId="18383" xr:uid="{00000000-0005-0000-0000-0000F4460000}"/>
    <cellStyle name="Input 9 2 2 3" xfId="18384" xr:uid="{00000000-0005-0000-0000-0000F5460000}"/>
    <cellStyle name="Input 9 2 2 4" xfId="18385" xr:uid="{00000000-0005-0000-0000-0000F6460000}"/>
    <cellStyle name="Input 9 2 3" xfId="18386" xr:uid="{00000000-0005-0000-0000-0000F7460000}"/>
    <cellStyle name="Input 9 2 3 2" xfId="18387" xr:uid="{00000000-0005-0000-0000-0000F8460000}"/>
    <cellStyle name="Input 9 2 4" xfId="18388" xr:uid="{00000000-0005-0000-0000-0000F9460000}"/>
    <cellStyle name="Input 9 2 4 2" xfId="18389" xr:uid="{00000000-0005-0000-0000-0000FA460000}"/>
    <cellStyle name="Input 9 2 5" xfId="18390" xr:uid="{00000000-0005-0000-0000-0000FB460000}"/>
    <cellStyle name="Input 9 2 6" xfId="18391" xr:uid="{00000000-0005-0000-0000-0000FC460000}"/>
    <cellStyle name="Input 9 2 7" xfId="18392" xr:uid="{00000000-0005-0000-0000-0000FD460000}"/>
    <cellStyle name="Input 9 3" xfId="18393" xr:uid="{00000000-0005-0000-0000-0000FE460000}"/>
    <cellStyle name="Input 9 3 2" xfId="18394" xr:uid="{00000000-0005-0000-0000-0000FF460000}"/>
    <cellStyle name="Input 9 3 2 2" xfId="18395" xr:uid="{00000000-0005-0000-0000-000000470000}"/>
    <cellStyle name="Input 9 3 3" xfId="18396" xr:uid="{00000000-0005-0000-0000-000001470000}"/>
    <cellStyle name="Input 9 3 3 2" xfId="18397" xr:uid="{00000000-0005-0000-0000-000002470000}"/>
    <cellStyle name="Input 9 3 4" xfId="18398" xr:uid="{00000000-0005-0000-0000-000003470000}"/>
    <cellStyle name="Input 9 3 4 2" xfId="18399" xr:uid="{00000000-0005-0000-0000-000004470000}"/>
    <cellStyle name="Input 9 3 5" xfId="18400" xr:uid="{00000000-0005-0000-0000-000005470000}"/>
    <cellStyle name="Input 9 3 6" xfId="18401" xr:uid="{00000000-0005-0000-0000-000006470000}"/>
    <cellStyle name="Input 9 3 7" xfId="18402" xr:uid="{00000000-0005-0000-0000-000007470000}"/>
    <cellStyle name="Input 9 4" xfId="18403" xr:uid="{00000000-0005-0000-0000-000008470000}"/>
    <cellStyle name="Input 9 4 2" xfId="18404" xr:uid="{00000000-0005-0000-0000-000009470000}"/>
    <cellStyle name="Input 9 5" xfId="18405" xr:uid="{00000000-0005-0000-0000-00000A470000}"/>
    <cellStyle name="Input 9 5 2" xfId="18406" xr:uid="{00000000-0005-0000-0000-00000B470000}"/>
    <cellStyle name="Input 9 5 3" xfId="18407" xr:uid="{00000000-0005-0000-0000-00000C470000}"/>
    <cellStyle name="Input 9 6" xfId="18408" xr:uid="{00000000-0005-0000-0000-00000D470000}"/>
    <cellStyle name="Input 9 6 2" xfId="18409" xr:uid="{00000000-0005-0000-0000-00000E470000}"/>
    <cellStyle name="Input 9 7" xfId="18410" xr:uid="{00000000-0005-0000-0000-00000F470000}"/>
    <cellStyle name="Input 9 8" xfId="18411" xr:uid="{00000000-0005-0000-0000-000010470000}"/>
    <cellStyle name="Input 9 9" xfId="18412" xr:uid="{00000000-0005-0000-0000-000011470000}"/>
    <cellStyle name="Input 90" xfId="18413" xr:uid="{00000000-0005-0000-0000-000012470000}"/>
    <cellStyle name="Input 90 2" xfId="18414" xr:uid="{00000000-0005-0000-0000-000013470000}"/>
    <cellStyle name="Input 90 3" xfId="18415" xr:uid="{00000000-0005-0000-0000-000014470000}"/>
    <cellStyle name="Input 91" xfId="18416" xr:uid="{00000000-0005-0000-0000-000015470000}"/>
    <cellStyle name="Input 91 2" xfId="18417" xr:uid="{00000000-0005-0000-0000-000016470000}"/>
    <cellStyle name="Input 91 3" xfId="18418" xr:uid="{00000000-0005-0000-0000-000017470000}"/>
    <cellStyle name="Input 92" xfId="18419" xr:uid="{00000000-0005-0000-0000-000018470000}"/>
    <cellStyle name="Input 92 2" xfId="18420" xr:uid="{00000000-0005-0000-0000-000019470000}"/>
    <cellStyle name="Input 92 3" xfId="18421" xr:uid="{00000000-0005-0000-0000-00001A470000}"/>
    <cellStyle name="Input 93" xfId="18422" xr:uid="{00000000-0005-0000-0000-00001B470000}"/>
    <cellStyle name="Input 93 2" xfId="18423" xr:uid="{00000000-0005-0000-0000-00001C470000}"/>
    <cellStyle name="Input 93 3" xfId="18424" xr:uid="{00000000-0005-0000-0000-00001D470000}"/>
    <cellStyle name="Input 94" xfId="18425" xr:uid="{00000000-0005-0000-0000-00001E470000}"/>
    <cellStyle name="Input 94 2" xfId="18426" xr:uid="{00000000-0005-0000-0000-00001F470000}"/>
    <cellStyle name="Input 94 3" xfId="18427" xr:uid="{00000000-0005-0000-0000-000020470000}"/>
    <cellStyle name="Input 95" xfId="18428" xr:uid="{00000000-0005-0000-0000-000021470000}"/>
    <cellStyle name="Input 95 2" xfId="18429" xr:uid="{00000000-0005-0000-0000-000022470000}"/>
    <cellStyle name="Input 95 3" xfId="18430" xr:uid="{00000000-0005-0000-0000-000023470000}"/>
    <cellStyle name="Input 96" xfId="18431" xr:uid="{00000000-0005-0000-0000-000024470000}"/>
    <cellStyle name="Input 96 2" xfId="18432" xr:uid="{00000000-0005-0000-0000-000025470000}"/>
    <cellStyle name="Input 96 3" xfId="18433" xr:uid="{00000000-0005-0000-0000-000026470000}"/>
    <cellStyle name="Input 97" xfId="18434" xr:uid="{00000000-0005-0000-0000-000027470000}"/>
    <cellStyle name="Input 97 2" xfId="18435" xr:uid="{00000000-0005-0000-0000-000028470000}"/>
    <cellStyle name="Input 97 3" xfId="18436" xr:uid="{00000000-0005-0000-0000-000029470000}"/>
    <cellStyle name="Input 98" xfId="18437" xr:uid="{00000000-0005-0000-0000-00002A470000}"/>
    <cellStyle name="Input 98 2" xfId="18438" xr:uid="{00000000-0005-0000-0000-00002B470000}"/>
    <cellStyle name="Input 98 3" xfId="18439" xr:uid="{00000000-0005-0000-0000-00002C470000}"/>
    <cellStyle name="Input 99" xfId="18440" xr:uid="{00000000-0005-0000-0000-00002D470000}"/>
    <cellStyle name="Input 99 2" xfId="18441" xr:uid="{00000000-0005-0000-0000-00002E470000}"/>
    <cellStyle name="Input 99 3" xfId="18442" xr:uid="{00000000-0005-0000-0000-00002F470000}"/>
    <cellStyle name="LabelWithTotals" xfId="18443" xr:uid="{00000000-0005-0000-0000-000030470000}"/>
    <cellStyle name="Last,_First" xfId="46" xr:uid="{00000000-0005-0000-0000-000031470000}"/>
    <cellStyle name="Last_Name" xfId="47" xr:uid="{00000000-0005-0000-0000-000032470000}"/>
    <cellStyle name="Linked Cell 10" xfId="18444" xr:uid="{00000000-0005-0000-0000-000033470000}"/>
    <cellStyle name="Linked Cell 2" xfId="18445" xr:uid="{00000000-0005-0000-0000-000034470000}"/>
    <cellStyle name="Linked Cell 2 10" xfId="18446" xr:uid="{00000000-0005-0000-0000-000035470000}"/>
    <cellStyle name="Linked Cell 2 11" xfId="18447" xr:uid="{00000000-0005-0000-0000-000036470000}"/>
    <cellStyle name="Linked Cell 2 2" xfId="18448" xr:uid="{00000000-0005-0000-0000-000037470000}"/>
    <cellStyle name="Linked Cell 2 2 2" xfId="18449" xr:uid="{00000000-0005-0000-0000-000038470000}"/>
    <cellStyle name="Linked Cell 2 2 2 2" xfId="18450" xr:uid="{00000000-0005-0000-0000-000039470000}"/>
    <cellStyle name="Linked Cell 2 2 2 3" xfId="18451" xr:uid="{00000000-0005-0000-0000-00003A470000}"/>
    <cellStyle name="Linked Cell 2 2 2 4" xfId="18452" xr:uid="{00000000-0005-0000-0000-00003B470000}"/>
    <cellStyle name="Linked Cell 2 2 3" xfId="18453" xr:uid="{00000000-0005-0000-0000-00003C470000}"/>
    <cellStyle name="Linked Cell 2 2 4" xfId="18454" xr:uid="{00000000-0005-0000-0000-00003D470000}"/>
    <cellStyle name="Linked Cell 2 2 5" xfId="18455" xr:uid="{00000000-0005-0000-0000-00003E470000}"/>
    <cellStyle name="Linked Cell 2 2 6" xfId="18456" xr:uid="{00000000-0005-0000-0000-00003F470000}"/>
    <cellStyle name="Linked Cell 2 3" xfId="18457" xr:uid="{00000000-0005-0000-0000-000040470000}"/>
    <cellStyle name="Linked Cell 2 3 2" xfId="18458" xr:uid="{00000000-0005-0000-0000-000041470000}"/>
    <cellStyle name="Linked Cell 2 3 3" xfId="18459" xr:uid="{00000000-0005-0000-0000-000042470000}"/>
    <cellStyle name="Linked Cell 2 3 4" xfId="18460" xr:uid="{00000000-0005-0000-0000-000043470000}"/>
    <cellStyle name="Linked Cell 2 3 5" xfId="18461" xr:uid="{00000000-0005-0000-0000-000044470000}"/>
    <cellStyle name="Linked Cell 2 4" xfId="18462" xr:uid="{00000000-0005-0000-0000-000045470000}"/>
    <cellStyle name="Linked Cell 2 4 2" xfId="18463" xr:uid="{00000000-0005-0000-0000-000046470000}"/>
    <cellStyle name="Linked Cell 2 4 3" xfId="18464" xr:uid="{00000000-0005-0000-0000-000047470000}"/>
    <cellStyle name="Linked Cell 2 5" xfId="18465" xr:uid="{00000000-0005-0000-0000-000048470000}"/>
    <cellStyle name="Linked Cell 2 5 2" xfId="18466" xr:uid="{00000000-0005-0000-0000-000049470000}"/>
    <cellStyle name="Linked Cell 2 6" xfId="18467" xr:uid="{00000000-0005-0000-0000-00004A470000}"/>
    <cellStyle name="Linked Cell 2 6 2" xfId="18468" xr:uid="{00000000-0005-0000-0000-00004B470000}"/>
    <cellStyle name="Linked Cell 2 7" xfId="18469" xr:uid="{00000000-0005-0000-0000-00004C470000}"/>
    <cellStyle name="Linked Cell 2 7 2" xfId="18470" xr:uid="{00000000-0005-0000-0000-00004D470000}"/>
    <cellStyle name="Linked Cell 2 8" xfId="18471" xr:uid="{00000000-0005-0000-0000-00004E470000}"/>
    <cellStyle name="Linked Cell 2 9" xfId="18472" xr:uid="{00000000-0005-0000-0000-00004F470000}"/>
    <cellStyle name="Linked Cell 3" xfId="18473" xr:uid="{00000000-0005-0000-0000-000050470000}"/>
    <cellStyle name="Linked Cell 3 2" xfId="18474" xr:uid="{00000000-0005-0000-0000-000051470000}"/>
    <cellStyle name="Linked Cell 3 2 2" xfId="18475" xr:uid="{00000000-0005-0000-0000-000052470000}"/>
    <cellStyle name="Linked Cell 3 2 2 2" xfId="18476" xr:uid="{00000000-0005-0000-0000-000053470000}"/>
    <cellStyle name="Linked Cell 3 2 3" xfId="18477" xr:uid="{00000000-0005-0000-0000-000054470000}"/>
    <cellStyle name="Linked Cell 3 2 3 2" xfId="18478" xr:uid="{00000000-0005-0000-0000-000055470000}"/>
    <cellStyle name="Linked Cell 3 2 4" xfId="18479" xr:uid="{00000000-0005-0000-0000-000056470000}"/>
    <cellStyle name="Linked Cell 3 2 5" xfId="18480" xr:uid="{00000000-0005-0000-0000-000057470000}"/>
    <cellStyle name="Linked Cell 3 3" xfId="18481" xr:uid="{00000000-0005-0000-0000-000058470000}"/>
    <cellStyle name="Linked Cell 3 3 2" xfId="18482" xr:uid="{00000000-0005-0000-0000-000059470000}"/>
    <cellStyle name="Linked Cell 3 3 3" xfId="18483" xr:uid="{00000000-0005-0000-0000-00005A470000}"/>
    <cellStyle name="Linked Cell 3 4" xfId="18484" xr:uid="{00000000-0005-0000-0000-00005B470000}"/>
    <cellStyle name="Linked Cell 3 4 2" xfId="18485" xr:uid="{00000000-0005-0000-0000-00005C470000}"/>
    <cellStyle name="Linked Cell 3 5" xfId="18486" xr:uid="{00000000-0005-0000-0000-00005D470000}"/>
    <cellStyle name="Linked Cell 3 5 2" xfId="18487" xr:uid="{00000000-0005-0000-0000-00005E470000}"/>
    <cellStyle name="Linked Cell 3 6" xfId="18488" xr:uid="{00000000-0005-0000-0000-00005F470000}"/>
    <cellStyle name="Linked Cell 3 7" xfId="18489" xr:uid="{00000000-0005-0000-0000-000060470000}"/>
    <cellStyle name="Linked Cell 4" xfId="18490" xr:uid="{00000000-0005-0000-0000-000061470000}"/>
    <cellStyle name="Linked Cell 4 2" xfId="18491" xr:uid="{00000000-0005-0000-0000-000062470000}"/>
    <cellStyle name="Linked Cell 4 3" xfId="18492" xr:uid="{00000000-0005-0000-0000-000063470000}"/>
    <cellStyle name="Linked Cell 4 4" xfId="18493" xr:uid="{00000000-0005-0000-0000-000064470000}"/>
    <cellStyle name="Linked Cell 4 5" xfId="18494" xr:uid="{00000000-0005-0000-0000-000065470000}"/>
    <cellStyle name="Linked Cell 5" xfId="18495" xr:uid="{00000000-0005-0000-0000-000066470000}"/>
    <cellStyle name="Linked Cell 5 2" xfId="18496" xr:uid="{00000000-0005-0000-0000-000067470000}"/>
    <cellStyle name="Linked Cell 5 3" xfId="18497" xr:uid="{00000000-0005-0000-0000-000068470000}"/>
    <cellStyle name="Linked Cell 5 4" xfId="18498" xr:uid="{00000000-0005-0000-0000-000069470000}"/>
    <cellStyle name="Linked Cell 6" xfId="18499" xr:uid="{00000000-0005-0000-0000-00006A470000}"/>
    <cellStyle name="Linked Cell 6 2" xfId="18500" xr:uid="{00000000-0005-0000-0000-00006B470000}"/>
    <cellStyle name="Linked Cell 6 3" xfId="18501" xr:uid="{00000000-0005-0000-0000-00006C470000}"/>
    <cellStyle name="Linked Cell 7" xfId="18502" xr:uid="{00000000-0005-0000-0000-00006D470000}"/>
    <cellStyle name="Linked Cell 7 2" xfId="18503" xr:uid="{00000000-0005-0000-0000-00006E470000}"/>
    <cellStyle name="Linked Cell 8" xfId="18504" xr:uid="{00000000-0005-0000-0000-00006F470000}"/>
    <cellStyle name="Linked Cell 9" xfId="18505" xr:uid="{00000000-0005-0000-0000-000070470000}"/>
    <cellStyle name="Millares [0]_2AV_M_M " xfId="18506" xr:uid="{00000000-0005-0000-0000-000071470000}"/>
    <cellStyle name="Millares_2AV_M_M " xfId="18507" xr:uid="{00000000-0005-0000-0000-000072470000}"/>
    <cellStyle name="million" xfId="18508" xr:uid="{00000000-0005-0000-0000-000073470000}"/>
    <cellStyle name="Moneda [0]_2AV_M_M " xfId="18509" xr:uid="{00000000-0005-0000-0000-000074470000}"/>
    <cellStyle name="Moneda_2AV_M_M " xfId="18510" xr:uid="{00000000-0005-0000-0000-000075470000}"/>
    <cellStyle name="MyHeading1" xfId="18511" xr:uid="{00000000-0005-0000-0000-000076470000}"/>
    <cellStyle name="Name" xfId="48" xr:uid="{00000000-0005-0000-0000-000077470000}"/>
    <cellStyle name="Name 2" xfId="245" xr:uid="{00000000-0005-0000-0000-000078470000}"/>
    <cellStyle name="Name 3" xfId="18512" xr:uid="{00000000-0005-0000-0000-000079470000}"/>
    <cellStyle name="Neutral 10" xfId="18513" xr:uid="{00000000-0005-0000-0000-00007A470000}"/>
    <cellStyle name="Neutral 2" xfId="18514" xr:uid="{00000000-0005-0000-0000-00007B470000}"/>
    <cellStyle name="Neutral 2 10" xfId="18515" xr:uid="{00000000-0005-0000-0000-00007C470000}"/>
    <cellStyle name="Neutral 2 11" xfId="18516" xr:uid="{00000000-0005-0000-0000-00007D470000}"/>
    <cellStyle name="Neutral 2 12" xfId="61195" xr:uid="{B3A14411-AE2A-4092-B345-8B849A1ABEA9}"/>
    <cellStyle name="Neutral 2 2" xfId="18517" xr:uid="{00000000-0005-0000-0000-00007E470000}"/>
    <cellStyle name="Neutral 2 2 2" xfId="18518" xr:uid="{00000000-0005-0000-0000-00007F470000}"/>
    <cellStyle name="Neutral 2 2 2 2" xfId="18519" xr:uid="{00000000-0005-0000-0000-000080470000}"/>
    <cellStyle name="Neutral 2 2 2 3" xfId="18520" xr:uid="{00000000-0005-0000-0000-000081470000}"/>
    <cellStyle name="Neutral 2 2 2 4" xfId="18521" xr:uid="{00000000-0005-0000-0000-000082470000}"/>
    <cellStyle name="Neutral 2 2 3" xfId="18522" xr:uid="{00000000-0005-0000-0000-000083470000}"/>
    <cellStyle name="Neutral 2 2 4" xfId="18523" xr:uid="{00000000-0005-0000-0000-000084470000}"/>
    <cellStyle name="Neutral 2 2 5" xfId="18524" xr:uid="{00000000-0005-0000-0000-000085470000}"/>
    <cellStyle name="Neutral 2 2 6" xfId="18525" xr:uid="{00000000-0005-0000-0000-000086470000}"/>
    <cellStyle name="Neutral 2 3" xfId="18526" xr:uid="{00000000-0005-0000-0000-000087470000}"/>
    <cellStyle name="Neutral 2 3 2" xfId="18527" xr:uid="{00000000-0005-0000-0000-000088470000}"/>
    <cellStyle name="Neutral 2 3 3" xfId="18528" xr:uid="{00000000-0005-0000-0000-000089470000}"/>
    <cellStyle name="Neutral 2 3 4" xfId="18529" xr:uid="{00000000-0005-0000-0000-00008A470000}"/>
    <cellStyle name="Neutral 2 3 5" xfId="18530" xr:uid="{00000000-0005-0000-0000-00008B470000}"/>
    <cellStyle name="Neutral 2 4" xfId="18531" xr:uid="{00000000-0005-0000-0000-00008C470000}"/>
    <cellStyle name="Neutral 2 4 2" xfId="18532" xr:uid="{00000000-0005-0000-0000-00008D470000}"/>
    <cellStyle name="Neutral 2 4 3" xfId="18533" xr:uid="{00000000-0005-0000-0000-00008E470000}"/>
    <cellStyle name="Neutral 2 5" xfId="18534" xr:uid="{00000000-0005-0000-0000-00008F470000}"/>
    <cellStyle name="Neutral 2 5 2" xfId="18535" xr:uid="{00000000-0005-0000-0000-000090470000}"/>
    <cellStyle name="Neutral 2 6" xfId="18536" xr:uid="{00000000-0005-0000-0000-000091470000}"/>
    <cellStyle name="Neutral 2 6 2" xfId="18537" xr:uid="{00000000-0005-0000-0000-000092470000}"/>
    <cellStyle name="Neutral 2 7" xfId="18538" xr:uid="{00000000-0005-0000-0000-000093470000}"/>
    <cellStyle name="Neutral 2 7 2" xfId="18539" xr:uid="{00000000-0005-0000-0000-000094470000}"/>
    <cellStyle name="Neutral 2 8" xfId="18540" xr:uid="{00000000-0005-0000-0000-000095470000}"/>
    <cellStyle name="Neutral 2 9" xfId="18541" xr:uid="{00000000-0005-0000-0000-000096470000}"/>
    <cellStyle name="Neutral 3" xfId="18542" xr:uid="{00000000-0005-0000-0000-000097470000}"/>
    <cellStyle name="Neutral 3 2" xfId="18543" xr:uid="{00000000-0005-0000-0000-000098470000}"/>
    <cellStyle name="Neutral 3 2 2" xfId="18544" xr:uid="{00000000-0005-0000-0000-000099470000}"/>
    <cellStyle name="Neutral 3 2 2 2" xfId="18545" xr:uid="{00000000-0005-0000-0000-00009A470000}"/>
    <cellStyle name="Neutral 3 2 3" xfId="18546" xr:uid="{00000000-0005-0000-0000-00009B470000}"/>
    <cellStyle name="Neutral 3 2 3 2" xfId="18547" xr:uid="{00000000-0005-0000-0000-00009C470000}"/>
    <cellStyle name="Neutral 3 2 4" xfId="18548" xr:uid="{00000000-0005-0000-0000-00009D470000}"/>
    <cellStyle name="Neutral 3 2 5" xfId="18549" xr:uid="{00000000-0005-0000-0000-00009E470000}"/>
    <cellStyle name="Neutral 3 3" xfId="18550" xr:uid="{00000000-0005-0000-0000-00009F470000}"/>
    <cellStyle name="Neutral 3 3 2" xfId="18551" xr:uid="{00000000-0005-0000-0000-0000A0470000}"/>
    <cellStyle name="Neutral 3 3 3" xfId="18552" xr:uid="{00000000-0005-0000-0000-0000A1470000}"/>
    <cellStyle name="Neutral 3 4" xfId="18553" xr:uid="{00000000-0005-0000-0000-0000A2470000}"/>
    <cellStyle name="Neutral 3 4 2" xfId="18554" xr:uid="{00000000-0005-0000-0000-0000A3470000}"/>
    <cellStyle name="Neutral 3 5" xfId="18555" xr:uid="{00000000-0005-0000-0000-0000A4470000}"/>
    <cellStyle name="Neutral 3 5 2" xfId="18556" xr:uid="{00000000-0005-0000-0000-0000A5470000}"/>
    <cellStyle name="Neutral 3 6" xfId="18557" xr:uid="{00000000-0005-0000-0000-0000A6470000}"/>
    <cellStyle name="Neutral 3 7" xfId="18558" xr:uid="{00000000-0005-0000-0000-0000A7470000}"/>
    <cellStyle name="Neutral 4" xfId="18559" xr:uid="{00000000-0005-0000-0000-0000A8470000}"/>
    <cellStyle name="Neutral 4 2" xfId="18560" xr:uid="{00000000-0005-0000-0000-0000A9470000}"/>
    <cellStyle name="Neutral 4 3" xfId="18561" xr:uid="{00000000-0005-0000-0000-0000AA470000}"/>
    <cellStyle name="Neutral 4 4" xfId="18562" xr:uid="{00000000-0005-0000-0000-0000AB470000}"/>
    <cellStyle name="Neutral 4 5" xfId="18563" xr:uid="{00000000-0005-0000-0000-0000AC470000}"/>
    <cellStyle name="Neutral 5" xfId="18564" xr:uid="{00000000-0005-0000-0000-0000AD470000}"/>
    <cellStyle name="Neutral 5 2" xfId="18565" xr:uid="{00000000-0005-0000-0000-0000AE470000}"/>
    <cellStyle name="Neutral 5 3" xfId="18566" xr:uid="{00000000-0005-0000-0000-0000AF470000}"/>
    <cellStyle name="Neutral 5 4" xfId="18567" xr:uid="{00000000-0005-0000-0000-0000B0470000}"/>
    <cellStyle name="Neutral 6" xfId="18568" xr:uid="{00000000-0005-0000-0000-0000B1470000}"/>
    <cellStyle name="Neutral 6 2" xfId="18569" xr:uid="{00000000-0005-0000-0000-0000B2470000}"/>
    <cellStyle name="Neutral 6 3" xfId="18570" xr:uid="{00000000-0005-0000-0000-0000B3470000}"/>
    <cellStyle name="Neutral 7" xfId="18571" xr:uid="{00000000-0005-0000-0000-0000B4470000}"/>
    <cellStyle name="Neutral 7 2" xfId="18572" xr:uid="{00000000-0005-0000-0000-0000B5470000}"/>
    <cellStyle name="Neutral 8" xfId="18573" xr:uid="{00000000-0005-0000-0000-0000B6470000}"/>
    <cellStyle name="Neutral 9" xfId="18574" xr:uid="{00000000-0005-0000-0000-0000B7470000}"/>
    <cellStyle name="no dec" xfId="49" xr:uid="{00000000-0005-0000-0000-0000B8470000}"/>
    <cellStyle name="no dec 2" xfId="246" xr:uid="{00000000-0005-0000-0000-0000B9470000}"/>
    <cellStyle name="Normal" xfId="0" builtinId="0"/>
    <cellStyle name="Normal - Style1" xfId="50" xr:uid="{00000000-0005-0000-0000-0000BB470000}"/>
    <cellStyle name="Normal - Style1 2" xfId="247" xr:uid="{00000000-0005-0000-0000-0000BC470000}"/>
    <cellStyle name="Normal - Style1 2 2" xfId="18575" xr:uid="{00000000-0005-0000-0000-0000BD470000}"/>
    <cellStyle name="Normal - Style1 2 3" xfId="18576" xr:uid="{00000000-0005-0000-0000-0000BE470000}"/>
    <cellStyle name="Normal - Style1 3" xfId="18577" xr:uid="{00000000-0005-0000-0000-0000BF470000}"/>
    <cellStyle name="Normal - Style1 3 2" xfId="18578" xr:uid="{00000000-0005-0000-0000-0000C0470000}"/>
    <cellStyle name="Normal - Style1 4" xfId="18579" xr:uid="{00000000-0005-0000-0000-0000C1470000}"/>
    <cellStyle name="Normal - Style1 4 2" xfId="18580" xr:uid="{00000000-0005-0000-0000-0000C2470000}"/>
    <cellStyle name="Normal - Style1 5" xfId="18581" xr:uid="{00000000-0005-0000-0000-0000C3470000}"/>
    <cellStyle name="Normal - Style1 5 2" xfId="18582" xr:uid="{00000000-0005-0000-0000-0000C4470000}"/>
    <cellStyle name="Normal - Style1 6" xfId="18583" xr:uid="{00000000-0005-0000-0000-0000C5470000}"/>
    <cellStyle name="Normal - Style1 7" xfId="18584" xr:uid="{00000000-0005-0000-0000-0000C6470000}"/>
    <cellStyle name="Normal - Style1_2010-2012 Program Workbook_Incent_FS" xfId="18585" xr:uid="{00000000-0005-0000-0000-0000C7470000}"/>
    <cellStyle name="Normal - Style2" xfId="51" xr:uid="{00000000-0005-0000-0000-0000C8470000}"/>
    <cellStyle name="Normal - Style3" xfId="52" xr:uid="{00000000-0005-0000-0000-0000C9470000}"/>
    <cellStyle name="Normal - Style4" xfId="53" xr:uid="{00000000-0005-0000-0000-0000CA470000}"/>
    <cellStyle name="Normal - Style5" xfId="54" xr:uid="{00000000-0005-0000-0000-0000CB470000}"/>
    <cellStyle name="Normal - Style6" xfId="55" xr:uid="{00000000-0005-0000-0000-0000CC470000}"/>
    <cellStyle name="Normal - Style7" xfId="56" xr:uid="{00000000-0005-0000-0000-0000CD470000}"/>
    <cellStyle name="Normal - Style8" xfId="57" xr:uid="{00000000-0005-0000-0000-0000CE470000}"/>
    <cellStyle name="Normal 10" xfId="248" xr:uid="{00000000-0005-0000-0000-0000CF470000}"/>
    <cellStyle name="Normal 10 10" xfId="18586" xr:uid="{00000000-0005-0000-0000-0000D0470000}"/>
    <cellStyle name="Normal 10 10 2" xfId="18587" xr:uid="{00000000-0005-0000-0000-0000D1470000}"/>
    <cellStyle name="Normal 10 10 2 2" xfId="18588" xr:uid="{00000000-0005-0000-0000-0000D2470000}"/>
    <cellStyle name="Normal 10 10 3" xfId="18589" xr:uid="{00000000-0005-0000-0000-0000D3470000}"/>
    <cellStyle name="Normal 10 11" xfId="18590" xr:uid="{00000000-0005-0000-0000-0000D4470000}"/>
    <cellStyle name="Normal 10 11 2" xfId="18591" xr:uid="{00000000-0005-0000-0000-0000D5470000}"/>
    <cellStyle name="Normal 10 11 3" xfId="18592" xr:uid="{00000000-0005-0000-0000-0000D6470000}"/>
    <cellStyle name="Normal 10 12" xfId="18593" xr:uid="{00000000-0005-0000-0000-0000D7470000}"/>
    <cellStyle name="Normal 10 12 2" xfId="18594" xr:uid="{00000000-0005-0000-0000-0000D8470000}"/>
    <cellStyle name="Normal 10 12 3" xfId="18595" xr:uid="{00000000-0005-0000-0000-0000D9470000}"/>
    <cellStyle name="Normal 10 13" xfId="18596" xr:uid="{00000000-0005-0000-0000-0000DA470000}"/>
    <cellStyle name="Normal 10 13 2" xfId="18597" xr:uid="{00000000-0005-0000-0000-0000DB470000}"/>
    <cellStyle name="Normal 10 13 3" xfId="18598" xr:uid="{00000000-0005-0000-0000-0000DC470000}"/>
    <cellStyle name="Normal 10 14" xfId="18599" xr:uid="{00000000-0005-0000-0000-0000DD470000}"/>
    <cellStyle name="Normal 10 14 2" xfId="18600" xr:uid="{00000000-0005-0000-0000-0000DE470000}"/>
    <cellStyle name="Normal 10 14 3" xfId="18601" xr:uid="{00000000-0005-0000-0000-0000DF470000}"/>
    <cellStyle name="Normal 10 15" xfId="18602" xr:uid="{00000000-0005-0000-0000-0000E0470000}"/>
    <cellStyle name="Normal 10 15 2" xfId="18603" xr:uid="{00000000-0005-0000-0000-0000E1470000}"/>
    <cellStyle name="Normal 10 15 3" xfId="18604" xr:uid="{00000000-0005-0000-0000-0000E2470000}"/>
    <cellStyle name="Normal 10 16" xfId="18605" xr:uid="{00000000-0005-0000-0000-0000E3470000}"/>
    <cellStyle name="Normal 10 16 2" xfId="18606" xr:uid="{00000000-0005-0000-0000-0000E4470000}"/>
    <cellStyle name="Normal 10 16 3" xfId="18607" xr:uid="{00000000-0005-0000-0000-0000E5470000}"/>
    <cellStyle name="Normal 10 17" xfId="18608" xr:uid="{00000000-0005-0000-0000-0000E6470000}"/>
    <cellStyle name="Normal 10 18" xfId="18609" xr:uid="{00000000-0005-0000-0000-0000E7470000}"/>
    <cellStyle name="Normal 10 19" xfId="18610" xr:uid="{00000000-0005-0000-0000-0000E8470000}"/>
    <cellStyle name="Normal 10 2" xfId="399" xr:uid="{00000000-0005-0000-0000-0000E9470000}"/>
    <cellStyle name="Normal 10 2 2" xfId="403" xr:uid="{00000000-0005-0000-0000-0000EA470000}"/>
    <cellStyle name="Normal 10 2 2 2" xfId="18611" xr:uid="{00000000-0005-0000-0000-0000EB470000}"/>
    <cellStyle name="Normal 10 2 2 2 2" xfId="18612" xr:uid="{00000000-0005-0000-0000-0000EC470000}"/>
    <cellStyle name="Normal 10 2 2 2 2 2" xfId="18613" xr:uid="{00000000-0005-0000-0000-0000ED470000}"/>
    <cellStyle name="Normal 10 2 2 2 2 3" xfId="18614" xr:uid="{00000000-0005-0000-0000-0000EE470000}"/>
    <cellStyle name="Normal 10 2 2 2 3" xfId="18615" xr:uid="{00000000-0005-0000-0000-0000EF470000}"/>
    <cellStyle name="Normal 10 2 2 3" xfId="18616" xr:uid="{00000000-0005-0000-0000-0000F0470000}"/>
    <cellStyle name="Normal 10 2 2 4" xfId="18617" xr:uid="{00000000-0005-0000-0000-0000F1470000}"/>
    <cellStyle name="Normal 10 2 3" xfId="18618" xr:uid="{00000000-0005-0000-0000-0000F2470000}"/>
    <cellStyle name="Normal 10 2 3 2" xfId="18619" xr:uid="{00000000-0005-0000-0000-0000F3470000}"/>
    <cellStyle name="Normal 10 2 3 3" xfId="18620" xr:uid="{00000000-0005-0000-0000-0000F4470000}"/>
    <cellStyle name="Normal 10 2 4" xfId="18621" xr:uid="{00000000-0005-0000-0000-0000F5470000}"/>
    <cellStyle name="Normal 10 2 4 2" xfId="18622" xr:uid="{00000000-0005-0000-0000-0000F6470000}"/>
    <cellStyle name="Normal 10 2 4 3" xfId="18623" xr:uid="{00000000-0005-0000-0000-0000F7470000}"/>
    <cellStyle name="Normal 10 2 5" xfId="18624" xr:uid="{00000000-0005-0000-0000-0000F8470000}"/>
    <cellStyle name="Normal 10 2 6" xfId="18625" xr:uid="{00000000-0005-0000-0000-0000F9470000}"/>
    <cellStyle name="Normal 10 2_Dec monthly report" xfId="18626" xr:uid="{00000000-0005-0000-0000-0000FA470000}"/>
    <cellStyle name="Normal 10 3" xfId="18627" xr:uid="{00000000-0005-0000-0000-0000FB470000}"/>
    <cellStyle name="Normal 10 3 2" xfId="18628" xr:uid="{00000000-0005-0000-0000-0000FC470000}"/>
    <cellStyle name="Normal 10 3 3" xfId="18629" xr:uid="{00000000-0005-0000-0000-0000FD470000}"/>
    <cellStyle name="Normal 10 3 4" xfId="18630" xr:uid="{00000000-0005-0000-0000-0000FE470000}"/>
    <cellStyle name="Normal 10 3 5" xfId="18631" xr:uid="{00000000-0005-0000-0000-0000FF470000}"/>
    <cellStyle name="Normal 10 3 6" xfId="18632" xr:uid="{00000000-0005-0000-0000-000000480000}"/>
    <cellStyle name="Normal 10 3_Dec monthly report" xfId="18633" xr:uid="{00000000-0005-0000-0000-000001480000}"/>
    <cellStyle name="Normal 10 4" xfId="18634" xr:uid="{00000000-0005-0000-0000-000002480000}"/>
    <cellStyle name="Normal 10 4 10" xfId="18635" xr:uid="{00000000-0005-0000-0000-000003480000}"/>
    <cellStyle name="Normal 10 4 2" xfId="18636" xr:uid="{00000000-0005-0000-0000-000004480000}"/>
    <cellStyle name="Normal 10 4 2 2" xfId="18637" xr:uid="{00000000-0005-0000-0000-000005480000}"/>
    <cellStyle name="Normal 10 4 2 2 2" xfId="18638" xr:uid="{00000000-0005-0000-0000-000006480000}"/>
    <cellStyle name="Normal 10 4 2 2 3" xfId="18639" xr:uid="{00000000-0005-0000-0000-000007480000}"/>
    <cellStyle name="Normal 10 4 2 3" xfId="18640" xr:uid="{00000000-0005-0000-0000-000008480000}"/>
    <cellStyle name="Normal 10 4 2 3 2" xfId="18641" xr:uid="{00000000-0005-0000-0000-000009480000}"/>
    <cellStyle name="Normal 10 4 2 3 3" xfId="18642" xr:uid="{00000000-0005-0000-0000-00000A480000}"/>
    <cellStyle name="Normal 10 4 2 4" xfId="18643" xr:uid="{00000000-0005-0000-0000-00000B480000}"/>
    <cellStyle name="Normal 10 4 2 5" xfId="18644" xr:uid="{00000000-0005-0000-0000-00000C480000}"/>
    <cellStyle name="Normal 10 4 2 6" xfId="18645" xr:uid="{00000000-0005-0000-0000-00000D480000}"/>
    <cellStyle name="Normal 10 4 2 7" xfId="18646" xr:uid="{00000000-0005-0000-0000-00000E480000}"/>
    <cellStyle name="Normal 10 4 2 8" xfId="18647" xr:uid="{00000000-0005-0000-0000-00000F480000}"/>
    <cellStyle name="Normal 10 4 3" xfId="18648" xr:uid="{00000000-0005-0000-0000-000010480000}"/>
    <cellStyle name="Normal 10 4 3 2" xfId="18649" xr:uid="{00000000-0005-0000-0000-000011480000}"/>
    <cellStyle name="Normal 10 4 3 2 2" xfId="18650" xr:uid="{00000000-0005-0000-0000-000012480000}"/>
    <cellStyle name="Normal 10 4 3 2 3" xfId="18651" xr:uid="{00000000-0005-0000-0000-000013480000}"/>
    <cellStyle name="Normal 10 4 3 3" xfId="18652" xr:uid="{00000000-0005-0000-0000-000014480000}"/>
    <cellStyle name="Normal 10 4 3 4" xfId="18653" xr:uid="{00000000-0005-0000-0000-000015480000}"/>
    <cellStyle name="Normal 10 4 4" xfId="18654" xr:uid="{00000000-0005-0000-0000-000016480000}"/>
    <cellStyle name="Normal 10 4 4 2" xfId="18655" xr:uid="{00000000-0005-0000-0000-000017480000}"/>
    <cellStyle name="Normal 10 4 4 3" xfId="18656" xr:uid="{00000000-0005-0000-0000-000018480000}"/>
    <cellStyle name="Normal 10 4 5" xfId="18657" xr:uid="{00000000-0005-0000-0000-000019480000}"/>
    <cellStyle name="Normal 10 4 5 2" xfId="18658" xr:uid="{00000000-0005-0000-0000-00001A480000}"/>
    <cellStyle name="Normal 10 4 5 3" xfId="18659" xr:uid="{00000000-0005-0000-0000-00001B480000}"/>
    <cellStyle name="Normal 10 4 6" xfId="18660" xr:uid="{00000000-0005-0000-0000-00001C480000}"/>
    <cellStyle name="Normal 10 4 7" xfId="18661" xr:uid="{00000000-0005-0000-0000-00001D480000}"/>
    <cellStyle name="Normal 10 4 8" xfId="18662" xr:uid="{00000000-0005-0000-0000-00001E480000}"/>
    <cellStyle name="Normal 10 4 9" xfId="18663" xr:uid="{00000000-0005-0000-0000-00001F480000}"/>
    <cellStyle name="Normal 10 5" xfId="18664" xr:uid="{00000000-0005-0000-0000-000020480000}"/>
    <cellStyle name="Normal 10 5 2" xfId="18665" xr:uid="{00000000-0005-0000-0000-000021480000}"/>
    <cellStyle name="Normal 10 5 2 2" xfId="18666" xr:uid="{00000000-0005-0000-0000-000022480000}"/>
    <cellStyle name="Normal 10 5 2 3" xfId="18667" xr:uid="{00000000-0005-0000-0000-000023480000}"/>
    <cellStyle name="Normal 10 5 3" xfId="18668" xr:uid="{00000000-0005-0000-0000-000024480000}"/>
    <cellStyle name="Normal 10 5 3 2" xfId="18669" xr:uid="{00000000-0005-0000-0000-000025480000}"/>
    <cellStyle name="Normal 10 5 3 3" xfId="18670" xr:uid="{00000000-0005-0000-0000-000026480000}"/>
    <cellStyle name="Normal 10 5 4" xfId="18671" xr:uid="{00000000-0005-0000-0000-000027480000}"/>
    <cellStyle name="Normal 10 5 5" xfId="18672" xr:uid="{00000000-0005-0000-0000-000028480000}"/>
    <cellStyle name="Normal 10 5 6" xfId="18673" xr:uid="{00000000-0005-0000-0000-000029480000}"/>
    <cellStyle name="Normal 10 5 7" xfId="18674" xr:uid="{00000000-0005-0000-0000-00002A480000}"/>
    <cellStyle name="Normal 10 5 8" xfId="18675" xr:uid="{00000000-0005-0000-0000-00002B480000}"/>
    <cellStyle name="Normal 10 6" xfId="18676" xr:uid="{00000000-0005-0000-0000-00002C480000}"/>
    <cellStyle name="Normal 10 6 2" xfId="18677" xr:uid="{00000000-0005-0000-0000-00002D480000}"/>
    <cellStyle name="Normal 10 6 2 2" xfId="18678" xr:uid="{00000000-0005-0000-0000-00002E480000}"/>
    <cellStyle name="Normal 10 6 2 3" xfId="18679" xr:uid="{00000000-0005-0000-0000-00002F480000}"/>
    <cellStyle name="Normal 10 6 3" xfId="18680" xr:uid="{00000000-0005-0000-0000-000030480000}"/>
    <cellStyle name="Normal 10 6 3 2" xfId="18681" xr:uid="{00000000-0005-0000-0000-000031480000}"/>
    <cellStyle name="Normal 10 6 3 3" xfId="18682" xr:uid="{00000000-0005-0000-0000-000032480000}"/>
    <cellStyle name="Normal 10 6 4" xfId="18683" xr:uid="{00000000-0005-0000-0000-000033480000}"/>
    <cellStyle name="Normal 10 6 5" xfId="18684" xr:uid="{00000000-0005-0000-0000-000034480000}"/>
    <cellStyle name="Normal 10 6 6" xfId="18685" xr:uid="{00000000-0005-0000-0000-000035480000}"/>
    <cellStyle name="Normal 10 6 7" xfId="18686" xr:uid="{00000000-0005-0000-0000-000036480000}"/>
    <cellStyle name="Normal 10 6 8" xfId="18687" xr:uid="{00000000-0005-0000-0000-000037480000}"/>
    <cellStyle name="Normal 10 7" xfId="18688" xr:uid="{00000000-0005-0000-0000-000038480000}"/>
    <cellStyle name="Normal 10 7 2" xfId="18689" xr:uid="{00000000-0005-0000-0000-000039480000}"/>
    <cellStyle name="Normal 10 7 2 2" xfId="18690" xr:uid="{00000000-0005-0000-0000-00003A480000}"/>
    <cellStyle name="Normal 10 7 2 3" xfId="18691" xr:uid="{00000000-0005-0000-0000-00003B480000}"/>
    <cellStyle name="Normal 10 7 3" xfId="18692" xr:uid="{00000000-0005-0000-0000-00003C480000}"/>
    <cellStyle name="Normal 10 7 3 2" xfId="18693" xr:uid="{00000000-0005-0000-0000-00003D480000}"/>
    <cellStyle name="Normal 10 7 4" xfId="18694" xr:uid="{00000000-0005-0000-0000-00003E480000}"/>
    <cellStyle name="Normal 10 7 5" xfId="18695" xr:uid="{00000000-0005-0000-0000-00003F480000}"/>
    <cellStyle name="Normal 10 7 6" xfId="18696" xr:uid="{00000000-0005-0000-0000-000040480000}"/>
    <cellStyle name="Normal 10 7 7" xfId="18697" xr:uid="{00000000-0005-0000-0000-000041480000}"/>
    <cellStyle name="Normal 10 7 8" xfId="18698" xr:uid="{00000000-0005-0000-0000-000042480000}"/>
    <cellStyle name="Normal 10 8" xfId="18699" xr:uid="{00000000-0005-0000-0000-000043480000}"/>
    <cellStyle name="Normal 10 8 2" xfId="18700" xr:uid="{00000000-0005-0000-0000-000044480000}"/>
    <cellStyle name="Normal 10 8 3" xfId="18701" xr:uid="{00000000-0005-0000-0000-000045480000}"/>
    <cellStyle name="Normal 10 9" xfId="18702" xr:uid="{00000000-0005-0000-0000-000046480000}"/>
    <cellStyle name="Normal 10 9 2" xfId="18703" xr:uid="{00000000-0005-0000-0000-000047480000}"/>
    <cellStyle name="Normal 10 9 3" xfId="18704" xr:uid="{00000000-0005-0000-0000-000048480000}"/>
    <cellStyle name="Normal 10_2015 Annual Rpt" xfId="18705" xr:uid="{00000000-0005-0000-0000-000049480000}"/>
    <cellStyle name="Normal 100" xfId="18706" xr:uid="{00000000-0005-0000-0000-00004A480000}"/>
    <cellStyle name="Normal 100 2" xfId="18707" xr:uid="{00000000-0005-0000-0000-00004B480000}"/>
    <cellStyle name="Normal 100 2 2" xfId="18708" xr:uid="{00000000-0005-0000-0000-00004C480000}"/>
    <cellStyle name="Normal 100 2 2 2" xfId="18709" xr:uid="{00000000-0005-0000-0000-00004D480000}"/>
    <cellStyle name="Normal 100 2 3" xfId="18710" xr:uid="{00000000-0005-0000-0000-00004E480000}"/>
    <cellStyle name="Normal 100 3" xfId="18711" xr:uid="{00000000-0005-0000-0000-00004F480000}"/>
    <cellStyle name="Normal 100 3 2" xfId="18712" xr:uid="{00000000-0005-0000-0000-000050480000}"/>
    <cellStyle name="Normal 100 4" xfId="18713" xr:uid="{00000000-0005-0000-0000-000051480000}"/>
    <cellStyle name="Normal 100 5" xfId="18714" xr:uid="{00000000-0005-0000-0000-000052480000}"/>
    <cellStyle name="Normal 100 6" xfId="18715" xr:uid="{00000000-0005-0000-0000-000053480000}"/>
    <cellStyle name="Normal 101" xfId="18716" xr:uid="{00000000-0005-0000-0000-000054480000}"/>
    <cellStyle name="Normal 101 2" xfId="18717" xr:uid="{00000000-0005-0000-0000-000055480000}"/>
    <cellStyle name="Normal 101 2 2" xfId="18718" xr:uid="{00000000-0005-0000-0000-000056480000}"/>
    <cellStyle name="Normal 101 2 2 2" xfId="18719" xr:uid="{00000000-0005-0000-0000-000057480000}"/>
    <cellStyle name="Normal 101 2 3" xfId="18720" xr:uid="{00000000-0005-0000-0000-000058480000}"/>
    <cellStyle name="Normal 101 3" xfId="18721" xr:uid="{00000000-0005-0000-0000-000059480000}"/>
    <cellStyle name="Normal 101 3 2" xfId="18722" xr:uid="{00000000-0005-0000-0000-00005A480000}"/>
    <cellStyle name="Normal 101 4" xfId="18723" xr:uid="{00000000-0005-0000-0000-00005B480000}"/>
    <cellStyle name="Normal 101 5" xfId="18724" xr:uid="{00000000-0005-0000-0000-00005C480000}"/>
    <cellStyle name="Normal 101 6" xfId="18725" xr:uid="{00000000-0005-0000-0000-00005D480000}"/>
    <cellStyle name="Normal 102" xfId="18726" xr:uid="{00000000-0005-0000-0000-00005E480000}"/>
    <cellStyle name="Normal 102 2" xfId="18727" xr:uid="{00000000-0005-0000-0000-00005F480000}"/>
    <cellStyle name="Normal 102 2 2" xfId="18728" xr:uid="{00000000-0005-0000-0000-000060480000}"/>
    <cellStyle name="Normal 102 2 2 2" xfId="18729" xr:uid="{00000000-0005-0000-0000-000061480000}"/>
    <cellStyle name="Normal 102 2 3" xfId="18730" xr:uid="{00000000-0005-0000-0000-000062480000}"/>
    <cellStyle name="Normal 102 3" xfId="18731" xr:uid="{00000000-0005-0000-0000-000063480000}"/>
    <cellStyle name="Normal 102 3 2" xfId="18732" xr:uid="{00000000-0005-0000-0000-000064480000}"/>
    <cellStyle name="Normal 102 4" xfId="18733" xr:uid="{00000000-0005-0000-0000-000065480000}"/>
    <cellStyle name="Normal 102 4 2" xfId="18734" xr:uid="{00000000-0005-0000-0000-000066480000}"/>
    <cellStyle name="Normal 102 5" xfId="18735" xr:uid="{00000000-0005-0000-0000-000067480000}"/>
    <cellStyle name="Normal 102 6" xfId="18736" xr:uid="{00000000-0005-0000-0000-000068480000}"/>
    <cellStyle name="Normal 102 7" xfId="18737" xr:uid="{00000000-0005-0000-0000-000069480000}"/>
    <cellStyle name="Normal 103" xfId="18738" xr:uid="{00000000-0005-0000-0000-00006A480000}"/>
    <cellStyle name="Normal 103 2" xfId="18739" xr:uid="{00000000-0005-0000-0000-00006B480000}"/>
    <cellStyle name="Normal 103 2 2" xfId="18740" xr:uid="{00000000-0005-0000-0000-00006C480000}"/>
    <cellStyle name="Normal 103 2 2 2" xfId="18741" xr:uid="{00000000-0005-0000-0000-00006D480000}"/>
    <cellStyle name="Normal 103 2 3" xfId="18742" xr:uid="{00000000-0005-0000-0000-00006E480000}"/>
    <cellStyle name="Normal 103 2 4" xfId="18743" xr:uid="{00000000-0005-0000-0000-00006F480000}"/>
    <cellStyle name="Normal 103 3" xfId="18744" xr:uid="{00000000-0005-0000-0000-000070480000}"/>
    <cellStyle name="Normal 103 3 2" xfId="18745" xr:uid="{00000000-0005-0000-0000-000071480000}"/>
    <cellStyle name="Normal 103 4" xfId="18746" xr:uid="{00000000-0005-0000-0000-000072480000}"/>
    <cellStyle name="Normal 103 4 2" xfId="18747" xr:uid="{00000000-0005-0000-0000-000073480000}"/>
    <cellStyle name="Normal 103 5" xfId="18748" xr:uid="{00000000-0005-0000-0000-000074480000}"/>
    <cellStyle name="Normal 103 5 2" xfId="18749" xr:uid="{00000000-0005-0000-0000-000075480000}"/>
    <cellStyle name="Normal 103 6" xfId="18750" xr:uid="{00000000-0005-0000-0000-000076480000}"/>
    <cellStyle name="Normal 103 7" xfId="18751" xr:uid="{00000000-0005-0000-0000-000077480000}"/>
    <cellStyle name="Normal 104" xfId="18752" xr:uid="{00000000-0005-0000-0000-000078480000}"/>
    <cellStyle name="Normal 104 2" xfId="18753" xr:uid="{00000000-0005-0000-0000-000079480000}"/>
    <cellStyle name="Normal 104 2 2" xfId="18754" xr:uid="{00000000-0005-0000-0000-00007A480000}"/>
    <cellStyle name="Normal 104 2 2 2" xfId="18755" xr:uid="{00000000-0005-0000-0000-00007B480000}"/>
    <cellStyle name="Normal 104 2 3" xfId="18756" xr:uid="{00000000-0005-0000-0000-00007C480000}"/>
    <cellStyle name="Normal 104 2 4" xfId="18757" xr:uid="{00000000-0005-0000-0000-00007D480000}"/>
    <cellStyle name="Normal 104 2 5" xfId="18758" xr:uid="{00000000-0005-0000-0000-00007E480000}"/>
    <cellStyle name="Normal 104 3" xfId="18759" xr:uid="{00000000-0005-0000-0000-00007F480000}"/>
    <cellStyle name="Normal 104 3 2" xfId="18760" xr:uid="{00000000-0005-0000-0000-000080480000}"/>
    <cellStyle name="Normal 104 4" xfId="18761" xr:uid="{00000000-0005-0000-0000-000081480000}"/>
    <cellStyle name="Normal 104 4 2" xfId="18762" xr:uid="{00000000-0005-0000-0000-000082480000}"/>
    <cellStyle name="Normal 104 5" xfId="18763" xr:uid="{00000000-0005-0000-0000-000083480000}"/>
    <cellStyle name="Normal 104 5 2" xfId="18764" xr:uid="{00000000-0005-0000-0000-000084480000}"/>
    <cellStyle name="Normal 104 6" xfId="18765" xr:uid="{00000000-0005-0000-0000-000085480000}"/>
    <cellStyle name="Normal 104 6 2" xfId="18766" xr:uid="{00000000-0005-0000-0000-000086480000}"/>
    <cellStyle name="Normal 104 7" xfId="18767" xr:uid="{00000000-0005-0000-0000-000087480000}"/>
    <cellStyle name="Normal 105" xfId="18768" xr:uid="{00000000-0005-0000-0000-000088480000}"/>
    <cellStyle name="Normal 105 2" xfId="18769" xr:uid="{00000000-0005-0000-0000-000089480000}"/>
    <cellStyle name="Normal 105 2 2" xfId="18770" xr:uid="{00000000-0005-0000-0000-00008A480000}"/>
    <cellStyle name="Normal 105 2 2 2" xfId="18771" xr:uid="{00000000-0005-0000-0000-00008B480000}"/>
    <cellStyle name="Normal 105 2 3" xfId="18772" xr:uid="{00000000-0005-0000-0000-00008C480000}"/>
    <cellStyle name="Normal 105 3" xfId="18773" xr:uid="{00000000-0005-0000-0000-00008D480000}"/>
    <cellStyle name="Normal 105 3 2" xfId="18774" xr:uid="{00000000-0005-0000-0000-00008E480000}"/>
    <cellStyle name="Normal 105 4" xfId="18775" xr:uid="{00000000-0005-0000-0000-00008F480000}"/>
    <cellStyle name="Normal 105 4 2" xfId="18776" xr:uid="{00000000-0005-0000-0000-000090480000}"/>
    <cellStyle name="Normal 105 5" xfId="18777" xr:uid="{00000000-0005-0000-0000-000091480000}"/>
    <cellStyle name="Normal 105 5 2" xfId="18778" xr:uid="{00000000-0005-0000-0000-000092480000}"/>
    <cellStyle name="Normal 105 6" xfId="18779" xr:uid="{00000000-0005-0000-0000-000093480000}"/>
    <cellStyle name="Normal 105 6 2" xfId="18780" xr:uid="{00000000-0005-0000-0000-000094480000}"/>
    <cellStyle name="Normal 105 7" xfId="18781" xr:uid="{00000000-0005-0000-0000-000095480000}"/>
    <cellStyle name="Normal 106" xfId="18782" xr:uid="{00000000-0005-0000-0000-000096480000}"/>
    <cellStyle name="Normal 106 10" xfId="18783" xr:uid="{00000000-0005-0000-0000-000097480000}"/>
    <cellStyle name="Normal 106 11" xfId="18784" xr:uid="{00000000-0005-0000-0000-000098480000}"/>
    <cellStyle name="Normal 106 12" xfId="18785" xr:uid="{00000000-0005-0000-0000-000099480000}"/>
    <cellStyle name="Normal 106 13" xfId="18786" xr:uid="{00000000-0005-0000-0000-00009A480000}"/>
    <cellStyle name="Normal 106 2" xfId="18787" xr:uid="{00000000-0005-0000-0000-00009B480000}"/>
    <cellStyle name="Normal 106 2 2" xfId="18788" xr:uid="{00000000-0005-0000-0000-00009C480000}"/>
    <cellStyle name="Normal 106 2 2 2" xfId="18789" xr:uid="{00000000-0005-0000-0000-00009D480000}"/>
    <cellStyle name="Normal 106 2 2 2 2" xfId="18790" xr:uid="{00000000-0005-0000-0000-00009E480000}"/>
    <cellStyle name="Normal 106 2 2 2 2 2" xfId="18791" xr:uid="{00000000-0005-0000-0000-00009F480000}"/>
    <cellStyle name="Normal 106 2 2 2 3" xfId="18792" xr:uid="{00000000-0005-0000-0000-0000A0480000}"/>
    <cellStyle name="Normal 106 2 2 3" xfId="18793" xr:uid="{00000000-0005-0000-0000-0000A1480000}"/>
    <cellStyle name="Normal 106 2 2 3 2" xfId="18794" xr:uid="{00000000-0005-0000-0000-0000A2480000}"/>
    <cellStyle name="Normal 106 2 2 3 2 2" xfId="18795" xr:uid="{00000000-0005-0000-0000-0000A3480000}"/>
    <cellStyle name="Normal 106 2 2 3 3" xfId="18796" xr:uid="{00000000-0005-0000-0000-0000A4480000}"/>
    <cellStyle name="Normal 106 2 2 4" xfId="18797" xr:uid="{00000000-0005-0000-0000-0000A5480000}"/>
    <cellStyle name="Normal 106 2 2 5" xfId="18798" xr:uid="{00000000-0005-0000-0000-0000A6480000}"/>
    <cellStyle name="Normal 106 2 3" xfId="18799" xr:uid="{00000000-0005-0000-0000-0000A7480000}"/>
    <cellStyle name="Normal 106 2 3 2" xfId="18800" xr:uid="{00000000-0005-0000-0000-0000A8480000}"/>
    <cellStyle name="Normal 106 2 4" xfId="18801" xr:uid="{00000000-0005-0000-0000-0000A9480000}"/>
    <cellStyle name="Normal 106 2 5" xfId="18802" xr:uid="{00000000-0005-0000-0000-0000AA480000}"/>
    <cellStyle name="Normal 106 3" xfId="18803" xr:uid="{00000000-0005-0000-0000-0000AB480000}"/>
    <cellStyle name="Normal 106 3 2" xfId="18804" xr:uid="{00000000-0005-0000-0000-0000AC480000}"/>
    <cellStyle name="Normal 106 3 3" xfId="18805" xr:uid="{00000000-0005-0000-0000-0000AD480000}"/>
    <cellStyle name="Normal 106 4" xfId="18806" xr:uid="{00000000-0005-0000-0000-0000AE480000}"/>
    <cellStyle name="Normal 106 4 2" xfId="18807" xr:uid="{00000000-0005-0000-0000-0000AF480000}"/>
    <cellStyle name="Normal 106 5" xfId="18808" xr:uid="{00000000-0005-0000-0000-0000B0480000}"/>
    <cellStyle name="Normal 106 5 2" xfId="18809" xr:uid="{00000000-0005-0000-0000-0000B1480000}"/>
    <cellStyle name="Normal 106 5 2 2" xfId="18810" xr:uid="{00000000-0005-0000-0000-0000B2480000}"/>
    <cellStyle name="Normal 106 5 3" xfId="18811" xr:uid="{00000000-0005-0000-0000-0000B3480000}"/>
    <cellStyle name="Normal 106 5 3 2" xfId="18812" xr:uid="{00000000-0005-0000-0000-0000B4480000}"/>
    <cellStyle name="Normal 106 5 4" xfId="18813" xr:uid="{00000000-0005-0000-0000-0000B5480000}"/>
    <cellStyle name="Normal 106 5 5" xfId="18814" xr:uid="{00000000-0005-0000-0000-0000B6480000}"/>
    <cellStyle name="Normal 106 5 6" xfId="18815" xr:uid="{00000000-0005-0000-0000-0000B7480000}"/>
    <cellStyle name="Normal 106 5 7" xfId="18816" xr:uid="{00000000-0005-0000-0000-0000B8480000}"/>
    <cellStyle name="Normal 106 5 8" xfId="18817" xr:uid="{00000000-0005-0000-0000-0000B9480000}"/>
    <cellStyle name="Normal 106 6" xfId="18818" xr:uid="{00000000-0005-0000-0000-0000BA480000}"/>
    <cellStyle name="Normal 106 7" xfId="18819" xr:uid="{00000000-0005-0000-0000-0000BB480000}"/>
    <cellStyle name="Normal 106 7 2" xfId="18820" xr:uid="{00000000-0005-0000-0000-0000BC480000}"/>
    <cellStyle name="Normal 106 8" xfId="18821" xr:uid="{00000000-0005-0000-0000-0000BD480000}"/>
    <cellStyle name="Normal 106 8 2" xfId="18822" xr:uid="{00000000-0005-0000-0000-0000BE480000}"/>
    <cellStyle name="Normal 106 9" xfId="18823" xr:uid="{00000000-0005-0000-0000-0000BF480000}"/>
    <cellStyle name="Normal 106 9 2" xfId="18824" xr:uid="{00000000-0005-0000-0000-0000C0480000}"/>
    <cellStyle name="Normal 107" xfId="18825" xr:uid="{00000000-0005-0000-0000-0000C1480000}"/>
    <cellStyle name="Normal 107 2" xfId="18826" xr:uid="{00000000-0005-0000-0000-0000C2480000}"/>
    <cellStyle name="Normal 107 2 2" xfId="18827" xr:uid="{00000000-0005-0000-0000-0000C3480000}"/>
    <cellStyle name="Normal 107 2 2 2" xfId="18828" xr:uid="{00000000-0005-0000-0000-0000C4480000}"/>
    <cellStyle name="Normal 107 2 3" xfId="18829" xr:uid="{00000000-0005-0000-0000-0000C5480000}"/>
    <cellStyle name="Normal 107 3" xfId="18830" xr:uid="{00000000-0005-0000-0000-0000C6480000}"/>
    <cellStyle name="Normal 107 3 2" xfId="18831" xr:uid="{00000000-0005-0000-0000-0000C7480000}"/>
    <cellStyle name="Normal 107 4" xfId="18832" xr:uid="{00000000-0005-0000-0000-0000C8480000}"/>
    <cellStyle name="Normal 107 4 2" xfId="18833" xr:uid="{00000000-0005-0000-0000-0000C9480000}"/>
    <cellStyle name="Normal 107 5" xfId="18834" xr:uid="{00000000-0005-0000-0000-0000CA480000}"/>
    <cellStyle name="Normal 107 5 2" xfId="18835" xr:uid="{00000000-0005-0000-0000-0000CB480000}"/>
    <cellStyle name="Normal 107 6" xfId="18836" xr:uid="{00000000-0005-0000-0000-0000CC480000}"/>
    <cellStyle name="Normal 107 7" xfId="18837" xr:uid="{00000000-0005-0000-0000-0000CD480000}"/>
    <cellStyle name="Normal 108" xfId="18838" xr:uid="{00000000-0005-0000-0000-0000CE480000}"/>
    <cellStyle name="Normal 108 2" xfId="18839" xr:uid="{00000000-0005-0000-0000-0000CF480000}"/>
    <cellStyle name="Normal 108 2 2" xfId="18840" xr:uid="{00000000-0005-0000-0000-0000D0480000}"/>
    <cellStyle name="Normal 108 2 3" xfId="18841" xr:uid="{00000000-0005-0000-0000-0000D1480000}"/>
    <cellStyle name="Normal 108 3" xfId="18842" xr:uid="{00000000-0005-0000-0000-0000D2480000}"/>
    <cellStyle name="Normal 108 3 2" xfId="18843" xr:uid="{00000000-0005-0000-0000-0000D3480000}"/>
    <cellStyle name="Normal 108 4" xfId="18844" xr:uid="{00000000-0005-0000-0000-0000D4480000}"/>
    <cellStyle name="Normal 108 4 2" xfId="18845" xr:uid="{00000000-0005-0000-0000-0000D5480000}"/>
    <cellStyle name="Normal 108 5" xfId="18846" xr:uid="{00000000-0005-0000-0000-0000D6480000}"/>
    <cellStyle name="Normal 108 5 2" xfId="18847" xr:uid="{00000000-0005-0000-0000-0000D7480000}"/>
    <cellStyle name="Normal 108 6" xfId="18848" xr:uid="{00000000-0005-0000-0000-0000D8480000}"/>
    <cellStyle name="Normal 108 7" xfId="18849" xr:uid="{00000000-0005-0000-0000-0000D9480000}"/>
    <cellStyle name="Normal 109" xfId="18850" xr:uid="{00000000-0005-0000-0000-0000DA480000}"/>
    <cellStyle name="Normal 109 2" xfId="18851" xr:uid="{00000000-0005-0000-0000-0000DB480000}"/>
    <cellStyle name="Normal 109 2 2" xfId="18852" xr:uid="{00000000-0005-0000-0000-0000DC480000}"/>
    <cellStyle name="Normal 109 2 2 2" xfId="18853" xr:uid="{00000000-0005-0000-0000-0000DD480000}"/>
    <cellStyle name="Normal 109 2 2 3" xfId="18854" xr:uid="{00000000-0005-0000-0000-0000DE480000}"/>
    <cellStyle name="Normal 109 2 3" xfId="18855" xr:uid="{00000000-0005-0000-0000-0000DF480000}"/>
    <cellStyle name="Normal 109 2 3 2" xfId="18856" xr:uid="{00000000-0005-0000-0000-0000E0480000}"/>
    <cellStyle name="Normal 109 2 4" xfId="18857" xr:uid="{00000000-0005-0000-0000-0000E1480000}"/>
    <cellStyle name="Normal 109 2 5" xfId="18858" xr:uid="{00000000-0005-0000-0000-0000E2480000}"/>
    <cellStyle name="Normal 109 2 6" xfId="18859" xr:uid="{00000000-0005-0000-0000-0000E3480000}"/>
    <cellStyle name="Normal 109 2 7" xfId="18860" xr:uid="{00000000-0005-0000-0000-0000E4480000}"/>
    <cellStyle name="Normal 109 2 8" xfId="18861" xr:uid="{00000000-0005-0000-0000-0000E5480000}"/>
    <cellStyle name="Normal 109 3" xfId="18862" xr:uid="{00000000-0005-0000-0000-0000E6480000}"/>
    <cellStyle name="Normal 109 3 2" xfId="18863" xr:uid="{00000000-0005-0000-0000-0000E7480000}"/>
    <cellStyle name="Normal 109 3 2 2" xfId="18864" xr:uid="{00000000-0005-0000-0000-0000E8480000}"/>
    <cellStyle name="Normal 109 3 3" xfId="18865" xr:uid="{00000000-0005-0000-0000-0000E9480000}"/>
    <cellStyle name="Normal 109 3 3 2" xfId="18866" xr:uid="{00000000-0005-0000-0000-0000EA480000}"/>
    <cellStyle name="Normal 109 3 4" xfId="18867" xr:uid="{00000000-0005-0000-0000-0000EB480000}"/>
    <cellStyle name="Normal 109 3 5" xfId="18868" xr:uid="{00000000-0005-0000-0000-0000EC480000}"/>
    <cellStyle name="Normal 109 3 6" xfId="18869" xr:uid="{00000000-0005-0000-0000-0000ED480000}"/>
    <cellStyle name="Normal 109 3 7" xfId="18870" xr:uid="{00000000-0005-0000-0000-0000EE480000}"/>
    <cellStyle name="Normal 109 3 8" xfId="18871" xr:uid="{00000000-0005-0000-0000-0000EF480000}"/>
    <cellStyle name="Normal 109 4" xfId="18872" xr:uid="{00000000-0005-0000-0000-0000F0480000}"/>
    <cellStyle name="Normal 109 4 2" xfId="18873" xr:uid="{00000000-0005-0000-0000-0000F1480000}"/>
    <cellStyle name="Normal 109 5" xfId="18874" xr:uid="{00000000-0005-0000-0000-0000F2480000}"/>
    <cellStyle name="Normal 109 5 2" xfId="18875" xr:uid="{00000000-0005-0000-0000-0000F3480000}"/>
    <cellStyle name="Normal 109 6" xfId="18876" xr:uid="{00000000-0005-0000-0000-0000F4480000}"/>
    <cellStyle name="Normal 109 7" xfId="18877" xr:uid="{00000000-0005-0000-0000-0000F5480000}"/>
    <cellStyle name="Normal 11" xfId="249" xr:uid="{00000000-0005-0000-0000-0000F6480000}"/>
    <cellStyle name="Normal 11 10" xfId="18878" xr:uid="{00000000-0005-0000-0000-0000F7480000}"/>
    <cellStyle name="Normal 11 10 2" xfId="18879" xr:uid="{00000000-0005-0000-0000-0000F8480000}"/>
    <cellStyle name="Normal 11 10 3" xfId="18880" xr:uid="{00000000-0005-0000-0000-0000F9480000}"/>
    <cellStyle name="Normal 11 10 4" xfId="18881" xr:uid="{00000000-0005-0000-0000-0000FA480000}"/>
    <cellStyle name="Normal 11 11" xfId="18882" xr:uid="{00000000-0005-0000-0000-0000FB480000}"/>
    <cellStyle name="Normal 11 11 2" xfId="18883" xr:uid="{00000000-0005-0000-0000-0000FC480000}"/>
    <cellStyle name="Normal 11 12" xfId="18884" xr:uid="{00000000-0005-0000-0000-0000FD480000}"/>
    <cellStyle name="Normal 11 13" xfId="18885" xr:uid="{00000000-0005-0000-0000-0000FE480000}"/>
    <cellStyle name="Normal 11 14" xfId="18886" xr:uid="{00000000-0005-0000-0000-0000FF480000}"/>
    <cellStyle name="Normal 11 15" xfId="18887" xr:uid="{00000000-0005-0000-0000-000000490000}"/>
    <cellStyle name="Normal 11 16" xfId="18888" xr:uid="{00000000-0005-0000-0000-000001490000}"/>
    <cellStyle name="Normal 11 17" xfId="18889" xr:uid="{00000000-0005-0000-0000-000002490000}"/>
    <cellStyle name="Normal 11 2" xfId="114" xr:uid="{00000000-0005-0000-0000-000003490000}"/>
    <cellStyle name="Normal 11 2 10" xfId="18890" xr:uid="{00000000-0005-0000-0000-000004490000}"/>
    <cellStyle name="Normal 11 2 10 2" xfId="18891" xr:uid="{00000000-0005-0000-0000-000005490000}"/>
    <cellStyle name="Normal 11 2 10 3" xfId="18892" xr:uid="{00000000-0005-0000-0000-000006490000}"/>
    <cellStyle name="Normal 11 2 11" xfId="18893" xr:uid="{00000000-0005-0000-0000-000007490000}"/>
    <cellStyle name="Normal 11 2 11 2" xfId="18894" xr:uid="{00000000-0005-0000-0000-000008490000}"/>
    <cellStyle name="Normal 11 2 12" xfId="18895" xr:uid="{00000000-0005-0000-0000-000009490000}"/>
    <cellStyle name="Normal 11 2 13" xfId="18896" xr:uid="{00000000-0005-0000-0000-00000A490000}"/>
    <cellStyle name="Normal 11 2 14" xfId="18897" xr:uid="{00000000-0005-0000-0000-00000B490000}"/>
    <cellStyle name="Normal 11 2 15" xfId="18898" xr:uid="{00000000-0005-0000-0000-00000C490000}"/>
    <cellStyle name="Normal 11 2 2" xfId="18899" xr:uid="{00000000-0005-0000-0000-00000D490000}"/>
    <cellStyle name="Normal 11 2 2 10" xfId="18900" xr:uid="{00000000-0005-0000-0000-00000E490000}"/>
    <cellStyle name="Normal 11 2 2 11" xfId="18901" xr:uid="{00000000-0005-0000-0000-00000F490000}"/>
    <cellStyle name="Normal 11 2 2 12" xfId="18902" xr:uid="{00000000-0005-0000-0000-000010490000}"/>
    <cellStyle name="Normal 11 2 2 13" xfId="18903" xr:uid="{00000000-0005-0000-0000-000011490000}"/>
    <cellStyle name="Normal 11 2 2 2" xfId="18904" xr:uid="{00000000-0005-0000-0000-000012490000}"/>
    <cellStyle name="Normal 11 2 2 2 10" xfId="18905" xr:uid="{00000000-0005-0000-0000-000013490000}"/>
    <cellStyle name="Normal 11 2 2 2 2" xfId="18906" xr:uid="{00000000-0005-0000-0000-000014490000}"/>
    <cellStyle name="Normal 11 2 2 2 2 2" xfId="18907" xr:uid="{00000000-0005-0000-0000-000015490000}"/>
    <cellStyle name="Normal 11 2 2 2 2 2 2" xfId="18908" xr:uid="{00000000-0005-0000-0000-000016490000}"/>
    <cellStyle name="Normal 11 2 2 2 2 3" xfId="18909" xr:uid="{00000000-0005-0000-0000-000017490000}"/>
    <cellStyle name="Normal 11 2 2 2 2 3 2" xfId="18910" xr:uid="{00000000-0005-0000-0000-000018490000}"/>
    <cellStyle name="Normal 11 2 2 2 2 4" xfId="18911" xr:uid="{00000000-0005-0000-0000-000019490000}"/>
    <cellStyle name="Normal 11 2 2 2 2 5" xfId="18912" xr:uid="{00000000-0005-0000-0000-00001A490000}"/>
    <cellStyle name="Normal 11 2 2 2 2 6" xfId="18913" xr:uid="{00000000-0005-0000-0000-00001B490000}"/>
    <cellStyle name="Normal 11 2 2 2 2 7" xfId="18914" xr:uid="{00000000-0005-0000-0000-00001C490000}"/>
    <cellStyle name="Normal 11 2 2 2 2 8" xfId="18915" xr:uid="{00000000-0005-0000-0000-00001D490000}"/>
    <cellStyle name="Normal 11 2 2 2 3" xfId="18916" xr:uid="{00000000-0005-0000-0000-00001E490000}"/>
    <cellStyle name="Normal 11 2 2 2 3 2" xfId="18917" xr:uid="{00000000-0005-0000-0000-00001F490000}"/>
    <cellStyle name="Normal 11 2 2 2 3 2 2" xfId="18918" xr:uid="{00000000-0005-0000-0000-000020490000}"/>
    <cellStyle name="Normal 11 2 2 2 3 3" xfId="18919" xr:uid="{00000000-0005-0000-0000-000021490000}"/>
    <cellStyle name="Normal 11 2 2 2 3 3 2" xfId="18920" xr:uid="{00000000-0005-0000-0000-000022490000}"/>
    <cellStyle name="Normal 11 2 2 2 3 4" xfId="18921" xr:uid="{00000000-0005-0000-0000-000023490000}"/>
    <cellStyle name="Normal 11 2 2 2 3 5" xfId="18922" xr:uid="{00000000-0005-0000-0000-000024490000}"/>
    <cellStyle name="Normal 11 2 2 2 3 6" xfId="18923" xr:uid="{00000000-0005-0000-0000-000025490000}"/>
    <cellStyle name="Normal 11 2 2 2 3 7" xfId="18924" xr:uid="{00000000-0005-0000-0000-000026490000}"/>
    <cellStyle name="Normal 11 2 2 2 3 8" xfId="18925" xr:uid="{00000000-0005-0000-0000-000027490000}"/>
    <cellStyle name="Normal 11 2 2 2 4" xfId="18926" xr:uid="{00000000-0005-0000-0000-000028490000}"/>
    <cellStyle name="Normal 11 2 2 2 4 2" xfId="18927" xr:uid="{00000000-0005-0000-0000-000029490000}"/>
    <cellStyle name="Normal 11 2 2 2 5" xfId="18928" xr:uid="{00000000-0005-0000-0000-00002A490000}"/>
    <cellStyle name="Normal 11 2 2 2 5 2" xfId="18929" xr:uid="{00000000-0005-0000-0000-00002B490000}"/>
    <cellStyle name="Normal 11 2 2 2 6" xfId="18930" xr:uid="{00000000-0005-0000-0000-00002C490000}"/>
    <cellStyle name="Normal 11 2 2 2 7" xfId="18931" xr:uid="{00000000-0005-0000-0000-00002D490000}"/>
    <cellStyle name="Normal 11 2 2 2 8" xfId="18932" xr:uid="{00000000-0005-0000-0000-00002E490000}"/>
    <cellStyle name="Normal 11 2 2 2 9" xfId="18933" xr:uid="{00000000-0005-0000-0000-00002F490000}"/>
    <cellStyle name="Normal 11 2 2 3" xfId="18934" xr:uid="{00000000-0005-0000-0000-000030490000}"/>
    <cellStyle name="Normal 11 2 2 3 2" xfId="18935" xr:uid="{00000000-0005-0000-0000-000031490000}"/>
    <cellStyle name="Normal 11 2 2 3 2 2" xfId="18936" xr:uid="{00000000-0005-0000-0000-000032490000}"/>
    <cellStyle name="Normal 11 2 2 3 2 2 2" xfId="18937" xr:uid="{00000000-0005-0000-0000-000033490000}"/>
    <cellStyle name="Normal 11 2 2 3 2 3" xfId="18938" xr:uid="{00000000-0005-0000-0000-000034490000}"/>
    <cellStyle name="Normal 11 2 2 3 2 3 2" xfId="18939" xr:uid="{00000000-0005-0000-0000-000035490000}"/>
    <cellStyle name="Normal 11 2 2 3 2 4" xfId="18940" xr:uid="{00000000-0005-0000-0000-000036490000}"/>
    <cellStyle name="Normal 11 2 2 3 2 5" xfId="18941" xr:uid="{00000000-0005-0000-0000-000037490000}"/>
    <cellStyle name="Normal 11 2 2 3 2 6" xfId="18942" xr:uid="{00000000-0005-0000-0000-000038490000}"/>
    <cellStyle name="Normal 11 2 2 3 2 7" xfId="18943" xr:uid="{00000000-0005-0000-0000-000039490000}"/>
    <cellStyle name="Normal 11 2 2 3 3" xfId="18944" xr:uid="{00000000-0005-0000-0000-00003A490000}"/>
    <cellStyle name="Normal 11 2 2 3 3 2" xfId="18945" xr:uid="{00000000-0005-0000-0000-00003B490000}"/>
    <cellStyle name="Normal 11 2 2 3 4" xfId="18946" xr:uid="{00000000-0005-0000-0000-00003C490000}"/>
    <cellStyle name="Normal 11 2 2 3 4 2" xfId="18947" xr:uid="{00000000-0005-0000-0000-00003D490000}"/>
    <cellStyle name="Normal 11 2 2 3 5" xfId="18948" xr:uid="{00000000-0005-0000-0000-00003E490000}"/>
    <cellStyle name="Normal 11 2 2 3 6" xfId="18949" xr:uid="{00000000-0005-0000-0000-00003F490000}"/>
    <cellStyle name="Normal 11 2 2 3 7" xfId="18950" xr:uid="{00000000-0005-0000-0000-000040490000}"/>
    <cellStyle name="Normal 11 2 2 3 8" xfId="18951" xr:uid="{00000000-0005-0000-0000-000041490000}"/>
    <cellStyle name="Normal 11 2 2 3 9" xfId="18952" xr:uid="{00000000-0005-0000-0000-000042490000}"/>
    <cellStyle name="Normal 11 2 2 4" xfId="18953" xr:uid="{00000000-0005-0000-0000-000043490000}"/>
    <cellStyle name="Normal 11 2 2 4 2" xfId="18954" xr:uid="{00000000-0005-0000-0000-000044490000}"/>
    <cellStyle name="Normal 11 2 2 4 2 2" xfId="18955" xr:uid="{00000000-0005-0000-0000-000045490000}"/>
    <cellStyle name="Normal 11 2 2 4 2 2 2" xfId="18956" xr:uid="{00000000-0005-0000-0000-000046490000}"/>
    <cellStyle name="Normal 11 2 2 4 2 3" xfId="18957" xr:uid="{00000000-0005-0000-0000-000047490000}"/>
    <cellStyle name="Normal 11 2 2 4 2 3 2" xfId="18958" xr:uid="{00000000-0005-0000-0000-000048490000}"/>
    <cellStyle name="Normal 11 2 2 4 2 4" xfId="18959" xr:uid="{00000000-0005-0000-0000-000049490000}"/>
    <cellStyle name="Normal 11 2 2 4 2 5" xfId="18960" xr:uid="{00000000-0005-0000-0000-00004A490000}"/>
    <cellStyle name="Normal 11 2 2 4 2 6" xfId="18961" xr:uid="{00000000-0005-0000-0000-00004B490000}"/>
    <cellStyle name="Normal 11 2 2 4 2 7" xfId="18962" xr:uid="{00000000-0005-0000-0000-00004C490000}"/>
    <cellStyle name="Normal 11 2 2 4 3" xfId="18963" xr:uid="{00000000-0005-0000-0000-00004D490000}"/>
    <cellStyle name="Normal 11 2 2 4 3 2" xfId="18964" xr:uid="{00000000-0005-0000-0000-00004E490000}"/>
    <cellStyle name="Normal 11 2 2 4 4" xfId="18965" xr:uid="{00000000-0005-0000-0000-00004F490000}"/>
    <cellStyle name="Normal 11 2 2 4 4 2" xfId="18966" xr:uid="{00000000-0005-0000-0000-000050490000}"/>
    <cellStyle name="Normal 11 2 2 4 5" xfId="18967" xr:uid="{00000000-0005-0000-0000-000051490000}"/>
    <cellStyle name="Normal 11 2 2 4 6" xfId="18968" xr:uid="{00000000-0005-0000-0000-000052490000}"/>
    <cellStyle name="Normal 11 2 2 4 7" xfId="18969" xr:uid="{00000000-0005-0000-0000-000053490000}"/>
    <cellStyle name="Normal 11 2 2 4 8" xfId="18970" xr:uid="{00000000-0005-0000-0000-000054490000}"/>
    <cellStyle name="Normal 11 2 2 4 9" xfId="18971" xr:uid="{00000000-0005-0000-0000-000055490000}"/>
    <cellStyle name="Normal 11 2 2 5" xfId="18972" xr:uid="{00000000-0005-0000-0000-000056490000}"/>
    <cellStyle name="Normal 11 2 2 5 2" xfId="18973" xr:uid="{00000000-0005-0000-0000-000057490000}"/>
    <cellStyle name="Normal 11 2 2 5 2 2" xfId="18974" xr:uid="{00000000-0005-0000-0000-000058490000}"/>
    <cellStyle name="Normal 11 2 2 5 3" xfId="18975" xr:uid="{00000000-0005-0000-0000-000059490000}"/>
    <cellStyle name="Normal 11 2 2 5 3 2" xfId="18976" xr:uid="{00000000-0005-0000-0000-00005A490000}"/>
    <cellStyle name="Normal 11 2 2 5 4" xfId="18977" xr:uid="{00000000-0005-0000-0000-00005B490000}"/>
    <cellStyle name="Normal 11 2 2 5 5" xfId="18978" xr:uid="{00000000-0005-0000-0000-00005C490000}"/>
    <cellStyle name="Normal 11 2 2 5 6" xfId="18979" xr:uid="{00000000-0005-0000-0000-00005D490000}"/>
    <cellStyle name="Normal 11 2 2 5 7" xfId="18980" xr:uid="{00000000-0005-0000-0000-00005E490000}"/>
    <cellStyle name="Normal 11 2 2 5 8" xfId="18981" xr:uid="{00000000-0005-0000-0000-00005F490000}"/>
    <cellStyle name="Normal 11 2 2 6" xfId="18982" xr:uid="{00000000-0005-0000-0000-000060490000}"/>
    <cellStyle name="Normal 11 2 2 6 2" xfId="18983" xr:uid="{00000000-0005-0000-0000-000061490000}"/>
    <cellStyle name="Normal 11 2 2 7" xfId="18984" xr:uid="{00000000-0005-0000-0000-000062490000}"/>
    <cellStyle name="Normal 11 2 2 7 2" xfId="18985" xr:uid="{00000000-0005-0000-0000-000063490000}"/>
    <cellStyle name="Normal 11 2 2 8" xfId="18986" xr:uid="{00000000-0005-0000-0000-000064490000}"/>
    <cellStyle name="Normal 11 2 2 8 2" xfId="18987" xr:uid="{00000000-0005-0000-0000-000065490000}"/>
    <cellStyle name="Normal 11 2 2 9" xfId="18988" xr:uid="{00000000-0005-0000-0000-000066490000}"/>
    <cellStyle name="Normal 11 2 3" xfId="18989" xr:uid="{00000000-0005-0000-0000-000067490000}"/>
    <cellStyle name="Normal 11 2 3 10" xfId="18990" xr:uid="{00000000-0005-0000-0000-000068490000}"/>
    <cellStyle name="Normal 11 2 3 11" xfId="18991" xr:uid="{00000000-0005-0000-0000-000069490000}"/>
    <cellStyle name="Normal 11 2 3 12" xfId="18992" xr:uid="{00000000-0005-0000-0000-00006A490000}"/>
    <cellStyle name="Normal 11 2 3 2" xfId="18993" xr:uid="{00000000-0005-0000-0000-00006B490000}"/>
    <cellStyle name="Normal 11 2 3 2 2" xfId="18994" xr:uid="{00000000-0005-0000-0000-00006C490000}"/>
    <cellStyle name="Normal 11 2 3 2 2 2" xfId="18995" xr:uid="{00000000-0005-0000-0000-00006D490000}"/>
    <cellStyle name="Normal 11 2 3 2 2 2 2" xfId="18996" xr:uid="{00000000-0005-0000-0000-00006E490000}"/>
    <cellStyle name="Normal 11 2 3 2 2 3" xfId="18997" xr:uid="{00000000-0005-0000-0000-00006F490000}"/>
    <cellStyle name="Normal 11 2 3 2 2 3 2" xfId="18998" xr:uid="{00000000-0005-0000-0000-000070490000}"/>
    <cellStyle name="Normal 11 2 3 2 2 4" xfId="18999" xr:uid="{00000000-0005-0000-0000-000071490000}"/>
    <cellStyle name="Normal 11 2 3 2 2 5" xfId="19000" xr:uid="{00000000-0005-0000-0000-000072490000}"/>
    <cellStyle name="Normal 11 2 3 2 2 6" xfId="19001" xr:uid="{00000000-0005-0000-0000-000073490000}"/>
    <cellStyle name="Normal 11 2 3 2 2 7" xfId="19002" xr:uid="{00000000-0005-0000-0000-000074490000}"/>
    <cellStyle name="Normal 11 2 3 2 2 8" xfId="19003" xr:uid="{00000000-0005-0000-0000-000075490000}"/>
    <cellStyle name="Normal 11 2 3 2 3" xfId="19004" xr:uid="{00000000-0005-0000-0000-000076490000}"/>
    <cellStyle name="Normal 11 2 3 2 3 2" xfId="19005" xr:uid="{00000000-0005-0000-0000-000077490000}"/>
    <cellStyle name="Normal 11 2 3 2 3 3" xfId="19006" xr:uid="{00000000-0005-0000-0000-000078490000}"/>
    <cellStyle name="Normal 11 2 3 2 4" xfId="19007" xr:uid="{00000000-0005-0000-0000-000079490000}"/>
    <cellStyle name="Normal 11 2 3 2 4 2" xfId="19008" xr:uid="{00000000-0005-0000-0000-00007A490000}"/>
    <cellStyle name="Normal 11 2 3 2 5" xfId="19009" xr:uid="{00000000-0005-0000-0000-00007B490000}"/>
    <cellStyle name="Normal 11 2 3 2 6" xfId="19010" xr:uid="{00000000-0005-0000-0000-00007C490000}"/>
    <cellStyle name="Normal 11 2 3 2 7" xfId="19011" xr:uid="{00000000-0005-0000-0000-00007D490000}"/>
    <cellStyle name="Normal 11 2 3 2 8" xfId="19012" xr:uid="{00000000-0005-0000-0000-00007E490000}"/>
    <cellStyle name="Normal 11 2 3 2 9" xfId="19013" xr:uid="{00000000-0005-0000-0000-00007F490000}"/>
    <cellStyle name="Normal 11 2 3 3" xfId="19014" xr:uid="{00000000-0005-0000-0000-000080490000}"/>
    <cellStyle name="Normal 11 2 3 3 2" xfId="19015" xr:uid="{00000000-0005-0000-0000-000081490000}"/>
    <cellStyle name="Normal 11 2 3 3 2 2" xfId="19016" xr:uid="{00000000-0005-0000-0000-000082490000}"/>
    <cellStyle name="Normal 11 2 3 3 2 2 2" xfId="19017" xr:uid="{00000000-0005-0000-0000-000083490000}"/>
    <cellStyle name="Normal 11 2 3 3 2 3" xfId="19018" xr:uid="{00000000-0005-0000-0000-000084490000}"/>
    <cellStyle name="Normal 11 2 3 3 2 3 2" xfId="19019" xr:uid="{00000000-0005-0000-0000-000085490000}"/>
    <cellStyle name="Normal 11 2 3 3 2 4" xfId="19020" xr:uid="{00000000-0005-0000-0000-000086490000}"/>
    <cellStyle name="Normal 11 2 3 3 2 5" xfId="19021" xr:uid="{00000000-0005-0000-0000-000087490000}"/>
    <cellStyle name="Normal 11 2 3 3 2 6" xfId="19022" xr:uid="{00000000-0005-0000-0000-000088490000}"/>
    <cellStyle name="Normal 11 2 3 3 2 7" xfId="19023" xr:uid="{00000000-0005-0000-0000-000089490000}"/>
    <cellStyle name="Normal 11 2 3 3 3" xfId="19024" xr:uid="{00000000-0005-0000-0000-00008A490000}"/>
    <cellStyle name="Normal 11 2 3 3 3 2" xfId="19025" xr:uid="{00000000-0005-0000-0000-00008B490000}"/>
    <cellStyle name="Normal 11 2 3 3 4" xfId="19026" xr:uid="{00000000-0005-0000-0000-00008C490000}"/>
    <cellStyle name="Normal 11 2 3 3 4 2" xfId="19027" xr:uid="{00000000-0005-0000-0000-00008D490000}"/>
    <cellStyle name="Normal 11 2 3 3 5" xfId="19028" xr:uid="{00000000-0005-0000-0000-00008E490000}"/>
    <cellStyle name="Normal 11 2 3 3 6" xfId="19029" xr:uid="{00000000-0005-0000-0000-00008F490000}"/>
    <cellStyle name="Normal 11 2 3 3 7" xfId="19030" xr:uid="{00000000-0005-0000-0000-000090490000}"/>
    <cellStyle name="Normal 11 2 3 3 8" xfId="19031" xr:uid="{00000000-0005-0000-0000-000091490000}"/>
    <cellStyle name="Normal 11 2 3 3 9" xfId="19032" xr:uid="{00000000-0005-0000-0000-000092490000}"/>
    <cellStyle name="Normal 11 2 3 4" xfId="19033" xr:uid="{00000000-0005-0000-0000-000093490000}"/>
    <cellStyle name="Normal 11 2 3 4 2" xfId="19034" xr:uid="{00000000-0005-0000-0000-000094490000}"/>
    <cellStyle name="Normal 11 2 3 4 2 2" xfId="19035" xr:uid="{00000000-0005-0000-0000-000095490000}"/>
    <cellStyle name="Normal 11 2 3 4 3" xfId="19036" xr:uid="{00000000-0005-0000-0000-000096490000}"/>
    <cellStyle name="Normal 11 2 3 4 3 2" xfId="19037" xr:uid="{00000000-0005-0000-0000-000097490000}"/>
    <cellStyle name="Normal 11 2 3 4 4" xfId="19038" xr:uid="{00000000-0005-0000-0000-000098490000}"/>
    <cellStyle name="Normal 11 2 3 4 5" xfId="19039" xr:uid="{00000000-0005-0000-0000-000099490000}"/>
    <cellStyle name="Normal 11 2 3 4 6" xfId="19040" xr:uid="{00000000-0005-0000-0000-00009A490000}"/>
    <cellStyle name="Normal 11 2 3 4 7" xfId="19041" xr:uid="{00000000-0005-0000-0000-00009B490000}"/>
    <cellStyle name="Normal 11 2 3 4 8" xfId="19042" xr:uid="{00000000-0005-0000-0000-00009C490000}"/>
    <cellStyle name="Normal 11 2 3 5" xfId="19043" xr:uid="{00000000-0005-0000-0000-00009D490000}"/>
    <cellStyle name="Normal 11 2 3 5 2" xfId="19044" xr:uid="{00000000-0005-0000-0000-00009E490000}"/>
    <cellStyle name="Normal 11 2 3 5 3" xfId="19045" xr:uid="{00000000-0005-0000-0000-00009F490000}"/>
    <cellStyle name="Normal 11 2 3 6" xfId="19046" xr:uid="{00000000-0005-0000-0000-0000A0490000}"/>
    <cellStyle name="Normal 11 2 3 6 2" xfId="19047" xr:uid="{00000000-0005-0000-0000-0000A1490000}"/>
    <cellStyle name="Normal 11 2 3 7" xfId="19048" xr:uid="{00000000-0005-0000-0000-0000A2490000}"/>
    <cellStyle name="Normal 11 2 3 7 2" xfId="19049" xr:uid="{00000000-0005-0000-0000-0000A3490000}"/>
    <cellStyle name="Normal 11 2 3 8" xfId="19050" xr:uid="{00000000-0005-0000-0000-0000A4490000}"/>
    <cellStyle name="Normal 11 2 3 9" xfId="19051" xr:uid="{00000000-0005-0000-0000-0000A5490000}"/>
    <cellStyle name="Normal 11 2 4" xfId="19052" xr:uid="{00000000-0005-0000-0000-0000A6490000}"/>
    <cellStyle name="Normal 11 2 4 10" xfId="19053" xr:uid="{00000000-0005-0000-0000-0000A7490000}"/>
    <cellStyle name="Normal 11 2 4 2" xfId="19054" xr:uid="{00000000-0005-0000-0000-0000A8490000}"/>
    <cellStyle name="Normal 11 2 4 2 2" xfId="19055" xr:uid="{00000000-0005-0000-0000-0000A9490000}"/>
    <cellStyle name="Normal 11 2 4 2 2 2" xfId="19056" xr:uid="{00000000-0005-0000-0000-0000AA490000}"/>
    <cellStyle name="Normal 11 2 4 2 2 3" xfId="19057" xr:uid="{00000000-0005-0000-0000-0000AB490000}"/>
    <cellStyle name="Normal 11 2 4 2 3" xfId="19058" xr:uid="{00000000-0005-0000-0000-0000AC490000}"/>
    <cellStyle name="Normal 11 2 4 2 3 2" xfId="19059" xr:uid="{00000000-0005-0000-0000-0000AD490000}"/>
    <cellStyle name="Normal 11 2 4 2 3 3" xfId="19060" xr:uid="{00000000-0005-0000-0000-0000AE490000}"/>
    <cellStyle name="Normal 11 2 4 2 4" xfId="19061" xr:uid="{00000000-0005-0000-0000-0000AF490000}"/>
    <cellStyle name="Normal 11 2 4 2 5" xfId="19062" xr:uid="{00000000-0005-0000-0000-0000B0490000}"/>
    <cellStyle name="Normal 11 2 4 2 6" xfId="19063" xr:uid="{00000000-0005-0000-0000-0000B1490000}"/>
    <cellStyle name="Normal 11 2 4 2 7" xfId="19064" xr:uid="{00000000-0005-0000-0000-0000B2490000}"/>
    <cellStyle name="Normal 11 2 4 2 8" xfId="19065" xr:uid="{00000000-0005-0000-0000-0000B3490000}"/>
    <cellStyle name="Normal 11 2 4 3" xfId="19066" xr:uid="{00000000-0005-0000-0000-0000B4490000}"/>
    <cellStyle name="Normal 11 2 4 3 2" xfId="19067" xr:uid="{00000000-0005-0000-0000-0000B5490000}"/>
    <cellStyle name="Normal 11 2 4 3 2 2" xfId="19068" xr:uid="{00000000-0005-0000-0000-0000B6490000}"/>
    <cellStyle name="Normal 11 2 4 3 3" xfId="19069" xr:uid="{00000000-0005-0000-0000-0000B7490000}"/>
    <cellStyle name="Normal 11 2 4 3 3 2" xfId="19070" xr:uid="{00000000-0005-0000-0000-0000B8490000}"/>
    <cellStyle name="Normal 11 2 4 3 4" xfId="19071" xr:uid="{00000000-0005-0000-0000-0000B9490000}"/>
    <cellStyle name="Normal 11 2 4 3 5" xfId="19072" xr:uid="{00000000-0005-0000-0000-0000BA490000}"/>
    <cellStyle name="Normal 11 2 4 3 6" xfId="19073" xr:uid="{00000000-0005-0000-0000-0000BB490000}"/>
    <cellStyle name="Normal 11 2 4 3 7" xfId="19074" xr:uid="{00000000-0005-0000-0000-0000BC490000}"/>
    <cellStyle name="Normal 11 2 4 3 8" xfId="19075" xr:uid="{00000000-0005-0000-0000-0000BD490000}"/>
    <cellStyle name="Normal 11 2 4 4" xfId="19076" xr:uid="{00000000-0005-0000-0000-0000BE490000}"/>
    <cellStyle name="Normal 11 2 4 4 2" xfId="19077" xr:uid="{00000000-0005-0000-0000-0000BF490000}"/>
    <cellStyle name="Normal 11 2 4 4 3" xfId="19078" xr:uid="{00000000-0005-0000-0000-0000C0490000}"/>
    <cellStyle name="Normal 11 2 4 5" xfId="19079" xr:uid="{00000000-0005-0000-0000-0000C1490000}"/>
    <cellStyle name="Normal 11 2 4 5 2" xfId="19080" xr:uid="{00000000-0005-0000-0000-0000C2490000}"/>
    <cellStyle name="Normal 11 2 4 6" xfId="19081" xr:uid="{00000000-0005-0000-0000-0000C3490000}"/>
    <cellStyle name="Normal 11 2 4 7" xfId="19082" xr:uid="{00000000-0005-0000-0000-0000C4490000}"/>
    <cellStyle name="Normal 11 2 4 8" xfId="19083" xr:uid="{00000000-0005-0000-0000-0000C5490000}"/>
    <cellStyle name="Normal 11 2 4 9" xfId="19084" xr:uid="{00000000-0005-0000-0000-0000C6490000}"/>
    <cellStyle name="Normal 11 2 5" xfId="19085" xr:uid="{00000000-0005-0000-0000-0000C7490000}"/>
    <cellStyle name="Normal 11 2 5 2" xfId="19086" xr:uid="{00000000-0005-0000-0000-0000C8490000}"/>
    <cellStyle name="Normal 11 2 5 2 2" xfId="19087" xr:uid="{00000000-0005-0000-0000-0000C9490000}"/>
    <cellStyle name="Normal 11 2 5 2 2 2" xfId="19088" xr:uid="{00000000-0005-0000-0000-0000CA490000}"/>
    <cellStyle name="Normal 11 2 5 2 2 3" xfId="19089" xr:uid="{00000000-0005-0000-0000-0000CB490000}"/>
    <cellStyle name="Normal 11 2 5 2 3" xfId="19090" xr:uid="{00000000-0005-0000-0000-0000CC490000}"/>
    <cellStyle name="Normal 11 2 5 2 3 2" xfId="19091" xr:uid="{00000000-0005-0000-0000-0000CD490000}"/>
    <cellStyle name="Normal 11 2 5 2 3 3" xfId="19092" xr:uid="{00000000-0005-0000-0000-0000CE490000}"/>
    <cellStyle name="Normal 11 2 5 2 4" xfId="19093" xr:uid="{00000000-0005-0000-0000-0000CF490000}"/>
    <cellStyle name="Normal 11 2 5 2 5" xfId="19094" xr:uid="{00000000-0005-0000-0000-0000D0490000}"/>
    <cellStyle name="Normal 11 2 5 2 6" xfId="19095" xr:uid="{00000000-0005-0000-0000-0000D1490000}"/>
    <cellStyle name="Normal 11 2 5 2 7" xfId="19096" xr:uid="{00000000-0005-0000-0000-0000D2490000}"/>
    <cellStyle name="Normal 11 2 5 2 8" xfId="19097" xr:uid="{00000000-0005-0000-0000-0000D3490000}"/>
    <cellStyle name="Normal 11 2 5 3" xfId="19098" xr:uid="{00000000-0005-0000-0000-0000D4490000}"/>
    <cellStyle name="Normal 11 2 5 3 2" xfId="19099" xr:uid="{00000000-0005-0000-0000-0000D5490000}"/>
    <cellStyle name="Normal 11 2 5 3 3" xfId="19100" xr:uid="{00000000-0005-0000-0000-0000D6490000}"/>
    <cellStyle name="Normal 11 2 5 4" xfId="19101" xr:uid="{00000000-0005-0000-0000-0000D7490000}"/>
    <cellStyle name="Normal 11 2 5 4 2" xfId="19102" xr:uid="{00000000-0005-0000-0000-0000D8490000}"/>
    <cellStyle name="Normal 11 2 5 4 3" xfId="19103" xr:uid="{00000000-0005-0000-0000-0000D9490000}"/>
    <cellStyle name="Normal 11 2 5 5" xfId="19104" xr:uid="{00000000-0005-0000-0000-0000DA490000}"/>
    <cellStyle name="Normal 11 2 5 6" xfId="19105" xr:uid="{00000000-0005-0000-0000-0000DB490000}"/>
    <cellStyle name="Normal 11 2 5 7" xfId="19106" xr:uid="{00000000-0005-0000-0000-0000DC490000}"/>
    <cellStyle name="Normal 11 2 5 8" xfId="19107" xr:uid="{00000000-0005-0000-0000-0000DD490000}"/>
    <cellStyle name="Normal 11 2 5 9" xfId="19108" xr:uid="{00000000-0005-0000-0000-0000DE490000}"/>
    <cellStyle name="Normal 11 2 6" xfId="19109" xr:uid="{00000000-0005-0000-0000-0000DF490000}"/>
    <cellStyle name="Normal 11 2 6 2" xfId="19110" xr:uid="{00000000-0005-0000-0000-0000E0490000}"/>
    <cellStyle name="Normal 11 2 6 2 2" xfId="19111" xr:uid="{00000000-0005-0000-0000-0000E1490000}"/>
    <cellStyle name="Normal 11 2 6 2 2 2" xfId="19112" xr:uid="{00000000-0005-0000-0000-0000E2490000}"/>
    <cellStyle name="Normal 11 2 6 2 2 3" xfId="19113" xr:uid="{00000000-0005-0000-0000-0000E3490000}"/>
    <cellStyle name="Normal 11 2 6 2 3" xfId="19114" xr:uid="{00000000-0005-0000-0000-0000E4490000}"/>
    <cellStyle name="Normal 11 2 6 2 3 2" xfId="19115" xr:uid="{00000000-0005-0000-0000-0000E5490000}"/>
    <cellStyle name="Normal 11 2 6 2 3 3" xfId="19116" xr:uid="{00000000-0005-0000-0000-0000E6490000}"/>
    <cellStyle name="Normal 11 2 6 2 4" xfId="19117" xr:uid="{00000000-0005-0000-0000-0000E7490000}"/>
    <cellStyle name="Normal 11 2 6 2 5" xfId="19118" xr:uid="{00000000-0005-0000-0000-0000E8490000}"/>
    <cellStyle name="Normal 11 2 6 2 6" xfId="19119" xr:uid="{00000000-0005-0000-0000-0000E9490000}"/>
    <cellStyle name="Normal 11 2 6 2 7" xfId="19120" xr:uid="{00000000-0005-0000-0000-0000EA490000}"/>
    <cellStyle name="Normal 11 2 6 2 8" xfId="19121" xr:uid="{00000000-0005-0000-0000-0000EB490000}"/>
    <cellStyle name="Normal 11 2 6 3" xfId="19122" xr:uid="{00000000-0005-0000-0000-0000EC490000}"/>
    <cellStyle name="Normal 11 2 6 3 2" xfId="19123" xr:uid="{00000000-0005-0000-0000-0000ED490000}"/>
    <cellStyle name="Normal 11 2 6 3 3" xfId="19124" xr:uid="{00000000-0005-0000-0000-0000EE490000}"/>
    <cellStyle name="Normal 11 2 6 4" xfId="19125" xr:uid="{00000000-0005-0000-0000-0000EF490000}"/>
    <cellStyle name="Normal 11 2 6 4 2" xfId="19126" xr:uid="{00000000-0005-0000-0000-0000F0490000}"/>
    <cellStyle name="Normal 11 2 6 4 3" xfId="19127" xr:uid="{00000000-0005-0000-0000-0000F1490000}"/>
    <cellStyle name="Normal 11 2 6 5" xfId="19128" xr:uid="{00000000-0005-0000-0000-0000F2490000}"/>
    <cellStyle name="Normal 11 2 6 6" xfId="19129" xr:uid="{00000000-0005-0000-0000-0000F3490000}"/>
    <cellStyle name="Normal 11 2 6 7" xfId="19130" xr:uid="{00000000-0005-0000-0000-0000F4490000}"/>
    <cellStyle name="Normal 11 2 6 8" xfId="19131" xr:uid="{00000000-0005-0000-0000-0000F5490000}"/>
    <cellStyle name="Normal 11 2 6 9" xfId="19132" xr:uid="{00000000-0005-0000-0000-0000F6490000}"/>
    <cellStyle name="Normal 11 2 7" xfId="19133" xr:uid="{00000000-0005-0000-0000-0000F7490000}"/>
    <cellStyle name="Normal 11 2 7 2" xfId="19134" xr:uid="{00000000-0005-0000-0000-0000F8490000}"/>
    <cellStyle name="Normal 11 2 7 2 2" xfId="19135" xr:uid="{00000000-0005-0000-0000-0000F9490000}"/>
    <cellStyle name="Normal 11 2 7 2 3" xfId="19136" xr:uid="{00000000-0005-0000-0000-0000FA490000}"/>
    <cellStyle name="Normal 11 2 7 3" xfId="19137" xr:uid="{00000000-0005-0000-0000-0000FB490000}"/>
    <cellStyle name="Normal 11 2 7 3 2" xfId="19138" xr:uid="{00000000-0005-0000-0000-0000FC490000}"/>
    <cellStyle name="Normal 11 2 7 3 3" xfId="19139" xr:uid="{00000000-0005-0000-0000-0000FD490000}"/>
    <cellStyle name="Normal 11 2 7 4" xfId="19140" xr:uid="{00000000-0005-0000-0000-0000FE490000}"/>
    <cellStyle name="Normal 11 2 7 5" xfId="19141" xr:uid="{00000000-0005-0000-0000-0000FF490000}"/>
    <cellStyle name="Normal 11 2 7 6" xfId="19142" xr:uid="{00000000-0005-0000-0000-0000004A0000}"/>
    <cellStyle name="Normal 11 2 7 7" xfId="19143" xr:uid="{00000000-0005-0000-0000-0000014A0000}"/>
    <cellStyle name="Normal 11 2 7 8" xfId="19144" xr:uid="{00000000-0005-0000-0000-0000024A0000}"/>
    <cellStyle name="Normal 11 2 8" xfId="19145" xr:uid="{00000000-0005-0000-0000-0000034A0000}"/>
    <cellStyle name="Normal 11 2 8 2" xfId="19146" xr:uid="{00000000-0005-0000-0000-0000044A0000}"/>
    <cellStyle name="Normal 11 2 8 3" xfId="19147" xr:uid="{00000000-0005-0000-0000-0000054A0000}"/>
    <cellStyle name="Normal 11 2 9" xfId="19148" xr:uid="{00000000-0005-0000-0000-0000064A0000}"/>
    <cellStyle name="Normal 11 2 9 2" xfId="19149" xr:uid="{00000000-0005-0000-0000-0000074A0000}"/>
    <cellStyle name="Normal 11 2 9 3" xfId="19150" xr:uid="{00000000-0005-0000-0000-0000084A0000}"/>
    <cellStyle name="Normal 11 2_Dec monthly report" xfId="19151" xr:uid="{00000000-0005-0000-0000-0000094A0000}"/>
    <cellStyle name="Normal 11 3" xfId="19152" xr:uid="{00000000-0005-0000-0000-00000A4A0000}"/>
    <cellStyle name="Normal 11 3 2" xfId="19153" xr:uid="{00000000-0005-0000-0000-00000B4A0000}"/>
    <cellStyle name="Normal 11 3 2 2" xfId="19154" xr:uid="{00000000-0005-0000-0000-00000C4A0000}"/>
    <cellStyle name="Normal 11 3 2 3" xfId="19155" xr:uid="{00000000-0005-0000-0000-00000D4A0000}"/>
    <cellStyle name="Normal 11 3 2 4" xfId="19156" xr:uid="{00000000-0005-0000-0000-00000E4A0000}"/>
    <cellStyle name="Normal 11 3 3" xfId="19157" xr:uid="{00000000-0005-0000-0000-00000F4A0000}"/>
    <cellStyle name="Normal 11 3 3 2" xfId="19158" xr:uid="{00000000-0005-0000-0000-0000104A0000}"/>
    <cellStyle name="Normal 11 3 4" xfId="19159" xr:uid="{00000000-0005-0000-0000-0000114A0000}"/>
    <cellStyle name="Normal 11 3 4 2" xfId="19160" xr:uid="{00000000-0005-0000-0000-0000124A0000}"/>
    <cellStyle name="Normal 11 3 5" xfId="19161" xr:uid="{00000000-0005-0000-0000-0000134A0000}"/>
    <cellStyle name="Normal 11 3 6" xfId="19162" xr:uid="{00000000-0005-0000-0000-0000144A0000}"/>
    <cellStyle name="Normal 11 3_Dec monthly report" xfId="19163" xr:uid="{00000000-0005-0000-0000-0000154A0000}"/>
    <cellStyle name="Normal 11 4" xfId="19164" xr:uid="{00000000-0005-0000-0000-0000164A0000}"/>
    <cellStyle name="Normal 11 4 10" xfId="19165" xr:uid="{00000000-0005-0000-0000-0000174A0000}"/>
    <cellStyle name="Normal 11 4 2" xfId="19166" xr:uid="{00000000-0005-0000-0000-0000184A0000}"/>
    <cellStyle name="Normal 11 4 2 2" xfId="19167" xr:uid="{00000000-0005-0000-0000-0000194A0000}"/>
    <cellStyle name="Normal 11 4 2 2 2" xfId="19168" xr:uid="{00000000-0005-0000-0000-00001A4A0000}"/>
    <cellStyle name="Normal 11 4 2 2 3" xfId="19169" xr:uid="{00000000-0005-0000-0000-00001B4A0000}"/>
    <cellStyle name="Normal 11 4 2 3" xfId="19170" xr:uid="{00000000-0005-0000-0000-00001C4A0000}"/>
    <cellStyle name="Normal 11 4 2 3 2" xfId="19171" xr:uid="{00000000-0005-0000-0000-00001D4A0000}"/>
    <cellStyle name="Normal 11 4 2 3 3" xfId="19172" xr:uid="{00000000-0005-0000-0000-00001E4A0000}"/>
    <cellStyle name="Normal 11 4 2 4" xfId="19173" xr:uid="{00000000-0005-0000-0000-00001F4A0000}"/>
    <cellStyle name="Normal 11 4 2 5" xfId="19174" xr:uid="{00000000-0005-0000-0000-0000204A0000}"/>
    <cellStyle name="Normal 11 4 2 6" xfId="19175" xr:uid="{00000000-0005-0000-0000-0000214A0000}"/>
    <cellStyle name="Normal 11 4 2 7" xfId="19176" xr:uid="{00000000-0005-0000-0000-0000224A0000}"/>
    <cellStyle name="Normal 11 4 2 8" xfId="19177" xr:uid="{00000000-0005-0000-0000-0000234A0000}"/>
    <cellStyle name="Normal 11 4 3" xfId="19178" xr:uid="{00000000-0005-0000-0000-0000244A0000}"/>
    <cellStyle name="Normal 11 4 3 2" xfId="19179" xr:uid="{00000000-0005-0000-0000-0000254A0000}"/>
    <cellStyle name="Normal 11 4 3 3" xfId="19180" xr:uid="{00000000-0005-0000-0000-0000264A0000}"/>
    <cellStyle name="Normal 11 4 4" xfId="19181" xr:uid="{00000000-0005-0000-0000-0000274A0000}"/>
    <cellStyle name="Normal 11 4 4 2" xfId="19182" xr:uid="{00000000-0005-0000-0000-0000284A0000}"/>
    <cellStyle name="Normal 11 4 4 3" xfId="19183" xr:uid="{00000000-0005-0000-0000-0000294A0000}"/>
    <cellStyle name="Normal 11 4 5" xfId="19184" xr:uid="{00000000-0005-0000-0000-00002A4A0000}"/>
    <cellStyle name="Normal 11 4 5 2" xfId="19185" xr:uid="{00000000-0005-0000-0000-00002B4A0000}"/>
    <cellStyle name="Normal 11 4 5 3" xfId="19186" xr:uid="{00000000-0005-0000-0000-00002C4A0000}"/>
    <cellStyle name="Normal 11 4 6" xfId="19187" xr:uid="{00000000-0005-0000-0000-00002D4A0000}"/>
    <cellStyle name="Normal 11 4 7" xfId="19188" xr:uid="{00000000-0005-0000-0000-00002E4A0000}"/>
    <cellStyle name="Normal 11 4 8" xfId="19189" xr:uid="{00000000-0005-0000-0000-00002F4A0000}"/>
    <cellStyle name="Normal 11 4 9" xfId="19190" xr:uid="{00000000-0005-0000-0000-0000304A0000}"/>
    <cellStyle name="Normal 11 4_Dec monthly report" xfId="19191" xr:uid="{00000000-0005-0000-0000-0000314A0000}"/>
    <cellStyle name="Normal 11 5" xfId="19192" xr:uid="{00000000-0005-0000-0000-0000324A0000}"/>
    <cellStyle name="Normal 11 5 2" xfId="19193" xr:uid="{00000000-0005-0000-0000-0000334A0000}"/>
    <cellStyle name="Normal 11 5 2 2" xfId="19194" xr:uid="{00000000-0005-0000-0000-0000344A0000}"/>
    <cellStyle name="Normal 11 5 2 3" xfId="19195" xr:uid="{00000000-0005-0000-0000-0000354A0000}"/>
    <cellStyle name="Normal 11 5 2 4" xfId="19196" xr:uid="{00000000-0005-0000-0000-0000364A0000}"/>
    <cellStyle name="Normal 11 5 3" xfId="19197" xr:uid="{00000000-0005-0000-0000-0000374A0000}"/>
    <cellStyle name="Normal 11 5 3 2" xfId="19198" xr:uid="{00000000-0005-0000-0000-0000384A0000}"/>
    <cellStyle name="Normal 11 5 4" xfId="19199" xr:uid="{00000000-0005-0000-0000-0000394A0000}"/>
    <cellStyle name="Normal 11 5 5" xfId="19200" xr:uid="{00000000-0005-0000-0000-00003A4A0000}"/>
    <cellStyle name="Normal 11 6" xfId="19201" xr:uid="{00000000-0005-0000-0000-00003B4A0000}"/>
    <cellStyle name="Normal 11 6 2" xfId="19202" xr:uid="{00000000-0005-0000-0000-00003C4A0000}"/>
    <cellStyle name="Normal 11 6 2 2" xfId="19203" xr:uid="{00000000-0005-0000-0000-00003D4A0000}"/>
    <cellStyle name="Normal 11 6 2 3" xfId="19204" xr:uid="{00000000-0005-0000-0000-00003E4A0000}"/>
    <cellStyle name="Normal 11 6 2 4" xfId="19205" xr:uid="{00000000-0005-0000-0000-00003F4A0000}"/>
    <cellStyle name="Normal 11 6 3" xfId="19206" xr:uid="{00000000-0005-0000-0000-0000404A0000}"/>
    <cellStyle name="Normal 11 6 3 2" xfId="19207" xr:uid="{00000000-0005-0000-0000-0000414A0000}"/>
    <cellStyle name="Normal 11 6 4" xfId="19208" xr:uid="{00000000-0005-0000-0000-0000424A0000}"/>
    <cellStyle name="Normal 11 6 5" xfId="19209" xr:uid="{00000000-0005-0000-0000-0000434A0000}"/>
    <cellStyle name="Normal 11 7" xfId="19210" xr:uid="{00000000-0005-0000-0000-0000444A0000}"/>
    <cellStyle name="Normal 11 7 2" xfId="19211" xr:uid="{00000000-0005-0000-0000-0000454A0000}"/>
    <cellStyle name="Normal 11 7 2 2" xfId="19212" xr:uid="{00000000-0005-0000-0000-0000464A0000}"/>
    <cellStyle name="Normal 11 7 2 3" xfId="19213" xr:uid="{00000000-0005-0000-0000-0000474A0000}"/>
    <cellStyle name="Normal 11 7 2 4" xfId="19214" xr:uid="{00000000-0005-0000-0000-0000484A0000}"/>
    <cellStyle name="Normal 11 7 3" xfId="19215" xr:uid="{00000000-0005-0000-0000-0000494A0000}"/>
    <cellStyle name="Normal 11 7 4" xfId="19216" xr:uid="{00000000-0005-0000-0000-00004A4A0000}"/>
    <cellStyle name="Normal 11 7 5" xfId="19217" xr:uid="{00000000-0005-0000-0000-00004B4A0000}"/>
    <cellStyle name="Normal 11 8" xfId="19218" xr:uid="{00000000-0005-0000-0000-00004C4A0000}"/>
    <cellStyle name="Normal 11 8 2" xfId="19219" xr:uid="{00000000-0005-0000-0000-00004D4A0000}"/>
    <cellStyle name="Normal 11 8 2 2" xfId="19220" xr:uid="{00000000-0005-0000-0000-00004E4A0000}"/>
    <cellStyle name="Normal 11 8 3" xfId="19221" xr:uid="{00000000-0005-0000-0000-00004F4A0000}"/>
    <cellStyle name="Normal 11 8 4" xfId="19222" xr:uid="{00000000-0005-0000-0000-0000504A0000}"/>
    <cellStyle name="Normal 11 9" xfId="19223" xr:uid="{00000000-0005-0000-0000-0000514A0000}"/>
    <cellStyle name="Normal 11 9 2" xfId="19224" xr:uid="{00000000-0005-0000-0000-0000524A0000}"/>
    <cellStyle name="Normal 11 9 2 2" xfId="19225" xr:uid="{00000000-0005-0000-0000-0000534A0000}"/>
    <cellStyle name="Normal 11 9 3" xfId="19226" xr:uid="{00000000-0005-0000-0000-0000544A0000}"/>
    <cellStyle name="Normal 11 9 4" xfId="19227" xr:uid="{00000000-0005-0000-0000-0000554A0000}"/>
    <cellStyle name="Normal 11_2015 Annual Rpt" xfId="19228" xr:uid="{00000000-0005-0000-0000-0000564A0000}"/>
    <cellStyle name="Normal 110" xfId="19229" xr:uid="{00000000-0005-0000-0000-0000574A0000}"/>
    <cellStyle name="Normal 110 10" xfId="19230" xr:uid="{00000000-0005-0000-0000-0000584A0000}"/>
    <cellStyle name="Normal 110 11" xfId="19231" xr:uid="{00000000-0005-0000-0000-0000594A0000}"/>
    <cellStyle name="Normal 110 12" xfId="19232" xr:uid="{00000000-0005-0000-0000-00005A4A0000}"/>
    <cellStyle name="Normal 110 2" xfId="19233" xr:uid="{00000000-0005-0000-0000-00005B4A0000}"/>
    <cellStyle name="Normal 110 2 2" xfId="19234" xr:uid="{00000000-0005-0000-0000-00005C4A0000}"/>
    <cellStyle name="Normal 110 2 2 2" xfId="19235" xr:uid="{00000000-0005-0000-0000-00005D4A0000}"/>
    <cellStyle name="Normal 110 2 2 3" xfId="19236" xr:uid="{00000000-0005-0000-0000-00005E4A0000}"/>
    <cellStyle name="Normal 110 2 3" xfId="19237" xr:uid="{00000000-0005-0000-0000-00005F4A0000}"/>
    <cellStyle name="Normal 110 2 3 2" xfId="19238" xr:uid="{00000000-0005-0000-0000-0000604A0000}"/>
    <cellStyle name="Normal 110 2 4" xfId="19239" xr:uid="{00000000-0005-0000-0000-0000614A0000}"/>
    <cellStyle name="Normal 110 2 5" xfId="19240" xr:uid="{00000000-0005-0000-0000-0000624A0000}"/>
    <cellStyle name="Normal 110 2 6" xfId="19241" xr:uid="{00000000-0005-0000-0000-0000634A0000}"/>
    <cellStyle name="Normal 110 2 7" xfId="19242" xr:uid="{00000000-0005-0000-0000-0000644A0000}"/>
    <cellStyle name="Normal 110 2 8" xfId="19243" xr:uid="{00000000-0005-0000-0000-0000654A0000}"/>
    <cellStyle name="Normal 110 3" xfId="19244" xr:uid="{00000000-0005-0000-0000-0000664A0000}"/>
    <cellStyle name="Normal 110 3 2" xfId="19245" xr:uid="{00000000-0005-0000-0000-0000674A0000}"/>
    <cellStyle name="Normal 110 3 2 2" xfId="19246" xr:uid="{00000000-0005-0000-0000-0000684A0000}"/>
    <cellStyle name="Normal 110 3 3" xfId="19247" xr:uid="{00000000-0005-0000-0000-0000694A0000}"/>
    <cellStyle name="Normal 110 3 3 2" xfId="19248" xr:uid="{00000000-0005-0000-0000-00006A4A0000}"/>
    <cellStyle name="Normal 110 3 4" xfId="19249" xr:uid="{00000000-0005-0000-0000-00006B4A0000}"/>
    <cellStyle name="Normal 110 3 5" xfId="19250" xr:uid="{00000000-0005-0000-0000-00006C4A0000}"/>
    <cellStyle name="Normal 110 3 6" xfId="19251" xr:uid="{00000000-0005-0000-0000-00006D4A0000}"/>
    <cellStyle name="Normal 110 3 7" xfId="19252" xr:uid="{00000000-0005-0000-0000-00006E4A0000}"/>
    <cellStyle name="Normal 110 3 8" xfId="19253" xr:uid="{00000000-0005-0000-0000-00006F4A0000}"/>
    <cellStyle name="Normal 110 4" xfId="19254" xr:uid="{00000000-0005-0000-0000-0000704A0000}"/>
    <cellStyle name="Normal 110 4 2" xfId="19255" xr:uid="{00000000-0005-0000-0000-0000714A0000}"/>
    <cellStyle name="Normal 110 4 2 2" xfId="19256" xr:uid="{00000000-0005-0000-0000-0000724A0000}"/>
    <cellStyle name="Normal 110 4 3" xfId="19257" xr:uid="{00000000-0005-0000-0000-0000734A0000}"/>
    <cellStyle name="Normal 110 4 3 2" xfId="19258" xr:uid="{00000000-0005-0000-0000-0000744A0000}"/>
    <cellStyle name="Normal 110 4 4" xfId="19259" xr:uid="{00000000-0005-0000-0000-0000754A0000}"/>
    <cellStyle name="Normal 110 4 5" xfId="19260" xr:uid="{00000000-0005-0000-0000-0000764A0000}"/>
    <cellStyle name="Normal 110 4 6" xfId="19261" xr:uid="{00000000-0005-0000-0000-0000774A0000}"/>
    <cellStyle name="Normal 110 4 7" xfId="19262" xr:uid="{00000000-0005-0000-0000-0000784A0000}"/>
    <cellStyle name="Normal 110 4 8" xfId="19263" xr:uid="{00000000-0005-0000-0000-0000794A0000}"/>
    <cellStyle name="Normal 110 5" xfId="19264" xr:uid="{00000000-0005-0000-0000-00007A4A0000}"/>
    <cellStyle name="Normal 110 5 2" xfId="19265" xr:uid="{00000000-0005-0000-0000-00007B4A0000}"/>
    <cellStyle name="Normal 110 6" xfId="19266" xr:uid="{00000000-0005-0000-0000-00007C4A0000}"/>
    <cellStyle name="Normal 110 6 2" xfId="19267" xr:uid="{00000000-0005-0000-0000-00007D4A0000}"/>
    <cellStyle name="Normal 110 6 3" xfId="19268" xr:uid="{00000000-0005-0000-0000-00007E4A0000}"/>
    <cellStyle name="Normal 110 7" xfId="19269" xr:uid="{00000000-0005-0000-0000-00007F4A0000}"/>
    <cellStyle name="Normal 110 7 2" xfId="19270" xr:uid="{00000000-0005-0000-0000-0000804A0000}"/>
    <cellStyle name="Normal 110 8" xfId="19271" xr:uid="{00000000-0005-0000-0000-0000814A0000}"/>
    <cellStyle name="Normal 110 8 2" xfId="19272" xr:uid="{00000000-0005-0000-0000-0000824A0000}"/>
    <cellStyle name="Normal 110 9" xfId="19273" xr:uid="{00000000-0005-0000-0000-0000834A0000}"/>
    <cellStyle name="Normal 111" xfId="19274" xr:uid="{00000000-0005-0000-0000-0000844A0000}"/>
    <cellStyle name="Normal 111 2" xfId="19275" xr:uid="{00000000-0005-0000-0000-0000854A0000}"/>
    <cellStyle name="Normal 111 2 2" xfId="19276" xr:uid="{00000000-0005-0000-0000-0000864A0000}"/>
    <cellStyle name="Normal 111 2 3" xfId="19277" xr:uid="{00000000-0005-0000-0000-0000874A0000}"/>
    <cellStyle name="Normal 111 3" xfId="19278" xr:uid="{00000000-0005-0000-0000-0000884A0000}"/>
    <cellStyle name="Normal 111 3 2" xfId="19279" xr:uid="{00000000-0005-0000-0000-0000894A0000}"/>
    <cellStyle name="Normal 111 4" xfId="19280" xr:uid="{00000000-0005-0000-0000-00008A4A0000}"/>
    <cellStyle name="Normal 111 4 2" xfId="19281" xr:uid="{00000000-0005-0000-0000-00008B4A0000}"/>
    <cellStyle name="Normal 111 5" xfId="19282" xr:uid="{00000000-0005-0000-0000-00008C4A0000}"/>
    <cellStyle name="Normal 111 6" xfId="19283" xr:uid="{00000000-0005-0000-0000-00008D4A0000}"/>
    <cellStyle name="Normal 111 7" xfId="19284" xr:uid="{00000000-0005-0000-0000-00008E4A0000}"/>
    <cellStyle name="Normal 112" xfId="19285" xr:uid="{00000000-0005-0000-0000-00008F4A0000}"/>
    <cellStyle name="Normal 112 2" xfId="19286" xr:uid="{00000000-0005-0000-0000-0000904A0000}"/>
    <cellStyle name="Normal 112 2 2" xfId="19287" xr:uid="{00000000-0005-0000-0000-0000914A0000}"/>
    <cellStyle name="Normal 112 2 3" xfId="19288" xr:uid="{00000000-0005-0000-0000-0000924A0000}"/>
    <cellStyle name="Normal 112 3" xfId="19289" xr:uid="{00000000-0005-0000-0000-0000934A0000}"/>
    <cellStyle name="Normal 112 3 2" xfId="19290" xr:uid="{00000000-0005-0000-0000-0000944A0000}"/>
    <cellStyle name="Normal 112 4" xfId="19291" xr:uid="{00000000-0005-0000-0000-0000954A0000}"/>
    <cellStyle name="Normal 112 4 2" xfId="19292" xr:uid="{00000000-0005-0000-0000-0000964A0000}"/>
    <cellStyle name="Normal 112 5" xfId="19293" xr:uid="{00000000-0005-0000-0000-0000974A0000}"/>
    <cellStyle name="Normal 112 6" xfId="19294" xr:uid="{00000000-0005-0000-0000-0000984A0000}"/>
    <cellStyle name="Normal 113" xfId="19295" xr:uid="{00000000-0005-0000-0000-0000994A0000}"/>
    <cellStyle name="Normal 113 2" xfId="19296" xr:uid="{00000000-0005-0000-0000-00009A4A0000}"/>
    <cellStyle name="Normal 113 2 2" xfId="19297" xr:uid="{00000000-0005-0000-0000-00009B4A0000}"/>
    <cellStyle name="Normal 113 2 3" xfId="19298" xr:uid="{00000000-0005-0000-0000-00009C4A0000}"/>
    <cellStyle name="Normal 113 3" xfId="19299" xr:uid="{00000000-0005-0000-0000-00009D4A0000}"/>
    <cellStyle name="Normal 113 3 2" xfId="19300" xr:uid="{00000000-0005-0000-0000-00009E4A0000}"/>
    <cellStyle name="Normal 113 4" xfId="19301" xr:uid="{00000000-0005-0000-0000-00009F4A0000}"/>
    <cellStyle name="Normal 113 4 2" xfId="19302" xr:uid="{00000000-0005-0000-0000-0000A04A0000}"/>
    <cellStyle name="Normal 113 5" xfId="19303" xr:uid="{00000000-0005-0000-0000-0000A14A0000}"/>
    <cellStyle name="Normal 113 6" xfId="19304" xr:uid="{00000000-0005-0000-0000-0000A24A0000}"/>
    <cellStyle name="Normal 114" xfId="19305" xr:uid="{00000000-0005-0000-0000-0000A34A0000}"/>
    <cellStyle name="Normal 114 2" xfId="19306" xr:uid="{00000000-0005-0000-0000-0000A44A0000}"/>
    <cellStyle name="Normal 114 2 2" xfId="19307" xr:uid="{00000000-0005-0000-0000-0000A54A0000}"/>
    <cellStyle name="Normal 114 2 3" xfId="19308" xr:uid="{00000000-0005-0000-0000-0000A64A0000}"/>
    <cellStyle name="Normal 114 3" xfId="19309" xr:uid="{00000000-0005-0000-0000-0000A74A0000}"/>
    <cellStyle name="Normal 114 3 2" xfId="19310" xr:uid="{00000000-0005-0000-0000-0000A84A0000}"/>
    <cellStyle name="Normal 114 4" xfId="19311" xr:uid="{00000000-0005-0000-0000-0000A94A0000}"/>
    <cellStyle name="Normal 114 5" xfId="19312" xr:uid="{00000000-0005-0000-0000-0000AA4A0000}"/>
    <cellStyle name="Normal 115" xfId="19313" xr:uid="{00000000-0005-0000-0000-0000AB4A0000}"/>
    <cellStyle name="Normal 115 2" xfId="19314" xr:uid="{00000000-0005-0000-0000-0000AC4A0000}"/>
    <cellStyle name="Normal 115 2 2" xfId="19315" xr:uid="{00000000-0005-0000-0000-0000AD4A0000}"/>
    <cellStyle name="Normal 115 2 3" xfId="19316" xr:uid="{00000000-0005-0000-0000-0000AE4A0000}"/>
    <cellStyle name="Normal 115 3" xfId="19317" xr:uid="{00000000-0005-0000-0000-0000AF4A0000}"/>
    <cellStyle name="Normal 115 3 2" xfId="19318" xr:uid="{00000000-0005-0000-0000-0000B04A0000}"/>
    <cellStyle name="Normal 115 4" xfId="19319" xr:uid="{00000000-0005-0000-0000-0000B14A0000}"/>
    <cellStyle name="Normal 115 5" xfId="19320" xr:uid="{00000000-0005-0000-0000-0000B24A0000}"/>
    <cellStyle name="Normal 116" xfId="19321" xr:uid="{00000000-0005-0000-0000-0000B34A0000}"/>
    <cellStyle name="Normal 116 2" xfId="19322" xr:uid="{00000000-0005-0000-0000-0000B44A0000}"/>
    <cellStyle name="Normal 116 2 2" xfId="19323" xr:uid="{00000000-0005-0000-0000-0000B54A0000}"/>
    <cellStyle name="Normal 116 2 3" xfId="19324" xr:uid="{00000000-0005-0000-0000-0000B64A0000}"/>
    <cellStyle name="Normal 116 2 4" xfId="19325" xr:uid="{00000000-0005-0000-0000-0000B74A0000}"/>
    <cellStyle name="Normal 116 3" xfId="19326" xr:uid="{00000000-0005-0000-0000-0000B84A0000}"/>
    <cellStyle name="Normal 116 3 2" xfId="19327" xr:uid="{00000000-0005-0000-0000-0000B94A0000}"/>
    <cellStyle name="Normal 116 4" xfId="19328" xr:uid="{00000000-0005-0000-0000-0000BA4A0000}"/>
    <cellStyle name="Normal 117" xfId="19329" xr:uid="{00000000-0005-0000-0000-0000BB4A0000}"/>
    <cellStyle name="Normal 117 2" xfId="19330" xr:uid="{00000000-0005-0000-0000-0000BC4A0000}"/>
    <cellStyle name="Normal 117 2 2" xfId="19331" xr:uid="{00000000-0005-0000-0000-0000BD4A0000}"/>
    <cellStyle name="Normal 117 2 3" xfId="19332" xr:uid="{00000000-0005-0000-0000-0000BE4A0000}"/>
    <cellStyle name="Normal 117 2 4" xfId="19333" xr:uid="{00000000-0005-0000-0000-0000BF4A0000}"/>
    <cellStyle name="Normal 117 2 5" xfId="19334" xr:uid="{00000000-0005-0000-0000-0000C04A0000}"/>
    <cellStyle name="Normal 117 3" xfId="19335" xr:uid="{00000000-0005-0000-0000-0000C14A0000}"/>
    <cellStyle name="Normal 117 3 2" xfId="19336" xr:uid="{00000000-0005-0000-0000-0000C24A0000}"/>
    <cellStyle name="Normal 117 4" xfId="19337" xr:uid="{00000000-0005-0000-0000-0000C34A0000}"/>
    <cellStyle name="Normal 118" xfId="19338" xr:uid="{00000000-0005-0000-0000-0000C44A0000}"/>
    <cellStyle name="Normal 118 2" xfId="19339" xr:uid="{00000000-0005-0000-0000-0000C54A0000}"/>
    <cellStyle name="Normal 118 2 2" xfId="19340" xr:uid="{00000000-0005-0000-0000-0000C64A0000}"/>
    <cellStyle name="Normal 118 2 3" xfId="19341" xr:uid="{00000000-0005-0000-0000-0000C74A0000}"/>
    <cellStyle name="Normal 118 3" xfId="19342" xr:uid="{00000000-0005-0000-0000-0000C84A0000}"/>
    <cellStyle name="Normal 118 3 2" xfId="19343" xr:uid="{00000000-0005-0000-0000-0000C94A0000}"/>
    <cellStyle name="Normal 118 4" xfId="19344" xr:uid="{00000000-0005-0000-0000-0000CA4A0000}"/>
    <cellStyle name="Normal 118 5" xfId="19345" xr:uid="{00000000-0005-0000-0000-0000CB4A0000}"/>
    <cellStyle name="Normal 119" xfId="19346" xr:uid="{00000000-0005-0000-0000-0000CC4A0000}"/>
    <cellStyle name="Normal 119 10" xfId="19347" xr:uid="{00000000-0005-0000-0000-0000CD4A0000}"/>
    <cellStyle name="Normal 119 2" xfId="19348" xr:uid="{00000000-0005-0000-0000-0000CE4A0000}"/>
    <cellStyle name="Normal 119 2 2" xfId="19349" xr:uid="{00000000-0005-0000-0000-0000CF4A0000}"/>
    <cellStyle name="Normal 119 2 2 2" xfId="19350" xr:uid="{00000000-0005-0000-0000-0000D04A0000}"/>
    <cellStyle name="Normal 119 2 2 3" xfId="19351" xr:uid="{00000000-0005-0000-0000-0000D14A0000}"/>
    <cellStyle name="Normal 119 2 3" xfId="19352" xr:uid="{00000000-0005-0000-0000-0000D24A0000}"/>
    <cellStyle name="Normal 119 2 3 2" xfId="19353" xr:uid="{00000000-0005-0000-0000-0000D34A0000}"/>
    <cellStyle name="Normal 119 2 4" xfId="19354" xr:uid="{00000000-0005-0000-0000-0000D44A0000}"/>
    <cellStyle name="Normal 119 2 5" xfId="19355" xr:uid="{00000000-0005-0000-0000-0000D54A0000}"/>
    <cellStyle name="Normal 119 2 6" xfId="19356" xr:uid="{00000000-0005-0000-0000-0000D64A0000}"/>
    <cellStyle name="Normal 119 2 7" xfId="19357" xr:uid="{00000000-0005-0000-0000-0000D74A0000}"/>
    <cellStyle name="Normal 119 2 8" xfId="19358" xr:uid="{00000000-0005-0000-0000-0000D84A0000}"/>
    <cellStyle name="Normal 119 3" xfId="19359" xr:uid="{00000000-0005-0000-0000-0000D94A0000}"/>
    <cellStyle name="Normal 119 3 2" xfId="19360" xr:uid="{00000000-0005-0000-0000-0000DA4A0000}"/>
    <cellStyle name="Normal 119 4" xfId="19361" xr:uid="{00000000-0005-0000-0000-0000DB4A0000}"/>
    <cellStyle name="Normal 119 4 2" xfId="19362" xr:uid="{00000000-0005-0000-0000-0000DC4A0000}"/>
    <cellStyle name="Normal 119 4 3" xfId="19363" xr:uid="{00000000-0005-0000-0000-0000DD4A0000}"/>
    <cellStyle name="Normal 119 5" xfId="19364" xr:uid="{00000000-0005-0000-0000-0000DE4A0000}"/>
    <cellStyle name="Normal 119 5 2" xfId="19365" xr:uid="{00000000-0005-0000-0000-0000DF4A0000}"/>
    <cellStyle name="Normal 119 6" xfId="19366" xr:uid="{00000000-0005-0000-0000-0000E04A0000}"/>
    <cellStyle name="Normal 119 7" xfId="19367" xr:uid="{00000000-0005-0000-0000-0000E14A0000}"/>
    <cellStyle name="Normal 119 8" xfId="19368" xr:uid="{00000000-0005-0000-0000-0000E24A0000}"/>
    <cellStyle name="Normal 119 9" xfId="19369" xr:uid="{00000000-0005-0000-0000-0000E34A0000}"/>
    <cellStyle name="Normal 12" xfId="250" xr:uid="{00000000-0005-0000-0000-0000E44A0000}"/>
    <cellStyle name="Normal 12 10" xfId="19370" xr:uid="{00000000-0005-0000-0000-0000E54A0000}"/>
    <cellStyle name="Normal 12 10 2" xfId="19371" xr:uid="{00000000-0005-0000-0000-0000E64A0000}"/>
    <cellStyle name="Normal 12 11" xfId="19372" xr:uid="{00000000-0005-0000-0000-0000E74A0000}"/>
    <cellStyle name="Normal 12 12" xfId="19373" xr:uid="{00000000-0005-0000-0000-0000E84A0000}"/>
    <cellStyle name="Normal 12 12 2" xfId="19374" xr:uid="{00000000-0005-0000-0000-0000E94A0000}"/>
    <cellStyle name="Normal 12 13" xfId="19375" xr:uid="{00000000-0005-0000-0000-0000EA4A0000}"/>
    <cellStyle name="Normal 12 14" xfId="19376" xr:uid="{00000000-0005-0000-0000-0000EB4A0000}"/>
    <cellStyle name="Normal 12 2" xfId="251" xr:uid="{00000000-0005-0000-0000-0000EC4A0000}"/>
    <cellStyle name="Normal 12 2 10" xfId="19377" xr:uid="{00000000-0005-0000-0000-0000ED4A0000}"/>
    <cellStyle name="Normal 12 2 10 2" xfId="19378" xr:uid="{00000000-0005-0000-0000-0000EE4A0000}"/>
    <cellStyle name="Normal 12 2 11" xfId="19379" xr:uid="{00000000-0005-0000-0000-0000EF4A0000}"/>
    <cellStyle name="Normal 12 2 12" xfId="19380" xr:uid="{00000000-0005-0000-0000-0000F04A0000}"/>
    <cellStyle name="Normal 12 2 13" xfId="19381" xr:uid="{00000000-0005-0000-0000-0000F14A0000}"/>
    <cellStyle name="Normal 12 2 14" xfId="19382" xr:uid="{00000000-0005-0000-0000-0000F24A0000}"/>
    <cellStyle name="Normal 12 2 15" xfId="19383" xr:uid="{00000000-0005-0000-0000-0000F34A0000}"/>
    <cellStyle name="Normal 12 2 2" xfId="19384" xr:uid="{00000000-0005-0000-0000-0000F44A0000}"/>
    <cellStyle name="Normal 12 2 2 10" xfId="19385" xr:uid="{00000000-0005-0000-0000-0000F54A0000}"/>
    <cellStyle name="Normal 12 2 2 11" xfId="19386" xr:uid="{00000000-0005-0000-0000-0000F64A0000}"/>
    <cellStyle name="Normal 12 2 2 12" xfId="19387" xr:uid="{00000000-0005-0000-0000-0000F74A0000}"/>
    <cellStyle name="Normal 12 2 2 13" xfId="19388" xr:uid="{00000000-0005-0000-0000-0000F84A0000}"/>
    <cellStyle name="Normal 12 2 2 2" xfId="19389" xr:uid="{00000000-0005-0000-0000-0000F94A0000}"/>
    <cellStyle name="Normal 12 2 2 2 10" xfId="19390" xr:uid="{00000000-0005-0000-0000-0000FA4A0000}"/>
    <cellStyle name="Normal 12 2 2 2 2" xfId="19391" xr:uid="{00000000-0005-0000-0000-0000FB4A0000}"/>
    <cellStyle name="Normal 12 2 2 2 2 2" xfId="19392" xr:uid="{00000000-0005-0000-0000-0000FC4A0000}"/>
    <cellStyle name="Normal 12 2 2 2 2 2 2" xfId="19393" xr:uid="{00000000-0005-0000-0000-0000FD4A0000}"/>
    <cellStyle name="Normal 12 2 2 2 2 3" xfId="19394" xr:uid="{00000000-0005-0000-0000-0000FE4A0000}"/>
    <cellStyle name="Normal 12 2 2 2 2 3 2" xfId="19395" xr:uid="{00000000-0005-0000-0000-0000FF4A0000}"/>
    <cellStyle name="Normal 12 2 2 2 2 4" xfId="19396" xr:uid="{00000000-0005-0000-0000-0000004B0000}"/>
    <cellStyle name="Normal 12 2 2 2 2 5" xfId="19397" xr:uid="{00000000-0005-0000-0000-0000014B0000}"/>
    <cellStyle name="Normal 12 2 2 2 2 6" xfId="19398" xr:uid="{00000000-0005-0000-0000-0000024B0000}"/>
    <cellStyle name="Normal 12 2 2 2 2 7" xfId="19399" xr:uid="{00000000-0005-0000-0000-0000034B0000}"/>
    <cellStyle name="Normal 12 2 2 2 3" xfId="19400" xr:uid="{00000000-0005-0000-0000-0000044B0000}"/>
    <cellStyle name="Normal 12 2 2 2 3 2" xfId="19401" xr:uid="{00000000-0005-0000-0000-0000054B0000}"/>
    <cellStyle name="Normal 12 2 2 2 3 2 2" xfId="19402" xr:uid="{00000000-0005-0000-0000-0000064B0000}"/>
    <cellStyle name="Normal 12 2 2 2 3 3" xfId="19403" xr:uid="{00000000-0005-0000-0000-0000074B0000}"/>
    <cellStyle name="Normal 12 2 2 2 3 3 2" xfId="19404" xr:uid="{00000000-0005-0000-0000-0000084B0000}"/>
    <cellStyle name="Normal 12 2 2 2 3 4" xfId="19405" xr:uid="{00000000-0005-0000-0000-0000094B0000}"/>
    <cellStyle name="Normal 12 2 2 2 3 5" xfId="19406" xr:uid="{00000000-0005-0000-0000-00000A4B0000}"/>
    <cellStyle name="Normal 12 2 2 2 3 6" xfId="19407" xr:uid="{00000000-0005-0000-0000-00000B4B0000}"/>
    <cellStyle name="Normal 12 2 2 2 3 7" xfId="19408" xr:uid="{00000000-0005-0000-0000-00000C4B0000}"/>
    <cellStyle name="Normal 12 2 2 2 4" xfId="19409" xr:uid="{00000000-0005-0000-0000-00000D4B0000}"/>
    <cellStyle name="Normal 12 2 2 2 4 2" xfId="19410" xr:uid="{00000000-0005-0000-0000-00000E4B0000}"/>
    <cellStyle name="Normal 12 2 2 2 5" xfId="19411" xr:uid="{00000000-0005-0000-0000-00000F4B0000}"/>
    <cellStyle name="Normal 12 2 2 2 5 2" xfId="19412" xr:uid="{00000000-0005-0000-0000-0000104B0000}"/>
    <cellStyle name="Normal 12 2 2 2 6" xfId="19413" xr:uid="{00000000-0005-0000-0000-0000114B0000}"/>
    <cellStyle name="Normal 12 2 2 2 7" xfId="19414" xr:uid="{00000000-0005-0000-0000-0000124B0000}"/>
    <cellStyle name="Normal 12 2 2 2 8" xfId="19415" xr:uid="{00000000-0005-0000-0000-0000134B0000}"/>
    <cellStyle name="Normal 12 2 2 2 9" xfId="19416" xr:uid="{00000000-0005-0000-0000-0000144B0000}"/>
    <cellStyle name="Normal 12 2 2 3" xfId="19417" xr:uid="{00000000-0005-0000-0000-0000154B0000}"/>
    <cellStyle name="Normal 12 2 2 3 2" xfId="19418" xr:uid="{00000000-0005-0000-0000-0000164B0000}"/>
    <cellStyle name="Normal 12 2 2 3 2 2" xfId="19419" xr:uid="{00000000-0005-0000-0000-0000174B0000}"/>
    <cellStyle name="Normal 12 2 2 3 2 2 2" xfId="19420" xr:uid="{00000000-0005-0000-0000-0000184B0000}"/>
    <cellStyle name="Normal 12 2 2 3 2 3" xfId="19421" xr:uid="{00000000-0005-0000-0000-0000194B0000}"/>
    <cellStyle name="Normal 12 2 2 3 2 3 2" xfId="19422" xr:uid="{00000000-0005-0000-0000-00001A4B0000}"/>
    <cellStyle name="Normal 12 2 2 3 2 4" xfId="19423" xr:uid="{00000000-0005-0000-0000-00001B4B0000}"/>
    <cellStyle name="Normal 12 2 2 3 2 5" xfId="19424" xr:uid="{00000000-0005-0000-0000-00001C4B0000}"/>
    <cellStyle name="Normal 12 2 2 3 2 6" xfId="19425" xr:uid="{00000000-0005-0000-0000-00001D4B0000}"/>
    <cellStyle name="Normal 12 2 2 3 2 7" xfId="19426" xr:uid="{00000000-0005-0000-0000-00001E4B0000}"/>
    <cellStyle name="Normal 12 2 2 3 3" xfId="19427" xr:uid="{00000000-0005-0000-0000-00001F4B0000}"/>
    <cellStyle name="Normal 12 2 2 3 3 2" xfId="19428" xr:uid="{00000000-0005-0000-0000-0000204B0000}"/>
    <cellStyle name="Normal 12 2 2 3 4" xfId="19429" xr:uid="{00000000-0005-0000-0000-0000214B0000}"/>
    <cellStyle name="Normal 12 2 2 3 4 2" xfId="19430" xr:uid="{00000000-0005-0000-0000-0000224B0000}"/>
    <cellStyle name="Normal 12 2 2 3 5" xfId="19431" xr:uid="{00000000-0005-0000-0000-0000234B0000}"/>
    <cellStyle name="Normal 12 2 2 3 6" xfId="19432" xr:uid="{00000000-0005-0000-0000-0000244B0000}"/>
    <cellStyle name="Normal 12 2 2 3 7" xfId="19433" xr:uid="{00000000-0005-0000-0000-0000254B0000}"/>
    <cellStyle name="Normal 12 2 2 3 8" xfId="19434" xr:uid="{00000000-0005-0000-0000-0000264B0000}"/>
    <cellStyle name="Normal 12 2 2 3 9" xfId="19435" xr:uid="{00000000-0005-0000-0000-0000274B0000}"/>
    <cellStyle name="Normal 12 2 2 4" xfId="19436" xr:uid="{00000000-0005-0000-0000-0000284B0000}"/>
    <cellStyle name="Normal 12 2 2 4 2" xfId="19437" xr:uid="{00000000-0005-0000-0000-0000294B0000}"/>
    <cellStyle name="Normal 12 2 2 4 2 2" xfId="19438" xr:uid="{00000000-0005-0000-0000-00002A4B0000}"/>
    <cellStyle name="Normal 12 2 2 4 2 2 2" xfId="19439" xr:uid="{00000000-0005-0000-0000-00002B4B0000}"/>
    <cellStyle name="Normal 12 2 2 4 2 3" xfId="19440" xr:uid="{00000000-0005-0000-0000-00002C4B0000}"/>
    <cellStyle name="Normal 12 2 2 4 2 3 2" xfId="19441" xr:uid="{00000000-0005-0000-0000-00002D4B0000}"/>
    <cellStyle name="Normal 12 2 2 4 2 4" xfId="19442" xr:uid="{00000000-0005-0000-0000-00002E4B0000}"/>
    <cellStyle name="Normal 12 2 2 4 2 5" xfId="19443" xr:uid="{00000000-0005-0000-0000-00002F4B0000}"/>
    <cellStyle name="Normal 12 2 2 4 2 6" xfId="19444" xr:uid="{00000000-0005-0000-0000-0000304B0000}"/>
    <cellStyle name="Normal 12 2 2 4 2 7" xfId="19445" xr:uid="{00000000-0005-0000-0000-0000314B0000}"/>
    <cellStyle name="Normal 12 2 2 4 3" xfId="19446" xr:uid="{00000000-0005-0000-0000-0000324B0000}"/>
    <cellStyle name="Normal 12 2 2 4 3 2" xfId="19447" xr:uid="{00000000-0005-0000-0000-0000334B0000}"/>
    <cellStyle name="Normal 12 2 2 4 4" xfId="19448" xr:uid="{00000000-0005-0000-0000-0000344B0000}"/>
    <cellStyle name="Normal 12 2 2 4 4 2" xfId="19449" xr:uid="{00000000-0005-0000-0000-0000354B0000}"/>
    <cellStyle name="Normal 12 2 2 4 5" xfId="19450" xr:uid="{00000000-0005-0000-0000-0000364B0000}"/>
    <cellStyle name="Normal 12 2 2 4 6" xfId="19451" xr:uid="{00000000-0005-0000-0000-0000374B0000}"/>
    <cellStyle name="Normal 12 2 2 4 7" xfId="19452" xr:uid="{00000000-0005-0000-0000-0000384B0000}"/>
    <cellStyle name="Normal 12 2 2 4 8" xfId="19453" xr:uid="{00000000-0005-0000-0000-0000394B0000}"/>
    <cellStyle name="Normal 12 2 2 4 9" xfId="19454" xr:uid="{00000000-0005-0000-0000-00003A4B0000}"/>
    <cellStyle name="Normal 12 2 2 5" xfId="19455" xr:uid="{00000000-0005-0000-0000-00003B4B0000}"/>
    <cellStyle name="Normal 12 2 2 5 2" xfId="19456" xr:uid="{00000000-0005-0000-0000-00003C4B0000}"/>
    <cellStyle name="Normal 12 2 2 5 2 2" xfId="19457" xr:uid="{00000000-0005-0000-0000-00003D4B0000}"/>
    <cellStyle name="Normal 12 2 2 5 3" xfId="19458" xr:uid="{00000000-0005-0000-0000-00003E4B0000}"/>
    <cellStyle name="Normal 12 2 2 5 3 2" xfId="19459" xr:uid="{00000000-0005-0000-0000-00003F4B0000}"/>
    <cellStyle name="Normal 12 2 2 5 4" xfId="19460" xr:uid="{00000000-0005-0000-0000-0000404B0000}"/>
    <cellStyle name="Normal 12 2 2 5 5" xfId="19461" xr:uid="{00000000-0005-0000-0000-0000414B0000}"/>
    <cellStyle name="Normal 12 2 2 5 6" xfId="19462" xr:uid="{00000000-0005-0000-0000-0000424B0000}"/>
    <cellStyle name="Normal 12 2 2 5 7" xfId="19463" xr:uid="{00000000-0005-0000-0000-0000434B0000}"/>
    <cellStyle name="Normal 12 2 2 6" xfId="19464" xr:uid="{00000000-0005-0000-0000-0000444B0000}"/>
    <cellStyle name="Normal 12 2 2 6 2" xfId="19465" xr:uid="{00000000-0005-0000-0000-0000454B0000}"/>
    <cellStyle name="Normal 12 2 2 7" xfId="19466" xr:uid="{00000000-0005-0000-0000-0000464B0000}"/>
    <cellStyle name="Normal 12 2 2 7 2" xfId="19467" xr:uid="{00000000-0005-0000-0000-0000474B0000}"/>
    <cellStyle name="Normal 12 2 2 8" xfId="19468" xr:uid="{00000000-0005-0000-0000-0000484B0000}"/>
    <cellStyle name="Normal 12 2 2 8 2" xfId="19469" xr:uid="{00000000-0005-0000-0000-0000494B0000}"/>
    <cellStyle name="Normal 12 2 2 9" xfId="19470" xr:uid="{00000000-0005-0000-0000-00004A4B0000}"/>
    <cellStyle name="Normal 12 2 3" xfId="19471" xr:uid="{00000000-0005-0000-0000-00004B4B0000}"/>
    <cellStyle name="Normal 12 2 3 10" xfId="19472" xr:uid="{00000000-0005-0000-0000-00004C4B0000}"/>
    <cellStyle name="Normal 12 2 3 11" xfId="19473" xr:uid="{00000000-0005-0000-0000-00004D4B0000}"/>
    <cellStyle name="Normal 12 2 3 12" xfId="19474" xr:uid="{00000000-0005-0000-0000-00004E4B0000}"/>
    <cellStyle name="Normal 12 2 3 2" xfId="19475" xr:uid="{00000000-0005-0000-0000-00004F4B0000}"/>
    <cellStyle name="Normal 12 2 3 2 2" xfId="19476" xr:uid="{00000000-0005-0000-0000-0000504B0000}"/>
    <cellStyle name="Normal 12 2 3 2 2 2" xfId="19477" xr:uid="{00000000-0005-0000-0000-0000514B0000}"/>
    <cellStyle name="Normal 12 2 3 2 2 2 2" xfId="19478" xr:uid="{00000000-0005-0000-0000-0000524B0000}"/>
    <cellStyle name="Normal 12 2 3 2 2 3" xfId="19479" xr:uid="{00000000-0005-0000-0000-0000534B0000}"/>
    <cellStyle name="Normal 12 2 3 2 2 3 2" xfId="19480" xr:uid="{00000000-0005-0000-0000-0000544B0000}"/>
    <cellStyle name="Normal 12 2 3 2 2 4" xfId="19481" xr:uid="{00000000-0005-0000-0000-0000554B0000}"/>
    <cellStyle name="Normal 12 2 3 2 2 5" xfId="19482" xr:uid="{00000000-0005-0000-0000-0000564B0000}"/>
    <cellStyle name="Normal 12 2 3 2 2 6" xfId="19483" xr:uid="{00000000-0005-0000-0000-0000574B0000}"/>
    <cellStyle name="Normal 12 2 3 2 2 7" xfId="19484" xr:uid="{00000000-0005-0000-0000-0000584B0000}"/>
    <cellStyle name="Normal 12 2 3 2 3" xfId="19485" xr:uid="{00000000-0005-0000-0000-0000594B0000}"/>
    <cellStyle name="Normal 12 2 3 2 3 2" xfId="19486" xr:uid="{00000000-0005-0000-0000-00005A4B0000}"/>
    <cellStyle name="Normal 12 2 3 2 4" xfId="19487" xr:uid="{00000000-0005-0000-0000-00005B4B0000}"/>
    <cellStyle name="Normal 12 2 3 2 4 2" xfId="19488" xr:uid="{00000000-0005-0000-0000-00005C4B0000}"/>
    <cellStyle name="Normal 12 2 3 2 5" xfId="19489" xr:uid="{00000000-0005-0000-0000-00005D4B0000}"/>
    <cellStyle name="Normal 12 2 3 2 6" xfId="19490" xr:uid="{00000000-0005-0000-0000-00005E4B0000}"/>
    <cellStyle name="Normal 12 2 3 2 7" xfId="19491" xr:uid="{00000000-0005-0000-0000-00005F4B0000}"/>
    <cellStyle name="Normal 12 2 3 2 8" xfId="19492" xr:uid="{00000000-0005-0000-0000-0000604B0000}"/>
    <cellStyle name="Normal 12 2 3 2 9" xfId="19493" xr:uid="{00000000-0005-0000-0000-0000614B0000}"/>
    <cellStyle name="Normal 12 2 3 3" xfId="19494" xr:uid="{00000000-0005-0000-0000-0000624B0000}"/>
    <cellStyle name="Normal 12 2 3 3 2" xfId="19495" xr:uid="{00000000-0005-0000-0000-0000634B0000}"/>
    <cellStyle name="Normal 12 2 3 3 2 2" xfId="19496" xr:uid="{00000000-0005-0000-0000-0000644B0000}"/>
    <cellStyle name="Normal 12 2 3 3 2 2 2" xfId="19497" xr:uid="{00000000-0005-0000-0000-0000654B0000}"/>
    <cellStyle name="Normal 12 2 3 3 2 3" xfId="19498" xr:uid="{00000000-0005-0000-0000-0000664B0000}"/>
    <cellStyle name="Normal 12 2 3 3 2 3 2" xfId="19499" xr:uid="{00000000-0005-0000-0000-0000674B0000}"/>
    <cellStyle name="Normal 12 2 3 3 2 4" xfId="19500" xr:uid="{00000000-0005-0000-0000-0000684B0000}"/>
    <cellStyle name="Normal 12 2 3 3 2 5" xfId="19501" xr:uid="{00000000-0005-0000-0000-0000694B0000}"/>
    <cellStyle name="Normal 12 2 3 3 2 6" xfId="19502" xr:uid="{00000000-0005-0000-0000-00006A4B0000}"/>
    <cellStyle name="Normal 12 2 3 3 2 7" xfId="19503" xr:uid="{00000000-0005-0000-0000-00006B4B0000}"/>
    <cellStyle name="Normal 12 2 3 3 3" xfId="19504" xr:uid="{00000000-0005-0000-0000-00006C4B0000}"/>
    <cellStyle name="Normal 12 2 3 3 3 2" xfId="19505" xr:uid="{00000000-0005-0000-0000-00006D4B0000}"/>
    <cellStyle name="Normal 12 2 3 3 4" xfId="19506" xr:uid="{00000000-0005-0000-0000-00006E4B0000}"/>
    <cellStyle name="Normal 12 2 3 3 4 2" xfId="19507" xr:uid="{00000000-0005-0000-0000-00006F4B0000}"/>
    <cellStyle name="Normal 12 2 3 3 5" xfId="19508" xr:uid="{00000000-0005-0000-0000-0000704B0000}"/>
    <cellStyle name="Normal 12 2 3 3 6" xfId="19509" xr:uid="{00000000-0005-0000-0000-0000714B0000}"/>
    <cellStyle name="Normal 12 2 3 3 7" xfId="19510" xr:uid="{00000000-0005-0000-0000-0000724B0000}"/>
    <cellStyle name="Normal 12 2 3 3 8" xfId="19511" xr:uid="{00000000-0005-0000-0000-0000734B0000}"/>
    <cellStyle name="Normal 12 2 3 4" xfId="19512" xr:uid="{00000000-0005-0000-0000-0000744B0000}"/>
    <cellStyle name="Normal 12 2 3 4 2" xfId="19513" xr:uid="{00000000-0005-0000-0000-0000754B0000}"/>
    <cellStyle name="Normal 12 2 3 4 2 2" xfId="19514" xr:uid="{00000000-0005-0000-0000-0000764B0000}"/>
    <cellStyle name="Normal 12 2 3 4 3" xfId="19515" xr:uid="{00000000-0005-0000-0000-0000774B0000}"/>
    <cellStyle name="Normal 12 2 3 4 3 2" xfId="19516" xr:uid="{00000000-0005-0000-0000-0000784B0000}"/>
    <cellStyle name="Normal 12 2 3 4 4" xfId="19517" xr:uid="{00000000-0005-0000-0000-0000794B0000}"/>
    <cellStyle name="Normal 12 2 3 4 5" xfId="19518" xr:uid="{00000000-0005-0000-0000-00007A4B0000}"/>
    <cellStyle name="Normal 12 2 3 4 6" xfId="19519" xr:uid="{00000000-0005-0000-0000-00007B4B0000}"/>
    <cellStyle name="Normal 12 2 3 4 7" xfId="19520" xr:uid="{00000000-0005-0000-0000-00007C4B0000}"/>
    <cellStyle name="Normal 12 2 3 5" xfId="19521" xr:uid="{00000000-0005-0000-0000-00007D4B0000}"/>
    <cellStyle name="Normal 12 2 3 5 2" xfId="19522" xr:uid="{00000000-0005-0000-0000-00007E4B0000}"/>
    <cellStyle name="Normal 12 2 3 6" xfId="19523" xr:uid="{00000000-0005-0000-0000-00007F4B0000}"/>
    <cellStyle name="Normal 12 2 3 6 2" xfId="19524" xr:uid="{00000000-0005-0000-0000-0000804B0000}"/>
    <cellStyle name="Normal 12 2 3 7" xfId="19525" xr:uid="{00000000-0005-0000-0000-0000814B0000}"/>
    <cellStyle name="Normal 12 2 3 7 2" xfId="19526" xr:uid="{00000000-0005-0000-0000-0000824B0000}"/>
    <cellStyle name="Normal 12 2 3 8" xfId="19527" xr:uid="{00000000-0005-0000-0000-0000834B0000}"/>
    <cellStyle name="Normal 12 2 3 9" xfId="19528" xr:uid="{00000000-0005-0000-0000-0000844B0000}"/>
    <cellStyle name="Normal 12 2 4" xfId="19529" xr:uid="{00000000-0005-0000-0000-0000854B0000}"/>
    <cellStyle name="Normal 12 2 4 10" xfId="19530" xr:uid="{00000000-0005-0000-0000-0000864B0000}"/>
    <cellStyle name="Normal 12 2 4 2" xfId="19531" xr:uid="{00000000-0005-0000-0000-0000874B0000}"/>
    <cellStyle name="Normal 12 2 4 2 2" xfId="19532" xr:uid="{00000000-0005-0000-0000-0000884B0000}"/>
    <cellStyle name="Normal 12 2 4 2 2 2" xfId="19533" xr:uid="{00000000-0005-0000-0000-0000894B0000}"/>
    <cellStyle name="Normal 12 2 4 2 3" xfId="19534" xr:uid="{00000000-0005-0000-0000-00008A4B0000}"/>
    <cellStyle name="Normal 12 2 4 2 3 2" xfId="19535" xr:uid="{00000000-0005-0000-0000-00008B4B0000}"/>
    <cellStyle name="Normal 12 2 4 2 4" xfId="19536" xr:uid="{00000000-0005-0000-0000-00008C4B0000}"/>
    <cellStyle name="Normal 12 2 4 2 5" xfId="19537" xr:uid="{00000000-0005-0000-0000-00008D4B0000}"/>
    <cellStyle name="Normal 12 2 4 2 6" xfId="19538" xr:uid="{00000000-0005-0000-0000-00008E4B0000}"/>
    <cellStyle name="Normal 12 2 4 2 7" xfId="19539" xr:uid="{00000000-0005-0000-0000-00008F4B0000}"/>
    <cellStyle name="Normal 12 2 4 2 8" xfId="19540" xr:uid="{00000000-0005-0000-0000-0000904B0000}"/>
    <cellStyle name="Normal 12 2 4 3" xfId="19541" xr:uid="{00000000-0005-0000-0000-0000914B0000}"/>
    <cellStyle name="Normal 12 2 4 3 2" xfId="19542" xr:uid="{00000000-0005-0000-0000-0000924B0000}"/>
    <cellStyle name="Normal 12 2 4 3 2 2" xfId="19543" xr:uid="{00000000-0005-0000-0000-0000934B0000}"/>
    <cellStyle name="Normal 12 2 4 3 3" xfId="19544" xr:uid="{00000000-0005-0000-0000-0000944B0000}"/>
    <cellStyle name="Normal 12 2 4 3 3 2" xfId="19545" xr:uid="{00000000-0005-0000-0000-0000954B0000}"/>
    <cellStyle name="Normal 12 2 4 3 4" xfId="19546" xr:uid="{00000000-0005-0000-0000-0000964B0000}"/>
    <cellStyle name="Normal 12 2 4 3 5" xfId="19547" xr:uid="{00000000-0005-0000-0000-0000974B0000}"/>
    <cellStyle name="Normal 12 2 4 3 6" xfId="19548" xr:uid="{00000000-0005-0000-0000-0000984B0000}"/>
    <cellStyle name="Normal 12 2 4 3 7" xfId="19549" xr:uid="{00000000-0005-0000-0000-0000994B0000}"/>
    <cellStyle name="Normal 12 2 4 4" xfId="19550" xr:uid="{00000000-0005-0000-0000-00009A4B0000}"/>
    <cellStyle name="Normal 12 2 4 4 2" xfId="19551" xr:uid="{00000000-0005-0000-0000-00009B4B0000}"/>
    <cellStyle name="Normal 12 2 4 5" xfId="19552" xr:uid="{00000000-0005-0000-0000-00009C4B0000}"/>
    <cellStyle name="Normal 12 2 4 5 2" xfId="19553" xr:uid="{00000000-0005-0000-0000-00009D4B0000}"/>
    <cellStyle name="Normal 12 2 4 6" xfId="19554" xr:uid="{00000000-0005-0000-0000-00009E4B0000}"/>
    <cellStyle name="Normal 12 2 4 7" xfId="19555" xr:uid="{00000000-0005-0000-0000-00009F4B0000}"/>
    <cellStyle name="Normal 12 2 4 8" xfId="19556" xr:uid="{00000000-0005-0000-0000-0000A04B0000}"/>
    <cellStyle name="Normal 12 2 4 9" xfId="19557" xr:uid="{00000000-0005-0000-0000-0000A14B0000}"/>
    <cellStyle name="Normal 12 2 5" xfId="19558" xr:uid="{00000000-0005-0000-0000-0000A24B0000}"/>
    <cellStyle name="Normal 12 2 5 2" xfId="19559" xr:uid="{00000000-0005-0000-0000-0000A34B0000}"/>
    <cellStyle name="Normal 12 2 5 2 2" xfId="19560" xr:uid="{00000000-0005-0000-0000-0000A44B0000}"/>
    <cellStyle name="Normal 12 2 5 2 2 2" xfId="19561" xr:uid="{00000000-0005-0000-0000-0000A54B0000}"/>
    <cellStyle name="Normal 12 2 5 2 3" xfId="19562" xr:uid="{00000000-0005-0000-0000-0000A64B0000}"/>
    <cellStyle name="Normal 12 2 5 2 3 2" xfId="19563" xr:uid="{00000000-0005-0000-0000-0000A74B0000}"/>
    <cellStyle name="Normal 12 2 5 2 4" xfId="19564" xr:uid="{00000000-0005-0000-0000-0000A84B0000}"/>
    <cellStyle name="Normal 12 2 5 2 5" xfId="19565" xr:uid="{00000000-0005-0000-0000-0000A94B0000}"/>
    <cellStyle name="Normal 12 2 5 2 6" xfId="19566" xr:uid="{00000000-0005-0000-0000-0000AA4B0000}"/>
    <cellStyle name="Normal 12 2 5 2 7" xfId="19567" xr:uid="{00000000-0005-0000-0000-0000AB4B0000}"/>
    <cellStyle name="Normal 12 2 5 3" xfId="19568" xr:uid="{00000000-0005-0000-0000-0000AC4B0000}"/>
    <cellStyle name="Normal 12 2 5 3 2" xfId="19569" xr:uid="{00000000-0005-0000-0000-0000AD4B0000}"/>
    <cellStyle name="Normal 12 2 5 4" xfId="19570" xr:uid="{00000000-0005-0000-0000-0000AE4B0000}"/>
    <cellStyle name="Normal 12 2 5 4 2" xfId="19571" xr:uid="{00000000-0005-0000-0000-0000AF4B0000}"/>
    <cellStyle name="Normal 12 2 5 5" xfId="19572" xr:uid="{00000000-0005-0000-0000-0000B04B0000}"/>
    <cellStyle name="Normal 12 2 5 6" xfId="19573" xr:uid="{00000000-0005-0000-0000-0000B14B0000}"/>
    <cellStyle name="Normal 12 2 5 7" xfId="19574" xr:uid="{00000000-0005-0000-0000-0000B24B0000}"/>
    <cellStyle name="Normal 12 2 5 8" xfId="19575" xr:uid="{00000000-0005-0000-0000-0000B34B0000}"/>
    <cellStyle name="Normal 12 2 5 9" xfId="19576" xr:uid="{00000000-0005-0000-0000-0000B44B0000}"/>
    <cellStyle name="Normal 12 2 6" xfId="19577" xr:uid="{00000000-0005-0000-0000-0000B54B0000}"/>
    <cellStyle name="Normal 12 2 6 2" xfId="19578" xr:uid="{00000000-0005-0000-0000-0000B64B0000}"/>
    <cellStyle name="Normal 12 2 6 2 2" xfId="19579" xr:uid="{00000000-0005-0000-0000-0000B74B0000}"/>
    <cellStyle name="Normal 12 2 6 2 2 2" xfId="19580" xr:uid="{00000000-0005-0000-0000-0000B84B0000}"/>
    <cellStyle name="Normal 12 2 6 2 3" xfId="19581" xr:uid="{00000000-0005-0000-0000-0000B94B0000}"/>
    <cellStyle name="Normal 12 2 6 2 3 2" xfId="19582" xr:uid="{00000000-0005-0000-0000-0000BA4B0000}"/>
    <cellStyle name="Normal 12 2 6 2 4" xfId="19583" xr:uid="{00000000-0005-0000-0000-0000BB4B0000}"/>
    <cellStyle name="Normal 12 2 6 2 5" xfId="19584" xr:uid="{00000000-0005-0000-0000-0000BC4B0000}"/>
    <cellStyle name="Normal 12 2 6 2 6" xfId="19585" xr:uid="{00000000-0005-0000-0000-0000BD4B0000}"/>
    <cellStyle name="Normal 12 2 6 2 7" xfId="19586" xr:uid="{00000000-0005-0000-0000-0000BE4B0000}"/>
    <cellStyle name="Normal 12 2 6 3" xfId="19587" xr:uid="{00000000-0005-0000-0000-0000BF4B0000}"/>
    <cellStyle name="Normal 12 2 6 3 2" xfId="19588" xr:uid="{00000000-0005-0000-0000-0000C04B0000}"/>
    <cellStyle name="Normal 12 2 6 4" xfId="19589" xr:uid="{00000000-0005-0000-0000-0000C14B0000}"/>
    <cellStyle name="Normal 12 2 6 4 2" xfId="19590" xr:uid="{00000000-0005-0000-0000-0000C24B0000}"/>
    <cellStyle name="Normal 12 2 6 5" xfId="19591" xr:uid="{00000000-0005-0000-0000-0000C34B0000}"/>
    <cellStyle name="Normal 12 2 6 6" xfId="19592" xr:uid="{00000000-0005-0000-0000-0000C44B0000}"/>
    <cellStyle name="Normal 12 2 6 7" xfId="19593" xr:uid="{00000000-0005-0000-0000-0000C54B0000}"/>
    <cellStyle name="Normal 12 2 6 8" xfId="19594" xr:uid="{00000000-0005-0000-0000-0000C64B0000}"/>
    <cellStyle name="Normal 12 2 6 9" xfId="19595" xr:uid="{00000000-0005-0000-0000-0000C74B0000}"/>
    <cellStyle name="Normal 12 2 7" xfId="19596" xr:uid="{00000000-0005-0000-0000-0000C84B0000}"/>
    <cellStyle name="Normal 12 2 7 2" xfId="19597" xr:uid="{00000000-0005-0000-0000-0000C94B0000}"/>
    <cellStyle name="Normal 12 2 7 2 2" xfId="19598" xr:uid="{00000000-0005-0000-0000-0000CA4B0000}"/>
    <cellStyle name="Normal 12 2 7 3" xfId="19599" xr:uid="{00000000-0005-0000-0000-0000CB4B0000}"/>
    <cellStyle name="Normal 12 2 7 3 2" xfId="19600" xr:uid="{00000000-0005-0000-0000-0000CC4B0000}"/>
    <cellStyle name="Normal 12 2 7 4" xfId="19601" xr:uid="{00000000-0005-0000-0000-0000CD4B0000}"/>
    <cellStyle name="Normal 12 2 7 5" xfId="19602" xr:uid="{00000000-0005-0000-0000-0000CE4B0000}"/>
    <cellStyle name="Normal 12 2 7 6" xfId="19603" xr:uid="{00000000-0005-0000-0000-0000CF4B0000}"/>
    <cellStyle name="Normal 12 2 7 7" xfId="19604" xr:uid="{00000000-0005-0000-0000-0000D04B0000}"/>
    <cellStyle name="Normal 12 2 7 8" xfId="19605" xr:uid="{00000000-0005-0000-0000-0000D14B0000}"/>
    <cellStyle name="Normal 12 2 8" xfId="19606" xr:uid="{00000000-0005-0000-0000-0000D24B0000}"/>
    <cellStyle name="Normal 12 2 8 2" xfId="19607" xr:uid="{00000000-0005-0000-0000-0000D34B0000}"/>
    <cellStyle name="Normal 12 2 9" xfId="19608" xr:uid="{00000000-0005-0000-0000-0000D44B0000}"/>
    <cellStyle name="Normal 12 2 9 2" xfId="19609" xr:uid="{00000000-0005-0000-0000-0000D54B0000}"/>
    <cellStyle name="Normal 12 2_2015 Annual Rpt" xfId="19610" xr:uid="{00000000-0005-0000-0000-0000D64B0000}"/>
    <cellStyle name="Normal 12 3" xfId="19611" xr:uid="{00000000-0005-0000-0000-0000D74B0000}"/>
    <cellStyle name="Normal 12 3 10" xfId="19612" xr:uid="{00000000-0005-0000-0000-0000D84B0000}"/>
    <cellStyle name="Normal 12 3 11" xfId="19613" xr:uid="{00000000-0005-0000-0000-0000D94B0000}"/>
    <cellStyle name="Normal 12 3 12" xfId="19614" xr:uid="{00000000-0005-0000-0000-0000DA4B0000}"/>
    <cellStyle name="Normal 12 3 13" xfId="19615" xr:uid="{00000000-0005-0000-0000-0000DB4B0000}"/>
    <cellStyle name="Normal 12 3 2" xfId="19616" xr:uid="{00000000-0005-0000-0000-0000DC4B0000}"/>
    <cellStyle name="Normal 12 3 2 10" xfId="19617" xr:uid="{00000000-0005-0000-0000-0000DD4B0000}"/>
    <cellStyle name="Normal 12 3 2 2" xfId="19618" xr:uid="{00000000-0005-0000-0000-0000DE4B0000}"/>
    <cellStyle name="Normal 12 3 2 2 2" xfId="19619" xr:uid="{00000000-0005-0000-0000-0000DF4B0000}"/>
    <cellStyle name="Normal 12 3 2 2 2 2" xfId="19620" xr:uid="{00000000-0005-0000-0000-0000E04B0000}"/>
    <cellStyle name="Normal 12 3 2 2 2 3" xfId="19621" xr:uid="{00000000-0005-0000-0000-0000E14B0000}"/>
    <cellStyle name="Normal 12 3 2 2 3" xfId="19622" xr:uid="{00000000-0005-0000-0000-0000E24B0000}"/>
    <cellStyle name="Normal 12 3 2 2 3 2" xfId="19623" xr:uid="{00000000-0005-0000-0000-0000E34B0000}"/>
    <cellStyle name="Normal 12 3 2 2 4" xfId="19624" xr:uid="{00000000-0005-0000-0000-0000E44B0000}"/>
    <cellStyle name="Normal 12 3 2 2 5" xfId="19625" xr:uid="{00000000-0005-0000-0000-0000E54B0000}"/>
    <cellStyle name="Normal 12 3 2 2 6" xfId="19626" xr:uid="{00000000-0005-0000-0000-0000E64B0000}"/>
    <cellStyle name="Normal 12 3 2 2 7" xfId="19627" xr:uid="{00000000-0005-0000-0000-0000E74B0000}"/>
    <cellStyle name="Normal 12 3 2 2 8" xfId="19628" xr:uid="{00000000-0005-0000-0000-0000E84B0000}"/>
    <cellStyle name="Normal 12 3 2 3" xfId="19629" xr:uid="{00000000-0005-0000-0000-0000E94B0000}"/>
    <cellStyle name="Normal 12 3 2 3 2" xfId="19630" xr:uid="{00000000-0005-0000-0000-0000EA4B0000}"/>
    <cellStyle name="Normal 12 3 2 3 2 2" xfId="19631" xr:uid="{00000000-0005-0000-0000-0000EB4B0000}"/>
    <cellStyle name="Normal 12 3 2 3 3" xfId="19632" xr:uid="{00000000-0005-0000-0000-0000EC4B0000}"/>
    <cellStyle name="Normal 12 3 2 3 3 2" xfId="19633" xr:uid="{00000000-0005-0000-0000-0000ED4B0000}"/>
    <cellStyle name="Normal 12 3 2 3 4" xfId="19634" xr:uid="{00000000-0005-0000-0000-0000EE4B0000}"/>
    <cellStyle name="Normal 12 3 2 3 5" xfId="19635" xr:uid="{00000000-0005-0000-0000-0000EF4B0000}"/>
    <cellStyle name="Normal 12 3 2 3 6" xfId="19636" xr:uid="{00000000-0005-0000-0000-0000F04B0000}"/>
    <cellStyle name="Normal 12 3 2 3 7" xfId="19637" xr:uid="{00000000-0005-0000-0000-0000F14B0000}"/>
    <cellStyle name="Normal 12 3 2 3 8" xfId="19638" xr:uid="{00000000-0005-0000-0000-0000F24B0000}"/>
    <cellStyle name="Normal 12 3 2 4" xfId="19639" xr:uid="{00000000-0005-0000-0000-0000F34B0000}"/>
    <cellStyle name="Normal 12 3 2 4 2" xfId="19640" xr:uid="{00000000-0005-0000-0000-0000F44B0000}"/>
    <cellStyle name="Normal 12 3 2 5" xfId="19641" xr:uid="{00000000-0005-0000-0000-0000F54B0000}"/>
    <cellStyle name="Normal 12 3 2 5 2" xfId="19642" xr:uid="{00000000-0005-0000-0000-0000F64B0000}"/>
    <cellStyle name="Normal 12 3 2 6" xfId="19643" xr:uid="{00000000-0005-0000-0000-0000F74B0000}"/>
    <cellStyle name="Normal 12 3 2 7" xfId="19644" xr:uid="{00000000-0005-0000-0000-0000F84B0000}"/>
    <cellStyle name="Normal 12 3 2 8" xfId="19645" xr:uid="{00000000-0005-0000-0000-0000F94B0000}"/>
    <cellStyle name="Normal 12 3 2 9" xfId="19646" xr:uid="{00000000-0005-0000-0000-0000FA4B0000}"/>
    <cellStyle name="Normal 12 3 3" xfId="19647" xr:uid="{00000000-0005-0000-0000-0000FB4B0000}"/>
    <cellStyle name="Normal 12 3 3 2" xfId="19648" xr:uid="{00000000-0005-0000-0000-0000FC4B0000}"/>
    <cellStyle name="Normal 12 3 3 2 2" xfId="19649" xr:uid="{00000000-0005-0000-0000-0000FD4B0000}"/>
    <cellStyle name="Normal 12 3 3 2 2 2" xfId="19650" xr:uid="{00000000-0005-0000-0000-0000FE4B0000}"/>
    <cellStyle name="Normal 12 3 3 2 3" xfId="19651" xr:uid="{00000000-0005-0000-0000-0000FF4B0000}"/>
    <cellStyle name="Normal 12 3 3 2 3 2" xfId="19652" xr:uid="{00000000-0005-0000-0000-0000004C0000}"/>
    <cellStyle name="Normal 12 3 3 2 4" xfId="19653" xr:uid="{00000000-0005-0000-0000-0000014C0000}"/>
    <cellStyle name="Normal 12 3 3 2 5" xfId="19654" xr:uid="{00000000-0005-0000-0000-0000024C0000}"/>
    <cellStyle name="Normal 12 3 3 2 6" xfId="19655" xr:uid="{00000000-0005-0000-0000-0000034C0000}"/>
    <cellStyle name="Normal 12 3 3 2 7" xfId="19656" xr:uid="{00000000-0005-0000-0000-0000044C0000}"/>
    <cellStyle name="Normal 12 3 3 2 8" xfId="19657" xr:uid="{00000000-0005-0000-0000-0000054C0000}"/>
    <cellStyle name="Normal 12 3 3 3" xfId="19658" xr:uid="{00000000-0005-0000-0000-0000064C0000}"/>
    <cellStyle name="Normal 12 3 3 3 2" xfId="19659" xr:uid="{00000000-0005-0000-0000-0000074C0000}"/>
    <cellStyle name="Normal 12 3 3 4" xfId="19660" xr:uid="{00000000-0005-0000-0000-0000084C0000}"/>
    <cellStyle name="Normal 12 3 3 4 2" xfId="19661" xr:uid="{00000000-0005-0000-0000-0000094C0000}"/>
    <cellStyle name="Normal 12 3 3 5" xfId="19662" xr:uid="{00000000-0005-0000-0000-00000A4C0000}"/>
    <cellStyle name="Normal 12 3 3 6" xfId="19663" xr:uid="{00000000-0005-0000-0000-00000B4C0000}"/>
    <cellStyle name="Normal 12 3 3 7" xfId="19664" xr:uid="{00000000-0005-0000-0000-00000C4C0000}"/>
    <cellStyle name="Normal 12 3 3 8" xfId="19665" xr:uid="{00000000-0005-0000-0000-00000D4C0000}"/>
    <cellStyle name="Normal 12 3 3 9" xfId="19666" xr:uid="{00000000-0005-0000-0000-00000E4C0000}"/>
    <cellStyle name="Normal 12 3 4" xfId="19667" xr:uid="{00000000-0005-0000-0000-00000F4C0000}"/>
    <cellStyle name="Normal 12 3 4 2" xfId="19668" xr:uid="{00000000-0005-0000-0000-0000104C0000}"/>
    <cellStyle name="Normal 12 3 4 2 2" xfId="19669" xr:uid="{00000000-0005-0000-0000-0000114C0000}"/>
    <cellStyle name="Normal 12 3 4 2 2 2" xfId="19670" xr:uid="{00000000-0005-0000-0000-0000124C0000}"/>
    <cellStyle name="Normal 12 3 4 2 3" xfId="19671" xr:uid="{00000000-0005-0000-0000-0000134C0000}"/>
    <cellStyle name="Normal 12 3 4 2 3 2" xfId="19672" xr:uid="{00000000-0005-0000-0000-0000144C0000}"/>
    <cellStyle name="Normal 12 3 4 2 4" xfId="19673" xr:uid="{00000000-0005-0000-0000-0000154C0000}"/>
    <cellStyle name="Normal 12 3 4 2 5" xfId="19674" xr:uid="{00000000-0005-0000-0000-0000164C0000}"/>
    <cellStyle name="Normal 12 3 4 2 6" xfId="19675" xr:uid="{00000000-0005-0000-0000-0000174C0000}"/>
    <cellStyle name="Normal 12 3 4 2 7" xfId="19676" xr:uid="{00000000-0005-0000-0000-0000184C0000}"/>
    <cellStyle name="Normal 12 3 4 3" xfId="19677" xr:uid="{00000000-0005-0000-0000-0000194C0000}"/>
    <cellStyle name="Normal 12 3 4 3 2" xfId="19678" xr:uid="{00000000-0005-0000-0000-00001A4C0000}"/>
    <cellStyle name="Normal 12 3 4 4" xfId="19679" xr:uid="{00000000-0005-0000-0000-00001B4C0000}"/>
    <cellStyle name="Normal 12 3 4 4 2" xfId="19680" xr:uid="{00000000-0005-0000-0000-00001C4C0000}"/>
    <cellStyle name="Normal 12 3 4 5" xfId="19681" xr:uid="{00000000-0005-0000-0000-00001D4C0000}"/>
    <cellStyle name="Normal 12 3 4 6" xfId="19682" xr:uid="{00000000-0005-0000-0000-00001E4C0000}"/>
    <cellStyle name="Normal 12 3 4 7" xfId="19683" xr:uid="{00000000-0005-0000-0000-00001F4C0000}"/>
    <cellStyle name="Normal 12 3 4 8" xfId="19684" xr:uid="{00000000-0005-0000-0000-0000204C0000}"/>
    <cellStyle name="Normal 12 3 4 9" xfId="19685" xr:uid="{00000000-0005-0000-0000-0000214C0000}"/>
    <cellStyle name="Normal 12 3 5" xfId="19686" xr:uid="{00000000-0005-0000-0000-0000224C0000}"/>
    <cellStyle name="Normal 12 3 5 2" xfId="19687" xr:uid="{00000000-0005-0000-0000-0000234C0000}"/>
    <cellStyle name="Normal 12 3 5 2 2" xfId="19688" xr:uid="{00000000-0005-0000-0000-0000244C0000}"/>
    <cellStyle name="Normal 12 3 5 3" xfId="19689" xr:uid="{00000000-0005-0000-0000-0000254C0000}"/>
    <cellStyle name="Normal 12 3 5 3 2" xfId="19690" xr:uid="{00000000-0005-0000-0000-0000264C0000}"/>
    <cellStyle name="Normal 12 3 5 4" xfId="19691" xr:uid="{00000000-0005-0000-0000-0000274C0000}"/>
    <cellStyle name="Normal 12 3 5 5" xfId="19692" xr:uid="{00000000-0005-0000-0000-0000284C0000}"/>
    <cellStyle name="Normal 12 3 5 6" xfId="19693" xr:uid="{00000000-0005-0000-0000-0000294C0000}"/>
    <cellStyle name="Normal 12 3 5 7" xfId="19694" xr:uid="{00000000-0005-0000-0000-00002A4C0000}"/>
    <cellStyle name="Normal 12 3 5 8" xfId="19695" xr:uid="{00000000-0005-0000-0000-00002B4C0000}"/>
    <cellStyle name="Normal 12 3 6" xfId="19696" xr:uid="{00000000-0005-0000-0000-00002C4C0000}"/>
    <cellStyle name="Normal 12 3 6 2" xfId="19697" xr:uid="{00000000-0005-0000-0000-00002D4C0000}"/>
    <cellStyle name="Normal 12 3 7" xfId="19698" xr:uid="{00000000-0005-0000-0000-00002E4C0000}"/>
    <cellStyle name="Normal 12 3 7 2" xfId="19699" xr:uid="{00000000-0005-0000-0000-00002F4C0000}"/>
    <cellStyle name="Normal 12 3 8" xfId="19700" xr:uid="{00000000-0005-0000-0000-0000304C0000}"/>
    <cellStyle name="Normal 12 3 8 2" xfId="19701" xr:uid="{00000000-0005-0000-0000-0000314C0000}"/>
    <cellStyle name="Normal 12 3 9" xfId="19702" xr:uid="{00000000-0005-0000-0000-0000324C0000}"/>
    <cellStyle name="Normal 12 4" xfId="19703" xr:uid="{00000000-0005-0000-0000-0000334C0000}"/>
    <cellStyle name="Normal 12 4 10" xfId="19704" xr:uid="{00000000-0005-0000-0000-0000344C0000}"/>
    <cellStyle name="Normal 12 4 11" xfId="19705" xr:uid="{00000000-0005-0000-0000-0000354C0000}"/>
    <cellStyle name="Normal 12 4 12" xfId="19706" xr:uid="{00000000-0005-0000-0000-0000364C0000}"/>
    <cellStyle name="Normal 12 4 2" xfId="19707" xr:uid="{00000000-0005-0000-0000-0000374C0000}"/>
    <cellStyle name="Normal 12 4 2 2" xfId="19708" xr:uid="{00000000-0005-0000-0000-0000384C0000}"/>
    <cellStyle name="Normal 12 4 2 2 2" xfId="19709" xr:uid="{00000000-0005-0000-0000-0000394C0000}"/>
    <cellStyle name="Normal 12 4 2 2 2 2" xfId="19710" xr:uid="{00000000-0005-0000-0000-00003A4C0000}"/>
    <cellStyle name="Normal 12 4 2 2 2 3" xfId="19711" xr:uid="{00000000-0005-0000-0000-00003B4C0000}"/>
    <cellStyle name="Normal 12 4 2 2 3" xfId="19712" xr:uid="{00000000-0005-0000-0000-00003C4C0000}"/>
    <cellStyle name="Normal 12 4 2 2 3 2" xfId="19713" xr:uid="{00000000-0005-0000-0000-00003D4C0000}"/>
    <cellStyle name="Normal 12 4 2 2 4" xfId="19714" xr:uid="{00000000-0005-0000-0000-00003E4C0000}"/>
    <cellStyle name="Normal 12 4 2 2 5" xfId="19715" xr:uid="{00000000-0005-0000-0000-00003F4C0000}"/>
    <cellStyle name="Normal 12 4 2 2 6" xfId="19716" xr:uid="{00000000-0005-0000-0000-0000404C0000}"/>
    <cellStyle name="Normal 12 4 2 2 7" xfId="19717" xr:uid="{00000000-0005-0000-0000-0000414C0000}"/>
    <cellStyle name="Normal 12 4 2 2 8" xfId="19718" xr:uid="{00000000-0005-0000-0000-0000424C0000}"/>
    <cellStyle name="Normal 12 4 2 3" xfId="19719" xr:uid="{00000000-0005-0000-0000-0000434C0000}"/>
    <cellStyle name="Normal 12 4 2 3 2" xfId="19720" xr:uid="{00000000-0005-0000-0000-0000444C0000}"/>
    <cellStyle name="Normal 12 4 2 3 3" xfId="19721" xr:uid="{00000000-0005-0000-0000-0000454C0000}"/>
    <cellStyle name="Normal 12 4 2 4" xfId="19722" xr:uid="{00000000-0005-0000-0000-0000464C0000}"/>
    <cellStyle name="Normal 12 4 2 4 2" xfId="19723" xr:uid="{00000000-0005-0000-0000-0000474C0000}"/>
    <cellStyle name="Normal 12 4 2 5" xfId="19724" xr:uid="{00000000-0005-0000-0000-0000484C0000}"/>
    <cellStyle name="Normal 12 4 2 6" xfId="19725" xr:uid="{00000000-0005-0000-0000-0000494C0000}"/>
    <cellStyle name="Normal 12 4 2 7" xfId="19726" xr:uid="{00000000-0005-0000-0000-00004A4C0000}"/>
    <cellStyle name="Normal 12 4 2 8" xfId="19727" xr:uid="{00000000-0005-0000-0000-00004B4C0000}"/>
    <cellStyle name="Normal 12 4 2 9" xfId="19728" xr:uid="{00000000-0005-0000-0000-00004C4C0000}"/>
    <cellStyle name="Normal 12 4 3" xfId="19729" xr:uid="{00000000-0005-0000-0000-00004D4C0000}"/>
    <cellStyle name="Normal 12 4 3 2" xfId="19730" xr:uid="{00000000-0005-0000-0000-00004E4C0000}"/>
    <cellStyle name="Normal 12 4 3 2 2" xfId="19731" xr:uid="{00000000-0005-0000-0000-00004F4C0000}"/>
    <cellStyle name="Normal 12 4 3 2 2 2" xfId="19732" xr:uid="{00000000-0005-0000-0000-0000504C0000}"/>
    <cellStyle name="Normal 12 4 3 2 3" xfId="19733" xr:uid="{00000000-0005-0000-0000-0000514C0000}"/>
    <cellStyle name="Normal 12 4 3 2 3 2" xfId="19734" xr:uid="{00000000-0005-0000-0000-0000524C0000}"/>
    <cellStyle name="Normal 12 4 3 2 4" xfId="19735" xr:uid="{00000000-0005-0000-0000-0000534C0000}"/>
    <cellStyle name="Normal 12 4 3 2 5" xfId="19736" xr:uid="{00000000-0005-0000-0000-0000544C0000}"/>
    <cellStyle name="Normal 12 4 3 2 6" xfId="19737" xr:uid="{00000000-0005-0000-0000-0000554C0000}"/>
    <cellStyle name="Normal 12 4 3 2 7" xfId="19738" xr:uid="{00000000-0005-0000-0000-0000564C0000}"/>
    <cellStyle name="Normal 12 4 3 2 8" xfId="19739" xr:uid="{00000000-0005-0000-0000-0000574C0000}"/>
    <cellStyle name="Normal 12 4 3 3" xfId="19740" xr:uid="{00000000-0005-0000-0000-0000584C0000}"/>
    <cellStyle name="Normal 12 4 3 3 2" xfId="19741" xr:uid="{00000000-0005-0000-0000-0000594C0000}"/>
    <cellStyle name="Normal 12 4 3 4" xfId="19742" xr:uid="{00000000-0005-0000-0000-00005A4C0000}"/>
    <cellStyle name="Normal 12 4 3 4 2" xfId="19743" xr:uid="{00000000-0005-0000-0000-00005B4C0000}"/>
    <cellStyle name="Normal 12 4 3 5" xfId="19744" xr:uid="{00000000-0005-0000-0000-00005C4C0000}"/>
    <cellStyle name="Normal 12 4 3 6" xfId="19745" xr:uid="{00000000-0005-0000-0000-00005D4C0000}"/>
    <cellStyle name="Normal 12 4 3 7" xfId="19746" xr:uid="{00000000-0005-0000-0000-00005E4C0000}"/>
    <cellStyle name="Normal 12 4 3 8" xfId="19747" xr:uid="{00000000-0005-0000-0000-00005F4C0000}"/>
    <cellStyle name="Normal 12 4 3 9" xfId="19748" xr:uid="{00000000-0005-0000-0000-0000604C0000}"/>
    <cellStyle name="Normal 12 4 4" xfId="19749" xr:uid="{00000000-0005-0000-0000-0000614C0000}"/>
    <cellStyle name="Normal 12 4 4 2" xfId="19750" xr:uid="{00000000-0005-0000-0000-0000624C0000}"/>
    <cellStyle name="Normal 12 4 4 2 2" xfId="19751" xr:uid="{00000000-0005-0000-0000-0000634C0000}"/>
    <cellStyle name="Normal 12 4 4 3" xfId="19752" xr:uid="{00000000-0005-0000-0000-0000644C0000}"/>
    <cellStyle name="Normal 12 4 4 3 2" xfId="19753" xr:uid="{00000000-0005-0000-0000-0000654C0000}"/>
    <cellStyle name="Normal 12 4 4 4" xfId="19754" xr:uid="{00000000-0005-0000-0000-0000664C0000}"/>
    <cellStyle name="Normal 12 4 4 5" xfId="19755" xr:uid="{00000000-0005-0000-0000-0000674C0000}"/>
    <cellStyle name="Normal 12 4 4 6" xfId="19756" xr:uid="{00000000-0005-0000-0000-0000684C0000}"/>
    <cellStyle name="Normal 12 4 4 7" xfId="19757" xr:uid="{00000000-0005-0000-0000-0000694C0000}"/>
    <cellStyle name="Normal 12 4 4 8" xfId="19758" xr:uid="{00000000-0005-0000-0000-00006A4C0000}"/>
    <cellStyle name="Normal 12 4 5" xfId="19759" xr:uid="{00000000-0005-0000-0000-00006B4C0000}"/>
    <cellStyle name="Normal 12 4 5 2" xfId="19760" xr:uid="{00000000-0005-0000-0000-00006C4C0000}"/>
    <cellStyle name="Normal 12 4 5 3" xfId="19761" xr:uid="{00000000-0005-0000-0000-00006D4C0000}"/>
    <cellStyle name="Normal 12 4 6" xfId="19762" xr:uid="{00000000-0005-0000-0000-00006E4C0000}"/>
    <cellStyle name="Normal 12 4 6 2" xfId="19763" xr:uid="{00000000-0005-0000-0000-00006F4C0000}"/>
    <cellStyle name="Normal 12 4 7" xfId="19764" xr:uid="{00000000-0005-0000-0000-0000704C0000}"/>
    <cellStyle name="Normal 12 4 7 2" xfId="19765" xr:uid="{00000000-0005-0000-0000-0000714C0000}"/>
    <cellStyle name="Normal 12 4 8" xfId="19766" xr:uid="{00000000-0005-0000-0000-0000724C0000}"/>
    <cellStyle name="Normal 12 4 9" xfId="19767" xr:uid="{00000000-0005-0000-0000-0000734C0000}"/>
    <cellStyle name="Normal 12 5" xfId="19768" xr:uid="{00000000-0005-0000-0000-0000744C0000}"/>
    <cellStyle name="Normal 12 5 10" xfId="19769" xr:uid="{00000000-0005-0000-0000-0000754C0000}"/>
    <cellStyle name="Normal 12 5 11" xfId="19770" xr:uid="{00000000-0005-0000-0000-0000764C0000}"/>
    <cellStyle name="Normal 12 5 2" xfId="19771" xr:uid="{00000000-0005-0000-0000-0000774C0000}"/>
    <cellStyle name="Normal 12 5 2 2" xfId="19772" xr:uid="{00000000-0005-0000-0000-0000784C0000}"/>
    <cellStyle name="Normal 12 5 2 2 2" xfId="19773" xr:uid="{00000000-0005-0000-0000-0000794C0000}"/>
    <cellStyle name="Normal 12 5 2 3" xfId="19774" xr:uid="{00000000-0005-0000-0000-00007A4C0000}"/>
    <cellStyle name="Normal 12 5 2 3 2" xfId="19775" xr:uid="{00000000-0005-0000-0000-00007B4C0000}"/>
    <cellStyle name="Normal 12 5 2 4" xfId="19776" xr:uid="{00000000-0005-0000-0000-00007C4C0000}"/>
    <cellStyle name="Normal 12 5 2 5" xfId="19777" xr:uid="{00000000-0005-0000-0000-00007D4C0000}"/>
    <cellStyle name="Normal 12 5 2 6" xfId="19778" xr:uid="{00000000-0005-0000-0000-00007E4C0000}"/>
    <cellStyle name="Normal 12 5 2 7" xfId="19779" xr:uid="{00000000-0005-0000-0000-00007F4C0000}"/>
    <cellStyle name="Normal 12 5 2 8" xfId="19780" xr:uid="{00000000-0005-0000-0000-0000804C0000}"/>
    <cellStyle name="Normal 12 5 3" xfId="19781" xr:uid="{00000000-0005-0000-0000-0000814C0000}"/>
    <cellStyle name="Normal 12 5 3 2" xfId="19782" xr:uid="{00000000-0005-0000-0000-0000824C0000}"/>
    <cellStyle name="Normal 12 5 3 2 2" xfId="19783" xr:uid="{00000000-0005-0000-0000-0000834C0000}"/>
    <cellStyle name="Normal 12 5 3 3" xfId="19784" xr:uid="{00000000-0005-0000-0000-0000844C0000}"/>
    <cellStyle name="Normal 12 5 3 3 2" xfId="19785" xr:uid="{00000000-0005-0000-0000-0000854C0000}"/>
    <cellStyle name="Normal 12 5 3 4" xfId="19786" xr:uid="{00000000-0005-0000-0000-0000864C0000}"/>
    <cellStyle name="Normal 12 5 3 5" xfId="19787" xr:uid="{00000000-0005-0000-0000-0000874C0000}"/>
    <cellStyle name="Normal 12 5 3 6" xfId="19788" xr:uid="{00000000-0005-0000-0000-0000884C0000}"/>
    <cellStyle name="Normal 12 5 3 7" xfId="19789" xr:uid="{00000000-0005-0000-0000-0000894C0000}"/>
    <cellStyle name="Normal 12 5 4" xfId="19790" xr:uid="{00000000-0005-0000-0000-00008A4C0000}"/>
    <cellStyle name="Normal 12 5 4 2" xfId="19791" xr:uid="{00000000-0005-0000-0000-00008B4C0000}"/>
    <cellStyle name="Normal 12 5 5" xfId="19792" xr:uid="{00000000-0005-0000-0000-00008C4C0000}"/>
    <cellStyle name="Normal 12 5 5 2" xfId="19793" xr:uid="{00000000-0005-0000-0000-00008D4C0000}"/>
    <cellStyle name="Normal 12 5 6" xfId="19794" xr:uid="{00000000-0005-0000-0000-00008E4C0000}"/>
    <cellStyle name="Normal 12 5 6 2" xfId="19795" xr:uid="{00000000-0005-0000-0000-00008F4C0000}"/>
    <cellStyle name="Normal 12 5 7" xfId="19796" xr:uid="{00000000-0005-0000-0000-0000904C0000}"/>
    <cellStyle name="Normal 12 5 8" xfId="19797" xr:uid="{00000000-0005-0000-0000-0000914C0000}"/>
    <cellStyle name="Normal 12 5 9" xfId="19798" xr:uid="{00000000-0005-0000-0000-0000924C0000}"/>
    <cellStyle name="Normal 12 6" xfId="19799" xr:uid="{00000000-0005-0000-0000-0000934C0000}"/>
    <cellStyle name="Normal 12 6 2" xfId="19800" xr:uid="{00000000-0005-0000-0000-0000944C0000}"/>
    <cellStyle name="Normal 12 6 2 2" xfId="19801" xr:uid="{00000000-0005-0000-0000-0000954C0000}"/>
    <cellStyle name="Normal 12 6 2 2 2" xfId="19802" xr:uid="{00000000-0005-0000-0000-0000964C0000}"/>
    <cellStyle name="Normal 12 6 2 3" xfId="19803" xr:uid="{00000000-0005-0000-0000-0000974C0000}"/>
    <cellStyle name="Normal 12 6 2 3 2" xfId="19804" xr:uid="{00000000-0005-0000-0000-0000984C0000}"/>
    <cellStyle name="Normal 12 6 2 4" xfId="19805" xr:uid="{00000000-0005-0000-0000-0000994C0000}"/>
    <cellStyle name="Normal 12 6 2 5" xfId="19806" xr:uid="{00000000-0005-0000-0000-00009A4C0000}"/>
    <cellStyle name="Normal 12 6 2 6" xfId="19807" xr:uid="{00000000-0005-0000-0000-00009B4C0000}"/>
    <cellStyle name="Normal 12 6 2 7" xfId="19808" xr:uid="{00000000-0005-0000-0000-00009C4C0000}"/>
    <cellStyle name="Normal 12 6 2 8" xfId="19809" xr:uid="{00000000-0005-0000-0000-00009D4C0000}"/>
    <cellStyle name="Normal 12 6 3" xfId="19810" xr:uid="{00000000-0005-0000-0000-00009E4C0000}"/>
    <cellStyle name="Normal 12 6 3 2" xfId="19811" xr:uid="{00000000-0005-0000-0000-00009F4C0000}"/>
    <cellStyle name="Normal 12 6 4" xfId="19812" xr:uid="{00000000-0005-0000-0000-0000A04C0000}"/>
    <cellStyle name="Normal 12 6 4 2" xfId="19813" xr:uid="{00000000-0005-0000-0000-0000A14C0000}"/>
    <cellStyle name="Normal 12 6 5" xfId="19814" xr:uid="{00000000-0005-0000-0000-0000A24C0000}"/>
    <cellStyle name="Normal 12 6 6" xfId="19815" xr:uid="{00000000-0005-0000-0000-0000A34C0000}"/>
    <cellStyle name="Normal 12 6 7" xfId="19816" xr:uid="{00000000-0005-0000-0000-0000A44C0000}"/>
    <cellStyle name="Normal 12 6 8" xfId="19817" xr:uid="{00000000-0005-0000-0000-0000A54C0000}"/>
    <cellStyle name="Normal 12 6 9" xfId="19818" xr:uid="{00000000-0005-0000-0000-0000A64C0000}"/>
    <cellStyle name="Normal 12 7" xfId="19819" xr:uid="{00000000-0005-0000-0000-0000A74C0000}"/>
    <cellStyle name="Normal 12 7 2" xfId="19820" xr:uid="{00000000-0005-0000-0000-0000A84C0000}"/>
    <cellStyle name="Normal 12 7 2 2" xfId="19821" xr:uid="{00000000-0005-0000-0000-0000A94C0000}"/>
    <cellStyle name="Normal 12 7 2 2 2" xfId="19822" xr:uid="{00000000-0005-0000-0000-0000AA4C0000}"/>
    <cellStyle name="Normal 12 7 2 3" xfId="19823" xr:uid="{00000000-0005-0000-0000-0000AB4C0000}"/>
    <cellStyle name="Normal 12 7 2 3 2" xfId="19824" xr:uid="{00000000-0005-0000-0000-0000AC4C0000}"/>
    <cellStyle name="Normal 12 7 2 4" xfId="19825" xr:uid="{00000000-0005-0000-0000-0000AD4C0000}"/>
    <cellStyle name="Normal 12 7 2 5" xfId="19826" xr:uid="{00000000-0005-0000-0000-0000AE4C0000}"/>
    <cellStyle name="Normal 12 7 2 6" xfId="19827" xr:uid="{00000000-0005-0000-0000-0000AF4C0000}"/>
    <cellStyle name="Normal 12 7 2 7" xfId="19828" xr:uid="{00000000-0005-0000-0000-0000B04C0000}"/>
    <cellStyle name="Normal 12 7 3" xfId="19829" xr:uid="{00000000-0005-0000-0000-0000B14C0000}"/>
    <cellStyle name="Normal 12 7 3 2" xfId="19830" xr:uid="{00000000-0005-0000-0000-0000B24C0000}"/>
    <cellStyle name="Normal 12 7 4" xfId="19831" xr:uid="{00000000-0005-0000-0000-0000B34C0000}"/>
    <cellStyle name="Normal 12 7 4 2" xfId="19832" xr:uid="{00000000-0005-0000-0000-0000B44C0000}"/>
    <cellStyle name="Normal 12 7 5" xfId="19833" xr:uid="{00000000-0005-0000-0000-0000B54C0000}"/>
    <cellStyle name="Normal 12 7 6" xfId="19834" xr:uid="{00000000-0005-0000-0000-0000B64C0000}"/>
    <cellStyle name="Normal 12 7 7" xfId="19835" xr:uid="{00000000-0005-0000-0000-0000B74C0000}"/>
    <cellStyle name="Normal 12 7 8" xfId="19836" xr:uid="{00000000-0005-0000-0000-0000B84C0000}"/>
    <cellStyle name="Normal 12 7 9" xfId="19837" xr:uid="{00000000-0005-0000-0000-0000B94C0000}"/>
    <cellStyle name="Normal 12 8" xfId="19838" xr:uid="{00000000-0005-0000-0000-0000BA4C0000}"/>
    <cellStyle name="Normal 12 8 2" xfId="19839" xr:uid="{00000000-0005-0000-0000-0000BB4C0000}"/>
    <cellStyle name="Normal 12 8 2 2" xfId="19840" xr:uid="{00000000-0005-0000-0000-0000BC4C0000}"/>
    <cellStyle name="Normal 12 8 3" xfId="19841" xr:uid="{00000000-0005-0000-0000-0000BD4C0000}"/>
    <cellStyle name="Normal 12 8 3 2" xfId="19842" xr:uid="{00000000-0005-0000-0000-0000BE4C0000}"/>
    <cellStyle name="Normal 12 8 4" xfId="19843" xr:uid="{00000000-0005-0000-0000-0000BF4C0000}"/>
    <cellStyle name="Normal 12 8 5" xfId="19844" xr:uid="{00000000-0005-0000-0000-0000C04C0000}"/>
    <cellStyle name="Normal 12 8 6" xfId="19845" xr:uid="{00000000-0005-0000-0000-0000C14C0000}"/>
    <cellStyle name="Normal 12 8 7" xfId="19846" xr:uid="{00000000-0005-0000-0000-0000C24C0000}"/>
    <cellStyle name="Normal 12 8 8" xfId="19847" xr:uid="{00000000-0005-0000-0000-0000C34C0000}"/>
    <cellStyle name="Normal 12 9" xfId="19848" xr:uid="{00000000-0005-0000-0000-0000C44C0000}"/>
    <cellStyle name="Normal 12 9 2" xfId="19849" xr:uid="{00000000-0005-0000-0000-0000C54C0000}"/>
    <cellStyle name="Normal 12_2010 - 2012 CEE Analysis - 2012 Budget DRAFT 11.1.11" xfId="19850" xr:uid="{00000000-0005-0000-0000-0000C64C0000}"/>
    <cellStyle name="Normal 120" xfId="19851" xr:uid="{00000000-0005-0000-0000-0000C74C0000}"/>
    <cellStyle name="Normal 120 10" xfId="19852" xr:uid="{00000000-0005-0000-0000-0000C84C0000}"/>
    <cellStyle name="Normal 120 10 2" xfId="19853" xr:uid="{00000000-0005-0000-0000-0000C94C0000}"/>
    <cellStyle name="Normal 120 11" xfId="19854" xr:uid="{00000000-0005-0000-0000-0000CA4C0000}"/>
    <cellStyle name="Normal 120 11 2" xfId="19855" xr:uid="{00000000-0005-0000-0000-0000CB4C0000}"/>
    <cellStyle name="Normal 120 12" xfId="19856" xr:uid="{00000000-0005-0000-0000-0000CC4C0000}"/>
    <cellStyle name="Normal 120 13" xfId="19857" xr:uid="{00000000-0005-0000-0000-0000CD4C0000}"/>
    <cellStyle name="Normal 120 14" xfId="19858" xr:uid="{00000000-0005-0000-0000-0000CE4C0000}"/>
    <cellStyle name="Normal 120 15" xfId="19859" xr:uid="{00000000-0005-0000-0000-0000CF4C0000}"/>
    <cellStyle name="Normal 120 16" xfId="19860" xr:uid="{00000000-0005-0000-0000-0000D04C0000}"/>
    <cellStyle name="Normal 120 2" xfId="19861" xr:uid="{00000000-0005-0000-0000-0000D14C0000}"/>
    <cellStyle name="Normal 120 2 10" xfId="19862" xr:uid="{00000000-0005-0000-0000-0000D24C0000}"/>
    <cellStyle name="Normal 120 2 11" xfId="19863" xr:uid="{00000000-0005-0000-0000-0000D34C0000}"/>
    <cellStyle name="Normal 120 2 12" xfId="19864" xr:uid="{00000000-0005-0000-0000-0000D44C0000}"/>
    <cellStyle name="Normal 120 2 2" xfId="19865" xr:uid="{00000000-0005-0000-0000-0000D54C0000}"/>
    <cellStyle name="Normal 120 2 2 10" xfId="19866" xr:uid="{00000000-0005-0000-0000-0000D64C0000}"/>
    <cellStyle name="Normal 120 2 2 2" xfId="19867" xr:uid="{00000000-0005-0000-0000-0000D74C0000}"/>
    <cellStyle name="Normal 120 2 2 2 2" xfId="19868" xr:uid="{00000000-0005-0000-0000-0000D84C0000}"/>
    <cellStyle name="Normal 120 2 2 2 2 2" xfId="19869" xr:uid="{00000000-0005-0000-0000-0000D94C0000}"/>
    <cellStyle name="Normal 120 2 2 2 3" xfId="19870" xr:uid="{00000000-0005-0000-0000-0000DA4C0000}"/>
    <cellStyle name="Normal 120 2 2 2 3 2" xfId="19871" xr:uid="{00000000-0005-0000-0000-0000DB4C0000}"/>
    <cellStyle name="Normal 120 2 2 2 4" xfId="19872" xr:uid="{00000000-0005-0000-0000-0000DC4C0000}"/>
    <cellStyle name="Normal 120 2 2 2 5" xfId="19873" xr:uid="{00000000-0005-0000-0000-0000DD4C0000}"/>
    <cellStyle name="Normal 120 2 2 2 6" xfId="19874" xr:uid="{00000000-0005-0000-0000-0000DE4C0000}"/>
    <cellStyle name="Normal 120 2 2 2 7" xfId="19875" xr:uid="{00000000-0005-0000-0000-0000DF4C0000}"/>
    <cellStyle name="Normal 120 2 2 3" xfId="19876" xr:uid="{00000000-0005-0000-0000-0000E04C0000}"/>
    <cellStyle name="Normal 120 2 2 3 2" xfId="19877" xr:uid="{00000000-0005-0000-0000-0000E14C0000}"/>
    <cellStyle name="Normal 120 2 2 3 2 2" xfId="19878" xr:uid="{00000000-0005-0000-0000-0000E24C0000}"/>
    <cellStyle name="Normal 120 2 2 3 3" xfId="19879" xr:uid="{00000000-0005-0000-0000-0000E34C0000}"/>
    <cellStyle name="Normal 120 2 2 3 3 2" xfId="19880" xr:uid="{00000000-0005-0000-0000-0000E44C0000}"/>
    <cellStyle name="Normal 120 2 2 3 4" xfId="19881" xr:uid="{00000000-0005-0000-0000-0000E54C0000}"/>
    <cellStyle name="Normal 120 2 2 3 5" xfId="19882" xr:uid="{00000000-0005-0000-0000-0000E64C0000}"/>
    <cellStyle name="Normal 120 2 2 3 6" xfId="19883" xr:uid="{00000000-0005-0000-0000-0000E74C0000}"/>
    <cellStyle name="Normal 120 2 2 3 7" xfId="19884" xr:uid="{00000000-0005-0000-0000-0000E84C0000}"/>
    <cellStyle name="Normal 120 2 2 4" xfId="19885" xr:uid="{00000000-0005-0000-0000-0000E94C0000}"/>
    <cellStyle name="Normal 120 2 2 4 2" xfId="19886" xr:uid="{00000000-0005-0000-0000-0000EA4C0000}"/>
    <cellStyle name="Normal 120 2 2 5" xfId="19887" xr:uid="{00000000-0005-0000-0000-0000EB4C0000}"/>
    <cellStyle name="Normal 120 2 2 5 2" xfId="19888" xr:uid="{00000000-0005-0000-0000-0000EC4C0000}"/>
    <cellStyle name="Normal 120 2 2 6" xfId="19889" xr:uid="{00000000-0005-0000-0000-0000ED4C0000}"/>
    <cellStyle name="Normal 120 2 2 7" xfId="19890" xr:uid="{00000000-0005-0000-0000-0000EE4C0000}"/>
    <cellStyle name="Normal 120 2 2 8" xfId="19891" xr:uid="{00000000-0005-0000-0000-0000EF4C0000}"/>
    <cellStyle name="Normal 120 2 2 9" xfId="19892" xr:uid="{00000000-0005-0000-0000-0000F04C0000}"/>
    <cellStyle name="Normal 120 2 3" xfId="19893" xr:uid="{00000000-0005-0000-0000-0000F14C0000}"/>
    <cellStyle name="Normal 120 2 3 2" xfId="19894" xr:uid="{00000000-0005-0000-0000-0000F24C0000}"/>
    <cellStyle name="Normal 120 2 3 2 2" xfId="19895" xr:uid="{00000000-0005-0000-0000-0000F34C0000}"/>
    <cellStyle name="Normal 120 2 3 2 2 2" xfId="19896" xr:uid="{00000000-0005-0000-0000-0000F44C0000}"/>
    <cellStyle name="Normal 120 2 3 2 3" xfId="19897" xr:uid="{00000000-0005-0000-0000-0000F54C0000}"/>
    <cellStyle name="Normal 120 2 3 2 3 2" xfId="19898" xr:uid="{00000000-0005-0000-0000-0000F64C0000}"/>
    <cellStyle name="Normal 120 2 3 2 4" xfId="19899" xr:uid="{00000000-0005-0000-0000-0000F74C0000}"/>
    <cellStyle name="Normal 120 2 3 2 5" xfId="19900" xr:uid="{00000000-0005-0000-0000-0000F84C0000}"/>
    <cellStyle name="Normal 120 2 3 2 6" xfId="19901" xr:uid="{00000000-0005-0000-0000-0000F94C0000}"/>
    <cellStyle name="Normal 120 2 3 2 7" xfId="19902" xr:uid="{00000000-0005-0000-0000-0000FA4C0000}"/>
    <cellStyle name="Normal 120 2 3 3" xfId="19903" xr:uid="{00000000-0005-0000-0000-0000FB4C0000}"/>
    <cellStyle name="Normal 120 2 3 3 2" xfId="19904" xr:uid="{00000000-0005-0000-0000-0000FC4C0000}"/>
    <cellStyle name="Normal 120 2 3 4" xfId="19905" xr:uid="{00000000-0005-0000-0000-0000FD4C0000}"/>
    <cellStyle name="Normal 120 2 3 4 2" xfId="19906" xr:uid="{00000000-0005-0000-0000-0000FE4C0000}"/>
    <cellStyle name="Normal 120 2 3 5" xfId="19907" xr:uid="{00000000-0005-0000-0000-0000FF4C0000}"/>
    <cellStyle name="Normal 120 2 3 6" xfId="19908" xr:uid="{00000000-0005-0000-0000-0000004D0000}"/>
    <cellStyle name="Normal 120 2 3 7" xfId="19909" xr:uid="{00000000-0005-0000-0000-0000014D0000}"/>
    <cellStyle name="Normal 120 2 3 8" xfId="19910" xr:uid="{00000000-0005-0000-0000-0000024D0000}"/>
    <cellStyle name="Normal 120 2 4" xfId="19911" xr:uid="{00000000-0005-0000-0000-0000034D0000}"/>
    <cellStyle name="Normal 120 2 4 2" xfId="19912" xr:uid="{00000000-0005-0000-0000-0000044D0000}"/>
    <cellStyle name="Normal 120 2 4 2 2" xfId="19913" xr:uid="{00000000-0005-0000-0000-0000054D0000}"/>
    <cellStyle name="Normal 120 2 4 2 2 2" xfId="19914" xr:uid="{00000000-0005-0000-0000-0000064D0000}"/>
    <cellStyle name="Normal 120 2 4 2 3" xfId="19915" xr:uid="{00000000-0005-0000-0000-0000074D0000}"/>
    <cellStyle name="Normal 120 2 4 2 3 2" xfId="19916" xr:uid="{00000000-0005-0000-0000-0000084D0000}"/>
    <cellStyle name="Normal 120 2 4 2 4" xfId="19917" xr:uid="{00000000-0005-0000-0000-0000094D0000}"/>
    <cellStyle name="Normal 120 2 4 2 5" xfId="19918" xr:uid="{00000000-0005-0000-0000-00000A4D0000}"/>
    <cellStyle name="Normal 120 2 4 2 6" xfId="19919" xr:uid="{00000000-0005-0000-0000-00000B4D0000}"/>
    <cellStyle name="Normal 120 2 4 2 7" xfId="19920" xr:uid="{00000000-0005-0000-0000-00000C4D0000}"/>
    <cellStyle name="Normal 120 2 4 3" xfId="19921" xr:uid="{00000000-0005-0000-0000-00000D4D0000}"/>
    <cellStyle name="Normal 120 2 4 3 2" xfId="19922" xr:uid="{00000000-0005-0000-0000-00000E4D0000}"/>
    <cellStyle name="Normal 120 2 4 4" xfId="19923" xr:uid="{00000000-0005-0000-0000-00000F4D0000}"/>
    <cellStyle name="Normal 120 2 4 4 2" xfId="19924" xr:uid="{00000000-0005-0000-0000-0000104D0000}"/>
    <cellStyle name="Normal 120 2 4 5" xfId="19925" xr:uid="{00000000-0005-0000-0000-0000114D0000}"/>
    <cellStyle name="Normal 120 2 4 6" xfId="19926" xr:uid="{00000000-0005-0000-0000-0000124D0000}"/>
    <cellStyle name="Normal 120 2 4 7" xfId="19927" xr:uid="{00000000-0005-0000-0000-0000134D0000}"/>
    <cellStyle name="Normal 120 2 4 8" xfId="19928" xr:uid="{00000000-0005-0000-0000-0000144D0000}"/>
    <cellStyle name="Normal 120 2 5" xfId="19929" xr:uid="{00000000-0005-0000-0000-0000154D0000}"/>
    <cellStyle name="Normal 120 2 5 2" xfId="19930" xr:uid="{00000000-0005-0000-0000-0000164D0000}"/>
    <cellStyle name="Normal 120 2 5 2 2" xfId="19931" xr:uid="{00000000-0005-0000-0000-0000174D0000}"/>
    <cellStyle name="Normal 120 2 5 3" xfId="19932" xr:uid="{00000000-0005-0000-0000-0000184D0000}"/>
    <cellStyle name="Normal 120 2 5 3 2" xfId="19933" xr:uid="{00000000-0005-0000-0000-0000194D0000}"/>
    <cellStyle name="Normal 120 2 5 4" xfId="19934" xr:uid="{00000000-0005-0000-0000-00001A4D0000}"/>
    <cellStyle name="Normal 120 2 5 5" xfId="19935" xr:uid="{00000000-0005-0000-0000-00001B4D0000}"/>
    <cellStyle name="Normal 120 2 5 6" xfId="19936" xr:uid="{00000000-0005-0000-0000-00001C4D0000}"/>
    <cellStyle name="Normal 120 2 5 7" xfId="19937" xr:uid="{00000000-0005-0000-0000-00001D4D0000}"/>
    <cellStyle name="Normal 120 2 6" xfId="19938" xr:uid="{00000000-0005-0000-0000-00001E4D0000}"/>
    <cellStyle name="Normal 120 2 6 2" xfId="19939" xr:uid="{00000000-0005-0000-0000-00001F4D0000}"/>
    <cellStyle name="Normal 120 2 7" xfId="19940" xr:uid="{00000000-0005-0000-0000-0000204D0000}"/>
    <cellStyle name="Normal 120 2 7 2" xfId="19941" xr:uid="{00000000-0005-0000-0000-0000214D0000}"/>
    <cellStyle name="Normal 120 2 8" xfId="19942" xr:uid="{00000000-0005-0000-0000-0000224D0000}"/>
    <cellStyle name="Normal 120 2 9" xfId="19943" xr:uid="{00000000-0005-0000-0000-0000234D0000}"/>
    <cellStyle name="Normal 120 3" xfId="19944" xr:uid="{00000000-0005-0000-0000-0000244D0000}"/>
    <cellStyle name="Normal 120 3 10" xfId="19945" xr:uid="{00000000-0005-0000-0000-0000254D0000}"/>
    <cellStyle name="Normal 120 3 11" xfId="19946" xr:uid="{00000000-0005-0000-0000-0000264D0000}"/>
    <cellStyle name="Normal 120 3 2" xfId="19947" xr:uid="{00000000-0005-0000-0000-0000274D0000}"/>
    <cellStyle name="Normal 120 3 2 2" xfId="19948" xr:uid="{00000000-0005-0000-0000-0000284D0000}"/>
    <cellStyle name="Normal 120 3 2 2 2" xfId="19949" xr:uid="{00000000-0005-0000-0000-0000294D0000}"/>
    <cellStyle name="Normal 120 3 2 2 2 2" xfId="19950" xr:uid="{00000000-0005-0000-0000-00002A4D0000}"/>
    <cellStyle name="Normal 120 3 2 2 3" xfId="19951" xr:uid="{00000000-0005-0000-0000-00002B4D0000}"/>
    <cellStyle name="Normal 120 3 2 2 3 2" xfId="19952" xr:uid="{00000000-0005-0000-0000-00002C4D0000}"/>
    <cellStyle name="Normal 120 3 2 2 4" xfId="19953" xr:uid="{00000000-0005-0000-0000-00002D4D0000}"/>
    <cellStyle name="Normal 120 3 2 2 5" xfId="19954" xr:uid="{00000000-0005-0000-0000-00002E4D0000}"/>
    <cellStyle name="Normal 120 3 2 2 6" xfId="19955" xr:uid="{00000000-0005-0000-0000-00002F4D0000}"/>
    <cellStyle name="Normal 120 3 2 2 7" xfId="19956" xr:uid="{00000000-0005-0000-0000-0000304D0000}"/>
    <cellStyle name="Normal 120 3 2 3" xfId="19957" xr:uid="{00000000-0005-0000-0000-0000314D0000}"/>
    <cellStyle name="Normal 120 3 2 3 2" xfId="19958" xr:uid="{00000000-0005-0000-0000-0000324D0000}"/>
    <cellStyle name="Normal 120 3 2 4" xfId="19959" xr:uid="{00000000-0005-0000-0000-0000334D0000}"/>
    <cellStyle name="Normal 120 3 2 4 2" xfId="19960" xr:uid="{00000000-0005-0000-0000-0000344D0000}"/>
    <cellStyle name="Normal 120 3 2 5" xfId="19961" xr:uid="{00000000-0005-0000-0000-0000354D0000}"/>
    <cellStyle name="Normal 120 3 2 6" xfId="19962" xr:uid="{00000000-0005-0000-0000-0000364D0000}"/>
    <cellStyle name="Normal 120 3 2 7" xfId="19963" xr:uid="{00000000-0005-0000-0000-0000374D0000}"/>
    <cellStyle name="Normal 120 3 2 8" xfId="19964" xr:uid="{00000000-0005-0000-0000-0000384D0000}"/>
    <cellStyle name="Normal 120 3 3" xfId="19965" xr:uid="{00000000-0005-0000-0000-0000394D0000}"/>
    <cellStyle name="Normal 120 3 3 2" xfId="19966" xr:uid="{00000000-0005-0000-0000-00003A4D0000}"/>
    <cellStyle name="Normal 120 3 3 2 2" xfId="19967" xr:uid="{00000000-0005-0000-0000-00003B4D0000}"/>
    <cellStyle name="Normal 120 3 3 2 2 2" xfId="19968" xr:uid="{00000000-0005-0000-0000-00003C4D0000}"/>
    <cellStyle name="Normal 120 3 3 2 3" xfId="19969" xr:uid="{00000000-0005-0000-0000-00003D4D0000}"/>
    <cellStyle name="Normal 120 3 3 2 3 2" xfId="19970" xr:uid="{00000000-0005-0000-0000-00003E4D0000}"/>
    <cellStyle name="Normal 120 3 3 2 4" xfId="19971" xr:uid="{00000000-0005-0000-0000-00003F4D0000}"/>
    <cellStyle name="Normal 120 3 3 2 5" xfId="19972" xr:uid="{00000000-0005-0000-0000-0000404D0000}"/>
    <cellStyle name="Normal 120 3 3 2 6" xfId="19973" xr:uid="{00000000-0005-0000-0000-0000414D0000}"/>
    <cellStyle name="Normal 120 3 3 2 7" xfId="19974" xr:uid="{00000000-0005-0000-0000-0000424D0000}"/>
    <cellStyle name="Normal 120 3 3 3" xfId="19975" xr:uid="{00000000-0005-0000-0000-0000434D0000}"/>
    <cellStyle name="Normal 120 3 3 3 2" xfId="19976" xr:uid="{00000000-0005-0000-0000-0000444D0000}"/>
    <cellStyle name="Normal 120 3 3 4" xfId="19977" xr:uid="{00000000-0005-0000-0000-0000454D0000}"/>
    <cellStyle name="Normal 120 3 3 4 2" xfId="19978" xr:uid="{00000000-0005-0000-0000-0000464D0000}"/>
    <cellStyle name="Normal 120 3 3 5" xfId="19979" xr:uid="{00000000-0005-0000-0000-0000474D0000}"/>
    <cellStyle name="Normal 120 3 3 6" xfId="19980" xr:uid="{00000000-0005-0000-0000-0000484D0000}"/>
    <cellStyle name="Normal 120 3 3 7" xfId="19981" xr:uid="{00000000-0005-0000-0000-0000494D0000}"/>
    <cellStyle name="Normal 120 3 3 8" xfId="19982" xr:uid="{00000000-0005-0000-0000-00004A4D0000}"/>
    <cellStyle name="Normal 120 3 4" xfId="19983" xr:uid="{00000000-0005-0000-0000-00004B4D0000}"/>
    <cellStyle name="Normal 120 3 4 2" xfId="19984" xr:uid="{00000000-0005-0000-0000-00004C4D0000}"/>
    <cellStyle name="Normal 120 3 4 2 2" xfId="19985" xr:uid="{00000000-0005-0000-0000-00004D4D0000}"/>
    <cellStyle name="Normal 120 3 4 3" xfId="19986" xr:uid="{00000000-0005-0000-0000-00004E4D0000}"/>
    <cellStyle name="Normal 120 3 4 3 2" xfId="19987" xr:uid="{00000000-0005-0000-0000-00004F4D0000}"/>
    <cellStyle name="Normal 120 3 4 4" xfId="19988" xr:uid="{00000000-0005-0000-0000-0000504D0000}"/>
    <cellStyle name="Normal 120 3 4 5" xfId="19989" xr:uid="{00000000-0005-0000-0000-0000514D0000}"/>
    <cellStyle name="Normal 120 3 4 6" xfId="19990" xr:uid="{00000000-0005-0000-0000-0000524D0000}"/>
    <cellStyle name="Normal 120 3 4 7" xfId="19991" xr:uid="{00000000-0005-0000-0000-0000534D0000}"/>
    <cellStyle name="Normal 120 3 5" xfId="19992" xr:uid="{00000000-0005-0000-0000-0000544D0000}"/>
    <cellStyle name="Normal 120 3 5 2" xfId="19993" xr:uid="{00000000-0005-0000-0000-0000554D0000}"/>
    <cellStyle name="Normal 120 3 6" xfId="19994" xr:uid="{00000000-0005-0000-0000-0000564D0000}"/>
    <cellStyle name="Normal 120 3 6 2" xfId="19995" xr:uid="{00000000-0005-0000-0000-0000574D0000}"/>
    <cellStyle name="Normal 120 3 7" xfId="19996" xr:uid="{00000000-0005-0000-0000-0000584D0000}"/>
    <cellStyle name="Normal 120 3 8" xfId="19997" xr:uid="{00000000-0005-0000-0000-0000594D0000}"/>
    <cellStyle name="Normal 120 3 9" xfId="19998" xr:uid="{00000000-0005-0000-0000-00005A4D0000}"/>
    <cellStyle name="Normal 120 4" xfId="19999" xr:uid="{00000000-0005-0000-0000-00005B4D0000}"/>
    <cellStyle name="Normal 120 4 10" xfId="20000" xr:uid="{00000000-0005-0000-0000-00005C4D0000}"/>
    <cellStyle name="Normal 120 4 2" xfId="20001" xr:uid="{00000000-0005-0000-0000-00005D4D0000}"/>
    <cellStyle name="Normal 120 4 2 2" xfId="20002" xr:uid="{00000000-0005-0000-0000-00005E4D0000}"/>
    <cellStyle name="Normal 120 4 2 2 2" xfId="20003" xr:uid="{00000000-0005-0000-0000-00005F4D0000}"/>
    <cellStyle name="Normal 120 4 2 3" xfId="20004" xr:uid="{00000000-0005-0000-0000-0000604D0000}"/>
    <cellStyle name="Normal 120 4 2 3 2" xfId="20005" xr:uid="{00000000-0005-0000-0000-0000614D0000}"/>
    <cellStyle name="Normal 120 4 2 4" xfId="20006" xr:uid="{00000000-0005-0000-0000-0000624D0000}"/>
    <cellStyle name="Normal 120 4 2 5" xfId="20007" xr:uid="{00000000-0005-0000-0000-0000634D0000}"/>
    <cellStyle name="Normal 120 4 2 6" xfId="20008" xr:uid="{00000000-0005-0000-0000-0000644D0000}"/>
    <cellStyle name="Normal 120 4 2 7" xfId="20009" xr:uid="{00000000-0005-0000-0000-0000654D0000}"/>
    <cellStyle name="Normal 120 4 3" xfId="20010" xr:uid="{00000000-0005-0000-0000-0000664D0000}"/>
    <cellStyle name="Normal 120 4 3 2" xfId="20011" xr:uid="{00000000-0005-0000-0000-0000674D0000}"/>
    <cellStyle name="Normal 120 4 3 2 2" xfId="20012" xr:uid="{00000000-0005-0000-0000-0000684D0000}"/>
    <cellStyle name="Normal 120 4 3 3" xfId="20013" xr:uid="{00000000-0005-0000-0000-0000694D0000}"/>
    <cellStyle name="Normal 120 4 3 3 2" xfId="20014" xr:uid="{00000000-0005-0000-0000-00006A4D0000}"/>
    <cellStyle name="Normal 120 4 3 4" xfId="20015" xr:uid="{00000000-0005-0000-0000-00006B4D0000}"/>
    <cellStyle name="Normal 120 4 3 5" xfId="20016" xr:uid="{00000000-0005-0000-0000-00006C4D0000}"/>
    <cellStyle name="Normal 120 4 3 6" xfId="20017" xr:uid="{00000000-0005-0000-0000-00006D4D0000}"/>
    <cellStyle name="Normal 120 4 3 7" xfId="20018" xr:uid="{00000000-0005-0000-0000-00006E4D0000}"/>
    <cellStyle name="Normal 120 4 4" xfId="20019" xr:uid="{00000000-0005-0000-0000-00006F4D0000}"/>
    <cellStyle name="Normal 120 4 4 2" xfId="20020" xr:uid="{00000000-0005-0000-0000-0000704D0000}"/>
    <cellStyle name="Normal 120 4 5" xfId="20021" xr:uid="{00000000-0005-0000-0000-0000714D0000}"/>
    <cellStyle name="Normal 120 4 5 2" xfId="20022" xr:uid="{00000000-0005-0000-0000-0000724D0000}"/>
    <cellStyle name="Normal 120 4 6" xfId="20023" xr:uid="{00000000-0005-0000-0000-0000734D0000}"/>
    <cellStyle name="Normal 120 4 7" xfId="20024" xr:uid="{00000000-0005-0000-0000-0000744D0000}"/>
    <cellStyle name="Normal 120 4 8" xfId="20025" xr:uid="{00000000-0005-0000-0000-0000754D0000}"/>
    <cellStyle name="Normal 120 4 9" xfId="20026" xr:uid="{00000000-0005-0000-0000-0000764D0000}"/>
    <cellStyle name="Normal 120 5" xfId="20027" xr:uid="{00000000-0005-0000-0000-0000774D0000}"/>
    <cellStyle name="Normal 120 5 2" xfId="20028" xr:uid="{00000000-0005-0000-0000-0000784D0000}"/>
    <cellStyle name="Normal 120 5 2 2" xfId="20029" xr:uid="{00000000-0005-0000-0000-0000794D0000}"/>
    <cellStyle name="Normal 120 5 2 2 2" xfId="20030" xr:uid="{00000000-0005-0000-0000-00007A4D0000}"/>
    <cellStyle name="Normal 120 5 2 3" xfId="20031" xr:uid="{00000000-0005-0000-0000-00007B4D0000}"/>
    <cellStyle name="Normal 120 5 2 3 2" xfId="20032" xr:uid="{00000000-0005-0000-0000-00007C4D0000}"/>
    <cellStyle name="Normal 120 5 2 4" xfId="20033" xr:uid="{00000000-0005-0000-0000-00007D4D0000}"/>
    <cellStyle name="Normal 120 5 2 5" xfId="20034" xr:uid="{00000000-0005-0000-0000-00007E4D0000}"/>
    <cellStyle name="Normal 120 5 2 6" xfId="20035" xr:uid="{00000000-0005-0000-0000-00007F4D0000}"/>
    <cellStyle name="Normal 120 5 2 7" xfId="20036" xr:uid="{00000000-0005-0000-0000-0000804D0000}"/>
    <cellStyle name="Normal 120 5 3" xfId="20037" xr:uid="{00000000-0005-0000-0000-0000814D0000}"/>
    <cellStyle name="Normal 120 5 3 2" xfId="20038" xr:uid="{00000000-0005-0000-0000-0000824D0000}"/>
    <cellStyle name="Normal 120 5 4" xfId="20039" xr:uid="{00000000-0005-0000-0000-0000834D0000}"/>
    <cellStyle name="Normal 120 5 4 2" xfId="20040" xr:uid="{00000000-0005-0000-0000-0000844D0000}"/>
    <cellStyle name="Normal 120 5 5" xfId="20041" xr:uid="{00000000-0005-0000-0000-0000854D0000}"/>
    <cellStyle name="Normal 120 5 6" xfId="20042" xr:uid="{00000000-0005-0000-0000-0000864D0000}"/>
    <cellStyle name="Normal 120 5 7" xfId="20043" xr:uid="{00000000-0005-0000-0000-0000874D0000}"/>
    <cellStyle name="Normal 120 5 8" xfId="20044" xr:uid="{00000000-0005-0000-0000-0000884D0000}"/>
    <cellStyle name="Normal 120 6" xfId="20045" xr:uid="{00000000-0005-0000-0000-0000894D0000}"/>
    <cellStyle name="Normal 120 6 2" xfId="20046" xr:uid="{00000000-0005-0000-0000-00008A4D0000}"/>
    <cellStyle name="Normal 120 6 2 2" xfId="20047" xr:uid="{00000000-0005-0000-0000-00008B4D0000}"/>
    <cellStyle name="Normal 120 6 2 2 2" xfId="20048" xr:uid="{00000000-0005-0000-0000-00008C4D0000}"/>
    <cellStyle name="Normal 120 6 2 3" xfId="20049" xr:uid="{00000000-0005-0000-0000-00008D4D0000}"/>
    <cellStyle name="Normal 120 6 2 3 2" xfId="20050" xr:uid="{00000000-0005-0000-0000-00008E4D0000}"/>
    <cellStyle name="Normal 120 6 2 4" xfId="20051" xr:uid="{00000000-0005-0000-0000-00008F4D0000}"/>
    <cellStyle name="Normal 120 6 2 5" xfId="20052" xr:uid="{00000000-0005-0000-0000-0000904D0000}"/>
    <cellStyle name="Normal 120 6 2 6" xfId="20053" xr:uid="{00000000-0005-0000-0000-0000914D0000}"/>
    <cellStyle name="Normal 120 6 2 7" xfId="20054" xr:uid="{00000000-0005-0000-0000-0000924D0000}"/>
    <cellStyle name="Normal 120 6 3" xfId="20055" xr:uid="{00000000-0005-0000-0000-0000934D0000}"/>
    <cellStyle name="Normal 120 6 3 2" xfId="20056" xr:uid="{00000000-0005-0000-0000-0000944D0000}"/>
    <cellStyle name="Normal 120 6 4" xfId="20057" xr:uid="{00000000-0005-0000-0000-0000954D0000}"/>
    <cellStyle name="Normal 120 6 4 2" xfId="20058" xr:uid="{00000000-0005-0000-0000-0000964D0000}"/>
    <cellStyle name="Normal 120 6 5" xfId="20059" xr:uid="{00000000-0005-0000-0000-0000974D0000}"/>
    <cellStyle name="Normal 120 6 6" xfId="20060" xr:uid="{00000000-0005-0000-0000-0000984D0000}"/>
    <cellStyle name="Normal 120 6 7" xfId="20061" xr:uid="{00000000-0005-0000-0000-0000994D0000}"/>
    <cellStyle name="Normal 120 6 8" xfId="20062" xr:uid="{00000000-0005-0000-0000-00009A4D0000}"/>
    <cellStyle name="Normal 120 7" xfId="20063" xr:uid="{00000000-0005-0000-0000-00009B4D0000}"/>
    <cellStyle name="Normal 120 7 2" xfId="20064" xr:uid="{00000000-0005-0000-0000-00009C4D0000}"/>
    <cellStyle name="Normal 120 7 2 2" xfId="20065" xr:uid="{00000000-0005-0000-0000-00009D4D0000}"/>
    <cellStyle name="Normal 120 7 3" xfId="20066" xr:uid="{00000000-0005-0000-0000-00009E4D0000}"/>
    <cellStyle name="Normal 120 7 3 2" xfId="20067" xr:uid="{00000000-0005-0000-0000-00009F4D0000}"/>
    <cellStyle name="Normal 120 7 4" xfId="20068" xr:uid="{00000000-0005-0000-0000-0000A04D0000}"/>
    <cellStyle name="Normal 120 7 5" xfId="20069" xr:uid="{00000000-0005-0000-0000-0000A14D0000}"/>
    <cellStyle name="Normal 120 7 6" xfId="20070" xr:uid="{00000000-0005-0000-0000-0000A24D0000}"/>
    <cellStyle name="Normal 120 7 7" xfId="20071" xr:uid="{00000000-0005-0000-0000-0000A34D0000}"/>
    <cellStyle name="Normal 120 8" xfId="20072" xr:uid="{00000000-0005-0000-0000-0000A44D0000}"/>
    <cellStyle name="Normal 120 8 2" xfId="20073" xr:uid="{00000000-0005-0000-0000-0000A54D0000}"/>
    <cellStyle name="Normal 120 8 2 2" xfId="20074" xr:uid="{00000000-0005-0000-0000-0000A64D0000}"/>
    <cellStyle name="Normal 120 8 3" xfId="20075" xr:uid="{00000000-0005-0000-0000-0000A74D0000}"/>
    <cellStyle name="Normal 120 8 3 2" xfId="20076" xr:uid="{00000000-0005-0000-0000-0000A84D0000}"/>
    <cellStyle name="Normal 120 8 4" xfId="20077" xr:uid="{00000000-0005-0000-0000-0000A94D0000}"/>
    <cellStyle name="Normal 120 8 5" xfId="20078" xr:uid="{00000000-0005-0000-0000-0000AA4D0000}"/>
    <cellStyle name="Normal 120 8 6" xfId="20079" xr:uid="{00000000-0005-0000-0000-0000AB4D0000}"/>
    <cellStyle name="Normal 120 8 7" xfId="20080" xr:uid="{00000000-0005-0000-0000-0000AC4D0000}"/>
    <cellStyle name="Normal 120 9" xfId="20081" xr:uid="{00000000-0005-0000-0000-0000AD4D0000}"/>
    <cellStyle name="Normal 121" xfId="20082" xr:uid="{00000000-0005-0000-0000-0000AE4D0000}"/>
    <cellStyle name="Normal 121 2" xfId="20083" xr:uid="{00000000-0005-0000-0000-0000AF4D0000}"/>
    <cellStyle name="Normal 121 2 2" xfId="20084" xr:uid="{00000000-0005-0000-0000-0000B04D0000}"/>
    <cellStyle name="Normal 121 2 3" xfId="20085" xr:uid="{00000000-0005-0000-0000-0000B14D0000}"/>
    <cellStyle name="Normal 121 3" xfId="20086" xr:uid="{00000000-0005-0000-0000-0000B24D0000}"/>
    <cellStyle name="Normal 121 3 2" xfId="20087" xr:uid="{00000000-0005-0000-0000-0000B34D0000}"/>
    <cellStyle name="Normal 121 3 3" xfId="20088" xr:uid="{00000000-0005-0000-0000-0000B44D0000}"/>
    <cellStyle name="Normal 121 4" xfId="20089" xr:uid="{00000000-0005-0000-0000-0000B54D0000}"/>
    <cellStyle name="Normal 121 4 2" xfId="20090" xr:uid="{00000000-0005-0000-0000-0000B64D0000}"/>
    <cellStyle name="Normal 121 4 3" xfId="20091" xr:uid="{00000000-0005-0000-0000-0000B74D0000}"/>
    <cellStyle name="Normal 121 5" xfId="20092" xr:uid="{00000000-0005-0000-0000-0000B84D0000}"/>
    <cellStyle name="Normal 121 6" xfId="20093" xr:uid="{00000000-0005-0000-0000-0000B94D0000}"/>
    <cellStyle name="Normal 121 7" xfId="20094" xr:uid="{00000000-0005-0000-0000-0000BA4D0000}"/>
    <cellStyle name="Normal 121 8" xfId="20095" xr:uid="{00000000-0005-0000-0000-0000BB4D0000}"/>
    <cellStyle name="Normal 121 9" xfId="20096" xr:uid="{00000000-0005-0000-0000-0000BC4D0000}"/>
    <cellStyle name="Normal 122" xfId="20097" xr:uid="{00000000-0005-0000-0000-0000BD4D0000}"/>
    <cellStyle name="Normal 122 2" xfId="20098" xr:uid="{00000000-0005-0000-0000-0000BE4D0000}"/>
    <cellStyle name="Normal 122 2 2" xfId="20099" xr:uid="{00000000-0005-0000-0000-0000BF4D0000}"/>
    <cellStyle name="Normal 122 3" xfId="20100" xr:uid="{00000000-0005-0000-0000-0000C04D0000}"/>
    <cellStyle name="Normal 122 4" xfId="20101" xr:uid="{00000000-0005-0000-0000-0000C14D0000}"/>
    <cellStyle name="Normal 122 5" xfId="20102" xr:uid="{00000000-0005-0000-0000-0000C24D0000}"/>
    <cellStyle name="Normal 123" xfId="20103" xr:uid="{00000000-0005-0000-0000-0000C34D0000}"/>
    <cellStyle name="Normal 123 2" xfId="20104" xr:uid="{00000000-0005-0000-0000-0000C44D0000}"/>
    <cellStyle name="Normal 123 2 2" xfId="20105" xr:uid="{00000000-0005-0000-0000-0000C54D0000}"/>
    <cellStyle name="Normal 123 3" xfId="20106" xr:uid="{00000000-0005-0000-0000-0000C64D0000}"/>
    <cellStyle name="Normal 123 4" xfId="20107" xr:uid="{00000000-0005-0000-0000-0000C74D0000}"/>
    <cellStyle name="Normal 123 5" xfId="20108" xr:uid="{00000000-0005-0000-0000-0000C84D0000}"/>
    <cellStyle name="Normal 124" xfId="20109" xr:uid="{00000000-0005-0000-0000-0000C94D0000}"/>
    <cellStyle name="Normal 124 2" xfId="20110" xr:uid="{00000000-0005-0000-0000-0000CA4D0000}"/>
    <cellStyle name="Normal 124 2 2" xfId="20111" xr:uid="{00000000-0005-0000-0000-0000CB4D0000}"/>
    <cellStyle name="Normal 124 3" xfId="20112" xr:uid="{00000000-0005-0000-0000-0000CC4D0000}"/>
    <cellStyle name="Normal 124 4" xfId="20113" xr:uid="{00000000-0005-0000-0000-0000CD4D0000}"/>
    <cellStyle name="Normal 124 5" xfId="20114" xr:uid="{00000000-0005-0000-0000-0000CE4D0000}"/>
    <cellStyle name="Normal 125" xfId="20115" xr:uid="{00000000-0005-0000-0000-0000CF4D0000}"/>
    <cellStyle name="Normal 125 2" xfId="20116" xr:uid="{00000000-0005-0000-0000-0000D04D0000}"/>
    <cellStyle name="Normal 125 3" xfId="20117" xr:uid="{00000000-0005-0000-0000-0000D14D0000}"/>
    <cellStyle name="Normal 125 4" xfId="20118" xr:uid="{00000000-0005-0000-0000-0000D24D0000}"/>
    <cellStyle name="Normal 125 5" xfId="20119" xr:uid="{00000000-0005-0000-0000-0000D34D0000}"/>
    <cellStyle name="Normal 126" xfId="20120" xr:uid="{00000000-0005-0000-0000-0000D44D0000}"/>
    <cellStyle name="Normal 126 2" xfId="20121" xr:uid="{00000000-0005-0000-0000-0000D54D0000}"/>
    <cellStyle name="Normal 126 3" xfId="20122" xr:uid="{00000000-0005-0000-0000-0000D64D0000}"/>
    <cellStyle name="Normal 127" xfId="20123" xr:uid="{00000000-0005-0000-0000-0000D74D0000}"/>
    <cellStyle name="Normal 127 2" xfId="20124" xr:uid="{00000000-0005-0000-0000-0000D84D0000}"/>
    <cellStyle name="Normal 127 3" xfId="20125" xr:uid="{00000000-0005-0000-0000-0000D94D0000}"/>
    <cellStyle name="Normal 128" xfId="20126" xr:uid="{00000000-0005-0000-0000-0000DA4D0000}"/>
    <cellStyle name="Normal 128 2" xfId="20127" xr:uid="{00000000-0005-0000-0000-0000DB4D0000}"/>
    <cellStyle name="Normal 128 3" xfId="20128" xr:uid="{00000000-0005-0000-0000-0000DC4D0000}"/>
    <cellStyle name="Normal 129" xfId="20129" xr:uid="{00000000-0005-0000-0000-0000DD4D0000}"/>
    <cellStyle name="Normal 129 2" xfId="20130" xr:uid="{00000000-0005-0000-0000-0000DE4D0000}"/>
    <cellStyle name="Normal 129 2 2" xfId="20131" xr:uid="{00000000-0005-0000-0000-0000DF4D0000}"/>
    <cellStyle name="Normal 129 3" xfId="20132" xr:uid="{00000000-0005-0000-0000-0000E04D0000}"/>
    <cellStyle name="Normal 13" xfId="252" xr:uid="{00000000-0005-0000-0000-0000E14D0000}"/>
    <cellStyle name="Normal 13 10" xfId="20133" xr:uid="{00000000-0005-0000-0000-0000E24D0000}"/>
    <cellStyle name="Normal 13 10 2" xfId="20134" xr:uid="{00000000-0005-0000-0000-0000E34D0000}"/>
    <cellStyle name="Normal 13 11" xfId="20135" xr:uid="{00000000-0005-0000-0000-0000E44D0000}"/>
    <cellStyle name="Normal 13 12" xfId="20136" xr:uid="{00000000-0005-0000-0000-0000E54D0000}"/>
    <cellStyle name="Normal 13 13" xfId="20137" xr:uid="{00000000-0005-0000-0000-0000E64D0000}"/>
    <cellStyle name="Normal 13 2" xfId="253" xr:uid="{00000000-0005-0000-0000-0000E74D0000}"/>
    <cellStyle name="Normal 13 2 10" xfId="20138" xr:uid="{00000000-0005-0000-0000-0000E84D0000}"/>
    <cellStyle name="Normal 13 2 10 2" xfId="20139" xr:uid="{00000000-0005-0000-0000-0000E94D0000}"/>
    <cellStyle name="Normal 13 2 11" xfId="20140" xr:uid="{00000000-0005-0000-0000-0000EA4D0000}"/>
    <cellStyle name="Normal 13 2 12" xfId="20141" xr:uid="{00000000-0005-0000-0000-0000EB4D0000}"/>
    <cellStyle name="Normal 13 2 13" xfId="20142" xr:uid="{00000000-0005-0000-0000-0000EC4D0000}"/>
    <cellStyle name="Normal 13 2 14" xfId="20143" xr:uid="{00000000-0005-0000-0000-0000ED4D0000}"/>
    <cellStyle name="Normal 13 2 2" xfId="20144" xr:uid="{00000000-0005-0000-0000-0000EE4D0000}"/>
    <cellStyle name="Normal 13 2 2 10" xfId="20145" xr:uid="{00000000-0005-0000-0000-0000EF4D0000}"/>
    <cellStyle name="Normal 13 2 2 11" xfId="20146" xr:uid="{00000000-0005-0000-0000-0000F04D0000}"/>
    <cellStyle name="Normal 13 2 2 12" xfId="20147" xr:uid="{00000000-0005-0000-0000-0000F14D0000}"/>
    <cellStyle name="Normal 13 2 2 2" xfId="20148" xr:uid="{00000000-0005-0000-0000-0000F24D0000}"/>
    <cellStyle name="Normal 13 2 2 2 10" xfId="20149" xr:uid="{00000000-0005-0000-0000-0000F34D0000}"/>
    <cellStyle name="Normal 13 2 2 2 2" xfId="20150" xr:uid="{00000000-0005-0000-0000-0000F44D0000}"/>
    <cellStyle name="Normal 13 2 2 2 2 2" xfId="20151" xr:uid="{00000000-0005-0000-0000-0000F54D0000}"/>
    <cellStyle name="Normal 13 2 2 2 2 2 2" xfId="20152" xr:uid="{00000000-0005-0000-0000-0000F64D0000}"/>
    <cellStyle name="Normal 13 2 2 2 2 2 3" xfId="20153" xr:uid="{00000000-0005-0000-0000-0000F74D0000}"/>
    <cellStyle name="Normal 13 2 2 2 2 3" xfId="20154" xr:uid="{00000000-0005-0000-0000-0000F84D0000}"/>
    <cellStyle name="Normal 13 2 2 2 2 3 2" xfId="20155" xr:uid="{00000000-0005-0000-0000-0000F94D0000}"/>
    <cellStyle name="Normal 13 2 2 2 2 4" xfId="20156" xr:uid="{00000000-0005-0000-0000-0000FA4D0000}"/>
    <cellStyle name="Normal 13 2 2 2 2 5" xfId="20157" xr:uid="{00000000-0005-0000-0000-0000FB4D0000}"/>
    <cellStyle name="Normal 13 2 2 2 2 6" xfId="20158" xr:uid="{00000000-0005-0000-0000-0000FC4D0000}"/>
    <cellStyle name="Normal 13 2 2 2 2 7" xfId="20159" xr:uid="{00000000-0005-0000-0000-0000FD4D0000}"/>
    <cellStyle name="Normal 13 2 2 2 2 8" xfId="20160" xr:uid="{00000000-0005-0000-0000-0000FE4D0000}"/>
    <cellStyle name="Normal 13 2 2 2 3" xfId="20161" xr:uid="{00000000-0005-0000-0000-0000FF4D0000}"/>
    <cellStyle name="Normal 13 2 2 2 3 2" xfId="20162" xr:uid="{00000000-0005-0000-0000-0000004E0000}"/>
    <cellStyle name="Normal 13 2 2 2 3 2 2" xfId="20163" xr:uid="{00000000-0005-0000-0000-0000014E0000}"/>
    <cellStyle name="Normal 13 2 2 2 3 3" xfId="20164" xr:uid="{00000000-0005-0000-0000-0000024E0000}"/>
    <cellStyle name="Normal 13 2 2 2 3 3 2" xfId="20165" xr:uid="{00000000-0005-0000-0000-0000034E0000}"/>
    <cellStyle name="Normal 13 2 2 2 3 4" xfId="20166" xr:uid="{00000000-0005-0000-0000-0000044E0000}"/>
    <cellStyle name="Normal 13 2 2 2 3 5" xfId="20167" xr:uid="{00000000-0005-0000-0000-0000054E0000}"/>
    <cellStyle name="Normal 13 2 2 2 3 6" xfId="20168" xr:uid="{00000000-0005-0000-0000-0000064E0000}"/>
    <cellStyle name="Normal 13 2 2 2 3 7" xfId="20169" xr:uid="{00000000-0005-0000-0000-0000074E0000}"/>
    <cellStyle name="Normal 13 2 2 2 3 8" xfId="20170" xr:uid="{00000000-0005-0000-0000-0000084E0000}"/>
    <cellStyle name="Normal 13 2 2 2 4" xfId="20171" xr:uid="{00000000-0005-0000-0000-0000094E0000}"/>
    <cellStyle name="Normal 13 2 2 2 4 2" xfId="20172" xr:uid="{00000000-0005-0000-0000-00000A4E0000}"/>
    <cellStyle name="Normal 13 2 2 2 5" xfId="20173" xr:uid="{00000000-0005-0000-0000-00000B4E0000}"/>
    <cellStyle name="Normal 13 2 2 2 5 2" xfId="20174" xr:uid="{00000000-0005-0000-0000-00000C4E0000}"/>
    <cellStyle name="Normal 13 2 2 2 6" xfId="20175" xr:uid="{00000000-0005-0000-0000-00000D4E0000}"/>
    <cellStyle name="Normal 13 2 2 2 7" xfId="20176" xr:uid="{00000000-0005-0000-0000-00000E4E0000}"/>
    <cellStyle name="Normal 13 2 2 2 8" xfId="20177" xr:uid="{00000000-0005-0000-0000-00000F4E0000}"/>
    <cellStyle name="Normal 13 2 2 2 9" xfId="20178" xr:uid="{00000000-0005-0000-0000-0000104E0000}"/>
    <cellStyle name="Normal 13 2 2 3" xfId="20179" xr:uid="{00000000-0005-0000-0000-0000114E0000}"/>
    <cellStyle name="Normal 13 2 2 3 2" xfId="20180" xr:uid="{00000000-0005-0000-0000-0000124E0000}"/>
    <cellStyle name="Normal 13 2 2 3 2 2" xfId="20181" xr:uid="{00000000-0005-0000-0000-0000134E0000}"/>
    <cellStyle name="Normal 13 2 2 3 2 2 2" xfId="20182" xr:uid="{00000000-0005-0000-0000-0000144E0000}"/>
    <cellStyle name="Normal 13 2 2 3 2 3" xfId="20183" xr:uid="{00000000-0005-0000-0000-0000154E0000}"/>
    <cellStyle name="Normal 13 2 2 3 2 3 2" xfId="20184" xr:uid="{00000000-0005-0000-0000-0000164E0000}"/>
    <cellStyle name="Normal 13 2 2 3 2 4" xfId="20185" xr:uid="{00000000-0005-0000-0000-0000174E0000}"/>
    <cellStyle name="Normal 13 2 2 3 2 5" xfId="20186" xr:uid="{00000000-0005-0000-0000-0000184E0000}"/>
    <cellStyle name="Normal 13 2 2 3 2 6" xfId="20187" xr:uid="{00000000-0005-0000-0000-0000194E0000}"/>
    <cellStyle name="Normal 13 2 2 3 2 7" xfId="20188" xr:uid="{00000000-0005-0000-0000-00001A4E0000}"/>
    <cellStyle name="Normal 13 2 2 3 2 8" xfId="20189" xr:uid="{00000000-0005-0000-0000-00001B4E0000}"/>
    <cellStyle name="Normal 13 2 2 3 3" xfId="20190" xr:uid="{00000000-0005-0000-0000-00001C4E0000}"/>
    <cellStyle name="Normal 13 2 2 3 3 2" xfId="20191" xr:uid="{00000000-0005-0000-0000-00001D4E0000}"/>
    <cellStyle name="Normal 13 2 2 3 4" xfId="20192" xr:uid="{00000000-0005-0000-0000-00001E4E0000}"/>
    <cellStyle name="Normal 13 2 2 3 4 2" xfId="20193" xr:uid="{00000000-0005-0000-0000-00001F4E0000}"/>
    <cellStyle name="Normal 13 2 2 3 5" xfId="20194" xr:uid="{00000000-0005-0000-0000-0000204E0000}"/>
    <cellStyle name="Normal 13 2 2 3 6" xfId="20195" xr:uid="{00000000-0005-0000-0000-0000214E0000}"/>
    <cellStyle name="Normal 13 2 2 3 7" xfId="20196" xr:uid="{00000000-0005-0000-0000-0000224E0000}"/>
    <cellStyle name="Normal 13 2 2 3 8" xfId="20197" xr:uid="{00000000-0005-0000-0000-0000234E0000}"/>
    <cellStyle name="Normal 13 2 2 3 9" xfId="20198" xr:uid="{00000000-0005-0000-0000-0000244E0000}"/>
    <cellStyle name="Normal 13 2 2 4" xfId="20199" xr:uid="{00000000-0005-0000-0000-0000254E0000}"/>
    <cellStyle name="Normal 13 2 2 4 2" xfId="20200" xr:uid="{00000000-0005-0000-0000-0000264E0000}"/>
    <cellStyle name="Normal 13 2 2 4 2 2" xfId="20201" xr:uid="{00000000-0005-0000-0000-0000274E0000}"/>
    <cellStyle name="Normal 13 2 2 4 2 2 2" xfId="20202" xr:uid="{00000000-0005-0000-0000-0000284E0000}"/>
    <cellStyle name="Normal 13 2 2 4 2 3" xfId="20203" xr:uid="{00000000-0005-0000-0000-0000294E0000}"/>
    <cellStyle name="Normal 13 2 2 4 2 3 2" xfId="20204" xr:uid="{00000000-0005-0000-0000-00002A4E0000}"/>
    <cellStyle name="Normal 13 2 2 4 2 4" xfId="20205" xr:uid="{00000000-0005-0000-0000-00002B4E0000}"/>
    <cellStyle name="Normal 13 2 2 4 2 5" xfId="20206" xr:uid="{00000000-0005-0000-0000-00002C4E0000}"/>
    <cellStyle name="Normal 13 2 2 4 2 6" xfId="20207" xr:uid="{00000000-0005-0000-0000-00002D4E0000}"/>
    <cellStyle name="Normal 13 2 2 4 2 7" xfId="20208" xr:uid="{00000000-0005-0000-0000-00002E4E0000}"/>
    <cellStyle name="Normal 13 2 2 4 3" xfId="20209" xr:uid="{00000000-0005-0000-0000-00002F4E0000}"/>
    <cellStyle name="Normal 13 2 2 4 3 2" xfId="20210" xr:uid="{00000000-0005-0000-0000-0000304E0000}"/>
    <cellStyle name="Normal 13 2 2 4 4" xfId="20211" xr:uid="{00000000-0005-0000-0000-0000314E0000}"/>
    <cellStyle name="Normal 13 2 2 4 4 2" xfId="20212" xr:uid="{00000000-0005-0000-0000-0000324E0000}"/>
    <cellStyle name="Normal 13 2 2 4 5" xfId="20213" xr:uid="{00000000-0005-0000-0000-0000334E0000}"/>
    <cellStyle name="Normal 13 2 2 4 6" xfId="20214" xr:uid="{00000000-0005-0000-0000-0000344E0000}"/>
    <cellStyle name="Normal 13 2 2 4 7" xfId="20215" xr:uid="{00000000-0005-0000-0000-0000354E0000}"/>
    <cellStyle name="Normal 13 2 2 4 8" xfId="20216" xr:uid="{00000000-0005-0000-0000-0000364E0000}"/>
    <cellStyle name="Normal 13 2 2 4 9" xfId="20217" xr:uid="{00000000-0005-0000-0000-0000374E0000}"/>
    <cellStyle name="Normal 13 2 2 5" xfId="20218" xr:uid="{00000000-0005-0000-0000-0000384E0000}"/>
    <cellStyle name="Normal 13 2 2 5 2" xfId="20219" xr:uid="{00000000-0005-0000-0000-0000394E0000}"/>
    <cellStyle name="Normal 13 2 2 5 2 2" xfId="20220" xr:uid="{00000000-0005-0000-0000-00003A4E0000}"/>
    <cellStyle name="Normal 13 2 2 5 3" xfId="20221" xr:uid="{00000000-0005-0000-0000-00003B4E0000}"/>
    <cellStyle name="Normal 13 2 2 5 3 2" xfId="20222" xr:uid="{00000000-0005-0000-0000-00003C4E0000}"/>
    <cellStyle name="Normal 13 2 2 5 4" xfId="20223" xr:uid="{00000000-0005-0000-0000-00003D4E0000}"/>
    <cellStyle name="Normal 13 2 2 5 5" xfId="20224" xr:uid="{00000000-0005-0000-0000-00003E4E0000}"/>
    <cellStyle name="Normal 13 2 2 5 6" xfId="20225" xr:uid="{00000000-0005-0000-0000-00003F4E0000}"/>
    <cellStyle name="Normal 13 2 2 5 7" xfId="20226" xr:uid="{00000000-0005-0000-0000-0000404E0000}"/>
    <cellStyle name="Normal 13 2 2 5 8" xfId="20227" xr:uid="{00000000-0005-0000-0000-0000414E0000}"/>
    <cellStyle name="Normal 13 2 2 6" xfId="20228" xr:uid="{00000000-0005-0000-0000-0000424E0000}"/>
    <cellStyle name="Normal 13 2 2 6 2" xfId="20229" xr:uid="{00000000-0005-0000-0000-0000434E0000}"/>
    <cellStyle name="Normal 13 2 2 7" xfId="20230" xr:uid="{00000000-0005-0000-0000-0000444E0000}"/>
    <cellStyle name="Normal 13 2 2 7 2" xfId="20231" xr:uid="{00000000-0005-0000-0000-0000454E0000}"/>
    <cellStyle name="Normal 13 2 2 8" xfId="20232" xr:uid="{00000000-0005-0000-0000-0000464E0000}"/>
    <cellStyle name="Normal 13 2 2 9" xfId="20233" xr:uid="{00000000-0005-0000-0000-0000474E0000}"/>
    <cellStyle name="Normal 13 2 3" xfId="20234" xr:uid="{00000000-0005-0000-0000-0000484E0000}"/>
    <cellStyle name="Normal 13 2 3 10" xfId="20235" xr:uid="{00000000-0005-0000-0000-0000494E0000}"/>
    <cellStyle name="Normal 13 2 3 11" xfId="20236" xr:uid="{00000000-0005-0000-0000-00004A4E0000}"/>
    <cellStyle name="Normal 13 2 3 2" xfId="20237" xr:uid="{00000000-0005-0000-0000-00004B4E0000}"/>
    <cellStyle name="Normal 13 2 3 2 2" xfId="20238" xr:uid="{00000000-0005-0000-0000-00004C4E0000}"/>
    <cellStyle name="Normal 13 2 3 2 2 2" xfId="20239" xr:uid="{00000000-0005-0000-0000-00004D4E0000}"/>
    <cellStyle name="Normal 13 2 3 2 2 2 2" xfId="20240" xr:uid="{00000000-0005-0000-0000-00004E4E0000}"/>
    <cellStyle name="Normal 13 2 3 2 2 3" xfId="20241" xr:uid="{00000000-0005-0000-0000-00004F4E0000}"/>
    <cellStyle name="Normal 13 2 3 2 2 3 2" xfId="20242" xr:uid="{00000000-0005-0000-0000-0000504E0000}"/>
    <cellStyle name="Normal 13 2 3 2 2 4" xfId="20243" xr:uid="{00000000-0005-0000-0000-0000514E0000}"/>
    <cellStyle name="Normal 13 2 3 2 2 5" xfId="20244" xr:uid="{00000000-0005-0000-0000-0000524E0000}"/>
    <cellStyle name="Normal 13 2 3 2 2 6" xfId="20245" xr:uid="{00000000-0005-0000-0000-0000534E0000}"/>
    <cellStyle name="Normal 13 2 3 2 2 7" xfId="20246" xr:uid="{00000000-0005-0000-0000-0000544E0000}"/>
    <cellStyle name="Normal 13 2 3 2 3" xfId="20247" xr:uid="{00000000-0005-0000-0000-0000554E0000}"/>
    <cellStyle name="Normal 13 2 3 2 3 2" xfId="20248" xr:uid="{00000000-0005-0000-0000-0000564E0000}"/>
    <cellStyle name="Normal 13 2 3 2 4" xfId="20249" xr:uid="{00000000-0005-0000-0000-0000574E0000}"/>
    <cellStyle name="Normal 13 2 3 2 4 2" xfId="20250" xr:uid="{00000000-0005-0000-0000-0000584E0000}"/>
    <cellStyle name="Normal 13 2 3 2 5" xfId="20251" xr:uid="{00000000-0005-0000-0000-0000594E0000}"/>
    <cellStyle name="Normal 13 2 3 2 6" xfId="20252" xr:uid="{00000000-0005-0000-0000-00005A4E0000}"/>
    <cellStyle name="Normal 13 2 3 2 7" xfId="20253" xr:uid="{00000000-0005-0000-0000-00005B4E0000}"/>
    <cellStyle name="Normal 13 2 3 2 8" xfId="20254" xr:uid="{00000000-0005-0000-0000-00005C4E0000}"/>
    <cellStyle name="Normal 13 2 3 2 9" xfId="20255" xr:uid="{00000000-0005-0000-0000-00005D4E0000}"/>
    <cellStyle name="Normal 13 2 3 3" xfId="20256" xr:uid="{00000000-0005-0000-0000-00005E4E0000}"/>
    <cellStyle name="Normal 13 2 3 3 2" xfId="20257" xr:uid="{00000000-0005-0000-0000-00005F4E0000}"/>
    <cellStyle name="Normal 13 2 3 3 2 2" xfId="20258" xr:uid="{00000000-0005-0000-0000-0000604E0000}"/>
    <cellStyle name="Normal 13 2 3 3 2 2 2" xfId="20259" xr:uid="{00000000-0005-0000-0000-0000614E0000}"/>
    <cellStyle name="Normal 13 2 3 3 2 3" xfId="20260" xr:uid="{00000000-0005-0000-0000-0000624E0000}"/>
    <cellStyle name="Normal 13 2 3 3 2 3 2" xfId="20261" xr:uid="{00000000-0005-0000-0000-0000634E0000}"/>
    <cellStyle name="Normal 13 2 3 3 2 4" xfId="20262" xr:uid="{00000000-0005-0000-0000-0000644E0000}"/>
    <cellStyle name="Normal 13 2 3 3 2 5" xfId="20263" xr:uid="{00000000-0005-0000-0000-0000654E0000}"/>
    <cellStyle name="Normal 13 2 3 3 2 6" xfId="20264" xr:uid="{00000000-0005-0000-0000-0000664E0000}"/>
    <cellStyle name="Normal 13 2 3 3 2 7" xfId="20265" xr:uid="{00000000-0005-0000-0000-0000674E0000}"/>
    <cellStyle name="Normal 13 2 3 3 2 8" xfId="20266" xr:uid="{00000000-0005-0000-0000-0000684E0000}"/>
    <cellStyle name="Normal 13 2 3 3 3" xfId="20267" xr:uid="{00000000-0005-0000-0000-0000694E0000}"/>
    <cellStyle name="Normal 13 2 3 3 3 2" xfId="20268" xr:uid="{00000000-0005-0000-0000-00006A4E0000}"/>
    <cellStyle name="Normal 13 2 3 3 4" xfId="20269" xr:uid="{00000000-0005-0000-0000-00006B4E0000}"/>
    <cellStyle name="Normal 13 2 3 3 4 2" xfId="20270" xr:uid="{00000000-0005-0000-0000-00006C4E0000}"/>
    <cellStyle name="Normal 13 2 3 3 5" xfId="20271" xr:uid="{00000000-0005-0000-0000-00006D4E0000}"/>
    <cellStyle name="Normal 13 2 3 3 6" xfId="20272" xr:uid="{00000000-0005-0000-0000-00006E4E0000}"/>
    <cellStyle name="Normal 13 2 3 3 7" xfId="20273" xr:uid="{00000000-0005-0000-0000-00006F4E0000}"/>
    <cellStyle name="Normal 13 2 3 3 8" xfId="20274" xr:uid="{00000000-0005-0000-0000-0000704E0000}"/>
    <cellStyle name="Normal 13 2 3 3 9" xfId="20275" xr:uid="{00000000-0005-0000-0000-0000714E0000}"/>
    <cellStyle name="Normal 13 2 3 4" xfId="20276" xr:uid="{00000000-0005-0000-0000-0000724E0000}"/>
    <cellStyle name="Normal 13 2 3 4 2" xfId="20277" xr:uid="{00000000-0005-0000-0000-0000734E0000}"/>
    <cellStyle name="Normal 13 2 3 4 2 2" xfId="20278" xr:uid="{00000000-0005-0000-0000-0000744E0000}"/>
    <cellStyle name="Normal 13 2 3 4 3" xfId="20279" xr:uid="{00000000-0005-0000-0000-0000754E0000}"/>
    <cellStyle name="Normal 13 2 3 4 3 2" xfId="20280" xr:uid="{00000000-0005-0000-0000-0000764E0000}"/>
    <cellStyle name="Normal 13 2 3 4 4" xfId="20281" xr:uid="{00000000-0005-0000-0000-0000774E0000}"/>
    <cellStyle name="Normal 13 2 3 4 5" xfId="20282" xr:uid="{00000000-0005-0000-0000-0000784E0000}"/>
    <cellStyle name="Normal 13 2 3 4 6" xfId="20283" xr:uid="{00000000-0005-0000-0000-0000794E0000}"/>
    <cellStyle name="Normal 13 2 3 4 7" xfId="20284" xr:uid="{00000000-0005-0000-0000-00007A4E0000}"/>
    <cellStyle name="Normal 13 2 3 4 8" xfId="20285" xr:uid="{00000000-0005-0000-0000-00007B4E0000}"/>
    <cellStyle name="Normal 13 2 3 5" xfId="20286" xr:uid="{00000000-0005-0000-0000-00007C4E0000}"/>
    <cellStyle name="Normal 13 2 3 5 2" xfId="20287" xr:uid="{00000000-0005-0000-0000-00007D4E0000}"/>
    <cellStyle name="Normal 13 2 3 6" xfId="20288" xr:uid="{00000000-0005-0000-0000-00007E4E0000}"/>
    <cellStyle name="Normal 13 2 3 6 2" xfId="20289" xr:uid="{00000000-0005-0000-0000-00007F4E0000}"/>
    <cellStyle name="Normal 13 2 3 7" xfId="20290" xr:uid="{00000000-0005-0000-0000-0000804E0000}"/>
    <cellStyle name="Normal 13 2 3 8" xfId="20291" xr:uid="{00000000-0005-0000-0000-0000814E0000}"/>
    <cellStyle name="Normal 13 2 3 9" xfId="20292" xr:uid="{00000000-0005-0000-0000-0000824E0000}"/>
    <cellStyle name="Normal 13 2 4" xfId="20293" xr:uid="{00000000-0005-0000-0000-0000834E0000}"/>
    <cellStyle name="Normal 13 2 4 10" xfId="20294" xr:uid="{00000000-0005-0000-0000-0000844E0000}"/>
    <cellStyle name="Normal 13 2 4 2" xfId="20295" xr:uid="{00000000-0005-0000-0000-0000854E0000}"/>
    <cellStyle name="Normal 13 2 4 2 2" xfId="20296" xr:uid="{00000000-0005-0000-0000-0000864E0000}"/>
    <cellStyle name="Normal 13 2 4 2 2 2" xfId="20297" xr:uid="{00000000-0005-0000-0000-0000874E0000}"/>
    <cellStyle name="Normal 13 2 4 2 3" xfId="20298" xr:uid="{00000000-0005-0000-0000-0000884E0000}"/>
    <cellStyle name="Normal 13 2 4 2 3 2" xfId="20299" xr:uid="{00000000-0005-0000-0000-0000894E0000}"/>
    <cellStyle name="Normal 13 2 4 2 4" xfId="20300" xr:uid="{00000000-0005-0000-0000-00008A4E0000}"/>
    <cellStyle name="Normal 13 2 4 2 5" xfId="20301" xr:uid="{00000000-0005-0000-0000-00008B4E0000}"/>
    <cellStyle name="Normal 13 2 4 2 6" xfId="20302" xr:uid="{00000000-0005-0000-0000-00008C4E0000}"/>
    <cellStyle name="Normal 13 2 4 2 7" xfId="20303" xr:uid="{00000000-0005-0000-0000-00008D4E0000}"/>
    <cellStyle name="Normal 13 2 4 2 8" xfId="20304" xr:uid="{00000000-0005-0000-0000-00008E4E0000}"/>
    <cellStyle name="Normal 13 2 4 3" xfId="20305" xr:uid="{00000000-0005-0000-0000-00008F4E0000}"/>
    <cellStyle name="Normal 13 2 4 3 2" xfId="20306" xr:uid="{00000000-0005-0000-0000-0000904E0000}"/>
    <cellStyle name="Normal 13 2 4 3 2 2" xfId="20307" xr:uid="{00000000-0005-0000-0000-0000914E0000}"/>
    <cellStyle name="Normal 13 2 4 3 3" xfId="20308" xr:uid="{00000000-0005-0000-0000-0000924E0000}"/>
    <cellStyle name="Normal 13 2 4 3 3 2" xfId="20309" xr:uid="{00000000-0005-0000-0000-0000934E0000}"/>
    <cellStyle name="Normal 13 2 4 3 4" xfId="20310" xr:uid="{00000000-0005-0000-0000-0000944E0000}"/>
    <cellStyle name="Normal 13 2 4 3 5" xfId="20311" xr:uid="{00000000-0005-0000-0000-0000954E0000}"/>
    <cellStyle name="Normal 13 2 4 3 6" xfId="20312" xr:uid="{00000000-0005-0000-0000-0000964E0000}"/>
    <cellStyle name="Normal 13 2 4 3 7" xfId="20313" xr:uid="{00000000-0005-0000-0000-0000974E0000}"/>
    <cellStyle name="Normal 13 2 4 4" xfId="20314" xr:uid="{00000000-0005-0000-0000-0000984E0000}"/>
    <cellStyle name="Normal 13 2 4 4 2" xfId="20315" xr:uid="{00000000-0005-0000-0000-0000994E0000}"/>
    <cellStyle name="Normal 13 2 4 5" xfId="20316" xr:uid="{00000000-0005-0000-0000-00009A4E0000}"/>
    <cellStyle name="Normal 13 2 4 5 2" xfId="20317" xr:uid="{00000000-0005-0000-0000-00009B4E0000}"/>
    <cellStyle name="Normal 13 2 4 6" xfId="20318" xr:uid="{00000000-0005-0000-0000-00009C4E0000}"/>
    <cellStyle name="Normal 13 2 4 7" xfId="20319" xr:uid="{00000000-0005-0000-0000-00009D4E0000}"/>
    <cellStyle name="Normal 13 2 4 8" xfId="20320" xr:uid="{00000000-0005-0000-0000-00009E4E0000}"/>
    <cellStyle name="Normal 13 2 4 9" xfId="20321" xr:uid="{00000000-0005-0000-0000-00009F4E0000}"/>
    <cellStyle name="Normal 13 2 5" xfId="20322" xr:uid="{00000000-0005-0000-0000-0000A04E0000}"/>
    <cellStyle name="Normal 13 2 5 2" xfId="20323" xr:uid="{00000000-0005-0000-0000-0000A14E0000}"/>
    <cellStyle name="Normal 13 2 5 2 2" xfId="20324" xr:uid="{00000000-0005-0000-0000-0000A24E0000}"/>
    <cellStyle name="Normal 13 2 5 2 2 2" xfId="20325" xr:uid="{00000000-0005-0000-0000-0000A34E0000}"/>
    <cellStyle name="Normal 13 2 5 2 3" xfId="20326" xr:uid="{00000000-0005-0000-0000-0000A44E0000}"/>
    <cellStyle name="Normal 13 2 5 2 3 2" xfId="20327" xr:uid="{00000000-0005-0000-0000-0000A54E0000}"/>
    <cellStyle name="Normal 13 2 5 2 4" xfId="20328" xr:uid="{00000000-0005-0000-0000-0000A64E0000}"/>
    <cellStyle name="Normal 13 2 5 2 5" xfId="20329" xr:uid="{00000000-0005-0000-0000-0000A74E0000}"/>
    <cellStyle name="Normal 13 2 5 2 6" xfId="20330" xr:uid="{00000000-0005-0000-0000-0000A84E0000}"/>
    <cellStyle name="Normal 13 2 5 2 7" xfId="20331" xr:uid="{00000000-0005-0000-0000-0000A94E0000}"/>
    <cellStyle name="Normal 13 2 5 3" xfId="20332" xr:uid="{00000000-0005-0000-0000-0000AA4E0000}"/>
    <cellStyle name="Normal 13 2 5 3 2" xfId="20333" xr:uid="{00000000-0005-0000-0000-0000AB4E0000}"/>
    <cellStyle name="Normal 13 2 5 4" xfId="20334" xr:uid="{00000000-0005-0000-0000-0000AC4E0000}"/>
    <cellStyle name="Normal 13 2 5 4 2" xfId="20335" xr:uid="{00000000-0005-0000-0000-0000AD4E0000}"/>
    <cellStyle name="Normal 13 2 5 5" xfId="20336" xr:uid="{00000000-0005-0000-0000-0000AE4E0000}"/>
    <cellStyle name="Normal 13 2 5 6" xfId="20337" xr:uid="{00000000-0005-0000-0000-0000AF4E0000}"/>
    <cellStyle name="Normal 13 2 5 7" xfId="20338" xr:uid="{00000000-0005-0000-0000-0000B04E0000}"/>
    <cellStyle name="Normal 13 2 5 8" xfId="20339" xr:uid="{00000000-0005-0000-0000-0000B14E0000}"/>
    <cellStyle name="Normal 13 2 5 9" xfId="20340" xr:uid="{00000000-0005-0000-0000-0000B24E0000}"/>
    <cellStyle name="Normal 13 2 6" xfId="20341" xr:uid="{00000000-0005-0000-0000-0000B34E0000}"/>
    <cellStyle name="Normal 13 2 6 2" xfId="20342" xr:uid="{00000000-0005-0000-0000-0000B44E0000}"/>
    <cellStyle name="Normal 13 2 6 2 2" xfId="20343" xr:uid="{00000000-0005-0000-0000-0000B54E0000}"/>
    <cellStyle name="Normal 13 2 6 2 2 2" xfId="20344" xr:uid="{00000000-0005-0000-0000-0000B64E0000}"/>
    <cellStyle name="Normal 13 2 6 2 3" xfId="20345" xr:uid="{00000000-0005-0000-0000-0000B74E0000}"/>
    <cellStyle name="Normal 13 2 6 2 3 2" xfId="20346" xr:uid="{00000000-0005-0000-0000-0000B84E0000}"/>
    <cellStyle name="Normal 13 2 6 2 4" xfId="20347" xr:uid="{00000000-0005-0000-0000-0000B94E0000}"/>
    <cellStyle name="Normal 13 2 6 2 5" xfId="20348" xr:uid="{00000000-0005-0000-0000-0000BA4E0000}"/>
    <cellStyle name="Normal 13 2 6 2 6" xfId="20349" xr:uid="{00000000-0005-0000-0000-0000BB4E0000}"/>
    <cellStyle name="Normal 13 2 6 2 7" xfId="20350" xr:uid="{00000000-0005-0000-0000-0000BC4E0000}"/>
    <cellStyle name="Normal 13 2 6 3" xfId="20351" xr:uid="{00000000-0005-0000-0000-0000BD4E0000}"/>
    <cellStyle name="Normal 13 2 6 3 2" xfId="20352" xr:uid="{00000000-0005-0000-0000-0000BE4E0000}"/>
    <cellStyle name="Normal 13 2 6 4" xfId="20353" xr:uid="{00000000-0005-0000-0000-0000BF4E0000}"/>
    <cellStyle name="Normal 13 2 6 4 2" xfId="20354" xr:uid="{00000000-0005-0000-0000-0000C04E0000}"/>
    <cellStyle name="Normal 13 2 6 5" xfId="20355" xr:uid="{00000000-0005-0000-0000-0000C14E0000}"/>
    <cellStyle name="Normal 13 2 6 6" xfId="20356" xr:uid="{00000000-0005-0000-0000-0000C24E0000}"/>
    <cellStyle name="Normal 13 2 6 7" xfId="20357" xr:uid="{00000000-0005-0000-0000-0000C34E0000}"/>
    <cellStyle name="Normal 13 2 6 8" xfId="20358" xr:uid="{00000000-0005-0000-0000-0000C44E0000}"/>
    <cellStyle name="Normal 13 2 6 9" xfId="20359" xr:uid="{00000000-0005-0000-0000-0000C54E0000}"/>
    <cellStyle name="Normal 13 2 7" xfId="20360" xr:uid="{00000000-0005-0000-0000-0000C64E0000}"/>
    <cellStyle name="Normal 13 2 7 2" xfId="20361" xr:uid="{00000000-0005-0000-0000-0000C74E0000}"/>
    <cellStyle name="Normal 13 2 7 2 2" xfId="20362" xr:uid="{00000000-0005-0000-0000-0000C84E0000}"/>
    <cellStyle name="Normal 13 2 7 3" xfId="20363" xr:uid="{00000000-0005-0000-0000-0000C94E0000}"/>
    <cellStyle name="Normal 13 2 7 3 2" xfId="20364" xr:uid="{00000000-0005-0000-0000-0000CA4E0000}"/>
    <cellStyle name="Normal 13 2 7 4" xfId="20365" xr:uid="{00000000-0005-0000-0000-0000CB4E0000}"/>
    <cellStyle name="Normal 13 2 7 5" xfId="20366" xr:uid="{00000000-0005-0000-0000-0000CC4E0000}"/>
    <cellStyle name="Normal 13 2 7 6" xfId="20367" xr:uid="{00000000-0005-0000-0000-0000CD4E0000}"/>
    <cellStyle name="Normal 13 2 7 7" xfId="20368" xr:uid="{00000000-0005-0000-0000-0000CE4E0000}"/>
    <cellStyle name="Normal 13 2 7 8" xfId="20369" xr:uid="{00000000-0005-0000-0000-0000CF4E0000}"/>
    <cellStyle name="Normal 13 2 8" xfId="20370" xr:uid="{00000000-0005-0000-0000-0000D04E0000}"/>
    <cellStyle name="Normal 13 2 8 2" xfId="20371" xr:uid="{00000000-0005-0000-0000-0000D14E0000}"/>
    <cellStyle name="Normal 13 2 9" xfId="20372" xr:uid="{00000000-0005-0000-0000-0000D24E0000}"/>
    <cellStyle name="Normal 13 2 9 2" xfId="20373" xr:uid="{00000000-0005-0000-0000-0000D34E0000}"/>
    <cellStyle name="Normal 13 2_2015 Annual Rpt" xfId="20374" xr:uid="{00000000-0005-0000-0000-0000D44E0000}"/>
    <cellStyle name="Normal 13 3" xfId="20375" xr:uid="{00000000-0005-0000-0000-0000D54E0000}"/>
    <cellStyle name="Normal 13 3 2" xfId="20376" xr:uid="{00000000-0005-0000-0000-0000D64E0000}"/>
    <cellStyle name="Normal 13 3 2 2" xfId="20377" xr:uid="{00000000-0005-0000-0000-0000D74E0000}"/>
    <cellStyle name="Normal 13 3 2 2 2" xfId="20378" xr:uid="{00000000-0005-0000-0000-0000D84E0000}"/>
    <cellStyle name="Normal 13 3 2 3" xfId="20379" xr:uid="{00000000-0005-0000-0000-0000D94E0000}"/>
    <cellStyle name="Normal 13 3 2 4" xfId="20380" xr:uid="{00000000-0005-0000-0000-0000DA4E0000}"/>
    <cellStyle name="Normal 13 3 2 5" xfId="20381" xr:uid="{00000000-0005-0000-0000-0000DB4E0000}"/>
    <cellStyle name="Normal 13 3 3" xfId="20382" xr:uid="{00000000-0005-0000-0000-0000DC4E0000}"/>
    <cellStyle name="Normal 13 3 3 2" xfId="20383" xr:uid="{00000000-0005-0000-0000-0000DD4E0000}"/>
    <cellStyle name="Normal 13 3 3 3" xfId="20384" xr:uid="{00000000-0005-0000-0000-0000DE4E0000}"/>
    <cellStyle name="Normal 13 3 4" xfId="20385" xr:uid="{00000000-0005-0000-0000-0000DF4E0000}"/>
    <cellStyle name="Normal 13 3 4 2" xfId="20386" xr:uid="{00000000-0005-0000-0000-0000E04E0000}"/>
    <cellStyle name="Normal 13 3 5" xfId="20387" xr:uid="{00000000-0005-0000-0000-0000E14E0000}"/>
    <cellStyle name="Normal 13 3 6" xfId="20388" xr:uid="{00000000-0005-0000-0000-0000E24E0000}"/>
    <cellStyle name="Normal 13 4" xfId="20389" xr:uid="{00000000-0005-0000-0000-0000E34E0000}"/>
    <cellStyle name="Normal 13 4 10" xfId="20390" xr:uid="{00000000-0005-0000-0000-0000E44E0000}"/>
    <cellStyle name="Normal 13 4 2" xfId="20391" xr:uid="{00000000-0005-0000-0000-0000E54E0000}"/>
    <cellStyle name="Normal 13 4 2 2" xfId="20392" xr:uid="{00000000-0005-0000-0000-0000E64E0000}"/>
    <cellStyle name="Normal 13 4 2 2 2" xfId="20393" xr:uid="{00000000-0005-0000-0000-0000E74E0000}"/>
    <cellStyle name="Normal 13 4 2 2 2 2" xfId="20394" xr:uid="{00000000-0005-0000-0000-0000E84E0000}"/>
    <cellStyle name="Normal 13 4 2 2 3" xfId="20395" xr:uid="{00000000-0005-0000-0000-0000E94E0000}"/>
    <cellStyle name="Normal 13 4 2 3" xfId="20396" xr:uid="{00000000-0005-0000-0000-0000EA4E0000}"/>
    <cellStyle name="Normal 13 4 2 3 2" xfId="20397" xr:uid="{00000000-0005-0000-0000-0000EB4E0000}"/>
    <cellStyle name="Normal 13 4 2 3 3" xfId="20398" xr:uid="{00000000-0005-0000-0000-0000EC4E0000}"/>
    <cellStyle name="Normal 13 4 2 4" xfId="20399" xr:uid="{00000000-0005-0000-0000-0000ED4E0000}"/>
    <cellStyle name="Normal 13 4 2 5" xfId="20400" xr:uid="{00000000-0005-0000-0000-0000EE4E0000}"/>
    <cellStyle name="Normal 13 4 2 6" xfId="20401" xr:uid="{00000000-0005-0000-0000-0000EF4E0000}"/>
    <cellStyle name="Normal 13 4 2 7" xfId="20402" xr:uid="{00000000-0005-0000-0000-0000F04E0000}"/>
    <cellStyle name="Normal 13 4 2 8" xfId="20403" xr:uid="{00000000-0005-0000-0000-0000F14E0000}"/>
    <cellStyle name="Normal 13 4 3" xfId="20404" xr:uid="{00000000-0005-0000-0000-0000F24E0000}"/>
    <cellStyle name="Normal 13 4 3 2" xfId="20405" xr:uid="{00000000-0005-0000-0000-0000F34E0000}"/>
    <cellStyle name="Normal 13 4 3 2 2" xfId="20406" xr:uid="{00000000-0005-0000-0000-0000F44E0000}"/>
    <cellStyle name="Normal 13 4 3 3" xfId="20407" xr:uid="{00000000-0005-0000-0000-0000F54E0000}"/>
    <cellStyle name="Normal 13 4 3 4" xfId="20408" xr:uid="{00000000-0005-0000-0000-0000F64E0000}"/>
    <cellStyle name="Normal 13 4 4" xfId="20409" xr:uid="{00000000-0005-0000-0000-0000F74E0000}"/>
    <cellStyle name="Normal 13 4 4 2" xfId="20410" xr:uid="{00000000-0005-0000-0000-0000F84E0000}"/>
    <cellStyle name="Normal 13 4 4 3" xfId="20411" xr:uid="{00000000-0005-0000-0000-0000F94E0000}"/>
    <cellStyle name="Normal 13 4 5" xfId="20412" xr:uid="{00000000-0005-0000-0000-0000FA4E0000}"/>
    <cellStyle name="Normal 13 4 5 2" xfId="20413" xr:uid="{00000000-0005-0000-0000-0000FB4E0000}"/>
    <cellStyle name="Normal 13 4 5 3" xfId="20414" xr:uid="{00000000-0005-0000-0000-0000FC4E0000}"/>
    <cellStyle name="Normal 13 4 6" xfId="20415" xr:uid="{00000000-0005-0000-0000-0000FD4E0000}"/>
    <cellStyle name="Normal 13 4 7" xfId="20416" xr:uid="{00000000-0005-0000-0000-0000FE4E0000}"/>
    <cellStyle name="Normal 13 4 8" xfId="20417" xr:uid="{00000000-0005-0000-0000-0000FF4E0000}"/>
    <cellStyle name="Normal 13 4 9" xfId="20418" xr:uid="{00000000-0005-0000-0000-0000004F0000}"/>
    <cellStyle name="Normal 13 5" xfId="20419" xr:uid="{00000000-0005-0000-0000-0000014F0000}"/>
    <cellStyle name="Normal 13 5 2" xfId="20420" xr:uid="{00000000-0005-0000-0000-0000024F0000}"/>
    <cellStyle name="Normal 13 5 2 2" xfId="20421" xr:uid="{00000000-0005-0000-0000-0000034F0000}"/>
    <cellStyle name="Normal 13 5 2 2 2" xfId="20422" xr:uid="{00000000-0005-0000-0000-0000044F0000}"/>
    <cellStyle name="Normal 13 5 2 3" xfId="20423" xr:uid="{00000000-0005-0000-0000-0000054F0000}"/>
    <cellStyle name="Normal 13 5 2 4" xfId="20424" xr:uid="{00000000-0005-0000-0000-0000064F0000}"/>
    <cellStyle name="Normal 13 5 2 5" xfId="20425" xr:uid="{00000000-0005-0000-0000-0000074F0000}"/>
    <cellStyle name="Normal 13 5 3" xfId="20426" xr:uid="{00000000-0005-0000-0000-0000084F0000}"/>
    <cellStyle name="Normal 13 5 3 2" xfId="20427" xr:uid="{00000000-0005-0000-0000-0000094F0000}"/>
    <cellStyle name="Normal 13 5 3 3" xfId="20428" xr:uid="{00000000-0005-0000-0000-00000A4F0000}"/>
    <cellStyle name="Normal 13 5 4" xfId="20429" xr:uid="{00000000-0005-0000-0000-00000B4F0000}"/>
    <cellStyle name="Normal 13 5 5" xfId="20430" xr:uid="{00000000-0005-0000-0000-00000C4F0000}"/>
    <cellStyle name="Normal 13 5 5 2" xfId="20431" xr:uid="{00000000-0005-0000-0000-00000D4F0000}"/>
    <cellStyle name="Normal 13 5 6" xfId="20432" xr:uid="{00000000-0005-0000-0000-00000E4F0000}"/>
    <cellStyle name="Normal 13 5 7" xfId="20433" xr:uid="{00000000-0005-0000-0000-00000F4F0000}"/>
    <cellStyle name="Normal 13 6" xfId="20434" xr:uid="{00000000-0005-0000-0000-0000104F0000}"/>
    <cellStyle name="Normal 13 6 2" xfId="20435" xr:uid="{00000000-0005-0000-0000-0000114F0000}"/>
    <cellStyle name="Normal 13 6 2 2" xfId="20436" xr:uid="{00000000-0005-0000-0000-0000124F0000}"/>
    <cellStyle name="Normal 13 6 2 3" xfId="20437" xr:uid="{00000000-0005-0000-0000-0000134F0000}"/>
    <cellStyle name="Normal 13 6 3" xfId="20438" xr:uid="{00000000-0005-0000-0000-0000144F0000}"/>
    <cellStyle name="Normal 13 6 4" xfId="20439" xr:uid="{00000000-0005-0000-0000-0000154F0000}"/>
    <cellStyle name="Normal 13 6 5" xfId="20440" xr:uid="{00000000-0005-0000-0000-0000164F0000}"/>
    <cellStyle name="Normal 13 7" xfId="20441" xr:uid="{00000000-0005-0000-0000-0000174F0000}"/>
    <cellStyle name="Normal 13 7 2" xfId="20442" xr:uid="{00000000-0005-0000-0000-0000184F0000}"/>
    <cellStyle name="Normal 13 7 2 2" xfId="20443" xr:uid="{00000000-0005-0000-0000-0000194F0000}"/>
    <cellStyle name="Normal 13 7 2 3" xfId="20444" xr:uid="{00000000-0005-0000-0000-00001A4F0000}"/>
    <cellStyle name="Normal 13 7 3" xfId="20445" xr:uid="{00000000-0005-0000-0000-00001B4F0000}"/>
    <cellStyle name="Normal 13 7 4" xfId="20446" xr:uid="{00000000-0005-0000-0000-00001C4F0000}"/>
    <cellStyle name="Normal 13 8" xfId="20447" xr:uid="{00000000-0005-0000-0000-00001D4F0000}"/>
    <cellStyle name="Normal 13 8 2" xfId="20448" xr:uid="{00000000-0005-0000-0000-00001E4F0000}"/>
    <cellStyle name="Normal 13 8 3" xfId="20449" xr:uid="{00000000-0005-0000-0000-00001F4F0000}"/>
    <cellStyle name="Normal 13 8 4" xfId="20450" xr:uid="{00000000-0005-0000-0000-0000204F0000}"/>
    <cellStyle name="Normal 13 9" xfId="20451" xr:uid="{00000000-0005-0000-0000-0000214F0000}"/>
    <cellStyle name="Normal 13 9 2" xfId="20452" xr:uid="{00000000-0005-0000-0000-0000224F0000}"/>
    <cellStyle name="Normal 13 9 3" xfId="20453" xr:uid="{00000000-0005-0000-0000-0000234F0000}"/>
    <cellStyle name="Normal 13_2015 Annual Rpt" xfId="20454" xr:uid="{00000000-0005-0000-0000-0000244F0000}"/>
    <cellStyle name="Normal 130" xfId="20455" xr:uid="{00000000-0005-0000-0000-0000254F0000}"/>
    <cellStyle name="Normal 130 2" xfId="20456" xr:uid="{00000000-0005-0000-0000-0000264F0000}"/>
    <cellStyle name="Normal 130 2 2" xfId="20457" xr:uid="{00000000-0005-0000-0000-0000274F0000}"/>
    <cellStyle name="Normal 130 3" xfId="20458" xr:uid="{00000000-0005-0000-0000-0000284F0000}"/>
    <cellStyle name="Normal 131" xfId="20459" xr:uid="{00000000-0005-0000-0000-0000294F0000}"/>
    <cellStyle name="Normal 131 2" xfId="20460" xr:uid="{00000000-0005-0000-0000-00002A4F0000}"/>
    <cellStyle name="Normal 131 2 2" xfId="20461" xr:uid="{00000000-0005-0000-0000-00002B4F0000}"/>
    <cellStyle name="Normal 131 3" xfId="20462" xr:uid="{00000000-0005-0000-0000-00002C4F0000}"/>
    <cellStyle name="Normal 132" xfId="20463" xr:uid="{00000000-0005-0000-0000-00002D4F0000}"/>
    <cellStyle name="Normal 132 2" xfId="20464" xr:uid="{00000000-0005-0000-0000-00002E4F0000}"/>
    <cellStyle name="Normal 132 2 2" xfId="20465" xr:uid="{00000000-0005-0000-0000-00002F4F0000}"/>
    <cellStyle name="Normal 132 3" xfId="20466" xr:uid="{00000000-0005-0000-0000-0000304F0000}"/>
    <cellStyle name="Normal 133" xfId="20467" xr:uid="{00000000-0005-0000-0000-0000314F0000}"/>
    <cellStyle name="Normal 133 2" xfId="20468" xr:uid="{00000000-0005-0000-0000-0000324F0000}"/>
    <cellStyle name="Normal 133 2 2" xfId="20469" xr:uid="{00000000-0005-0000-0000-0000334F0000}"/>
    <cellStyle name="Normal 133 3" xfId="20470" xr:uid="{00000000-0005-0000-0000-0000344F0000}"/>
    <cellStyle name="Normal 134" xfId="20471" xr:uid="{00000000-0005-0000-0000-0000354F0000}"/>
    <cellStyle name="Normal 134 2" xfId="20472" xr:uid="{00000000-0005-0000-0000-0000364F0000}"/>
    <cellStyle name="Normal 134 2 2" xfId="20473" xr:uid="{00000000-0005-0000-0000-0000374F0000}"/>
    <cellStyle name="Normal 134 3" xfId="20474" xr:uid="{00000000-0005-0000-0000-0000384F0000}"/>
    <cellStyle name="Normal 135" xfId="20475" xr:uid="{00000000-0005-0000-0000-0000394F0000}"/>
    <cellStyle name="Normal 135 2" xfId="20476" xr:uid="{00000000-0005-0000-0000-00003A4F0000}"/>
    <cellStyle name="Normal 135 2 2" xfId="20477" xr:uid="{00000000-0005-0000-0000-00003B4F0000}"/>
    <cellStyle name="Normal 135 3" xfId="20478" xr:uid="{00000000-0005-0000-0000-00003C4F0000}"/>
    <cellStyle name="Normal 136" xfId="20479" xr:uid="{00000000-0005-0000-0000-00003D4F0000}"/>
    <cellStyle name="Normal 136 2" xfId="20480" xr:uid="{00000000-0005-0000-0000-00003E4F0000}"/>
    <cellStyle name="Normal 136 2 2" xfId="20481" xr:uid="{00000000-0005-0000-0000-00003F4F0000}"/>
    <cellStyle name="Normal 136 3" xfId="20482" xr:uid="{00000000-0005-0000-0000-0000404F0000}"/>
    <cellStyle name="Normal 137" xfId="20483" xr:uid="{00000000-0005-0000-0000-0000414F0000}"/>
    <cellStyle name="Normal 137 2" xfId="20484" xr:uid="{00000000-0005-0000-0000-0000424F0000}"/>
    <cellStyle name="Normal 137 3" xfId="20485" xr:uid="{00000000-0005-0000-0000-0000434F0000}"/>
    <cellStyle name="Normal 138" xfId="20486" xr:uid="{00000000-0005-0000-0000-0000444F0000}"/>
    <cellStyle name="Normal 138 2" xfId="20487" xr:uid="{00000000-0005-0000-0000-0000454F0000}"/>
    <cellStyle name="Normal 138 3" xfId="20488" xr:uid="{00000000-0005-0000-0000-0000464F0000}"/>
    <cellStyle name="Normal 139" xfId="20489" xr:uid="{00000000-0005-0000-0000-0000474F0000}"/>
    <cellStyle name="Normal 139 2" xfId="20490" xr:uid="{00000000-0005-0000-0000-0000484F0000}"/>
    <cellStyle name="Normal 139 2 2" xfId="20491" xr:uid="{00000000-0005-0000-0000-0000494F0000}"/>
    <cellStyle name="Normal 139 3" xfId="20492" xr:uid="{00000000-0005-0000-0000-00004A4F0000}"/>
    <cellStyle name="Normal 14" xfId="254" xr:uid="{00000000-0005-0000-0000-00004B4F0000}"/>
    <cellStyle name="Normal 14 2" xfId="255" xr:uid="{00000000-0005-0000-0000-00004C4F0000}"/>
    <cellStyle name="Normal 14 2 10" xfId="20493" xr:uid="{00000000-0005-0000-0000-00004D4F0000}"/>
    <cellStyle name="Normal 14 2 10 2" xfId="20494" xr:uid="{00000000-0005-0000-0000-00004E4F0000}"/>
    <cellStyle name="Normal 14 2 11" xfId="20495" xr:uid="{00000000-0005-0000-0000-00004F4F0000}"/>
    <cellStyle name="Normal 14 2 12" xfId="20496" xr:uid="{00000000-0005-0000-0000-0000504F0000}"/>
    <cellStyle name="Normal 14 2 13" xfId="20497" xr:uid="{00000000-0005-0000-0000-0000514F0000}"/>
    <cellStyle name="Normal 14 2 14" xfId="20498" xr:uid="{00000000-0005-0000-0000-0000524F0000}"/>
    <cellStyle name="Normal 14 2 15" xfId="20499" xr:uid="{00000000-0005-0000-0000-0000534F0000}"/>
    <cellStyle name="Normal 14 2 2" xfId="20500" xr:uid="{00000000-0005-0000-0000-0000544F0000}"/>
    <cellStyle name="Normal 14 2 2 10" xfId="20501" xr:uid="{00000000-0005-0000-0000-0000554F0000}"/>
    <cellStyle name="Normal 14 2 2 11" xfId="20502" xr:uid="{00000000-0005-0000-0000-0000564F0000}"/>
    <cellStyle name="Normal 14 2 2 12" xfId="20503" xr:uid="{00000000-0005-0000-0000-0000574F0000}"/>
    <cellStyle name="Normal 14 2 2 13" xfId="20504" xr:uid="{00000000-0005-0000-0000-0000584F0000}"/>
    <cellStyle name="Normal 14 2 2 2" xfId="20505" xr:uid="{00000000-0005-0000-0000-0000594F0000}"/>
    <cellStyle name="Normal 14 2 2 2 10" xfId="20506" xr:uid="{00000000-0005-0000-0000-00005A4F0000}"/>
    <cellStyle name="Normal 14 2 2 2 2" xfId="20507" xr:uid="{00000000-0005-0000-0000-00005B4F0000}"/>
    <cellStyle name="Normal 14 2 2 2 2 2" xfId="20508" xr:uid="{00000000-0005-0000-0000-00005C4F0000}"/>
    <cellStyle name="Normal 14 2 2 2 2 2 2" xfId="20509" xr:uid="{00000000-0005-0000-0000-00005D4F0000}"/>
    <cellStyle name="Normal 14 2 2 2 2 3" xfId="20510" xr:uid="{00000000-0005-0000-0000-00005E4F0000}"/>
    <cellStyle name="Normal 14 2 2 2 2 3 2" xfId="20511" xr:uid="{00000000-0005-0000-0000-00005F4F0000}"/>
    <cellStyle name="Normal 14 2 2 2 2 4" xfId="20512" xr:uid="{00000000-0005-0000-0000-0000604F0000}"/>
    <cellStyle name="Normal 14 2 2 2 2 5" xfId="20513" xr:uid="{00000000-0005-0000-0000-0000614F0000}"/>
    <cellStyle name="Normal 14 2 2 2 2 6" xfId="20514" xr:uid="{00000000-0005-0000-0000-0000624F0000}"/>
    <cellStyle name="Normal 14 2 2 2 2 7" xfId="20515" xr:uid="{00000000-0005-0000-0000-0000634F0000}"/>
    <cellStyle name="Normal 14 2 2 2 3" xfId="20516" xr:uid="{00000000-0005-0000-0000-0000644F0000}"/>
    <cellStyle name="Normal 14 2 2 2 3 2" xfId="20517" xr:uid="{00000000-0005-0000-0000-0000654F0000}"/>
    <cellStyle name="Normal 14 2 2 2 3 2 2" xfId="20518" xr:uid="{00000000-0005-0000-0000-0000664F0000}"/>
    <cellStyle name="Normal 14 2 2 2 3 3" xfId="20519" xr:uid="{00000000-0005-0000-0000-0000674F0000}"/>
    <cellStyle name="Normal 14 2 2 2 3 3 2" xfId="20520" xr:uid="{00000000-0005-0000-0000-0000684F0000}"/>
    <cellStyle name="Normal 14 2 2 2 3 4" xfId="20521" xr:uid="{00000000-0005-0000-0000-0000694F0000}"/>
    <cellStyle name="Normal 14 2 2 2 3 5" xfId="20522" xr:uid="{00000000-0005-0000-0000-00006A4F0000}"/>
    <cellStyle name="Normal 14 2 2 2 3 6" xfId="20523" xr:uid="{00000000-0005-0000-0000-00006B4F0000}"/>
    <cellStyle name="Normal 14 2 2 2 3 7" xfId="20524" xr:uid="{00000000-0005-0000-0000-00006C4F0000}"/>
    <cellStyle name="Normal 14 2 2 2 4" xfId="20525" xr:uid="{00000000-0005-0000-0000-00006D4F0000}"/>
    <cellStyle name="Normal 14 2 2 2 4 2" xfId="20526" xr:uid="{00000000-0005-0000-0000-00006E4F0000}"/>
    <cellStyle name="Normal 14 2 2 2 5" xfId="20527" xr:uid="{00000000-0005-0000-0000-00006F4F0000}"/>
    <cellStyle name="Normal 14 2 2 2 5 2" xfId="20528" xr:uid="{00000000-0005-0000-0000-0000704F0000}"/>
    <cellStyle name="Normal 14 2 2 2 6" xfId="20529" xr:uid="{00000000-0005-0000-0000-0000714F0000}"/>
    <cellStyle name="Normal 14 2 2 2 7" xfId="20530" xr:uid="{00000000-0005-0000-0000-0000724F0000}"/>
    <cellStyle name="Normal 14 2 2 2 8" xfId="20531" xr:uid="{00000000-0005-0000-0000-0000734F0000}"/>
    <cellStyle name="Normal 14 2 2 2 9" xfId="20532" xr:uid="{00000000-0005-0000-0000-0000744F0000}"/>
    <cellStyle name="Normal 14 2 2 3" xfId="20533" xr:uid="{00000000-0005-0000-0000-0000754F0000}"/>
    <cellStyle name="Normal 14 2 2 3 2" xfId="20534" xr:uid="{00000000-0005-0000-0000-0000764F0000}"/>
    <cellStyle name="Normal 14 2 2 3 2 2" xfId="20535" xr:uid="{00000000-0005-0000-0000-0000774F0000}"/>
    <cellStyle name="Normal 14 2 2 3 2 2 2" xfId="20536" xr:uid="{00000000-0005-0000-0000-0000784F0000}"/>
    <cellStyle name="Normal 14 2 2 3 2 3" xfId="20537" xr:uid="{00000000-0005-0000-0000-0000794F0000}"/>
    <cellStyle name="Normal 14 2 2 3 2 3 2" xfId="20538" xr:uid="{00000000-0005-0000-0000-00007A4F0000}"/>
    <cellStyle name="Normal 14 2 2 3 2 4" xfId="20539" xr:uid="{00000000-0005-0000-0000-00007B4F0000}"/>
    <cellStyle name="Normal 14 2 2 3 2 5" xfId="20540" xr:uid="{00000000-0005-0000-0000-00007C4F0000}"/>
    <cellStyle name="Normal 14 2 2 3 2 6" xfId="20541" xr:uid="{00000000-0005-0000-0000-00007D4F0000}"/>
    <cellStyle name="Normal 14 2 2 3 2 7" xfId="20542" xr:uid="{00000000-0005-0000-0000-00007E4F0000}"/>
    <cellStyle name="Normal 14 2 2 3 3" xfId="20543" xr:uid="{00000000-0005-0000-0000-00007F4F0000}"/>
    <cellStyle name="Normal 14 2 2 3 3 2" xfId="20544" xr:uid="{00000000-0005-0000-0000-0000804F0000}"/>
    <cellStyle name="Normal 14 2 2 3 4" xfId="20545" xr:uid="{00000000-0005-0000-0000-0000814F0000}"/>
    <cellStyle name="Normal 14 2 2 3 4 2" xfId="20546" xr:uid="{00000000-0005-0000-0000-0000824F0000}"/>
    <cellStyle name="Normal 14 2 2 3 5" xfId="20547" xr:uid="{00000000-0005-0000-0000-0000834F0000}"/>
    <cellStyle name="Normal 14 2 2 3 6" xfId="20548" xr:uid="{00000000-0005-0000-0000-0000844F0000}"/>
    <cellStyle name="Normal 14 2 2 3 7" xfId="20549" xr:uid="{00000000-0005-0000-0000-0000854F0000}"/>
    <cellStyle name="Normal 14 2 2 3 8" xfId="20550" xr:uid="{00000000-0005-0000-0000-0000864F0000}"/>
    <cellStyle name="Normal 14 2 2 4" xfId="20551" xr:uid="{00000000-0005-0000-0000-0000874F0000}"/>
    <cellStyle name="Normal 14 2 2 4 2" xfId="20552" xr:uid="{00000000-0005-0000-0000-0000884F0000}"/>
    <cellStyle name="Normal 14 2 2 4 2 2" xfId="20553" xr:uid="{00000000-0005-0000-0000-0000894F0000}"/>
    <cellStyle name="Normal 14 2 2 4 2 2 2" xfId="20554" xr:uid="{00000000-0005-0000-0000-00008A4F0000}"/>
    <cellStyle name="Normal 14 2 2 4 2 3" xfId="20555" xr:uid="{00000000-0005-0000-0000-00008B4F0000}"/>
    <cellStyle name="Normal 14 2 2 4 2 3 2" xfId="20556" xr:uid="{00000000-0005-0000-0000-00008C4F0000}"/>
    <cellStyle name="Normal 14 2 2 4 2 4" xfId="20557" xr:uid="{00000000-0005-0000-0000-00008D4F0000}"/>
    <cellStyle name="Normal 14 2 2 4 2 5" xfId="20558" xr:uid="{00000000-0005-0000-0000-00008E4F0000}"/>
    <cellStyle name="Normal 14 2 2 4 2 6" xfId="20559" xr:uid="{00000000-0005-0000-0000-00008F4F0000}"/>
    <cellStyle name="Normal 14 2 2 4 2 7" xfId="20560" xr:uid="{00000000-0005-0000-0000-0000904F0000}"/>
    <cellStyle name="Normal 14 2 2 4 3" xfId="20561" xr:uid="{00000000-0005-0000-0000-0000914F0000}"/>
    <cellStyle name="Normal 14 2 2 4 3 2" xfId="20562" xr:uid="{00000000-0005-0000-0000-0000924F0000}"/>
    <cellStyle name="Normal 14 2 2 4 4" xfId="20563" xr:uid="{00000000-0005-0000-0000-0000934F0000}"/>
    <cellStyle name="Normal 14 2 2 4 4 2" xfId="20564" xr:uid="{00000000-0005-0000-0000-0000944F0000}"/>
    <cellStyle name="Normal 14 2 2 4 5" xfId="20565" xr:uid="{00000000-0005-0000-0000-0000954F0000}"/>
    <cellStyle name="Normal 14 2 2 4 6" xfId="20566" xr:uid="{00000000-0005-0000-0000-0000964F0000}"/>
    <cellStyle name="Normal 14 2 2 4 7" xfId="20567" xr:uid="{00000000-0005-0000-0000-0000974F0000}"/>
    <cellStyle name="Normal 14 2 2 4 8" xfId="20568" xr:uid="{00000000-0005-0000-0000-0000984F0000}"/>
    <cellStyle name="Normal 14 2 2 5" xfId="20569" xr:uid="{00000000-0005-0000-0000-0000994F0000}"/>
    <cellStyle name="Normal 14 2 2 5 2" xfId="20570" xr:uid="{00000000-0005-0000-0000-00009A4F0000}"/>
    <cellStyle name="Normal 14 2 2 5 2 2" xfId="20571" xr:uid="{00000000-0005-0000-0000-00009B4F0000}"/>
    <cellStyle name="Normal 14 2 2 5 3" xfId="20572" xr:uid="{00000000-0005-0000-0000-00009C4F0000}"/>
    <cellStyle name="Normal 14 2 2 5 3 2" xfId="20573" xr:uid="{00000000-0005-0000-0000-00009D4F0000}"/>
    <cellStyle name="Normal 14 2 2 5 4" xfId="20574" xr:uid="{00000000-0005-0000-0000-00009E4F0000}"/>
    <cellStyle name="Normal 14 2 2 5 5" xfId="20575" xr:uid="{00000000-0005-0000-0000-00009F4F0000}"/>
    <cellStyle name="Normal 14 2 2 5 6" xfId="20576" xr:uid="{00000000-0005-0000-0000-0000A04F0000}"/>
    <cellStyle name="Normal 14 2 2 5 7" xfId="20577" xr:uid="{00000000-0005-0000-0000-0000A14F0000}"/>
    <cellStyle name="Normal 14 2 2 6" xfId="20578" xr:uid="{00000000-0005-0000-0000-0000A24F0000}"/>
    <cellStyle name="Normal 14 2 2 6 2" xfId="20579" xr:uid="{00000000-0005-0000-0000-0000A34F0000}"/>
    <cellStyle name="Normal 14 2 2 7" xfId="20580" xr:uid="{00000000-0005-0000-0000-0000A44F0000}"/>
    <cellStyle name="Normal 14 2 2 7 2" xfId="20581" xr:uid="{00000000-0005-0000-0000-0000A54F0000}"/>
    <cellStyle name="Normal 14 2 2 8" xfId="20582" xr:uid="{00000000-0005-0000-0000-0000A64F0000}"/>
    <cellStyle name="Normal 14 2 2 8 2" xfId="20583" xr:uid="{00000000-0005-0000-0000-0000A74F0000}"/>
    <cellStyle name="Normal 14 2 2 9" xfId="20584" xr:uid="{00000000-0005-0000-0000-0000A84F0000}"/>
    <cellStyle name="Normal 14 2 3" xfId="20585" xr:uid="{00000000-0005-0000-0000-0000A94F0000}"/>
    <cellStyle name="Normal 14 2 3 10" xfId="20586" xr:uid="{00000000-0005-0000-0000-0000AA4F0000}"/>
    <cellStyle name="Normal 14 2 3 11" xfId="20587" xr:uid="{00000000-0005-0000-0000-0000AB4F0000}"/>
    <cellStyle name="Normal 14 2 3 12" xfId="20588" xr:uid="{00000000-0005-0000-0000-0000AC4F0000}"/>
    <cellStyle name="Normal 14 2 3 2" xfId="20589" xr:uid="{00000000-0005-0000-0000-0000AD4F0000}"/>
    <cellStyle name="Normal 14 2 3 2 2" xfId="20590" xr:uid="{00000000-0005-0000-0000-0000AE4F0000}"/>
    <cellStyle name="Normal 14 2 3 2 2 2" xfId="20591" xr:uid="{00000000-0005-0000-0000-0000AF4F0000}"/>
    <cellStyle name="Normal 14 2 3 2 2 2 2" xfId="20592" xr:uid="{00000000-0005-0000-0000-0000B04F0000}"/>
    <cellStyle name="Normal 14 2 3 2 2 3" xfId="20593" xr:uid="{00000000-0005-0000-0000-0000B14F0000}"/>
    <cellStyle name="Normal 14 2 3 2 2 3 2" xfId="20594" xr:uid="{00000000-0005-0000-0000-0000B24F0000}"/>
    <cellStyle name="Normal 14 2 3 2 2 4" xfId="20595" xr:uid="{00000000-0005-0000-0000-0000B34F0000}"/>
    <cellStyle name="Normal 14 2 3 2 2 5" xfId="20596" xr:uid="{00000000-0005-0000-0000-0000B44F0000}"/>
    <cellStyle name="Normal 14 2 3 2 2 6" xfId="20597" xr:uid="{00000000-0005-0000-0000-0000B54F0000}"/>
    <cellStyle name="Normal 14 2 3 2 2 7" xfId="20598" xr:uid="{00000000-0005-0000-0000-0000B64F0000}"/>
    <cellStyle name="Normal 14 2 3 2 3" xfId="20599" xr:uid="{00000000-0005-0000-0000-0000B74F0000}"/>
    <cellStyle name="Normal 14 2 3 2 3 2" xfId="20600" xr:uid="{00000000-0005-0000-0000-0000B84F0000}"/>
    <cellStyle name="Normal 14 2 3 2 4" xfId="20601" xr:uid="{00000000-0005-0000-0000-0000B94F0000}"/>
    <cellStyle name="Normal 14 2 3 2 4 2" xfId="20602" xr:uid="{00000000-0005-0000-0000-0000BA4F0000}"/>
    <cellStyle name="Normal 14 2 3 2 5" xfId="20603" xr:uid="{00000000-0005-0000-0000-0000BB4F0000}"/>
    <cellStyle name="Normal 14 2 3 2 6" xfId="20604" xr:uid="{00000000-0005-0000-0000-0000BC4F0000}"/>
    <cellStyle name="Normal 14 2 3 2 7" xfId="20605" xr:uid="{00000000-0005-0000-0000-0000BD4F0000}"/>
    <cellStyle name="Normal 14 2 3 2 8" xfId="20606" xr:uid="{00000000-0005-0000-0000-0000BE4F0000}"/>
    <cellStyle name="Normal 14 2 3 2 9" xfId="20607" xr:uid="{00000000-0005-0000-0000-0000BF4F0000}"/>
    <cellStyle name="Normal 14 2 3 3" xfId="20608" xr:uid="{00000000-0005-0000-0000-0000C04F0000}"/>
    <cellStyle name="Normal 14 2 3 3 2" xfId="20609" xr:uid="{00000000-0005-0000-0000-0000C14F0000}"/>
    <cellStyle name="Normal 14 2 3 3 2 2" xfId="20610" xr:uid="{00000000-0005-0000-0000-0000C24F0000}"/>
    <cellStyle name="Normal 14 2 3 3 2 2 2" xfId="20611" xr:uid="{00000000-0005-0000-0000-0000C34F0000}"/>
    <cellStyle name="Normal 14 2 3 3 2 3" xfId="20612" xr:uid="{00000000-0005-0000-0000-0000C44F0000}"/>
    <cellStyle name="Normal 14 2 3 3 2 3 2" xfId="20613" xr:uid="{00000000-0005-0000-0000-0000C54F0000}"/>
    <cellStyle name="Normal 14 2 3 3 2 4" xfId="20614" xr:uid="{00000000-0005-0000-0000-0000C64F0000}"/>
    <cellStyle name="Normal 14 2 3 3 2 5" xfId="20615" xr:uid="{00000000-0005-0000-0000-0000C74F0000}"/>
    <cellStyle name="Normal 14 2 3 3 2 6" xfId="20616" xr:uid="{00000000-0005-0000-0000-0000C84F0000}"/>
    <cellStyle name="Normal 14 2 3 3 2 7" xfId="20617" xr:uid="{00000000-0005-0000-0000-0000C94F0000}"/>
    <cellStyle name="Normal 14 2 3 3 3" xfId="20618" xr:uid="{00000000-0005-0000-0000-0000CA4F0000}"/>
    <cellStyle name="Normal 14 2 3 3 3 2" xfId="20619" xr:uid="{00000000-0005-0000-0000-0000CB4F0000}"/>
    <cellStyle name="Normal 14 2 3 3 4" xfId="20620" xr:uid="{00000000-0005-0000-0000-0000CC4F0000}"/>
    <cellStyle name="Normal 14 2 3 3 4 2" xfId="20621" xr:uid="{00000000-0005-0000-0000-0000CD4F0000}"/>
    <cellStyle name="Normal 14 2 3 3 5" xfId="20622" xr:uid="{00000000-0005-0000-0000-0000CE4F0000}"/>
    <cellStyle name="Normal 14 2 3 3 6" xfId="20623" xr:uid="{00000000-0005-0000-0000-0000CF4F0000}"/>
    <cellStyle name="Normal 14 2 3 3 7" xfId="20624" xr:uid="{00000000-0005-0000-0000-0000D04F0000}"/>
    <cellStyle name="Normal 14 2 3 3 8" xfId="20625" xr:uid="{00000000-0005-0000-0000-0000D14F0000}"/>
    <cellStyle name="Normal 14 2 3 4" xfId="20626" xr:uid="{00000000-0005-0000-0000-0000D24F0000}"/>
    <cellStyle name="Normal 14 2 3 4 2" xfId="20627" xr:uid="{00000000-0005-0000-0000-0000D34F0000}"/>
    <cellStyle name="Normal 14 2 3 4 2 2" xfId="20628" xr:uid="{00000000-0005-0000-0000-0000D44F0000}"/>
    <cellStyle name="Normal 14 2 3 4 3" xfId="20629" xr:uid="{00000000-0005-0000-0000-0000D54F0000}"/>
    <cellStyle name="Normal 14 2 3 4 3 2" xfId="20630" xr:uid="{00000000-0005-0000-0000-0000D64F0000}"/>
    <cellStyle name="Normal 14 2 3 4 4" xfId="20631" xr:uid="{00000000-0005-0000-0000-0000D74F0000}"/>
    <cellStyle name="Normal 14 2 3 4 5" xfId="20632" xr:uid="{00000000-0005-0000-0000-0000D84F0000}"/>
    <cellStyle name="Normal 14 2 3 4 6" xfId="20633" xr:uid="{00000000-0005-0000-0000-0000D94F0000}"/>
    <cellStyle name="Normal 14 2 3 4 7" xfId="20634" xr:uid="{00000000-0005-0000-0000-0000DA4F0000}"/>
    <cellStyle name="Normal 14 2 3 5" xfId="20635" xr:uid="{00000000-0005-0000-0000-0000DB4F0000}"/>
    <cellStyle name="Normal 14 2 3 5 2" xfId="20636" xr:uid="{00000000-0005-0000-0000-0000DC4F0000}"/>
    <cellStyle name="Normal 14 2 3 6" xfId="20637" xr:uid="{00000000-0005-0000-0000-0000DD4F0000}"/>
    <cellStyle name="Normal 14 2 3 6 2" xfId="20638" xr:uid="{00000000-0005-0000-0000-0000DE4F0000}"/>
    <cellStyle name="Normal 14 2 3 7" xfId="20639" xr:uid="{00000000-0005-0000-0000-0000DF4F0000}"/>
    <cellStyle name="Normal 14 2 3 7 2" xfId="20640" xr:uid="{00000000-0005-0000-0000-0000E04F0000}"/>
    <cellStyle name="Normal 14 2 3 8" xfId="20641" xr:uid="{00000000-0005-0000-0000-0000E14F0000}"/>
    <cellStyle name="Normal 14 2 3 9" xfId="20642" xr:uid="{00000000-0005-0000-0000-0000E24F0000}"/>
    <cellStyle name="Normal 14 2 4" xfId="20643" xr:uid="{00000000-0005-0000-0000-0000E34F0000}"/>
    <cellStyle name="Normal 14 2 4 10" xfId="20644" xr:uid="{00000000-0005-0000-0000-0000E44F0000}"/>
    <cellStyle name="Normal 14 2 4 2" xfId="20645" xr:uid="{00000000-0005-0000-0000-0000E54F0000}"/>
    <cellStyle name="Normal 14 2 4 2 2" xfId="20646" xr:uid="{00000000-0005-0000-0000-0000E64F0000}"/>
    <cellStyle name="Normal 14 2 4 2 2 2" xfId="20647" xr:uid="{00000000-0005-0000-0000-0000E74F0000}"/>
    <cellStyle name="Normal 14 2 4 2 3" xfId="20648" xr:uid="{00000000-0005-0000-0000-0000E84F0000}"/>
    <cellStyle name="Normal 14 2 4 2 3 2" xfId="20649" xr:uid="{00000000-0005-0000-0000-0000E94F0000}"/>
    <cellStyle name="Normal 14 2 4 2 4" xfId="20650" xr:uid="{00000000-0005-0000-0000-0000EA4F0000}"/>
    <cellStyle name="Normal 14 2 4 2 5" xfId="20651" xr:uid="{00000000-0005-0000-0000-0000EB4F0000}"/>
    <cellStyle name="Normal 14 2 4 2 6" xfId="20652" xr:uid="{00000000-0005-0000-0000-0000EC4F0000}"/>
    <cellStyle name="Normal 14 2 4 2 7" xfId="20653" xr:uid="{00000000-0005-0000-0000-0000ED4F0000}"/>
    <cellStyle name="Normal 14 2 4 2 8" xfId="20654" xr:uid="{00000000-0005-0000-0000-0000EE4F0000}"/>
    <cellStyle name="Normal 14 2 4 3" xfId="20655" xr:uid="{00000000-0005-0000-0000-0000EF4F0000}"/>
    <cellStyle name="Normal 14 2 4 3 2" xfId="20656" xr:uid="{00000000-0005-0000-0000-0000F04F0000}"/>
    <cellStyle name="Normal 14 2 4 3 2 2" xfId="20657" xr:uid="{00000000-0005-0000-0000-0000F14F0000}"/>
    <cellStyle name="Normal 14 2 4 3 3" xfId="20658" xr:uid="{00000000-0005-0000-0000-0000F24F0000}"/>
    <cellStyle name="Normal 14 2 4 3 3 2" xfId="20659" xr:uid="{00000000-0005-0000-0000-0000F34F0000}"/>
    <cellStyle name="Normal 14 2 4 3 4" xfId="20660" xr:uid="{00000000-0005-0000-0000-0000F44F0000}"/>
    <cellStyle name="Normal 14 2 4 3 5" xfId="20661" xr:uid="{00000000-0005-0000-0000-0000F54F0000}"/>
    <cellStyle name="Normal 14 2 4 3 6" xfId="20662" xr:uid="{00000000-0005-0000-0000-0000F64F0000}"/>
    <cellStyle name="Normal 14 2 4 3 7" xfId="20663" xr:uid="{00000000-0005-0000-0000-0000F74F0000}"/>
    <cellStyle name="Normal 14 2 4 4" xfId="20664" xr:uid="{00000000-0005-0000-0000-0000F84F0000}"/>
    <cellStyle name="Normal 14 2 4 4 2" xfId="20665" xr:uid="{00000000-0005-0000-0000-0000F94F0000}"/>
    <cellStyle name="Normal 14 2 4 5" xfId="20666" xr:uid="{00000000-0005-0000-0000-0000FA4F0000}"/>
    <cellStyle name="Normal 14 2 4 5 2" xfId="20667" xr:uid="{00000000-0005-0000-0000-0000FB4F0000}"/>
    <cellStyle name="Normal 14 2 4 6" xfId="20668" xr:uid="{00000000-0005-0000-0000-0000FC4F0000}"/>
    <cellStyle name="Normal 14 2 4 7" xfId="20669" xr:uid="{00000000-0005-0000-0000-0000FD4F0000}"/>
    <cellStyle name="Normal 14 2 4 8" xfId="20670" xr:uid="{00000000-0005-0000-0000-0000FE4F0000}"/>
    <cellStyle name="Normal 14 2 4 9" xfId="20671" xr:uid="{00000000-0005-0000-0000-0000FF4F0000}"/>
    <cellStyle name="Normal 14 2 5" xfId="20672" xr:uid="{00000000-0005-0000-0000-000000500000}"/>
    <cellStyle name="Normal 14 2 5 2" xfId="20673" xr:uid="{00000000-0005-0000-0000-000001500000}"/>
    <cellStyle name="Normal 14 2 5 2 2" xfId="20674" xr:uid="{00000000-0005-0000-0000-000002500000}"/>
    <cellStyle name="Normal 14 2 5 2 2 2" xfId="20675" xr:uid="{00000000-0005-0000-0000-000003500000}"/>
    <cellStyle name="Normal 14 2 5 2 3" xfId="20676" xr:uid="{00000000-0005-0000-0000-000004500000}"/>
    <cellStyle name="Normal 14 2 5 2 3 2" xfId="20677" xr:uid="{00000000-0005-0000-0000-000005500000}"/>
    <cellStyle name="Normal 14 2 5 2 4" xfId="20678" xr:uid="{00000000-0005-0000-0000-000006500000}"/>
    <cellStyle name="Normal 14 2 5 2 5" xfId="20679" xr:uid="{00000000-0005-0000-0000-000007500000}"/>
    <cellStyle name="Normal 14 2 5 2 6" xfId="20680" xr:uid="{00000000-0005-0000-0000-000008500000}"/>
    <cellStyle name="Normal 14 2 5 2 7" xfId="20681" xr:uid="{00000000-0005-0000-0000-000009500000}"/>
    <cellStyle name="Normal 14 2 5 3" xfId="20682" xr:uid="{00000000-0005-0000-0000-00000A500000}"/>
    <cellStyle name="Normal 14 2 5 3 2" xfId="20683" xr:uid="{00000000-0005-0000-0000-00000B500000}"/>
    <cellStyle name="Normal 14 2 5 4" xfId="20684" xr:uid="{00000000-0005-0000-0000-00000C500000}"/>
    <cellStyle name="Normal 14 2 5 4 2" xfId="20685" xr:uid="{00000000-0005-0000-0000-00000D500000}"/>
    <cellStyle name="Normal 14 2 5 5" xfId="20686" xr:uid="{00000000-0005-0000-0000-00000E500000}"/>
    <cellStyle name="Normal 14 2 5 6" xfId="20687" xr:uid="{00000000-0005-0000-0000-00000F500000}"/>
    <cellStyle name="Normal 14 2 5 7" xfId="20688" xr:uid="{00000000-0005-0000-0000-000010500000}"/>
    <cellStyle name="Normal 14 2 5 8" xfId="20689" xr:uid="{00000000-0005-0000-0000-000011500000}"/>
    <cellStyle name="Normal 14 2 6" xfId="20690" xr:uid="{00000000-0005-0000-0000-000012500000}"/>
    <cellStyle name="Normal 14 2 6 2" xfId="20691" xr:uid="{00000000-0005-0000-0000-000013500000}"/>
    <cellStyle name="Normal 14 2 6 2 2" xfId="20692" xr:uid="{00000000-0005-0000-0000-000014500000}"/>
    <cellStyle name="Normal 14 2 6 2 2 2" xfId="20693" xr:uid="{00000000-0005-0000-0000-000015500000}"/>
    <cellStyle name="Normal 14 2 6 2 3" xfId="20694" xr:uid="{00000000-0005-0000-0000-000016500000}"/>
    <cellStyle name="Normal 14 2 6 2 3 2" xfId="20695" xr:uid="{00000000-0005-0000-0000-000017500000}"/>
    <cellStyle name="Normal 14 2 6 2 4" xfId="20696" xr:uid="{00000000-0005-0000-0000-000018500000}"/>
    <cellStyle name="Normal 14 2 6 2 5" xfId="20697" xr:uid="{00000000-0005-0000-0000-000019500000}"/>
    <cellStyle name="Normal 14 2 6 2 6" xfId="20698" xr:uid="{00000000-0005-0000-0000-00001A500000}"/>
    <cellStyle name="Normal 14 2 6 2 7" xfId="20699" xr:uid="{00000000-0005-0000-0000-00001B500000}"/>
    <cellStyle name="Normal 14 2 6 3" xfId="20700" xr:uid="{00000000-0005-0000-0000-00001C500000}"/>
    <cellStyle name="Normal 14 2 6 3 2" xfId="20701" xr:uid="{00000000-0005-0000-0000-00001D500000}"/>
    <cellStyle name="Normal 14 2 6 4" xfId="20702" xr:uid="{00000000-0005-0000-0000-00001E500000}"/>
    <cellStyle name="Normal 14 2 6 4 2" xfId="20703" xr:uid="{00000000-0005-0000-0000-00001F500000}"/>
    <cellStyle name="Normal 14 2 6 5" xfId="20704" xr:uid="{00000000-0005-0000-0000-000020500000}"/>
    <cellStyle name="Normal 14 2 6 6" xfId="20705" xr:uid="{00000000-0005-0000-0000-000021500000}"/>
    <cellStyle name="Normal 14 2 6 7" xfId="20706" xr:uid="{00000000-0005-0000-0000-000022500000}"/>
    <cellStyle name="Normal 14 2 6 8" xfId="20707" xr:uid="{00000000-0005-0000-0000-000023500000}"/>
    <cellStyle name="Normal 14 2 7" xfId="20708" xr:uid="{00000000-0005-0000-0000-000024500000}"/>
    <cellStyle name="Normal 14 2 7 2" xfId="20709" xr:uid="{00000000-0005-0000-0000-000025500000}"/>
    <cellStyle name="Normal 14 2 7 2 2" xfId="20710" xr:uid="{00000000-0005-0000-0000-000026500000}"/>
    <cellStyle name="Normal 14 2 7 3" xfId="20711" xr:uid="{00000000-0005-0000-0000-000027500000}"/>
    <cellStyle name="Normal 14 2 7 3 2" xfId="20712" xr:uid="{00000000-0005-0000-0000-000028500000}"/>
    <cellStyle name="Normal 14 2 7 4" xfId="20713" xr:uid="{00000000-0005-0000-0000-000029500000}"/>
    <cellStyle name="Normal 14 2 7 5" xfId="20714" xr:uid="{00000000-0005-0000-0000-00002A500000}"/>
    <cellStyle name="Normal 14 2 7 6" xfId="20715" xr:uid="{00000000-0005-0000-0000-00002B500000}"/>
    <cellStyle name="Normal 14 2 7 7" xfId="20716" xr:uid="{00000000-0005-0000-0000-00002C500000}"/>
    <cellStyle name="Normal 14 2 8" xfId="20717" xr:uid="{00000000-0005-0000-0000-00002D500000}"/>
    <cellStyle name="Normal 14 2 8 2" xfId="20718" xr:uid="{00000000-0005-0000-0000-00002E500000}"/>
    <cellStyle name="Normal 14 2 9" xfId="20719" xr:uid="{00000000-0005-0000-0000-00002F500000}"/>
    <cellStyle name="Normal 14 2 9 2" xfId="20720" xr:uid="{00000000-0005-0000-0000-000030500000}"/>
    <cellStyle name="Normal 14 3" xfId="20721" xr:uid="{00000000-0005-0000-0000-000031500000}"/>
    <cellStyle name="Normal 14 3 2" xfId="20722" xr:uid="{00000000-0005-0000-0000-000032500000}"/>
    <cellStyle name="Normal 14 3 2 2" xfId="20723" xr:uid="{00000000-0005-0000-0000-000033500000}"/>
    <cellStyle name="Normal 14 3 3" xfId="20724" xr:uid="{00000000-0005-0000-0000-000034500000}"/>
    <cellStyle name="Normal 14 3 3 2" xfId="20725" xr:uid="{00000000-0005-0000-0000-000035500000}"/>
    <cellStyle name="Normal 14 3 4" xfId="20726" xr:uid="{00000000-0005-0000-0000-000036500000}"/>
    <cellStyle name="Normal 14 3 5" xfId="20727" xr:uid="{00000000-0005-0000-0000-000037500000}"/>
    <cellStyle name="Normal 14 4" xfId="20728" xr:uid="{00000000-0005-0000-0000-000038500000}"/>
    <cellStyle name="Normal 14 4 2" xfId="20729" xr:uid="{00000000-0005-0000-0000-000039500000}"/>
    <cellStyle name="Normal 14 4 2 2" xfId="20730" xr:uid="{00000000-0005-0000-0000-00003A500000}"/>
    <cellStyle name="Normal 14 4 3" xfId="20731" xr:uid="{00000000-0005-0000-0000-00003B500000}"/>
    <cellStyle name="Normal 14 4 3 2" xfId="20732" xr:uid="{00000000-0005-0000-0000-00003C500000}"/>
    <cellStyle name="Normal 14 4 4" xfId="20733" xr:uid="{00000000-0005-0000-0000-00003D500000}"/>
    <cellStyle name="Normal 14 4 5" xfId="20734" xr:uid="{00000000-0005-0000-0000-00003E500000}"/>
    <cellStyle name="Normal 14 5" xfId="20735" xr:uid="{00000000-0005-0000-0000-00003F500000}"/>
    <cellStyle name="Normal 14 5 2" xfId="20736" xr:uid="{00000000-0005-0000-0000-000040500000}"/>
    <cellStyle name="Normal 14 5 2 2" xfId="20737" xr:uid="{00000000-0005-0000-0000-000041500000}"/>
    <cellStyle name="Normal 14 5 3" xfId="20738" xr:uid="{00000000-0005-0000-0000-000042500000}"/>
    <cellStyle name="Normal 14 5 3 2" xfId="20739" xr:uid="{00000000-0005-0000-0000-000043500000}"/>
    <cellStyle name="Normal 14 5 4" xfId="20740" xr:uid="{00000000-0005-0000-0000-000044500000}"/>
    <cellStyle name="Normal 14 6" xfId="20741" xr:uid="{00000000-0005-0000-0000-000045500000}"/>
    <cellStyle name="Normal 14 6 2" xfId="20742" xr:uid="{00000000-0005-0000-0000-000046500000}"/>
    <cellStyle name="Normal 14 6 3" xfId="20743" xr:uid="{00000000-0005-0000-0000-000047500000}"/>
    <cellStyle name="Normal 14 7" xfId="20744" xr:uid="{00000000-0005-0000-0000-000048500000}"/>
    <cellStyle name="Normal 14 7 2" xfId="20745" xr:uid="{00000000-0005-0000-0000-000049500000}"/>
    <cellStyle name="Normal 14 8" xfId="20746" xr:uid="{00000000-0005-0000-0000-00004A500000}"/>
    <cellStyle name="Normal 14 8 2" xfId="20747" xr:uid="{00000000-0005-0000-0000-00004B500000}"/>
    <cellStyle name="Normal 14 9" xfId="20748" xr:uid="{00000000-0005-0000-0000-00004C500000}"/>
    <cellStyle name="Normal 14_App b.3 Unspent_" xfId="20749" xr:uid="{00000000-0005-0000-0000-00004D500000}"/>
    <cellStyle name="Normal 140" xfId="20750" xr:uid="{00000000-0005-0000-0000-00004E500000}"/>
    <cellStyle name="Normal 140 2" xfId="20751" xr:uid="{00000000-0005-0000-0000-00004F500000}"/>
    <cellStyle name="Normal 140 2 2" xfId="20752" xr:uid="{00000000-0005-0000-0000-000050500000}"/>
    <cellStyle name="Normal 140 3" xfId="20753" xr:uid="{00000000-0005-0000-0000-000051500000}"/>
    <cellStyle name="Normal 140 4" xfId="20754" xr:uid="{00000000-0005-0000-0000-000052500000}"/>
    <cellStyle name="Normal 141" xfId="20755" xr:uid="{00000000-0005-0000-0000-000053500000}"/>
    <cellStyle name="Normal 141 2" xfId="20756" xr:uid="{00000000-0005-0000-0000-000054500000}"/>
    <cellStyle name="Normal 141 2 2" xfId="20757" xr:uid="{00000000-0005-0000-0000-000055500000}"/>
    <cellStyle name="Normal 141 3" xfId="20758" xr:uid="{00000000-0005-0000-0000-000056500000}"/>
    <cellStyle name="Normal 142" xfId="20759" xr:uid="{00000000-0005-0000-0000-000057500000}"/>
    <cellStyle name="Normal 142 2" xfId="20760" xr:uid="{00000000-0005-0000-0000-000058500000}"/>
    <cellStyle name="Normal 142 2 2" xfId="20761" xr:uid="{00000000-0005-0000-0000-000059500000}"/>
    <cellStyle name="Normal 142 3" xfId="20762" xr:uid="{00000000-0005-0000-0000-00005A500000}"/>
    <cellStyle name="Normal 143" xfId="20763" xr:uid="{00000000-0005-0000-0000-00005B500000}"/>
    <cellStyle name="Normal 143 2" xfId="20764" xr:uid="{00000000-0005-0000-0000-00005C500000}"/>
    <cellStyle name="Normal 143 2 2" xfId="20765" xr:uid="{00000000-0005-0000-0000-00005D500000}"/>
    <cellStyle name="Normal 143 3" xfId="20766" xr:uid="{00000000-0005-0000-0000-00005E500000}"/>
    <cellStyle name="Normal 144" xfId="20767" xr:uid="{00000000-0005-0000-0000-00005F500000}"/>
    <cellStyle name="Normal 144 2" xfId="20768" xr:uid="{00000000-0005-0000-0000-000060500000}"/>
    <cellStyle name="Normal 144 2 2" xfId="20769" xr:uid="{00000000-0005-0000-0000-000061500000}"/>
    <cellStyle name="Normal 144 3" xfId="20770" xr:uid="{00000000-0005-0000-0000-000062500000}"/>
    <cellStyle name="Normal 145" xfId="20771" xr:uid="{00000000-0005-0000-0000-000063500000}"/>
    <cellStyle name="Normal 145 2" xfId="20772" xr:uid="{00000000-0005-0000-0000-000064500000}"/>
    <cellStyle name="Normal 145 2 2" xfId="20773" xr:uid="{00000000-0005-0000-0000-000065500000}"/>
    <cellStyle name="Normal 145 3" xfId="20774" xr:uid="{00000000-0005-0000-0000-000066500000}"/>
    <cellStyle name="Normal 146" xfId="20775" xr:uid="{00000000-0005-0000-0000-000067500000}"/>
    <cellStyle name="Normal 146 2" xfId="20776" xr:uid="{00000000-0005-0000-0000-000068500000}"/>
    <cellStyle name="Normal 146 2 2" xfId="20777" xr:uid="{00000000-0005-0000-0000-000069500000}"/>
    <cellStyle name="Normal 146 3" xfId="20778" xr:uid="{00000000-0005-0000-0000-00006A500000}"/>
    <cellStyle name="Normal 147" xfId="20779" xr:uid="{00000000-0005-0000-0000-00006B500000}"/>
    <cellStyle name="Normal 147 2" xfId="20780" xr:uid="{00000000-0005-0000-0000-00006C500000}"/>
    <cellStyle name="Normal 147 2 2" xfId="20781" xr:uid="{00000000-0005-0000-0000-00006D500000}"/>
    <cellStyle name="Normal 147 2 3" xfId="20782" xr:uid="{00000000-0005-0000-0000-00006E500000}"/>
    <cellStyle name="Normal 147 3" xfId="20783" xr:uid="{00000000-0005-0000-0000-00006F500000}"/>
    <cellStyle name="Normal 147 4" xfId="20784" xr:uid="{00000000-0005-0000-0000-000070500000}"/>
    <cellStyle name="Normal 148" xfId="20785" xr:uid="{00000000-0005-0000-0000-000071500000}"/>
    <cellStyle name="Normal 148 2" xfId="20786" xr:uid="{00000000-0005-0000-0000-000072500000}"/>
    <cellStyle name="Normal 148 2 2" xfId="20787" xr:uid="{00000000-0005-0000-0000-000073500000}"/>
    <cellStyle name="Normal 148 2 3" xfId="20788" xr:uid="{00000000-0005-0000-0000-000074500000}"/>
    <cellStyle name="Normal 148 3" xfId="20789" xr:uid="{00000000-0005-0000-0000-000075500000}"/>
    <cellStyle name="Normal 148 4" xfId="20790" xr:uid="{00000000-0005-0000-0000-000076500000}"/>
    <cellStyle name="Normal 149" xfId="20791" xr:uid="{00000000-0005-0000-0000-000077500000}"/>
    <cellStyle name="Normal 149 2" xfId="20792" xr:uid="{00000000-0005-0000-0000-000078500000}"/>
    <cellStyle name="Normal 149 2 2" xfId="20793" xr:uid="{00000000-0005-0000-0000-000079500000}"/>
    <cellStyle name="Normal 149 2 3" xfId="20794" xr:uid="{00000000-0005-0000-0000-00007A500000}"/>
    <cellStyle name="Normal 149 3" xfId="20795" xr:uid="{00000000-0005-0000-0000-00007B500000}"/>
    <cellStyle name="Normal 149 4" xfId="20796" xr:uid="{00000000-0005-0000-0000-00007C500000}"/>
    <cellStyle name="Normal 15" xfId="256" xr:uid="{00000000-0005-0000-0000-00007D500000}"/>
    <cellStyle name="Normal 15 10" xfId="20797" xr:uid="{00000000-0005-0000-0000-00007E500000}"/>
    <cellStyle name="Normal 15 11" xfId="20798" xr:uid="{00000000-0005-0000-0000-00007F500000}"/>
    <cellStyle name="Normal 15 2" xfId="257" xr:uid="{00000000-0005-0000-0000-000080500000}"/>
    <cellStyle name="Normal 15 2 10" xfId="20799" xr:uid="{00000000-0005-0000-0000-000081500000}"/>
    <cellStyle name="Normal 15 2 10 2" xfId="20800" xr:uid="{00000000-0005-0000-0000-000082500000}"/>
    <cellStyle name="Normal 15 2 11" xfId="20801" xr:uid="{00000000-0005-0000-0000-000083500000}"/>
    <cellStyle name="Normal 15 2 12" xfId="20802" xr:uid="{00000000-0005-0000-0000-000084500000}"/>
    <cellStyle name="Normal 15 2 13" xfId="20803" xr:uid="{00000000-0005-0000-0000-000085500000}"/>
    <cellStyle name="Normal 15 2 14" xfId="20804" xr:uid="{00000000-0005-0000-0000-000086500000}"/>
    <cellStyle name="Normal 15 2 15" xfId="20805" xr:uid="{00000000-0005-0000-0000-000087500000}"/>
    <cellStyle name="Normal 15 2 2" xfId="20806" xr:uid="{00000000-0005-0000-0000-000088500000}"/>
    <cellStyle name="Normal 15 2 2 10" xfId="20807" xr:uid="{00000000-0005-0000-0000-000089500000}"/>
    <cellStyle name="Normal 15 2 2 11" xfId="20808" xr:uid="{00000000-0005-0000-0000-00008A500000}"/>
    <cellStyle name="Normal 15 2 2 12" xfId="20809" xr:uid="{00000000-0005-0000-0000-00008B500000}"/>
    <cellStyle name="Normal 15 2 2 13" xfId="20810" xr:uid="{00000000-0005-0000-0000-00008C500000}"/>
    <cellStyle name="Normal 15 2 2 2" xfId="20811" xr:uid="{00000000-0005-0000-0000-00008D500000}"/>
    <cellStyle name="Normal 15 2 2 2 10" xfId="20812" xr:uid="{00000000-0005-0000-0000-00008E500000}"/>
    <cellStyle name="Normal 15 2 2 2 2" xfId="20813" xr:uid="{00000000-0005-0000-0000-00008F500000}"/>
    <cellStyle name="Normal 15 2 2 2 2 2" xfId="20814" xr:uid="{00000000-0005-0000-0000-000090500000}"/>
    <cellStyle name="Normal 15 2 2 2 2 2 2" xfId="20815" xr:uid="{00000000-0005-0000-0000-000091500000}"/>
    <cellStyle name="Normal 15 2 2 2 2 3" xfId="20816" xr:uid="{00000000-0005-0000-0000-000092500000}"/>
    <cellStyle name="Normal 15 2 2 2 2 3 2" xfId="20817" xr:uid="{00000000-0005-0000-0000-000093500000}"/>
    <cellStyle name="Normal 15 2 2 2 2 4" xfId="20818" xr:uid="{00000000-0005-0000-0000-000094500000}"/>
    <cellStyle name="Normal 15 2 2 2 2 5" xfId="20819" xr:uid="{00000000-0005-0000-0000-000095500000}"/>
    <cellStyle name="Normal 15 2 2 2 2 6" xfId="20820" xr:uid="{00000000-0005-0000-0000-000096500000}"/>
    <cellStyle name="Normal 15 2 2 2 2 7" xfId="20821" xr:uid="{00000000-0005-0000-0000-000097500000}"/>
    <cellStyle name="Normal 15 2 2 2 3" xfId="20822" xr:uid="{00000000-0005-0000-0000-000098500000}"/>
    <cellStyle name="Normal 15 2 2 2 3 2" xfId="20823" xr:uid="{00000000-0005-0000-0000-000099500000}"/>
    <cellStyle name="Normal 15 2 2 2 3 2 2" xfId="20824" xr:uid="{00000000-0005-0000-0000-00009A500000}"/>
    <cellStyle name="Normal 15 2 2 2 3 3" xfId="20825" xr:uid="{00000000-0005-0000-0000-00009B500000}"/>
    <cellStyle name="Normal 15 2 2 2 3 3 2" xfId="20826" xr:uid="{00000000-0005-0000-0000-00009C500000}"/>
    <cellStyle name="Normal 15 2 2 2 3 4" xfId="20827" xr:uid="{00000000-0005-0000-0000-00009D500000}"/>
    <cellStyle name="Normal 15 2 2 2 3 5" xfId="20828" xr:uid="{00000000-0005-0000-0000-00009E500000}"/>
    <cellStyle name="Normal 15 2 2 2 3 6" xfId="20829" xr:uid="{00000000-0005-0000-0000-00009F500000}"/>
    <cellStyle name="Normal 15 2 2 2 3 7" xfId="20830" xr:uid="{00000000-0005-0000-0000-0000A0500000}"/>
    <cellStyle name="Normal 15 2 2 2 4" xfId="20831" xr:uid="{00000000-0005-0000-0000-0000A1500000}"/>
    <cellStyle name="Normal 15 2 2 2 4 2" xfId="20832" xr:uid="{00000000-0005-0000-0000-0000A2500000}"/>
    <cellStyle name="Normal 15 2 2 2 5" xfId="20833" xr:uid="{00000000-0005-0000-0000-0000A3500000}"/>
    <cellStyle name="Normal 15 2 2 2 5 2" xfId="20834" xr:uid="{00000000-0005-0000-0000-0000A4500000}"/>
    <cellStyle name="Normal 15 2 2 2 6" xfId="20835" xr:uid="{00000000-0005-0000-0000-0000A5500000}"/>
    <cellStyle name="Normal 15 2 2 2 7" xfId="20836" xr:uid="{00000000-0005-0000-0000-0000A6500000}"/>
    <cellStyle name="Normal 15 2 2 2 8" xfId="20837" xr:uid="{00000000-0005-0000-0000-0000A7500000}"/>
    <cellStyle name="Normal 15 2 2 2 9" xfId="20838" xr:uid="{00000000-0005-0000-0000-0000A8500000}"/>
    <cellStyle name="Normal 15 2 2 3" xfId="20839" xr:uid="{00000000-0005-0000-0000-0000A9500000}"/>
    <cellStyle name="Normal 15 2 2 3 2" xfId="20840" xr:uid="{00000000-0005-0000-0000-0000AA500000}"/>
    <cellStyle name="Normal 15 2 2 3 2 2" xfId="20841" xr:uid="{00000000-0005-0000-0000-0000AB500000}"/>
    <cellStyle name="Normal 15 2 2 3 2 2 2" xfId="20842" xr:uid="{00000000-0005-0000-0000-0000AC500000}"/>
    <cellStyle name="Normal 15 2 2 3 2 3" xfId="20843" xr:uid="{00000000-0005-0000-0000-0000AD500000}"/>
    <cellStyle name="Normal 15 2 2 3 2 3 2" xfId="20844" xr:uid="{00000000-0005-0000-0000-0000AE500000}"/>
    <cellStyle name="Normal 15 2 2 3 2 4" xfId="20845" xr:uid="{00000000-0005-0000-0000-0000AF500000}"/>
    <cellStyle name="Normal 15 2 2 3 2 5" xfId="20846" xr:uid="{00000000-0005-0000-0000-0000B0500000}"/>
    <cellStyle name="Normal 15 2 2 3 2 6" xfId="20847" xr:uid="{00000000-0005-0000-0000-0000B1500000}"/>
    <cellStyle name="Normal 15 2 2 3 2 7" xfId="20848" xr:uid="{00000000-0005-0000-0000-0000B2500000}"/>
    <cellStyle name="Normal 15 2 2 3 2 8" xfId="20849" xr:uid="{00000000-0005-0000-0000-0000B3500000}"/>
    <cellStyle name="Normal 15 2 2 3 3" xfId="20850" xr:uid="{00000000-0005-0000-0000-0000B4500000}"/>
    <cellStyle name="Normal 15 2 2 3 3 2" xfId="20851" xr:uid="{00000000-0005-0000-0000-0000B5500000}"/>
    <cellStyle name="Normal 15 2 2 3 4" xfId="20852" xr:uid="{00000000-0005-0000-0000-0000B6500000}"/>
    <cellStyle name="Normal 15 2 2 3 4 2" xfId="20853" xr:uid="{00000000-0005-0000-0000-0000B7500000}"/>
    <cellStyle name="Normal 15 2 2 3 5" xfId="20854" xr:uid="{00000000-0005-0000-0000-0000B8500000}"/>
    <cellStyle name="Normal 15 2 2 3 6" xfId="20855" xr:uid="{00000000-0005-0000-0000-0000B9500000}"/>
    <cellStyle name="Normal 15 2 2 3 7" xfId="20856" xr:uid="{00000000-0005-0000-0000-0000BA500000}"/>
    <cellStyle name="Normal 15 2 2 3 8" xfId="20857" xr:uid="{00000000-0005-0000-0000-0000BB500000}"/>
    <cellStyle name="Normal 15 2 2 3 9" xfId="20858" xr:uid="{00000000-0005-0000-0000-0000BC500000}"/>
    <cellStyle name="Normal 15 2 2 4" xfId="20859" xr:uid="{00000000-0005-0000-0000-0000BD500000}"/>
    <cellStyle name="Normal 15 2 2 4 2" xfId="20860" xr:uid="{00000000-0005-0000-0000-0000BE500000}"/>
    <cellStyle name="Normal 15 2 2 4 2 2" xfId="20861" xr:uid="{00000000-0005-0000-0000-0000BF500000}"/>
    <cellStyle name="Normal 15 2 2 4 2 2 2" xfId="20862" xr:uid="{00000000-0005-0000-0000-0000C0500000}"/>
    <cellStyle name="Normal 15 2 2 4 2 3" xfId="20863" xr:uid="{00000000-0005-0000-0000-0000C1500000}"/>
    <cellStyle name="Normal 15 2 2 4 2 3 2" xfId="20864" xr:uid="{00000000-0005-0000-0000-0000C2500000}"/>
    <cellStyle name="Normal 15 2 2 4 2 4" xfId="20865" xr:uid="{00000000-0005-0000-0000-0000C3500000}"/>
    <cellStyle name="Normal 15 2 2 4 2 5" xfId="20866" xr:uid="{00000000-0005-0000-0000-0000C4500000}"/>
    <cellStyle name="Normal 15 2 2 4 2 6" xfId="20867" xr:uid="{00000000-0005-0000-0000-0000C5500000}"/>
    <cellStyle name="Normal 15 2 2 4 2 7" xfId="20868" xr:uid="{00000000-0005-0000-0000-0000C6500000}"/>
    <cellStyle name="Normal 15 2 2 4 3" xfId="20869" xr:uid="{00000000-0005-0000-0000-0000C7500000}"/>
    <cellStyle name="Normal 15 2 2 4 3 2" xfId="20870" xr:uid="{00000000-0005-0000-0000-0000C8500000}"/>
    <cellStyle name="Normal 15 2 2 4 4" xfId="20871" xr:uid="{00000000-0005-0000-0000-0000C9500000}"/>
    <cellStyle name="Normal 15 2 2 4 4 2" xfId="20872" xr:uid="{00000000-0005-0000-0000-0000CA500000}"/>
    <cellStyle name="Normal 15 2 2 4 5" xfId="20873" xr:uid="{00000000-0005-0000-0000-0000CB500000}"/>
    <cellStyle name="Normal 15 2 2 4 6" xfId="20874" xr:uid="{00000000-0005-0000-0000-0000CC500000}"/>
    <cellStyle name="Normal 15 2 2 4 7" xfId="20875" xr:uid="{00000000-0005-0000-0000-0000CD500000}"/>
    <cellStyle name="Normal 15 2 2 4 8" xfId="20876" xr:uid="{00000000-0005-0000-0000-0000CE500000}"/>
    <cellStyle name="Normal 15 2 2 4 9" xfId="20877" xr:uid="{00000000-0005-0000-0000-0000CF500000}"/>
    <cellStyle name="Normal 15 2 2 5" xfId="20878" xr:uid="{00000000-0005-0000-0000-0000D0500000}"/>
    <cellStyle name="Normal 15 2 2 5 2" xfId="20879" xr:uid="{00000000-0005-0000-0000-0000D1500000}"/>
    <cellStyle name="Normal 15 2 2 5 2 2" xfId="20880" xr:uid="{00000000-0005-0000-0000-0000D2500000}"/>
    <cellStyle name="Normal 15 2 2 5 3" xfId="20881" xr:uid="{00000000-0005-0000-0000-0000D3500000}"/>
    <cellStyle name="Normal 15 2 2 5 3 2" xfId="20882" xr:uid="{00000000-0005-0000-0000-0000D4500000}"/>
    <cellStyle name="Normal 15 2 2 5 4" xfId="20883" xr:uid="{00000000-0005-0000-0000-0000D5500000}"/>
    <cellStyle name="Normal 15 2 2 5 5" xfId="20884" xr:uid="{00000000-0005-0000-0000-0000D6500000}"/>
    <cellStyle name="Normal 15 2 2 5 6" xfId="20885" xr:uid="{00000000-0005-0000-0000-0000D7500000}"/>
    <cellStyle name="Normal 15 2 2 5 7" xfId="20886" xr:uid="{00000000-0005-0000-0000-0000D8500000}"/>
    <cellStyle name="Normal 15 2 2 6" xfId="20887" xr:uid="{00000000-0005-0000-0000-0000D9500000}"/>
    <cellStyle name="Normal 15 2 2 6 2" xfId="20888" xr:uid="{00000000-0005-0000-0000-0000DA500000}"/>
    <cellStyle name="Normal 15 2 2 7" xfId="20889" xr:uid="{00000000-0005-0000-0000-0000DB500000}"/>
    <cellStyle name="Normal 15 2 2 7 2" xfId="20890" xr:uid="{00000000-0005-0000-0000-0000DC500000}"/>
    <cellStyle name="Normal 15 2 2 8" xfId="20891" xr:uid="{00000000-0005-0000-0000-0000DD500000}"/>
    <cellStyle name="Normal 15 2 2 8 2" xfId="20892" xr:uid="{00000000-0005-0000-0000-0000DE500000}"/>
    <cellStyle name="Normal 15 2 2 9" xfId="20893" xr:uid="{00000000-0005-0000-0000-0000DF500000}"/>
    <cellStyle name="Normal 15 2 3" xfId="20894" xr:uid="{00000000-0005-0000-0000-0000E0500000}"/>
    <cellStyle name="Normal 15 2 3 10" xfId="20895" xr:uid="{00000000-0005-0000-0000-0000E1500000}"/>
    <cellStyle name="Normal 15 2 3 11" xfId="20896" xr:uid="{00000000-0005-0000-0000-0000E2500000}"/>
    <cellStyle name="Normal 15 2 3 12" xfId="20897" xr:uid="{00000000-0005-0000-0000-0000E3500000}"/>
    <cellStyle name="Normal 15 2 3 2" xfId="20898" xr:uid="{00000000-0005-0000-0000-0000E4500000}"/>
    <cellStyle name="Normal 15 2 3 2 2" xfId="20899" xr:uid="{00000000-0005-0000-0000-0000E5500000}"/>
    <cellStyle name="Normal 15 2 3 2 2 2" xfId="20900" xr:uid="{00000000-0005-0000-0000-0000E6500000}"/>
    <cellStyle name="Normal 15 2 3 2 2 2 2" xfId="20901" xr:uid="{00000000-0005-0000-0000-0000E7500000}"/>
    <cellStyle name="Normal 15 2 3 2 2 3" xfId="20902" xr:uid="{00000000-0005-0000-0000-0000E8500000}"/>
    <cellStyle name="Normal 15 2 3 2 2 3 2" xfId="20903" xr:uid="{00000000-0005-0000-0000-0000E9500000}"/>
    <cellStyle name="Normal 15 2 3 2 2 4" xfId="20904" xr:uid="{00000000-0005-0000-0000-0000EA500000}"/>
    <cellStyle name="Normal 15 2 3 2 2 5" xfId="20905" xr:uid="{00000000-0005-0000-0000-0000EB500000}"/>
    <cellStyle name="Normal 15 2 3 2 2 6" xfId="20906" xr:uid="{00000000-0005-0000-0000-0000EC500000}"/>
    <cellStyle name="Normal 15 2 3 2 2 7" xfId="20907" xr:uid="{00000000-0005-0000-0000-0000ED500000}"/>
    <cellStyle name="Normal 15 2 3 2 3" xfId="20908" xr:uid="{00000000-0005-0000-0000-0000EE500000}"/>
    <cellStyle name="Normal 15 2 3 2 3 2" xfId="20909" xr:uid="{00000000-0005-0000-0000-0000EF500000}"/>
    <cellStyle name="Normal 15 2 3 2 4" xfId="20910" xr:uid="{00000000-0005-0000-0000-0000F0500000}"/>
    <cellStyle name="Normal 15 2 3 2 4 2" xfId="20911" xr:uid="{00000000-0005-0000-0000-0000F1500000}"/>
    <cellStyle name="Normal 15 2 3 2 5" xfId="20912" xr:uid="{00000000-0005-0000-0000-0000F2500000}"/>
    <cellStyle name="Normal 15 2 3 2 6" xfId="20913" xr:uid="{00000000-0005-0000-0000-0000F3500000}"/>
    <cellStyle name="Normal 15 2 3 2 7" xfId="20914" xr:uid="{00000000-0005-0000-0000-0000F4500000}"/>
    <cellStyle name="Normal 15 2 3 2 8" xfId="20915" xr:uid="{00000000-0005-0000-0000-0000F5500000}"/>
    <cellStyle name="Normal 15 2 3 2 9" xfId="20916" xr:uid="{00000000-0005-0000-0000-0000F6500000}"/>
    <cellStyle name="Normal 15 2 3 3" xfId="20917" xr:uid="{00000000-0005-0000-0000-0000F7500000}"/>
    <cellStyle name="Normal 15 2 3 3 2" xfId="20918" xr:uid="{00000000-0005-0000-0000-0000F8500000}"/>
    <cellStyle name="Normal 15 2 3 3 2 2" xfId="20919" xr:uid="{00000000-0005-0000-0000-0000F9500000}"/>
    <cellStyle name="Normal 15 2 3 3 2 2 2" xfId="20920" xr:uid="{00000000-0005-0000-0000-0000FA500000}"/>
    <cellStyle name="Normal 15 2 3 3 2 3" xfId="20921" xr:uid="{00000000-0005-0000-0000-0000FB500000}"/>
    <cellStyle name="Normal 15 2 3 3 2 3 2" xfId="20922" xr:uid="{00000000-0005-0000-0000-0000FC500000}"/>
    <cellStyle name="Normal 15 2 3 3 2 4" xfId="20923" xr:uid="{00000000-0005-0000-0000-0000FD500000}"/>
    <cellStyle name="Normal 15 2 3 3 2 5" xfId="20924" xr:uid="{00000000-0005-0000-0000-0000FE500000}"/>
    <cellStyle name="Normal 15 2 3 3 2 6" xfId="20925" xr:uid="{00000000-0005-0000-0000-0000FF500000}"/>
    <cellStyle name="Normal 15 2 3 3 2 7" xfId="20926" xr:uid="{00000000-0005-0000-0000-000000510000}"/>
    <cellStyle name="Normal 15 2 3 3 3" xfId="20927" xr:uid="{00000000-0005-0000-0000-000001510000}"/>
    <cellStyle name="Normal 15 2 3 3 3 2" xfId="20928" xr:uid="{00000000-0005-0000-0000-000002510000}"/>
    <cellStyle name="Normal 15 2 3 3 4" xfId="20929" xr:uid="{00000000-0005-0000-0000-000003510000}"/>
    <cellStyle name="Normal 15 2 3 3 4 2" xfId="20930" xr:uid="{00000000-0005-0000-0000-000004510000}"/>
    <cellStyle name="Normal 15 2 3 3 5" xfId="20931" xr:uid="{00000000-0005-0000-0000-000005510000}"/>
    <cellStyle name="Normal 15 2 3 3 6" xfId="20932" xr:uid="{00000000-0005-0000-0000-000006510000}"/>
    <cellStyle name="Normal 15 2 3 3 7" xfId="20933" xr:uid="{00000000-0005-0000-0000-000007510000}"/>
    <cellStyle name="Normal 15 2 3 3 8" xfId="20934" xr:uid="{00000000-0005-0000-0000-000008510000}"/>
    <cellStyle name="Normal 15 2 3 4" xfId="20935" xr:uid="{00000000-0005-0000-0000-000009510000}"/>
    <cellStyle name="Normal 15 2 3 4 2" xfId="20936" xr:uid="{00000000-0005-0000-0000-00000A510000}"/>
    <cellStyle name="Normal 15 2 3 4 2 2" xfId="20937" xr:uid="{00000000-0005-0000-0000-00000B510000}"/>
    <cellStyle name="Normal 15 2 3 4 3" xfId="20938" xr:uid="{00000000-0005-0000-0000-00000C510000}"/>
    <cellStyle name="Normal 15 2 3 4 3 2" xfId="20939" xr:uid="{00000000-0005-0000-0000-00000D510000}"/>
    <cellStyle name="Normal 15 2 3 4 4" xfId="20940" xr:uid="{00000000-0005-0000-0000-00000E510000}"/>
    <cellStyle name="Normal 15 2 3 4 5" xfId="20941" xr:uid="{00000000-0005-0000-0000-00000F510000}"/>
    <cellStyle name="Normal 15 2 3 4 6" xfId="20942" xr:uid="{00000000-0005-0000-0000-000010510000}"/>
    <cellStyle name="Normal 15 2 3 4 7" xfId="20943" xr:uid="{00000000-0005-0000-0000-000011510000}"/>
    <cellStyle name="Normal 15 2 3 5" xfId="20944" xr:uid="{00000000-0005-0000-0000-000012510000}"/>
    <cellStyle name="Normal 15 2 3 5 2" xfId="20945" xr:uid="{00000000-0005-0000-0000-000013510000}"/>
    <cellStyle name="Normal 15 2 3 6" xfId="20946" xr:uid="{00000000-0005-0000-0000-000014510000}"/>
    <cellStyle name="Normal 15 2 3 6 2" xfId="20947" xr:uid="{00000000-0005-0000-0000-000015510000}"/>
    <cellStyle name="Normal 15 2 3 7" xfId="20948" xr:uid="{00000000-0005-0000-0000-000016510000}"/>
    <cellStyle name="Normal 15 2 3 7 2" xfId="20949" xr:uid="{00000000-0005-0000-0000-000017510000}"/>
    <cellStyle name="Normal 15 2 3 8" xfId="20950" xr:uid="{00000000-0005-0000-0000-000018510000}"/>
    <cellStyle name="Normal 15 2 3 9" xfId="20951" xr:uid="{00000000-0005-0000-0000-000019510000}"/>
    <cellStyle name="Normal 15 2 4" xfId="20952" xr:uid="{00000000-0005-0000-0000-00001A510000}"/>
    <cellStyle name="Normal 15 2 4 10" xfId="20953" xr:uid="{00000000-0005-0000-0000-00001B510000}"/>
    <cellStyle name="Normal 15 2 4 2" xfId="20954" xr:uid="{00000000-0005-0000-0000-00001C510000}"/>
    <cellStyle name="Normal 15 2 4 2 2" xfId="20955" xr:uid="{00000000-0005-0000-0000-00001D510000}"/>
    <cellStyle name="Normal 15 2 4 2 2 2" xfId="20956" xr:uid="{00000000-0005-0000-0000-00001E510000}"/>
    <cellStyle name="Normal 15 2 4 2 3" xfId="20957" xr:uid="{00000000-0005-0000-0000-00001F510000}"/>
    <cellStyle name="Normal 15 2 4 2 3 2" xfId="20958" xr:uid="{00000000-0005-0000-0000-000020510000}"/>
    <cellStyle name="Normal 15 2 4 2 4" xfId="20959" xr:uid="{00000000-0005-0000-0000-000021510000}"/>
    <cellStyle name="Normal 15 2 4 2 5" xfId="20960" xr:uid="{00000000-0005-0000-0000-000022510000}"/>
    <cellStyle name="Normal 15 2 4 2 6" xfId="20961" xr:uid="{00000000-0005-0000-0000-000023510000}"/>
    <cellStyle name="Normal 15 2 4 2 7" xfId="20962" xr:uid="{00000000-0005-0000-0000-000024510000}"/>
    <cellStyle name="Normal 15 2 4 3" xfId="20963" xr:uid="{00000000-0005-0000-0000-000025510000}"/>
    <cellStyle name="Normal 15 2 4 3 2" xfId="20964" xr:uid="{00000000-0005-0000-0000-000026510000}"/>
    <cellStyle name="Normal 15 2 4 3 2 2" xfId="20965" xr:uid="{00000000-0005-0000-0000-000027510000}"/>
    <cellStyle name="Normal 15 2 4 3 3" xfId="20966" xr:uid="{00000000-0005-0000-0000-000028510000}"/>
    <cellStyle name="Normal 15 2 4 3 3 2" xfId="20967" xr:uid="{00000000-0005-0000-0000-000029510000}"/>
    <cellStyle name="Normal 15 2 4 3 4" xfId="20968" xr:uid="{00000000-0005-0000-0000-00002A510000}"/>
    <cellStyle name="Normal 15 2 4 3 5" xfId="20969" xr:uid="{00000000-0005-0000-0000-00002B510000}"/>
    <cellStyle name="Normal 15 2 4 3 6" xfId="20970" xr:uid="{00000000-0005-0000-0000-00002C510000}"/>
    <cellStyle name="Normal 15 2 4 3 7" xfId="20971" xr:uid="{00000000-0005-0000-0000-00002D510000}"/>
    <cellStyle name="Normal 15 2 4 4" xfId="20972" xr:uid="{00000000-0005-0000-0000-00002E510000}"/>
    <cellStyle name="Normal 15 2 4 4 2" xfId="20973" xr:uid="{00000000-0005-0000-0000-00002F510000}"/>
    <cellStyle name="Normal 15 2 4 5" xfId="20974" xr:uid="{00000000-0005-0000-0000-000030510000}"/>
    <cellStyle name="Normal 15 2 4 5 2" xfId="20975" xr:uid="{00000000-0005-0000-0000-000031510000}"/>
    <cellStyle name="Normal 15 2 4 6" xfId="20976" xr:uid="{00000000-0005-0000-0000-000032510000}"/>
    <cellStyle name="Normal 15 2 4 7" xfId="20977" xr:uid="{00000000-0005-0000-0000-000033510000}"/>
    <cellStyle name="Normal 15 2 4 8" xfId="20978" xr:uid="{00000000-0005-0000-0000-000034510000}"/>
    <cellStyle name="Normal 15 2 4 9" xfId="20979" xr:uid="{00000000-0005-0000-0000-000035510000}"/>
    <cellStyle name="Normal 15 2 5" xfId="20980" xr:uid="{00000000-0005-0000-0000-000036510000}"/>
    <cellStyle name="Normal 15 2 5 2" xfId="20981" xr:uid="{00000000-0005-0000-0000-000037510000}"/>
    <cellStyle name="Normal 15 2 5 2 2" xfId="20982" xr:uid="{00000000-0005-0000-0000-000038510000}"/>
    <cellStyle name="Normal 15 2 5 2 2 2" xfId="20983" xr:uid="{00000000-0005-0000-0000-000039510000}"/>
    <cellStyle name="Normal 15 2 5 2 3" xfId="20984" xr:uid="{00000000-0005-0000-0000-00003A510000}"/>
    <cellStyle name="Normal 15 2 5 2 3 2" xfId="20985" xr:uid="{00000000-0005-0000-0000-00003B510000}"/>
    <cellStyle name="Normal 15 2 5 2 4" xfId="20986" xr:uid="{00000000-0005-0000-0000-00003C510000}"/>
    <cellStyle name="Normal 15 2 5 2 5" xfId="20987" xr:uid="{00000000-0005-0000-0000-00003D510000}"/>
    <cellStyle name="Normal 15 2 5 2 6" xfId="20988" xr:uid="{00000000-0005-0000-0000-00003E510000}"/>
    <cellStyle name="Normal 15 2 5 2 7" xfId="20989" xr:uid="{00000000-0005-0000-0000-00003F510000}"/>
    <cellStyle name="Normal 15 2 5 3" xfId="20990" xr:uid="{00000000-0005-0000-0000-000040510000}"/>
    <cellStyle name="Normal 15 2 5 3 2" xfId="20991" xr:uid="{00000000-0005-0000-0000-000041510000}"/>
    <cellStyle name="Normal 15 2 5 4" xfId="20992" xr:uid="{00000000-0005-0000-0000-000042510000}"/>
    <cellStyle name="Normal 15 2 5 4 2" xfId="20993" xr:uid="{00000000-0005-0000-0000-000043510000}"/>
    <cellStyle name="Normal 15 2 5 5" xfId="20994" xr:uid="{00000000-0005-0000-0000-000044510000}"/>
    <cellStyle name="Normal 15 2 5 6" xfId="20995" xr:uid="{00000000-0005-0000-0000-000045510000}"/>
    <cellStyle name="Normal 15 2 5 7" xfId="20996" xr:uid="{00000000-0005-0000-0000-000046510000}"/>
    <cellStyle name="Normal 15 2 5 8" xfId="20997" xr:uid="{00000000-0005-0000-0000-000047510000}"/>
    <cellStyle name="Normal 15 2 5 9" xfId="20998" xr:uid="{00000000-0005-0000-0000-000048510000}"/>
    <cellStyle name="Normal 15 2 6" xfId="20999" xr:uid="{00000000-0005-0000-0000-000049510000}"/>
    <cellStyle name="Normal 15 2 6 2" xfId="21000" xr:uid="{00000000-0005-0000-0000-00004A510000}"/>
    <cellStyle name="Normal 15 2 6 2 2" xfId="21001" xr:uid="{00000000-0005-0000-0000-00004B510000}"/>
    <cellStyle name="Normal 15 2 6 2 2 2" xfId="21002" xr:uid="{00000000-0005-0000-0000-00004C510000}"/>
    <cellStyle name="Normal 15 2 6 2 3" xfId="21003" xr:uid="{00000000-0005-0000-0000-00004D510000}"/>
    <cellStyle name="Normal 15 2 6 2 3 2" xfId="21004" xr:uid="{00000000-0005-0000-0000-00004E510000}"/>
    <cellStyle name="Normal 15 2 6 2 4" xfId="21005" xr:uid="{00000000-0005-0000-0000-00004F510000}"/>
    <cellStyle name="Normal 15 2 6 2 5" xfId="21006" xr:uid="{00000000-0005-0000-0000-000050510000}"/>
    <cellStyle name="Normal 15 2 6 2 6" xfId="21007" xr:uid="{00000000-0005-0000-0000-000051510000}"/>
    <cellStyle name="Normal 15 2 6 2 7" xfId="21008" xr:uid="{00000000-0005-0000-0000-000052510000}"/>
    <cellStyle name="Normal 15 2 6 3" xfId="21009" xr:uid="{00000000-0005-0000-0000-000053510000}"/>
    <cellStyle name="Normal 15 2 6 3 2" xfId="21010" xr:uid="{00000000-0005-0000-0000-000054510000}"/>
    <cellStyle name="Normal 15 2 6 4" xfId="21011" xr:uid="{00000000-0005-0000-0000-000055510000}"/>
    <cellStyle name="Normal 15 2 6 4 2" xfId="21012" xr:uid="{00000000-0005-0000-0000-000056510000}"/>
    <cellStyle name="Normal 15 2 6 5" xfId="21013" xr:uid="{00000000-0005-0000-0000-000057510000}"/>
    <cellStyle name="Normal 15 2 6 6" xfId="21014" xr:uid="{00000000-0005-0000-0000-000058510000}"/>
    <cellStyle name="Normal 15 2 6 7" xfId="21015" xr:uid="{00000000-0005-0000-0000-000059510000}"/>
    <cellStyle name="Normal 15 2 6 8" xfId="21016" xr:uid="{00000000-0005-0000-0000-00005A510000}"/>
    <cellStyle name="Normal 15 2 7" xfId="21017" xr:uid="{00000000-0005-0000-0000-00005B510000}"/>
    <cellStyle name="Normal 15 2 7 2" xfId="21018" xr:uid="{00000000-0005-0000-0000-00005C510000}"/>
    <cellStyle name="Normal 15 2 7 2 2" xfId="21019" xr:uid="{00000000-0005-0000-0000-00005D510000}"/>
    <cellStyle name="Normal 15 2 7 3" xfId="21020" xr:uid="{00000000-0005-0000-0000-00005E510000}"/>
    <cellStyle name="Normal 15 2 7 3 2" xfId="21021" xr:uid="{00000000-0005-0000-0000-00005F510000}"/>
    <cellStyle name="Normal 15 2 7 4" xfId="21022" xr:uid="{00000000-0005-0000-0000-000060510000}"/>
    <cellStyle name="Normal 15 2 7 5" xfId="21023" xr:uid="{00000000-0005-0000-0000-000061510000}"/>
    <cellStyle name="Normal 15 2 7 6" xfId="21024" xr:uid="{00000000-0005-0000-0000-000062510000}"/>
    <cellStyle name="Normal 15 2 7 7" xfId="21025" xr:uid="{00000000-0005-0000-0000-000063510000}"/>
    <cellStyle name="Normal 15 2 8" xfId="21026" xr:uid="{00000000-0005-0000-0000-000064510000}"/>
    <cellStyle name="Normal 15 2 8 2" xfId="21027" xr:uid="{00000000-0005-0000-0000-000065510000}"/>
    <cellStyle name="Normal 15 2 9" xfId="21028" xr:uid="{00000000-0005-0000-0000-000066510000}"/>
    <cellStyle name="Normal 15 2 9 2" xfId="21029" xr:uid="{00000000-0005-0000-0000-000067510000}"/>
    <cellStyle name="Normal 15 2_2015 Annual Rpt" xfId="21030" xr:uid="{00000000-0005-0000-0000-000068510000}"/>
    <cellStyle name="Normal 15 3" xfId="258" xr:uid="{00000000-0005-0000-0000-000069510000}"/>
    <cellStyle name="Normal 15 3 2" xfId="21031" xr:uid="{00000000-0005-0000-0000-00006A510000}"/>
    <cellStyle name="Normal 15 3 2 2" xfId="21032" xr:uid="{00000000-0005-0000-0000-00006B510000}"/>
    <cellStyle name="Normal 15 3 2 2 2" xfId="21033" xr:uid="{00000000-0005-0000-0000-00006C510000}"/>
    <cellStyle name="Normal 15 3 2 3" xfId="21034" xr:uid="{00000000-0005-0000-0000-00006D510000}"/>
    <cellStyle name="Normal 15 3 2 4" xfId="21035" xr:uid="{00000000-0005-0000-0000-00006E510000}"/>
    <cellStyle name="Normal 15 3 2 5" xfId="21036" xr:uid="{00000000-0005-0000-0000-00006F510000}"/>
    <cellStyle name="Normal 15 3 3" xfId="21037" xr:uid="{00000000-0005-0000-0000-000070510000}"/>
    <cellStyle name="Normal 15 3 3 2" xfId="21038" xr:uid="{00000000-0005-0000-0000-000071510000}"/>
    <cellStyle name="Normal 15 3 4" xfId="21039" xr:uid="{00000000-0005-0000-0000-000072510000}"/>
    <cellStyle name="Normal 15 3 4 2" xfId="21040" xr:uid="{00000000-0005-0000-0000-000073510000}"/>
    <cellStyle name="Normal 15 3 4 3" xfId="21041" xr:uid="{00000000-0005-0000-0000-000074510000}"/>
    <cellStyle name="Normal 15 3 5" xfId="21042" xr:uid="{00000000-0005-0000-0000-000075510000}"/>
    <cellStyle name="Normal 15 3 6" xfId="21043" xr:uid="{00000000-0005-0000-0000-000076510000}"/>
    <cellStyle name="Normal 15 3 7" xfId="21044" xr:uid="{00000000-0005-0000-0000-000077510000}"/>
    <cellStyle name="Normal 15 4" xfId="21045" xr:uid="{00000000-0005-0000-0000-000078510000}"/>
    <cellStyle name="Normal 15 4 2" xfId="21046" xr:uid="{00000000-0005-0000-0000-000079510000}"/>
    <cellStyle name="Normal 15 4 2 2" xfId="21047" xr:uid="{00000000-0005-0000-0000-00007A510000}"/>
    <cellStyle name="Normal 15 4 2 3" xfId="21048" xr:uid="{00000000-0005-0000-0000-00007B510000}"/>
    <cellStyle name="Normal 15 4 2 4" xfId="21049" xr:uid="{00000000-0005-0000-0000-00007C510000}"/>
    <cellStyle name="Normal 15 4 2 5" xfId="21050" xr:uid="{00000000-0005-0000-0000-00007D510000}"/>
    <cellStyle name="Normal 15 4 3" xfId="21051" xr:uid="{00000000-0005-0000-0000-00007E510000}"/>
    <cellStyle name="Normal 15 4 3 2" xfId="21052" xr:uid="{00000000-0005-0000-0000-00007F510000}"/>
    <cellStyle name="Normal 15 4 4" xfId="21053" xr:uid="{00000000-0005-0000-0000-000080510000}"/>
    <cellStyle name="Normal 15 4 5" xfId="21054" xr:uid="{00000000-0005-0000-0000-000081510000}"/>
    <cellStyle name="Normal 15 4 6" xfId="21055" xr:uid="{00000000-0005-0000-0000-000082510000}"/>
    <cellStyle name="Normal 15 4 7" xfId="21056" xr:uid="{00000000-0005-0000-0000-000083510000}"/>
    <cellStyle name="Normal 15 5" xfId="21057" xr:uid="{00000000-0005-0000-0000-000084510000}"/>
    <cellStyle name="Normal 15 5 2" xfId="21058" xr:uid="{00000000-0005-0000-0000-000085510000}"/>
    <cellStyle name="Normal 15 5 2 2" xfId="21059" xr:uid="{00000000-0005-0000-0000-000086510000}"/>
    <cellStyle name="Normal 15 5 2 3" xfId="21060" xr:uid="{00000000-0005-0000-0000-000087510000}"/>
    <cellStyle name="Normal 15 5 3" xfId="21061" xr:uid="{00000000-0005-0000-0000-000088510000}"/>
    <cellStyle name="Normal 15 5 3 2" xfId="21062" xr:uid="{00000000-0005-0000-0000-000089510000}"/>
    <cellStyle name="Normal 15 5 4" xfId="21063" xr:uid="{00000000-0005-0000-0000-00008A510000}"/>
    <cellStyle name="Normal 15 5 5" xfId="21064" xr:uid="{00000000-0005-0000-0000-00008B510000}"/>
    <cellStyle name="Normal 15 5 6" xfId="21065" xr:uid="{00000000-0005-0000-0000-00008C510000}"/>
    <cellStyle name="Normal 15 6" xfId="21066" xr:uid="{00000000-0005-0000-0000-00008D510000}"/>
    <cellStyle name="Normal 15 6 2" xfId="21067" xr:uid="{00000000-0005-0000-0000-00008E510000}"/>
    <cellStyle name="Normal 15 6 3" xfId="21068" xr:uid="{00000000-0005-0000-0000-00008F510000}"/>
    <cellStyle name="Normal 15 6 4" xfId="21069" xr:uid="{00000000-0005-0000-0000-000090510000}"/>
    <cellStyle name="Normal 15 7" xfId="21070" xr:uid="{00000000-0005-0000-0000-000091510000}"/>
    <cellStyle name="Normal 15 7 2" xfId="21071" xr:uid="{00000000-0005-0000-0000-000092510000}"/>
    <cellStyle name="Normal 15 7 3" xfId="21072" xr:uid="{00000000-0005-0000-0000-000093510000}"/>
    <cellStyle name="Normal 15 8" xfId="21073" xr:uid="{00000000-0005-0000-0000-000094510000}"/>
    <cellStyle name="Normal 15 8 2" xfId="21074" xr:uid="{00000000-0005-0000-0000-000095510000}"/>
    <cellStyle name="Normal 15 8 3" xfId="21075" xr:uid="{00000000-0005-0000-0000-000096510000}"/>
    <cellStyle name="Normal 15 9" xfId="21076" xr:uid="{00000000-0005-0000-0000-000097510000}"/>
    <cellStyle name="Normal 15_2015 Annual Rpt" xfId="21077" xr:uid="{00000000-0005-0000-0000-000098510000}"/>
    <cellStyle name="Normal 150" xfId="21078" xr:uid="{00000000-0005-0000-0000-000099510000}"/>
    <cellStyle name="Normal 150 2" xfId="21079" xr:uid="{00000000-0005-0000-0000-00009A510000}"/>
    <cellStyle name="Normal 150 2 2" xfId="21080" xr:uid="{00000000-0005-0000-0000-00009B510000}"/>
    <cellStyle name="Normal 150 2 3" xfId="21081" xr:uid="{00000000-0005-0000-0000-00009C510000}"/>
    <cellStyle name="Normal 150 3" xfId="21082" xr:uid="{00000000-0005-0000-0000-00009D510000}"/>
    <cellStyle name="Normal 150 4" xfId="21083" xr:uid="{00000000-0005-0000-0000-00009E510000}"/>
    <cellStyle name="Normal 151" xfId="21084" xr:uid="{00000000-0005-0000-0000-00009F510000}"/>
    <cellStyle name="Normal 151 2" xfId="21085" xr:uid="{00000000-0005-0000-0000-0000A0510000}"/>
    <cellStyle name="Normal 151 2 2" xfId="21086" xr:uid="{00000000-0005-0000-0000-0000A1510000}"/>
    <cellStyle name="Normal 151 2 3" xfId="21087" xr:uid="{00000000-0005-0000-0000-0000A2510000}"/>
    <cellStyle name="Normal 151 3" xfId="21088" xr:uid="{00000000-0005-0000-0000-0000A3510000}"/>
    <cellStyle name="Normal 151 4" xfId="21089" xr:uid="{00000000-0005-0000-0000-0000A4510000}"/>
    <cellStyle name="Normal 152" xfId="21090" xr:uid="{00000000-0005-0000-0000-0000A5510000}"/>
    <cellStyle name="Normal 152 2" xfId="21091" xr:uid="{00000000-0005-0000-0000-0000A6510000}"/>
    <cellStyle name="Normal 152 2 2" xfId="21092" xr:uid="{00000000-0005-0000-0000-0000A7510000}"/>
    <cellStyle name="Normal 152 2 3" xfId="21093" xr:uid="{00000000-0005-0000-0000-0000A8510000}"/>
    <cellStyle name="Normal 152 3" xfId="21094" xr:uid="{00000000-0005-0000-0000-0000A9510000}"/>
    <cellStyle name="Normal 152 4" xfId="21095" xr:uid="{00000000-0005-0000-0000-0000AA510000}"/>
    <cellStyle name="Normal 153" xfId="21096" xr:uid="{00000000-0005-0000-0000-0000AB510000}"/>
    <cellStyle name="Normal 153 2" xfId="21097" xr:uid="{00000000-0005-0000-0000-0000AC510000}"/>
    <cellStyle name="Normal 153 2 2" xfId="21098" xr:uid="{00000000-0005-0000-0000-0000AD510000}"/>
    <cellStyle name="Normal 153 2 3" xfId="21099" xr:uid="{00000000-0005-0000-0000-0000AE510000}"/>
    <cellStyle name="Normal 153 3" xfId="21100" xr:uid="{00000000-0005-0000-0000-0000AF510000}"/>
    <cellStyle name="Normal 153 4" xfId="21101" xr:uid="{00000000-0005-0000-0000-0000B0510000}"/>
    <cellStyle name="Normal 154" xfId="21102" xr:uid="{00000000-0005-0000-0000-0000B1510000}"/>
    <cellStyle name="Normal 154 2" xfId="21103" xr:uid="{00000000-0005-0000-0000-0000B2510000}"/>
    <cellStyle name="Normal 154 2 2" xfId="21104" xr:uid="{00000000-0005-0000-0000-0000B3510000}"/>
    <cellStyle name="Normal 154 2 3" xfId="21105" xr:uid="{00000000-0005-0000-0000-0000B4510000}"/>
    <cellStyle name="Normal 154 3" xfId="21106" xr:uid="{00000000-0005-0000-0000-0000B5510000}"/>
    <cellStyle name="Normal 154 4" xfId="21107" xr:uid="{00000000-0005-0000-0000-0000B6510000}"/>
    <cellStyle name="Normal 155" xfId="21108" xr:uid="{00000000-0005-0000-0000-0000B7510000}"/>
    <cellStyle name="Normal 155 2" xfId="21109" xr:uid="{00000000-0005-0000-0000-0000B8510000}"/>
    <cellStyle name="Normal 155 2 2" xfId="21110" xr:uid="{00000000-0005-0000-0000-0000B9510000}"/>
    <cellStyle name="Normal 155 2 3" xfId="21111" xr:uid="{00000000-0005-0000-0000-0000BA510000}"/>
    <cellStyle name="Normal 155 3" xfId="21112" xr:uid="{00000000-0005-0000-0000-0000BB510000}"/>
    <cellStyle name="Normal 155 4" xfId="21113" xr:uid="{00000000-0005-0000-0000-0000BC510000}"/>
    <cellStyle name="Normal 156" xfId="21114" xr:uid="{00000000-0005-0000-0000-0000BD510000}"/>
    <cellStyle name="Normal 156 2" xfId="21115" xr:uid="{00000000-0005-0000-0000-0000BE510000}"/>
    <cellStyle name="Normal 156 2 2" xfId="21116" xr:uid="{00000000-0005-0000-0000-0000BF510000}"/>
    <cellStyle name="Normal 156 2 3" xfId="21117" xr:uid="{00000000-0005-0000-0000-0000C0510000}"/>
    <cellStyle name="Normal 156 3" xfId="21118" xr:uid="{00000000-0005-0000-0000-0000C1510000}"/>
    <cellStyle name="Normal 156 4" xfId="21119" xr:uid="{00000000-0005-0000-0000-0000C2510000}"/>
    <cellStyle name="Normal 157" xfId="21120" xr:uid="{00000000-0005-0000-0000-0000C3510000}"/>
    <cellStyle name="Normal 157 2" xfId="21121" xr:uid="{00000000-0005-0000-0000-0000C4510000}"/>
    <cellStyle name="Normal 157 2 2" xfId="21122" xr:uid="{00000000-0005-0000-0000-0000C5510000}"/>
    <cellStyle name="Normal 157 2 3" xfId="21123" xr:uid="{00000000-0005-0000-0000-0000C6510000}"/>
    <cellStyle name="Normal 157 3" xfId="21124" xr:uid="{00000000-0005-0000-0000-0000C7510000}"/>
    <cellStyle name="Normal 157 4" xfId="21125" xr:uid="{00000000-0005-0000-0000-0000C8510000}"/>
    <cellStyle name="Normal 158" xfId="21126" xr:uid="{00000000-0005-0000-0000-0000C9510000}"/>
    <cellStyle name="Normal 158 2" xfId="21127" xr:uid="{00000000-0005-0000-0000-0000CA510000}"/>
    <cellStyle name="Normal 158 2 2" xfId="21128" xr:uid="{00000000-0005-0000-0000-0000CB510000}"/>
    <cellStyle name="Normal 158 2 3" xfId="21129" xr:uid="{00000000-0005-0000-0000-0000CC510000}"/>
    <cellStyle name="Normal 158 3" xfId="21130" xr:uid="{00000000-0005-0000-0000-0000CD510000}"/>
    <cellStyle name="Normal 158 4" xfId="21131" xr:uid="{00000000-0005-0000-0000-0000CE510000}"/>
    <cellStyle name="Normal 159" xfId="21132" xr:uid="{00000000-0005-0000-0000-0000CF510000}"/>
    <cellStyle name="Normal 159 2" xfId="21133" xr:uid="{00000000-0005-0000-0000-0000D0510000}"/>
    <cellStyle name="Normal 159 2 2" xfId="21134" xr:uid="{00000000-0005-0000-0000-0000D1510000}"/>
    <cellStyle name="Normal 159 2 3" xfId="21135" xr:uid="{00000000-0005-0000-0000-0000D2510000}"/>
    <cellStyle name="Normal 159 3" xfId="21136" xr:uid="{00000000-0005-0000-0000-0000D3510000}"/>
    <cellStyle name="Normal 159 4" xfId="21137" xr:uid="{00000000-0005-0000-0000-0000D4510000}"/>
    <cellStyle name="Normal 16" xfId="259" xr:uid="{00000000-0005-0000-0000-0000D5510000}"/>
    <cellStyle name="Normal 16 10" xfId="21138" xr:uid="{00000000-0005-0000-0000-0000D6510000}"/>
    <cellStyle name="Normal 16 10 2" xfId="21139" xr:uid="{00000000-0005-0000-0000-0000D7510000}"/>
    <cellStyle name="Normal 16 11" xfId="21140" xr:uid="{00000000-0005-0000-0000-0000D8510000}"/>
    <cellStyle name="Normal 16 12" xfId="21141" xr:uid="{00000000-0005-0000-0000-0000D9510000}"/>
    <cellStyle name="Normal 16 13" xfId="21142" xr:uid="{00000000-0005-0000-0000-0000DA510000}"/>
    <cellStyle name="Normal 16 2" xfId="260" xr:uid="{00000000-0005-0000-0000-0000DB510000}"/>
    <cellStyle name="Normal 16 2 10" xfId="21143" xr:uid="{00000000-0005-0000-0000-0000DC510000}"/>
    <cellStyle name="Normal 16 2 10 2" xfId="21144" xr:uid="{00000000-0005-0000-0000-0000DD510000}"/>
    <cellStyle name="Normal 16 2 11" xfId="21145" xr:uid="{00000000-0005-0000-0000-0000DE510000}"/>
    <cellStyle name="Normal 16 2 12" xfId="21146" xr:uid="{00000000-0005-0000-0000-0000DF510000}"/>
    <cellStyle name="Normal 16 2 13" xfId="21147" xr:uid="{00000000-0005-0000-0000-0000E0510000}"/>
    <cellStyle name="Normal 16 2 14" xfId="21148" xr:uid="{00000000-0005-0000-0000-0000E1510000}"/>
    <cellStyle name="Normal 16 2 15" xfId="21149" xr:uid="{00000000-0005-0000-0000-0000E2510000}"/>
    <cellStyle name="Normal 16 2 2" xfId="21150" xr:uid="{00000000-0005-0000-0000-0000E3510000}"/>
    <cellStyle name="Normal 16 2 2 10" xfId="21151" xr:uid="{00000000-0005-0000-0000-0000E4510000}"/>
    <cellStyle name="Normal 16 2 2 11" xfId="21152" xr:uid="{00000000-0005-0000-0000-0000E5510000}"/>
    <cellStyle name="Normal 16 2 2 12" xfId="21153" xr:uid="{00000000-0005-0000-0000-0000E6510000}"/>
    <cellStyle name="Normal 16 2 2 13" xfId="21154" xr:uid="{00000000-0005-0000-0000-0000E7510000}"/>
    <cellStyle name="Normal 16 2 2 2" xfId="21155" xr:uid="{00000000-0005-0000-0000-0000E8510000}"/>
    <cellStyle name="Normal 16 2 2 2 10" xfId="21156" xr:uid="{00000000-0005-0000-0000-0000E9510000}"/>
    <cellStyle name="Normal 16 2 2 2 2" xfId="21157" xr:uid="{00000000-0005-0000-0000-0000EA510000}"/>
    <cellStyle name="Normal 16 2 2 2 2 2" xfId="21158" xr:uid="{00000000-0005-0000-0000-0000EB510000}"/>
    <cellStyle name="Normal 16 2 2 2 2 2 2" xfId="21159" xr:uid="{00000000-0005-0000-0000-0000EC510000}"/>
    <cellStyle name="Normal 16 2 2 2 2 3" xfId="21160" xr:uid="{00000000-0005-0000-0000-0000ED510000}"/>
    <cellStyle name="Normal 16 2 2 2 2 3 2" xfId="21161" xr:uid="{00000000-0005-0000-0000-0000EE510000}"/>
    <cellStyle name="Normal 16 2 2 2 2 4" xfId="21162" xr:uid="{00000000-0005-0000-0000-0000EF510000}"/>
    <cellStyle name="Normal 16 2 2 2 2 5" xfId="21163" xr:uid="{00000000-0005-0000-0000-0000F0510000}"/>
    <cellStyle name="Normal 16 2 2 2 2 6" xfId="21164" xr:uid="{00000000-0005-0000-0000-0000F1510000}"/>
    <cellStyle name="Normal 16 2 2 2 2 7" xfId="21165" xr:uid="{00000000-0005-0000-0000-0000F2510000}"/>
    <cellStyle name="Normal 16 2 2 2 2 8" xfId="21166" xr:uid="{00000000-0005-0000-0000-0000F3510000}"/>
    <cellStyle name="Normal 16 2 2 2 3" xfId="21167" xr:uid="{00000000-0005-0000-0000-0000F4510000}"/>
    <cellStyle name="Normal 16 2 2 2 3 2" xfId="21168" xr:uid="{00000000-0005-0000-0000-0000F5510000}"/>
    <cellStyle name="Normal 16 2 2 2 3 2 2" xfId="21169" xr:uid="{00000000-0005-0000-0000-0000F6510000}"/>
    <cellStyle name="Normal 16 2 2 2 3 3" xfId="21170" xr:uid="{00000000-0005-0000-0000-0000F7510000}"/>
    <cellStyle name="Normal 16 2 2 2 3 3 2" xfId="21171" xr:uid="{00000000-0005-0000-0000-0000F8510000}"/>
    <cellStyle name="Normal 16 2 2 2 3 4" xfId="21172" xr:uid="{00000000-0005-0000-0000-0000F9510000}"/>
    <cellStyle name="Normal 16 2 2 2 3 5" xfId="21173" xr:uid="{00000000-0005-0000-0000-0000FA510000}"/>
    <cellStyle name="Normal 16 2 2 2 3 6" xfId="21174" xr:uid="{00000000-0005-0000-0000-0000FB510000}"/>
    <cellStyle name="Normal 16 2 2 2 3 7" xfId="21175" xr:uid="{00000000-0005-0000-0000-0000FC510000}"/>
    <cellStyle name="Normal 16 2 2 2 4" xfId="21176" xr:uid="{00000000-0005-0000-0000-0000FD510000}"/>
    <cellStyle name="Normal 16 2 2 2 4 2" xfId="21177" xr:uid="{00000000-0005-0000-0000-0000FE510000}"/>
    <cellStyle name="Normal 16 2 2 2 5" xfId="21178" xr:uid="{00000000-0005-0000-0000-0000FF510000}"/>
    <cellStyle name="Normal 16 2 2 2 5 2" xfId="21179" xr:uid="{00000000-0005-0000-0000-000000520000}"/>
    <cellStyle name="Normal 16 2 2 2 6" xfId="21180" xr:uid="{00000000-0005-0000-0000-000001520000}"/>
    <cellStyle name="Normal 16 2 2 2 7" xfId="21181" xr:uid="{00000000-0005-0000-0000-000002520000}"/>
    <cellStyle name="Normal 16 2 2 2 8" xfId="21182" xr:uid="{00000000-0005-0000-0000-000003520000}"/>
    <cellStyle name="Normal 16 2 2 2 9" xfId="21183" xr:uid="{00000000-0005-0000-0000-000004520000}"/>
    <cellStyle name="Normal 16 2 2 3" xfId="21184" xr:uid="{00000000-0005-0000-0000-000005520000}"/>
    <cellStyle name="Normal 16 2 2 3 2" xfId="21185" xr:uid="{00000000-0005-0000-0000-000006520000}"/>
    <cellStyle name="Normal 16 2 2 3 2 2" xfId="21186" xr:uid="{00000000-0005-0000-0000-000007520000}"/>
    <cellStyle name="Normal 16 2 2 3 2 2 2" xfId="21187" xr:uid="{00000000-0005-0000-0000-000008520000}"/>
    <cellStyle name="Normal 16 2 2 3 2 3" xfId="21188" xr:uid="{00000000-0005-0000-0000-000009520000}"/>
    <cellStyle name="Normal 16 2 2 3 2 3 2" xfId="21189" xr:uid="{00000000-0005-0000-0000-00000A520000}"/>
    <cellStyle name="Normal 16 2 2 3 2 4" xfId="21190" xr:uid="{00000000-0005-0000-0000-00000B520000}"/>
    <cellStyle name="Normal 16 2 2 3 2 5" xfId="21191" xr:uid="{00000000-0005-0000-0000-00000C520000}"/>
    <cellStyle name="Normal 16 2 2 3 2 6" xfId="21192" xr:uid="{00000000-0005-0000-0000-00000D520000}"/>
    <cellStyle name="Normal 16 2 2 3 2 7" xfId="21193" xr:uid="{00000000-0005-0000-0000-00000E520000}"/>
    <cellStyle name="Normal 16 2 2 3 3" xfId="21194" xr:uid="{00000000-0005-0000-0000-00000F520000}"/>
    <cellStyle name="Normal 16 2 2 3 3 2" xfId="21195" xr:uid="{00000000-0005-0000-0000-000010520000}"/>
    <cellStyle name="Normal 16 2 2 3 4" xfId="21196" xr:uid="{00000000-0005-0000-0000-000011520000}"/>
    <cellStyle name="Normal 16 2 2 3 4 2" xfId="21197" xr:uid="{00000000-0005-0000-0000-000012520000}"/>
    <cellStyle name="Normal 16 2 2 3 5" xfId="21198" xr:uid="{00000000-0005-0000-0000-000013520000}"/>
    <cellStyle name="Normal 16 2 2 3 6" xfId="21199" xr:uid="{00000000-0005-0000-0000-000014520000}"/>
    <cellStyle name="Normal 16 2 2 3 7" xfId="21200" xr:uid="{00000000-0005-0000-0000-000015520000}"/>
    <cellStyle name="Normal 16 2 2 3 8" xfId="21201" xr:uid="{00000000-0005-0000-0000-000016520000}"/>
    <cellStyle name="Normal 16 2 2 3 9" xfId="21202" xr:uid="{00000000-0005-0000-0000-000017520000}"/>
    <cellStyle name="Normal 16 2 2 4" xfId="21203" xr:uid="{00000000-0005-0000-0000-000018520000}"/>
    <cellStyle name="Normal 16 2 2 4 2" xfId="21204" xr:uid="{00000000-0005-0000-0000-000019520000}"/>
    <cellStyle name="Normal 16 2 2 4 2 2" xfId="21205" xr:uid="{00000000-0005-0000-0000-00001A520000}"/>
    <cellStyle name="Normal 16 2 2 4 2 2 2" xfId="21206" xr:uid="{00000000-0005-0000-0000-00001B520000}"/>
    <cellStyle name="Normal 16 2 2 4 2 3" xfId="21207" xr:uid="{00000000-0005-0000-0000-00001C520000}"/>
    <cellStyle name="Normal 16 2 2 4 2 3 2" xfId="21208" xr:uid="{00000000-0005-0000-0000-00001D520000}"/>
    <cellStyle name="Normal 16 2 2 4 2 4" xfId="21209" xr:uid="{00000000-0005-0000-0000-00001E520000}"/>
    <cellStyle name="Normal 16 2 2 4 2 5" xfId="21210" xr:uid="{00000000-0005-0000-0000-00001F520000}"/>
    <cellStyle name="Normal 16 2 2 4 2 6" xfId="21211" xr:uid="{00000000-0005-0000-0000-000020520000}"/>
    <cellStyle name="Normal 16 2 2 4 2 7" xfId="21212" xr:uid="{00000000-0005-0000-0000-000021520000}"/>
    <cellStyle name="Normal 16 2 2 4 3" xfId="21213" xr:uid="{00000000-0005-0000-0000-000022520000}"/>
    <cellStyle name="Normal 16 2 2 4 3 2" xfId="21214" xr:uid="{00000000-0005-0000-0000-000023520000}"/>
    <cellStyle name="Normal 16 2 2 4 4" xfId="21215" xr:uid="{00000000-0005-0000-0000-000024520000}"/>
    <cellStyle name="Normal 16 2 2 4 4 2" xfId="21216" xr:uid="{00000000-0005-0000-0000-000025520000}"/>
    <cellStyle name="Normal 16 2 2 4 5" xfId="21217" xr:uid="{00000000-0005-0000-0000-000026520000}"/>
    <cellStyle name="Normal 16 2 2 4 6" xfId="21218" xr:uid="{00000000-0005-0000-0000-000027520000}"/>
    <cellStyle name="Normal 16 2 2 4 7" xfId="21219" xr:uid="{00000000-0005-0000-0000-000028520000}"/>
    <cellStyle name="Normal 16 2 2 4 8" xfId="21220" xr:uid="{00000000-0005-0000-0000-000029520000}"/>
    <cellStyle name="Normal 16 2 2 4 9" xfId="21221" xr:uid="{00000000-0005-0000-0000-00002A520000}"/>
    <cellStyle name="Normal 16 2 2 5" xfId="21222" xr:uid="{00000000-0005-0000-0000-00002B520000}"/>
    <cellStyle name="Normal 16 2 2 5 2" xfId="21223" xr:uid="{00000000-0005-0000-0000-00002C520000}"/>
    <cellStyle name="Normal 16 2 2 5 2 2" xfId="21224" xr:uid="{00000000-0005-0000-0000-00002D520000}"/>
    <cellStyle name="Normal 16 2 2 5 3" xfId="21225" xr:uid="{00000000-0005-0000-0000-00002E520000}"/>
    <cellStyle name="Normal 16 2 2 5 3 2" xfId="21226" xr:uid="{00000000-0005-0000-0000-00002F520000}"/>
    <cellStyle name="Normal 16 2 2 5 4" xfId="21227" xr:uid="{00000000-0005-0000-0000-000030520000}"/>
    <cellStyle name="Normal 16 2 2 5 5" xfId="21228" xr:uid="{00000000-0005-0000-0000-000031520000}"/>
    <cellStyle name="Normal 16 2 2 5 6" xfId="21229" xr:uid="{00000000-0005-0000-0000-000032520000}"/>
    <cellStyle name="Normal 16 2 2 5 7" xfId="21230" xr:uid="{00000000-0005-0000-0000-000033520000}"/>
    <cellStyle name="Normal 16 2 2 6" xfId="21231" xr:uid="{00000000-0005-0000-0000-000034520000}"/>
    <cellStyle name="Normal 16 2 2 6 2" xfId="21232" xr:uid="{00000000-0005-0000-0000-000035520000}"/>
    <cellStyle name="Normal 16 2 2 7" xfId="21233" xr:uid="{00000000-0005-0000-0000-000036520000}"/>
    <cellStyle name="Normal 16 2 2 7 2" xfId="21234" xr:uid="{00000000-0005-0000-0000-000037520000}"/>
    <cellStyle name="Normal 16 2 2 8" xfId="21235" xr:uid="{00000000-0005-0000-0000-000038520000}"/>
    <cellStyle name="Normal 16 2 2 8 2" xfId="21236" xr:uid="{00000000-0005-0000-0000-000039520000}"/>
    <cellStyle name="Normal 16 2 2 9" xfId="21237" xr:uid="{00000000-0005-0000-0000-00003A520000}"/>
    <cellStyle name="Normal 16 2 3" xfId="21238" xr:uid="{00000000-0005-0000-0000-00003B520000}"/>
    <cellStyle name="Normal 16 2 3 10" xfId="21239" xr:uid="{00000000-0005-0000-0000-00003C520000}"/>
    <cellStyle name="Normal 16 2 3 11" xfId="21240" xr:uid="{00000000-0005-0000-0000-00003D520000}"/>
    <cellStyle name="Normal 16 2 3 12" xfId="21241" xr:uid="{00000000-0005-0000-0000-00003E520000}"/>
    <cellStyle name="Normal 16 2 3 2" xfId="21242" xr:uid="{00000000-0005-0000-0000-00003F520000}"/>
    <cellStyle name="Normal 16 2 3 2 2" xfId="21243" xr:uid="{00000000-0005-0000-0000-000040520000}"/>
    <cellStyle name="Normal 16 2 3 2 2 2" xfId="21244" xr:uid="{00000000-0005-0000-0000-000041520000}"/>
    <cellStyle name="Normal 16 2 3 2 2 2 2" xfId="21245" xr:uid="{00000000-0005-0000-0000-000042520000}"/>
    <cellStyle name="Normal 16 2 3 2 2 3" xfId="21246" xr:uid="{00000000-0005-0000-0000-000043520000}"/>
    <cellStyle name="Normal 16 2 3 2 2 3 2" xfId="21247" xr:uid="{00000000-0005-0000-0000-000044520000}"/>
    <cellStyle name="Normal 16 2 3 2 2 4" xfId="21248" xr:uid="{00000000-0005-0000-0000-000045520000}"/>
    <cellStyle name="Normal 16 2 3 2 2 5" xfId="21249" xr:uid="{00000000-0005-0000-0000-000046520000}"/>
    <cellStyle name="Normal 16 2 3 2 2 6" xfId="21250" xr:uid="{00000000-0005-0000-0000-000047520000}"/>
    <cellStyle name="Normal 16 2 3 2 2 7" xfId="21251" xr:uid="{00000000-0005-0000-0000-000048520000}"/>
    <cellStyle name="Normal 16 2 3 2 3" xfId="21252" xr:uid="{00000000-0005-0000-0000-000049520000}"/>
    <cellStyle name="Normal 16 2 3 2 3 2" xfId="21253" xr:uid="{00000000-0005-0000-0000-00004A520000}"/>
    <cellStyle name="Normal 16 2 3 2 4" xfId="21254" xr:uid="{00000000-0005-0000-0000-00004B520000}"/>
    <cellStyle name="Normal 16 2 3 2 4 2" xfId="21255" xr:uid="{00000000-0005-0000-0000-00004C520000}"/>
    <cellStyle name="Normal 16 2 3 2 5" xfId="21256" xr:uid="{00000000-0005-0000-0000-00004D520000}"/>
    <cellStyle name="Normal 16 2 3 2 6" xfId="21257" xr:uid="{00000000-0005-0000-0000-00004E520000}"/>
    <cellStyle name="Normal 16 2 3 2 7" xfId="21258" xr:uid="{00000000-0005-0000-0000-00004F520000}"/>
    <cellStyle name="Normal 16 2 3 2 8" xfId="21259" xr:uid="{00000000-0005-0000-0000-000050520000}"/>
    <cellStyle name="Normal 16 2 3 2 9" xfId="21260" xr:uid="{00000000-0005-0000-0000-000051520000}"/>
    <cellStyle name="Normal 16 2 3 3" xfId="21261" xr:uid="{00000000-0005-0000-0000-000052520000}"/>
    <cellStyle name="Normal 16 2 3 3 2" xfId="21262" xr:uid="{00000000-0005-0000-0000-000053520000}"/>
    <cellStyle name="Normal 16 2 3 3 2 2" xfId="21263" xr:uid="{00000000-0005-0000-0000-000054520000}"/>
    <cellStyle name="Normal 16 2 3 3 2 2 2" xfId="21264" xr:uid="{00000000-0005-0000-0000-000055520000}"/>
    <cellStyle name="Normal 16 2 3 3 2 3" xfId="21265" xr:uid="{00000000-0005-0000-0000-000056520000}"/>
    <cellStyle name="Normal 16 2 3 3 2 3 2" xfId="21266" xr:uid="{00000000-0005-0000-0000-000057520000}"/>
    <cellStyle name="Normal 16 2 3 3 2 4" xfId="21267" xr:uid="{00000000-0005-0000-0000-000058520000}"/>
    <cellStyle name="Normal 16 2 3 3 2 5" xfId="21268" xr:uid="{00000000-0005-0000-0000-000059520000}"/>
    <cellStyle name="Normal 16 2 3 3 2 6" xfId="21269" xr:uid="{00000000-0005-0000-0000-00005A520000}"/>
    <cellStyle name="Normal 16 2 3 3 2 7" xfId="21270" xr:uid="{00000000-0005-0000-0000-00005B520000}"/>
    <cellStyle name="Normal 16 2 3 3 3" xfId="21271" xr:uid="{00000000-0005-0000-0000-00005C520000}"/>
    <cellStyle name="Normal 16 2 3 3 3 2" xfId="21272" xr:uid="{00000000-0005-0000-0000-00005D520000}"/>
    <cellStyle name="Normal 16 2 3 3 4" xfId="21273" xr:uid="{00000000-0005-0000-0000-00005E520000}"/>
    <cellStyle name="Normal 16 2 3 3 4 2" xfId="21274" xr:uid="{00000000-0005-0000-0000-00005F520000}"/>
    <cellStyle name="Normal 16 2 3 3 5" xfId="21275" xr:uid="{00000000-0005-0000-0000-000060520000}"/>
    <cellStyle name="Normal 16 2 3 3 6" xfId="21276" xr:uid="{00000000-0005-0000-0000-000061520000}"/>
    <cellStyle name="Normal 16 2 3 3 7" xfId="21277" xr:uid="{00000000-0005-0000-0000-000062520000}"/>
    <cellStyle name="Normal 16 2 3 3 8" xfId="21278" xr:uid="{00000000-0005-0000-0000-000063520000}"/>
    <cellStyle name="Normal 16 2 3 4" xfId="21279" xr:uid="{00000000-0005-0000-0000-000064520000}"/>
    <cellStyle name="Normal 16 2 3 4 2" xfId="21280" xr:uid="{00000000-0005-0000-0000-000065520000}"/>
    <cellStyle name="Normal 16 2 3 4 2 2" xfId="21281" xr:uid="{00000000-0005-0000-0000-000066520000}"/>
    <cellStyle name="Normal 16 2 3 4 3" xfId="21282" xr:uid="{00000000-0005-0000-0000-000067520000}"/>
    <cellStyle name="Normal 16 2 3 4 3 2" xfId="21283" xr:uid="{00000000-0005-0000-0000-000068520000}"/>
    <cellStyle name="Normal 16 2 3 4 4" xfId="21284" xr:uid="{00000000-0005-0000-0000-000069520000}"/>
    <cellStyle name="Normal 16 2 3 4 5" xfId="21285" xr:uid="{00000000-0005-0000-0000-00006A520000}"/>
    <cellStyle name="Normal 16 2 3 4 6" xfId="21286" xr:uid="{00000000-0005-0000-0000-00006B520000}"/>
    <cellStyle name="Normal 16 2 3 4 7" xfId="21287" xr:uid="{00000000-0005-0000-0000-00006C520000}"/>
    <cellStyle name="Normal 16 2 3 5" xfId="21288" xr:uid="{00000000-0005-0000-0000-00006D520000}"/>
    <cellStyle name="Normal 16 2 3 5 2" xfId="21289" xr:uid="{00000000-0005-0000-0000-00006E520000}"/>
    <cellStyle name="Normal 16 2 3 6" xfId="21290" xr:uid="{00000000-0005-0000-0000-00006F520000}"/>
    <cellStyle name="Normal 16 2 3 6 2" xfId="21291" xr:uid="{00000000-0005-0000-0000-000070520000}"/>
    <cellStyle name="Normal 16 2 3 7" xfId="21292" xr:uid="{00000000-0005-0000-0000-000071520000}"/>
    <cellStyle name="Normal 16 2 3 7 2" xfId="21293" xr:uid="{00000000-0005-0000-0000-000072520000}"/>
    <cellStyle name="Normal 16 2 3 8" xfId="21294" xr:uid="{00000000-0005-0000-0000-000073520000}"/>
    <cellStyle name="Normal 16 2 3 9" xfId="21295" xr:uid="{00000000-0005-0000-0000-000074520000}"/>
    <cellStyle name="Normal 16 2 4" xfId="21296" xr:uid="{00000000-0005-0000-0000-000075520000}"/>
    <cellStyle name="Normal 16 2 4 10" xfId="21297" xr:uid="{00000000-0005-0000-0000-000076520000}"/>
    <cellStyle name="Normal 16 2 4 2" xfId="21298" xr:uid="{00000000-0005-0000-0000-000077520000}"/>
    <cellStyle name="Normal 16 2 4 2 2" xfId="21299" xr:uid="{00000000-0005-0000-0000-000078520000}"/>
    <cellStyle name="Normal 16 2 4 2 2 2" xfId="21300" xr:uid="{00000000-0005-0000-0000-000079520000}"/>
    <cellStyle name="Normal 16 2 4 2 3" xfId="21301" xr:uid="{00000000-0005-0000-0000-00007A520000}"/>
    <cellStyle name="Normal 16 2 4 2 3 2" xfId="21302" xr:uid="{00000000-0005-0000-0000-00007B520000}"/>
    <cellStyle name="Normal 16 2 4 2 4" xfId="21303" xr:uid="{00000000-0005-0000-0000-00007C520000}"/>
    <cellStyle name="Normal 16 2 4 2 5" xfId="21304" xr:uid="{00000000-0005-0000-0000-00007D520000}"/>
    <cellStyle name="Normal 16 2 4 2 6" xfId="21305" xr:uid="{00000000-0005-0000-0000-00007E520000}"/>
    <cellStyle name="Normal 16 2 4 2 7" xfId="21306" xr:uid="{00000000-0005-0000-0000-00007F520000}"/>
    <cellStyle name="Normal 16 2 4 2 8" xfId="21307" xr:uid="{00000000-0005-0000-0000-000080520000}"/>
    <cellStyle name="Normal 16 2 4 3" xfId="21308" xr:uid="{00000000-0005-0000-0000-000081520000}"/>
    <cellStyle name="Normal 16 2 4 3 2" xfId="21309" xr:uid="{00000000-0005-0000-0000-000082520000}"/>
    <cellStyle name="Normal 16 2 4 3 2 2" xfId="21310" xr:uid="{00000000-0005-0000-0000-000083520000}"/>
    <cellStyle name="Normal 16 2 4 3 3" xfId="21311" xr:uid="{00000000-0005-0000-0000-000084520000}"/>
    <cellStyle name="Normal 16 2 4 3 3 2" xfId="21312" xr:uid="{00000000-0005-0000-0000-000085520000}"/>
    <cellStyle name="Normal 16 2 4 3 4" xfId="21313" xr:uid="{00000000-0005-0000-0000-000086520000}"/>
    <cellStyle name="Normal 16 2 4 3 5" xfId="21314" xr:uid="{00000000-0005-0000-0000-000087520000}"/>
    <cellStyle name="Normal 16 2 4 3 6" xfId="21315" xr:uid="{00000000-0005-0000-0000-000088520000}"/>
    <cellStyle name="Normal 16 2 4 3 7" xfId="21316" xr:uid="{00000000-0005-0000-0000-000089520000}"/>
    <cellStyle name="Normal 16 2 4 3 8" xfId="21317" xr:uid="{00000000-0005-0000-0000-00008A520000}"/>
    <cellStyle name="Normal 16 2 4 4" xfId="21318" xr:uid="{00000000-0005-0000-0000-00008B520000}"/>
    <cellStyle name="Normal 16 2 4 4 2" xfId="21319" xr:uid="{00000000-0005-0000-0000-00008C520000}"/>
    <cellStyle name="Normal 16 2 4 5" xfId="21320" xr:uid="{00000000-0005-0000-0000-00008D520000}"/>
    <cellStyle name="Normal 16 2 4 5 2" xfId="21321" xr:uid="{00000000-0005-0000-0000-00008E520000}"/>
    <cellStyle name="Normal 16 2 4 6" xfId="21322" xr:uid="{00000000-0005-0000-0000-00008F520000}"/>
    <cellStyle name="Normal 16 2 4 7" xfId="21323" xr:uid="{00000000-0005-0000-0000-000090520000}"/>
    <cellStyle name="Normal 16 2 4 8" xfId="21324" xr:uid="{00000000-0005-0000-0000-000091520000}"/>
    <cellStyle name="Normal 16 2 4 9" xfId="21325" xr:uid="{00000000-0005-0000-0000-000092520000}"/>
    <cellStyle name="Normal 16 2 5" xfId="21326" xr:uid="{00000000-0005-0000-0000-000093520000}"/>
    <cellStyle name="Normal 16 2 5 2" xfId="21327" xr:uid="{00000000-0005-0000-0000-000094520000}"/>
    <cellStyle name="Normal 16 2 5 2 2" xfId="21328" xr:uid="{00000000-0005-0000-0000-000095520000}"/>
    <cellStyle name="Normal 16 2 5 2 2 2" xfId="21329" xr:uid="{00000000-0005-0000-0000-000096520000}"/>
    <cellStyle name="Normal 16 2 5 2 3" xfId="21330" xr:uid="{00000000-0005-0000-0000-000097520000}"/>
    <cellStyle name="Normal 16 2 5 2 3 2" xfId="21331" xr:uid="{00000000-0005-0000-0000-000098520000}"/>
    <cellStyle name="Normal 16 2 5 2 4" xfId="21332" xr:uid="{00000000-0005-0000-0000-000099520000}"/>
    <cellStyle name="Normal 16 2 5 2 5" xfId="21333" xr:uid="{00000000-0005-0000-0000-00009A520000}"/>
    <cellStyle name="Normal 16 2 5 2 6" xfId="21334" xr:uid="{00000000-0005-0000-0000-00009B520000}"/>
    <cellStyle name="Normal 16 2 5 2 7" xfId="21335" xr:uid="{00000000-0005-0000-0000-00009C520000}"/>
    <cellStyle name="Normal 16 2 5 3" xfId="21336" xr:uid="{00000000-0005-0000-0000-00009D520000}"/>
    <cellStyle name="Normal 16 2 5 3 2" xfId="21337" xr:uid="{00000000-0005-0000-0000-00009E520000}"/>
    <cellStyle name="Normal 16 2 5 4" xfId="21338" xr:uid="{00000000-0005-0000-0000-00009F520000}"/>
    <cellStyle name="Normal 16 2 5 4 2" xfId="21339" xr:uid="{00000000-0005-0000-0000-0000A0520000}"/>
    <cellStyle name="Normal 16 2 5 5" xfId="21340" xr:uid="{00000000-0005-0000-0000-0000A1520000}"/>
    <cellStyle name="Normal 16 2 5 6" xfId="21341" xr:uid="{00000000-0005-0000-0000-0000A2520000}"/>
    <cellStyle name="Normal 16 2 5 7" xfId="21342" xr:uid="{00000000-0005-0000-0000-0000A3520000}"/>
    <cellStyle name="Normal 16 2 5 8" xfId="21343" xr:uid="{00000000-0005-0000-0000-0000A4520000}"/>
    <cellStyle name="Normal 16 2 5 9" xfId="21344" xr:uid="{00000000-0005-0000-0000-0000A5520000}"/>
    <cellStyle name="Normal 16 2 6" xfId="21345" xr:uid="{00000000-0005-0000-0000-0000A6520000}"/>
    <cellStyle name="Normal 16 2 6 2" xfId="21346" xr:uid="{00000000-0005-0000-0000-0000A7520000}"/>
    <cellStyle name="Normal 16 2 6 2 2" xfId="21347" xr:uid="{00000000-0005-0000-0000-0000A8520000}"/>
    <cellStyle name="Normal 16 2 6 2 2 2" xfId="21348" xr:uid="{00000000-0005-0000-0000-0000A9520000}"/>
    <cellStyle name="Normal 16 2 6 2 3" xfId="21349" xr:uid="{00000000-0005-0000-0000-0000AA520000}"/>
    <cellStyle name="Normal 16 2 6 2 3 2" xfId="21350" xr:uid="{00000000-0005-0000-0000-0000AB520000}"/>
    <cellStyle name="Normal 16 2 6 2 4" xfId="21351" xr:uid="{00000000-0005-0000-0000-0000AC520000}"/>
    <cellStyle name="Normal 16 2 6 2 5" xfId="21352" xr:uid="{00000000-0005-0000-0000-0000AD520000}"/>
    <cellStyle name="Normal 16 2 6 2 6" xfId="21353" xr:uid="{00000000-0005-0000-0000-0000AE520000}"/>
    <cellStyle name="Normal 16 2 6 2 7" xfId="21354" xr:uid="{00000000-0005-0000-0000-0000AF520000}"/>
    <cellStyle name="Normal 16 2 6 3" xfId="21355" xr:uid="{00000000-0005-0000-0000-0000B0520000}"/>
    <cellStyle name="Normal 16 2 6 3 2" xfId="21356" xr:uid="{00000000-0005-0000-0000-0000B1520000}"/>
    <cellStyle name="Normal 16 2 6 4" xfId="21357" xr:uid="{00000000-0005-0000-0000-0000B2520000}"/>
    <cellStyle name="Normal 16 2 6 4 2" xfId="21358" xr:uid="{00000000-0005-0000-0000-0000B3520000}"/>
    <cellStyle name="Normal 16 2 6 5" xfId="21359" xr:uid="{00000000-0005-0000-0000-0000B4520000}"/>
    <cellStyle name="Normal 16 2 6 6" xfId="21360" xr:uid="{00000000-0005-0000-0000-0000B5520000}"/>
    <cellStyle name="Normal 16 2 6 7" xfId="21361" xr:uid="{00000000-0005-0000-0000-0000B6520000}"/>
    <cellStyle name="Normal 16 2 6 8" xfId="21362" xr:uid="{00000000-0005-0000-0000-0000B7520000}"/>
    <cellStyle name="Normal 16 2 6 9" xfId="21363" xr:uid="{00000000-0005-0000-0000-0000B8520000}"/>
    <cellStyle name="Normal 16 2 7" xfId="21364" xr:uid="{00000000-0005-0000-0000-0000B9520000}"/>
    <cellStyle name="Normal 16 2 7 2" xfId="21365" xr:uid="{00000000-0005-0000-0000-0000BA520000}"/>
    <cellStyle name="Normal 16 2 7 2 2" xfId="21366" xr:uid="{00000000-0005-0000-0000-0000BB520000}"/>
    <cellStyle name="Normal 16 2 7 3" xfId="21367" xr:uid="{00000000-0005-0000-0000-0000BC520000}"/>
    <cellStyle name="Normal 16 2 7 3 2" xfId="21368" xr:uid="{00000000-0005-0000-0000-0000BD520000}"/>
    <cellStyle name="Normal 16 2 7 4" xfId="21369" xr:uid="{00000000-0005-0000-0000-0000BE520000}"/>
    <cellStyle name="Normal 16 2 7 5" xfId="21370" xr:uid="{00000000-0005-0000-0000-0000BF520000}"/>
    <cellStyle name="Normal 16 2 7 6" xfId="21371" xr:uid="{00000000-0005-0000-0000-0000C0520000}"/>
    <cellStyle name="Normal 16 2 7 7" xfId="21372" xr:uid="{00000000-0005-0000-0000-0000C1520000}"/>
    <cellStyle name="Normal 16 2 8" xfId="21373" xr:uid="{00000000-0005-0000-0000-0000C2520000}"/>
    <cellStyle name="Normal 16 2 8 2" xfId="21374" xr:uid="{00000000-0005-0000-0000-0000C3520000}"/>
    <cellStyle name="Normal 16 2 9" xfId="21375" xr:uid="{00000000-0005-0000-0000-0000C4520000}"/>
    <cellStyle name="Normal 16 2 9 2" xfId="21376" xr:uid="{00000000-0005-0000-0000-0000C5520000}"/>
    <cellStyle name="Normal 16 2_2015 Annual Rpt" xfId="21377" xr:uid="{00000000-0005-0000-0000-0000C6520000}"/>
    <cellStyle name="Normal 16 3" xfId="21378" xr:uid="{00000000-0005-0000-0000-0000C7520000}"/>
    <cellStyle name="Normal 16 3 10" xfId="21379" xr:uid="{00000000-0005-0000-0000-0000C8520000}"/>
    <cellStyle name="Normal 16 3 2" xfId="21380" xr:uid="{00000000-0005-0000-0000-0000C9520000}"/>
    <cellStyle name="Normal 16 3 2 2" xfId="21381" xr:uid="{00000000-0005-0000-0000-0000CA520000}"/>
    <cellStyle name="Normal 16 3 2 3" xfId="21382" xr:uid="{00000000-0005-0000-0000-0000CB520000}"/>
    <cellStyle name="Normal 16 3 3" xfId="21383" xr:uid="{00000000-0005-0000-0000-0000CC520000}"/>
    <cellStyle name="Normal 16 3 3 2" xfId="21384" xr:uid="{00000000-0005-0000-0000-0000CD520000}"/>
    <cellStyle name="Normal 16 3 3 3" xfId="21385" xr:uid="{00000000-0005-0000-0000-0000CE520000}"/>
    <cellStyle name="Normal 16 3 4" xfId="21386" xr:uid="{00000000-0005-0000-0000-0000CF520000}"/>
    <cellStyle name="Normal 16 3 4 2" xfId="21387" xr:uid="{00000000-0005-0000-0000-0000D0520000}"/>
    <cellStyle name="Normal 16 3 4 3" xfId="21388" xr:uid="{00000000-0005-0000-0000-0000D1520000}"/>
    <cellStyle name="Normal 16 3 5" xfId="21389" xr:uid="{00000000-0005-0000-0000-0000D2520000}"/>
    <cellStyle name="Normal 16 3 5 2" xfId="21390" xr:uid="{00000000-0005-0000-0000-0000D3520000}"/>
    <cellStyle name="Normal 16 3 6" xfId="21391" xr:uid="{00000000-0005-0000-0000-0000D4520000}"/>
    <cellStyle name="Normal 16 3 7" xfId="21392" xr:uid="{00000000-0005-0000-0000-0000D5520000}"/>
    <cellStyle name="Normal 16 3 8" xfId="21393" xr:uid="{00000000-0005-0000-0000-0000D6520000}"/>
    <cellStyle name="Normal 16 3 9" xfId="21394" xr:uid="{00000000-0005-0000-0000-0000D7520000}"/>
    <cellStyle name="Normal 16 4" xfId="21395" xr:uid="{00000000-0005-0000-0000-0000D8520000}"/>
    <cellStyle name="Normal 16 4 2" xfId="21396" xr:uid="{00000000-0005-0000-0000-0000D9520000}"/>
    <cellStyle name="Normal 16 4 2 2" xfId="21397" xr:uid="{00000000-0005-0000-0000-0000DA520000}"/>
    <cellStyle name="Normal 16 4 3" xfId="21398" xr:uid="{00000000-0005-0000-0000-0000DB520000}"/>
    <cellStyle name="Normal 16 4 3 2" xfId="21399" xr:uid="{00000000-0005-0000-0000-0000DC520000}"/>
    <cellStyle name="Normal 16 4 4" xfId="21400" xr:uid="{00000000-0005-0000-0000-0000DD520000}"/>
    <cellStyle name="Normal 16 5" xfId="21401" xr:uid="{00000000-0005-0000-0000-0000DE520000}"/>
    <cellStyle name="Normal 16 5 2" xfId="21402" xr:uid="{00000000-0005-0000-0000-0000DF520000}"/>
    <cellStyle name="Normal 16 5 2 2" xfId="21403" xr:uid="{00000000-0005-0000-0000-0000E0520000}"/>
    <cellStyle name="Normal 16 5 2 2 2" xfId="21404" xr:uid="{00000000-0005-0000-0000-0000E1520000}"/>
    <cellStyle name="Normal 16 5 2 2 3" xfId="21405" xr:uid="{00000000-0005-0000-0000-0000E2520000}"/>
    <cellStyle name="Normal 16 5 2 3" xfId="21406" xr:uid="{00000000-0005-0000-0000-0000E3520000}"/>
    <cellStyle name="Normal 16 5 2 4" xfId="21407" xr:uid="{00000000-0005-0000-0000-0000E4520000}"/>
    <cellStyle name="Normal 16 5 2 5" xfId="21408" xr:uid="{00000000-0005-0000-0000-0000E5520000}"/>
    <cellStyle name="Normal 16 5 2 6" xfId="21409" xr:uid="{00000000-0005-0000-0000-0000E6520000}"/>
    <cellStyle name="Normal 16 5 2 7" xfId="21410" xr:uid="{00000000-0005-0000-0000-0000E7520000}"/>
    <cellStyle name="Normal 16 5 3" xfId="21411" xr:uid="{00000000-0005-0000-0000-0000E8520000}"/>
    <cellStyle name="Normal 16 5 3 2" xfId="21412" xr:uid="{00000000-0005-0000-0000-0000E9520000}"/>
    <cellStyle name="Normal 16 5 3 3" xfId="21413" xr:uid="{00000000-0005-0000-0000-0000EA520000}"/>
    <cellStyle name="Normal 16 5 4" xfId="21414" xr:uid="{00000000-0005-0000-0000-0000EB520000}"/>
    <cellStyle name="Normal 16 5 4 2" xfId="21415" xr:uid="{00000000-0005-0000-0000-0000EC520000}"/>
    <cellStyle name="Normal 16 5 4 3" xfId="21416" xr:uid="{00000000-0005-0000-0000-0000ED520000}"/>
    <cellStyle name="Normal 16 5 5" xfId="21417" xr:uid="{00000000-0005-0000-0000-0000EE520000}"/>
    <cellStyle name="Normal 16 5 6" xfId="21418" xr:uid="{00000000-0005-0000-0000-0000EF520000}"/>
    <cellStyle name="Normal 16 5 7" xfId="21419" xr:uid="{00000000-0005-0000-0000-0000F0520000}"/>
    <cellStyle name="Normal 16 5 8" xfId="21420" xr:uid="{00000000-0005-0000-0000-0000F1520000}"/>
    <cellStyle name="Normal 16 5 9" xfId="21421" xr:uid="{00000000-0005-0000-0000-0000F2520000}"/>
    <cellStyle name="Normal 16 6" xfId="21422" xr:uid="{00000000-0005-0000-0000-0000F3520000}"/>
    <cellStyle name="Normal 16 6 2" xfId="21423" xr:uid="{00000000-0005-0000-0000-0000F4520000}"/>
    <cellStyle name="Normal 16 6 2 2" xfId="21424" xr:uid="{00000000-0005-0000-0000-0000F5520000}"/>
    <cellStyle name="Normal 16 6 2 3" xfId="21425" xr:uid="{00000000-0005-0000-0000-0000F6520000}"/>
    <cellStyle name="Normal 16 6 3" xfId="21426" xr:uid="{00000000-0005-0000-0000-0000F7520000}"/>
    <cellStyle name="Normal 16 6 3 2" xfId="21427" xr:uid="{00000000-0005-0000-0000-0000F8520000}"/>
    <cellStyle name="Normal 16 6 4" xfId="21428" xr:uid="{00000000-0005-0000-0000-0000F9520000}"/>
    <cellStyle name="Normal 16 6 5" xfId="21429" xr:uid="{00000000-0005-0000-0000-0000FA520000}"/>
    <cellStyle name="Normal 16 7" xfId="21430" xr:uid="{00000000-0005-0000-0000-0000FB520000}"/>
    <cellStyle name="Normal 16 7 2" xfId="21431" xr:uid="{00000000-0005-0000-0000-0000FC520000}"/>
    <cellStyle name="Normal 16 7 3" xfId="21432" xr:uid="{00000000-0005-0000-0000-0000FD520000}"/>
    <cellStyle name="Normal 16 8" xfId="21433" xr:uid="{00000000-0005-0000-0000-0000FE520000}"/>
    <cellStyle name="Normal 16 8 2" xfId="21434" xr:uid="{00000000-0005-0000-0000-0000FF520000}"/>
    <cellStyle name="Normal 16 8 3" xfId="21435" xr:uid="{00000000-0005-0000-0000-000000530000}"/>
    <cellStyle name="Normal 16 9" xfId="21436" xr:uid="{00000000-0005-0000-0000-000001530000}"/>
    <cellStyle name="Normal 16 9 2" xfId="21437" xr:uid="{00000000-0005-0000-0000-000002530000}"/>
    <cellStyle name="Normal 16_2015 Annual Rpt" xfId="21438" xr:uid="{00000000-0005-0000-0000-000003530000}"/>
    <cellStyle name="Normal 160" xfId="21439" xr:uid="{00000000-0005-0000-0000-000004530000}"/>
    <cellStyle name="Normal 160 2" xfId="21440" xr:uid="{00000000-0005-0000-0000-000005530000}"/>
    <cellStyle name="Normal 160 2 2" xfId="21441" xr:uid="{00000000-0005-0000-0000-000006530000}"/>
    <cellStyle name="Normal 160 2 3" xfId="21442" xr:uid="{00000000-0005-0000-0000-000007530000}"/>
    <cellStyle name="Normal 160 3" xfId="21443" xr:uid="{00000000-0005-0000-0000-000008530000}"/>
    <cellStyle name="Normal 160 4" xfId="21444" xr:uid="{00000000-0005-0000-0000-000009530000}"/>
    <cellStyle name="Normal 161" xfId="21445" xr:uid="{00000000-0005-0000-0000-00000A530000}"/>
    <cellStyle name="Normal 161 2" xfId="21446" xr:uid="{00000000-0005-0000-0000-00000B530000}"/>
    <cellStyle name="Normal 161 2 2" xfId="21447" xr:uid="{00000000-0005-0000-0000-00000C530000}"/>
    <cellStyle name="Normal 161 2 3" xfId="21448" xr:uid="{00000000-0005-0000-0000-00000D530000}"/>
    <cellStyle name="Normal 161 3" xfId="21449" xr:uid="{00000000-0005-0000-0000-00000E530000}"/>
    <cellStyle name="Normal 161 4" xfId="21450" xr:uid="{00000000-0005-0000-0000-00000F530000}"/>
    <cellStyle name="Normal 162" xfId="21451" xr:uid="{00000000-0005-0000-0000-000010530000}"/>
    <cellStyle name="Normal 162 2" xfId="21452" xr:uid="{00000000-0005-0000-0000-000011530000}"/>
    <cellStyle name="Normal 162 2 2" xfId="21453" xr:uid="{00000000-0005-0000-0000-000012530000}"/>
    <cellStyle name="Normal 162 2 3" xfId="21454" xr:uid="{00000000-0005-0000-0000-000013530000}"/>
    <cellStyle name="Normal 162 3" xfId="21455" xr:uid="{00000000-0005-0000-0000-000014530000}"/>
    <cellStyle name="Normal 162 4" xfId="21456" xr:uid="{00000000-0005-0000-0000-000015530000}"/>
    <cellStyle name="Normal 163" xfId="21457" xr:uid="{00000000-0005-0000-0000-000016530000}"/>
    <cellStyle name="Normal 163 2" xfId="21458" xr:uid="{00000000-0005-0000-0000-000017530000}"/>
    <cellStyle name="Normal 163 2 2" xfId="21459" xr:uid="{00000000-0005-0000-0000-000018530000}"/>
    <cellStyle name="Normal 163 2 3" xfId="21460" xr:uid="{00000000-0005-0000-0000-000019530000}"/>
    <cellStyle name="Normal 163 3" xfId="21461" xr:uid="{00000000-0005-0000-0000-00001A530000}"/>
    <cellStyle name="Normal 163 4" xfId="21462" xr:uid="{00000000-0005-0000-0000-00001B530000}"/>
    <cellStyle name="Normal 164" xfId="21463" xr:uid="{00000000-0005-0000-0000-00001C530000}"/>
    <cellStyle name="Normal 164 2" xfId="21464" xr:uid="{00000000-0005-0000-0000-00001D530000}"/>
    <cellStyle name="Normal 164 2 2" xfId="21465" xr:uid="{00000000-0005-0000-0000-00001E530000}"/>
    <cellStyle name="Normal 164 2 3" xfId="21466" xr:uid="{00000000-0005-0000-0000-00001F530000}"/>
    <cellStyle name="Normal 164 3" xfId="21467" xr:uid="{00000000-0005-0000-0000-000020530000}"/>
    <cellStyle name="Normal 164 4" xfId="21468" xr:uid="{00000000-0005-0000-0000-000021530000}"/>
    <cellStyle name="Normal 165" xfId="21469" xr:uid="{00000000-0005-0000-0000-000022530000}"/>
    <cellStyle name="Normal 165 2" xfId="21470" xr:uid="{00000000-0005-0000-0000-000023530000}"/>
    <cellStyle name="Normal 165 2 2" xfId="21471" xr:uid="{00000000-0005-0000-0000-000024530000}"/>
    <cellStyle name="Normal 165 2 3" xfId="21472" xr:uid="{00000000-0005-0000-0000-000025530000}"/>
    <cellStyle name="Normal 165 3" xfId="21473" xr:uid="{00000000-0005-0000-0000-000026530000}"/>
    <cellStyle name="Normal 165 3 4" xfId="21474" xr:uid="{00000000-0005-0000-0000-000027530000}"/>
    <cellStyle name="Normal 165 4" xfId="21475" xr:uid="{00000000-0005-0000-0000-000028530000}"/>
    <cellStyle name="Normal 166" xfId="21476" xr:uid="{00000000-0005-0000-0000-000029530000}"/>
    <cellStyle name="Normal 166 2" xfId="21477" xr:uid="{00000000-0005-0000-0000-00002A530000}"/>
    <cellStyle name="Normal 166 2 2" xfId="21478" xr:uid="{00000000-0005-0000-0000-00002B530000}"/>
    <cellStyle name="Normal 166 2 3" xfId="21479" xr:uid="{00000000-0005-0000-0000-00002C530000}"/>
    <cellStyle name="Normal 166 3" xfId="21480" xr:uid="{00000000-0005-0000-0000-00002D530000}"/>
    <cellStyle name="Normal 166 4" xfId="21481" xr:uid="{00000000-0005-0000-0000-00002E530000}"/>
    <cellStyle name="Normal 167" xfId="21482" xr:uid="{00000000-0005-0000-0000-00002F530000}"/>
    <cellStyle name="Normal 167 2" xfId="21483" xr:uid="{00000000-0005-0000-0000-000030530000}"/>
    <cellStyle name="Normal 167 2 2" xfId="21484" xr:uid="{00000000-0005-0000-0000-000031530000}"/>
    <cellStyle name="Normal 167 2 3" xfId="21485" xr:uid="{00000000-0005-0000-0000-000032530000}"/>
    <cellStyle name="Normal 167 3" xfId="21486" xr:uid="{00000000-0005-0000-0000-000033530000}"/>
    <cellStyle name="Normal 167 4" xfId="21487" xr:uid="{00000000-0005-0000-0000-000034530000}"/>
    <cellStyle name="Normal 168" xfId="21488" xr:uid="{00000000-0005-0000-0000-000035530000}"/>
    <cellStyle name="Normal 168 2" xfId="21489" xr:uid="{00000000-0005-0000-0000-000036530000}"/>
    <cellStyle name="Normal 168 2 2" xfId="21490" xr:uid="{00000000-0005-0000-0000-000037530000}"/>
    <cellStyle name="Normal 168 2 3" xfId="21491" xr:uid="{00000000-0005-0000-0000-000038530000}"/>
    <cellStyle name="Normal 168 3" xfId="21492" xr:uid="{00000000-0005-0000-0000-000039530000}"/>
    <cellStyle name="Normal 168 4" xfId="21493" xr:uid="{00000000-0005-0000-0000-00003A530000}"/>
    <cellStyle name="Normal 169" xfId="21494" xr:uid="{00000000-0005-0000-0000-00003B530000}"/>
    <cellStyle name="Normal 169 2" xfId="21495" xr:uid="{00000000-0005-0000-0000-00003C530000}"/>
    <cellStyle name="Normal 169 2 2" xfId="21496" xr:uid="{00000000-0005-0000-0000-00003D530000}"/>
    <cellStyle name="Normal 169 2 3" xfId="21497" xr:uid="{00000000-0005-0000-0000-00003E530000}"/>
    <cellStyle name="Normal 169 3" xfId="21498" xr:uid="{00000000-0005-0000-0000-00003F530000}"/>
    <cellStyle name="Normal 169 4" xfId="21499" xr:uid="{00000000-0005-0000-0000-000040530000}"/>
    <cellStyle name="Normal 17" xfId="261" xr:uid="{00000000-0005-0000-0000-000041530000}"/>
    <cellStyle name="Normal 17 10" xfId="21500" xr:uid="{00000000-0005-0000-0000-000042530000}"/>
    <cellStyle name="Normal 17 11" xfId="21501" xr:uid="{00000000-0005-0000-0000-000043530000}"/>
    <cellStyle name="Normal 17 12" xfId="21502" xr:uid="{00000000-0005-0000-0000-000044530000}"/>
    <cellStyle name="Normal 17 13" xfId="21503" xr:uid="{00000000-0005-0000-0000-000045530000}"/>
    <cellStyle name="Normal 17 13 2" xfId="21504" xr:uid="{00000000-0005-0000-0000-000046530000}"/>
    <cellStyle name="Normal 17 13 2 2" xfId="21505" xr:uid="{00000000-0005-0000-0000-000047530000}"/>
    <cellStyle name="Normal 17 13 2 2 2" xfId="21506" xr:uid="{00000000-0005-0000-0000-000048530000}"/>
    <cellStyle name="Normal 17 13 2 3" xfId="21507" xr:uid="{00000000-0005-0000-0000-000049530000}"/>
    <cellStyle name="Normal 17 13 2 4" xfId="21508" xr:uid="{00000000-0005-0000-0000-00004A530000}"/>
    <cellStyle name="Normal 17 13 3" xfId="21509" xr:uid="{00000000-0005-0000-0000-00004B530000}"/>
    <cellStyle name="Normal 17 13 3 2" xfId="21510" xr:uid="{00000000-0005-0000-0000-00004C530000}"/>
    <cellStyle name="Normal 17 13 4" xfId="21511" xr:uid="{00000000-0005-0000-0000-00004D530000}"/>
    <cellStyle name="Normal 17 13 5" xfId="21512" xr:uid="{00000000-0005-0000-0000-00004E530000}"/>
    <cellStyle name="Normal 17 14" xfId="21513" xr:uid="{00000000-0005-0000-0000-00004F530000}"/>
    <cellStyle name="Normal 17 2" xfId="262" xr:uid="{00000000-0005-0000-0000-000050530000}"/>
    <cellStyle name="Normal 17 2 10" xfId="21514" xr:uid="{00000000-0005-0000-0000-000051530000}"/>
    <cellStyle name="Normal 17 2 10 2" xfId="21515" xr:uid="{00000000-0005-0000-0000-000052530000}"/>
    <cellStyle name="Normal 17 2 11" xfId="21516" xr:uid="{00000000-0005-0000-0000-000053530000}"/>
    <cellStyle name="Normal 17 2 12" xfId="21517" xr:uid="{00000000-0005-0000-0000-000054530000}"/>
    <cellStyle name="Normal 17 2 13" xfId="21518" xr:uid="{00000000-0005-0000-0000-000055530000}"/>
    <cellStyle name="Normal 17 2 14" xfId="21519" xr:uid="{00000000-0005-0000-0000-000056530000}"/>
    <cellStyle name="Normal 17 2 15" xfId="21520" xr:uid="{00000000-0005-0000-0000-000057530000}"/>
    <cellStyle name="Normal 17 2 2" xfId="21521" xr:uid="{00000000-0005-0000-0000-000058530000}"/>
    <cellStyle name="Normal 17 2 2 10" xfId="21522" xr:uid="{00000000-0005-0000-0000-000059530000}"/>
    <cellStyle name="Normal 17 2 2 11" xfId="21523" xr:uid="{00000000-0005-0000-0000-00005A530000}"/>
    <cellStyle name="Normal 17 2 2 12" xfId="21524" xr:uid="{00000000-0005-0000-0000-00005B530000}"/>
    <cellStyle name="Normal 17 2 2 13" xfId="21525" xr:uid="{00000000-0005-0000-0000-00005C530000}"/>
    <cellStyle name="Normal 17 2 2 2" xfId="21526" xr:uid="{00000000-0005-0000-0000-00005D530000}"/>
    <cellStyle name="Normal 17 2 2 2 2" xfId="21527" xr:uid="{00000000-0005-0000-0000-00005E530000}"/>
    <cellStyle name="Normal 17 2 2 2 2 2" xfId="21528" xr:uid="{00000000-0005-0000-0000-00005F530000}"/>
    <cellStyle name="Normal 17 2 2 2 2 2 2" xfId="21529" xr:uid="{00000000-0005-0000-0000-000060530000}"/>
    <cellStyle name="Normal 17 2 2 2 2 3" xfId="21530" xr:uid="{00000000-0005-0000-0000-000061530000}"/>
    <cellStyle name="Normal 17 2 2 2 2 3 2" xfId="21531" xr:uid="{00000000-0005-0000-0000-000062530000}"/>
    <cellStyle name="Normal 17 2 2 2 2 4" xfId="21532" xr:uid="{00000000-0005-0000-0000-000063530000}"/>
    <cellStyle name="Normal 17 2 2 2 2 5" xfId="21533" xr:uid="{00000000-0005-0000-0000-000064530000}"/>
    <cellStyle name="Normal 17 2 2 2 2 6" xfId="21534" xr:uid="{00000000-0005-0000-0000-000065530000}"/>
    <cellStyle name="Normal 17 2 2 2 2 7" xfId="21535" xr:uid="{00000000-0005-0000-0000-000066530000}"/>
    <cellStyle name="Normal 17 2 2 2 3" xfId="21536" xr:uid="{00000000-0005-0000-0000-000067530000}"/>
    <cellStyle name="Normal 17 2 2 2 3 2" xfId="21537" xr:uid="{00000000-0005-0000-0000-000068530000}"/>
    <cellStyle name="Normal 17 2 2 2 3 2 2" xfId="21538" xr:uid="{00000000-0005-0000-0000-000069530000}"/>
    <cellStyle name="Normal 17 2 2 2 3 3" xfId="21539" xr:uid="{00000000-0005-0000-0000-00006A530000}"/>
    <cellStyle name="Normal 17 2 2 2 3 3 2" xfId="21540" xr:uid="{00000000-0005-0000-0000-00006B530000}"/>
    <cellStyle name="Normal 17 2 2 2 3 4" xfId="21541" xr:uid="{00000000-0005-0000-0000-00006C530000}"/>
    <cellStyle name="Normal 17 2 2 2 3 5" xfId="21542" xr:uid="{00000000-0005-0000-0000-00006D530000}"/>
    <cellStyle name="Normal 17 2 2 2 3 6" xfId="21543" xr:uid="{00000000-0005-0000-0000-00006E530000}"/>
    <cellStyle name="Normal 17 2 2 2 3 7" xfId="21544" xr:uid="{00000000-0005-0000-0000-00006F530000}"/>
    <cellStyle name="Normal 17 2 2 2 4" xfId="21545" xr:uid="{00000000-0005-0000-0000-000070530000}"/>
    <cellStyle name="Normal 17 2 2 2 4 2" xfId="21546" xr:uid="{00000000-0005-0000-0000-000071530000}"/>
    <cellStyle name="Normal 17 2 2 2 5" xfId="21547" xr:uid="{00000000-0005-0000-0000-000072530000}"/>
    <cellStyle name="Normal 17 2 2 2 5 2" xfId="21548" xr:uid="{00000000-0005-0000-0000-000073530000}"/>
    <cellStyle name="Normal 17 2 2 2 6" xfId="21549" xr:uid="{00000000-0005-0000-0000-000074530000}"/>
    <cellStyle name="Normal 17 2 2 2 7" xfId="21550" xr:uid="{00000000-0005-0000-0000-000075530000}"/>
    <cellStyle name="Normal 17 2 2 2 8" xfId="21551" xr:uid="{00000000-0005-0000-0000-000076530000}"/>
    <cellStyle name="Normal 17 2 2 2 9" xfId="21552" xr:uid="{00000000-0005-0000-0000-000077530000}"/>
    <cellStyle name="Normal 17 2 2 3" xfId="21553" xr:uid="{00000000-0005-0000-0000-000078530000}"/>
    <cellStyle name="Normal 17 2 2 3 2" xfId="21554" xr:uid="{00000000-0005-0000-0000-000079530000}"/>
    <cellStyle name="Normal 17 2 2 3 2 2" xfId="21555" xr:uid="{00000000-0005-0000-0000-00007A530000}"/>
    <cellStyle name="Normal 17 2 2 3 2 2 2" xfId="21556" xr:uid="{00000000-0005-0000-0000-00007B530000}"/>
    <cellStyle name="Normal 17 2 2 3 2 3" xfId="21557" xr:uid="{00000000-0005-0000-0000-00007C530000}"/>
    <cellStyle name="Normal 17 2 2 3 2 3 2" xfId="21558" xr:uid="{00000000-0005-0000-0000-00007D530000}"/>
    <cellStyle name="Normal 17 2 2 3 2 4" xfId="21559" xr:uid="{00000000-0005-0000-0000-00007E530000}"/>
    <cellStyle name="Normal 17 2 2 3 2 5" xfId="21560" xr:uid="{00000000-0005-0000-0000-00007F530000}"/>
    <cellStyle name="Normal 17 2 2 3 2 6" xfId="21561" xr:uid="{00000000-0005-0000-0000-000080530000}"/>
    <cellStyle name="Normal 17 2 2 3 2 7" xfId="21562" xr:uid="{00000000-0005-0000-0000-000081530000}"/>
    <cellStyle name="Normal 17 2 2 3 3" xfId="21563" xr:uid="{00000000-0005-0000-0000-000082530000}"/>
    <cellStyle name="Normal 17 2 2 3 3 2" xfId="21564" xr:uid="{00000000-0005-0000-0000-000083530000}"/>
    <cellStyle name="Normal 17 2 2 3 4" xfId="21565" xr:uid="{00000000-0005-0000-0000-000084530000}"/>
    <cellStyle name="Normal 17 2 2 3 4 2" xfId="21566" xr:uid="{00000000-0005-0000-0000-000085530000}"/>
    <cellStyle name="Normal 17 2 2 3 5" xfId="21567" xr:uid="{00000000-0005-0000-0000-000086530000}"/>
    <cellStyle name="Normal 17 2 2 3 6" xfId="21568" xr:uid="{00000000-0005-0000-0000-000087530000}"/>
    <cellStyle name="Normal 17 2 2 3 7" xfId="21569" xr:uid="{00000000-0005-0000-0000-000088530000}"/>
    <cellStyle name="Normal 17 2 2 3 8" xfId="21570" xr:uid="{00000000-0005-0000-0000-000089530000}"/>
    <cellStyle name="Normal 17 2 2 4" xfId="21571" xr:uid="{00000000-0005-0000-0000-00008A530000}"/>
    <cellStyle name="Normal 17 2 2 4 2" xfId="21572" xr:uid="{00000000-0005-0000-0000-00008B530000}"/>
    <cellStyle name="Normal 17 2 2 4 2 2" xfId="21573" xr:uid="{00000000-0005-0000-0000-00008C530000}"/>
    <cellStyle name="Normal 17 2 2 4 2 2 2" xfId="21574" xr:uid="{00000000-0005-0000-0000-00008D530000}"/>
    <cellStyle name="Normal 17 2 2 4 2 3" xfId="21575" xr:uid="{00000000-0005-0000-0000-00008E530000}"/>
    <cellStyle name="Normal 17 2 2 4 2 3 2" xfId="21576" xr:uid="{00000000-0005-0000-0000-00008F530000}"/>
    <cellStyle name="Normal 17 2 2 4 2 4" xfId="21577" xr:uid="{00000000-0005-0000-0000-000090530000}"/>
    <cellStyle name="Normal 17 2 2 4 2 5" xfId="21578" xr:uid="{00000000-0005-0000-0000-000091530000}"/>
    <cellStyle name="Normal 17 2 2 4 2 6" xfId="21579" xr:uid="{00000000-0005-0000-0000-000092530000}"/>
    <cellStyle name="Normal 17 2 2 4 2 7" xfId="21580" xr:uid="{00000000-0005-0000-0000-000093530000}"/>
    <cellStyle name="Normal 17 2 2 4 3" xfId="21581" xr:uid="{00000000-0005-0000-0000-000094530000}"/>
    <cellStyle name="Normal 17 2 2 4 3 2" xfId="21582" xr:uid="{00000000-0005-0000-0000-000095530000}"/>
    <cellStyle name="Normal 17 2 2 4 4" xfId="21583" xr:uid="{00000000-0005-0000-0000-000096530000}"/>
    <cellStyle name="Normal 17 2 2 4 4 2" xfId="21584" xr:uid="{00000000-0005-0000-0000-000097530000}"/>
    <cellStyle name="Normal 17 2 2 4 5" xfId="21585" xr:uid="{00000000-0005-0000-0000-000098530000}"/>
    <cellStyle name="Normal 17 2 2 4 6" xfId="21586" xr:uid="{00000000-0005-0000-0000-000099530000}"/>
    <cellStyle name="Normal 17 2 2 4 7" xfId="21587" xr:uid="{00000000-0005-0000-0000-00009A530000}"/>
    <cellStyle name="Normal 17 2 2 4 8" xfId="21588" xr:uid="{00000000-0005-0000-0000-00009B530000}"/>
    <cellStyle name="Normal 17 2 2 5" xfId="21589" xr:uid="{00000000-0005-0000-0000-00009C530000}"/>
    <cellStyle name="Normal 17 2 2 5 2" xfId="21590" xr:uid="{00000000-0005-0000-0000-00009D530000}"/>
    <cellStyle name="Normal 17 2 2 5 2 2" xfId="21591" xr:uid="{00000000-0005-0000-0000-00009E530000}"/>
    <cellStyle name="Normal 17 2 2 5 3" xfId="21592" xr:uid="{00000000-0005-0000-0000-00009F530000}"/>
    <cellStyle name="Normal 17 2 2 5 3 2" xfId="21593" xr:uid="{00000000-0005-0000-0000-0000A0530000}"/>
    <cellStyle name="Normal 17 2 2 5 4" xfId="21594" xr:uid="{00000000-0005-0000-0000-0000A1530000}"/>
    <cellStyle name="Normal 17 2 2 5 5" xfId="21595" xr:uid="{00000000-0005-0000-0000-0000A2530000}"/>
    <cellStyle name="Normal 17 2 2 5 6" xfId="21596" xr:uid="{00000000-0005-0000-0000-0000A3530000}"/>
    <cellStyle name="Normal 17 2 2 5 7" xfId="21597" xr:uid="{00000000-0005-0000-0000-0000A4530000}"/>
    <cellStyle name="Normal 17 2 2 6" xfId="21598" xr:uid="{00000000-0005-0000-0000-0000A5530000}"/>
    <cellStyle name="Normal 17 2 2 6 2" xfId="21599" xr:uid="{00000000-0005-0000-0000-0000A6530000}"/>
    <cellStyle name="Normal 17 2 2 7" xfId="21600" xr:uid="{00000000-0005-0000-0000-0000A7530000}"/>
    <cellStyle name="Normal 17 2 2 7 2" xfId="21601" xr:uid="{00000000-0005-0000-0000-0000A8530000}"/>
    <cellStyle name="Normal 17 2 2 8" xfId="21602" xr:uid="{00000000-0005-0000-0000-0000A9530000}"/>
    <cellStyle name="Normal 17 2 2 8 2" xfId="21603" xr:uid="{00000000-0005-0000-0000-0000AA530000}"/>
    <cellStyle name="Normal 17 2 2 9" xfId="21604" xr:uid="{00000000-0005-0000-0000-0000AB530000}"/>
    <cellStyle name="Normal 17 2 3" xfId="21605" xr:uid="{00000000-0005-0000-0000-0000AC530000}"/>
    <cellStyle name="Normal 17 2 3 10" xfId="21606" xr:uid="{00000000-0005-0000-0000-0000AD530000}"/>
    <cellStyle name="Normal 17 2 3 11" xfId="21607" xr:uid="{00000000-0005-0000-0000-0000AE530000}"/>
    <cellStyle name="Normal 17 2 3 12" xfId="21608" xr:uid="{00000000-0005-0000-0000-0000AF530000}"/>
    <cellStyle name="Normal 17 2 3 2" xfId="21609" xr:uid="{00000000-0005-0000-0000-0000B0530000}"/>
    <cellStyle name="Normal 17 2 3 2 2" xfId="21610" xr:uid="{00000000-0005-0000-0000-0000B1530000}"/>
    <cellStyle name="Normal 17 2 3 2 2 2" xfId="21611" xr:uid="{00000000-0005-0000-0000-0000B2530000}"/>
    <cellStyle name="Normal 17 2 3 2 2 2 2" xfId="21612" xr:uid="{00000000-0005-0000-0000-0000B3530000}"/>
    <cellStyle name="Normal 17 2 3 2 2 3" xfId="21613" xr:uid="{00000000-0005-0000-0000-0000B4530000}"/>
    <cellStyle name="Normal 17 2 3 2 2 3 2" xfId="21614" xr:uid="{00000000-0005-0000-0000-0000B5530000}"/>
    <cellStyle name="Normal 17 2 3 2 2 4" xfId="21615" xr:uid="{00000000-0005-0000-0000-0000B6530000}"/>
    <cellStyle name="Normal 17 2 3 2 2 5" xfId="21616" xr:uid="{00000000-0005-0000-0000-0000B7530000}"/>
    <cellStyle name="Normal 17 2 3 2 2 6" xfId="21617" xr:uid="{00000000-0005-0000-0000-0000B8530000}"/>
    <cellStyle name="Normal 17 2 3 2 2 7" xfId="21618" xr:uid="{00000000-0005-0000-0000-0000B9530000}"/>
    <cellStyle name="Normal 17 2 3 2 3" xfId="21619" xr:uid="{00000000-0005-0000-0000-0000BA530000}"/>
    <cellStyle name="Normal 17 2 3 2 3 2" xfId="21620" xr:uid="{00000000-0005-0000-0000-0000BB530000}"/>
    <cellStyle name="Normal 17 2 3 2 4" xfId="21621" xr:uid="{00000000-0005-0000-0000-0000BC530000}"/>
    <cellStyle name="Normal 17 2 3 2 4 2" xfId="21622" xr:uid="{00000000-0005-0000-0000-0000BD530000}"/>
    <cellStyle name="Normal 17 2 3 2 5" xfId="21623" xr:uid="{00000000-0005-0000-0000-0000BE530000}"/>
    <cellStyle name="Normal 17 2 3 2 6" xfId="21624" xr:uid="{00000000-0005-0000-0000-0000BF530000}"/>
    <cellStyle name="Normal 17 2 3 2 7" xfId="21625" xr:uid="{00000000-0005-0000-0000-0000C0530000}"/>
    <cellStyle name="Normal 17 2 3 2 8" xfId="21626" xr:uid="{00000000-0005-0000-0000-0000C1530000}"/>
    <cellStyle name="Normal 17 2 3 3" xfId="21627" xr:uid="{00000000-0005-0000-0000-0000C2530000}"/>
    <cellStyle name="Normal 17 2 3 3 2" xfId="21628" xr:uid="{00000000-0005-0000-0000-0000C3530000}"/>
    <cellStyle name="Normal 17 2 3 3 2 2" xfId="21629" xr:uid="{00000000-0005-0000-0000-0000C4530000}"/>
    <cellStyle name="Normal 17 2 3 3 2 2 2" xfId="21630" xr:uid="{00000000-0005-0000-0000-0000C5530000}"/>
    <cellStyle name="Normal 17 2 3 3 2 3" xfId="21631" xr:uid="{00000000-0005-0000-0000-0000C6530000}"/>
    <cellStyle name="Normal 17 2 3 3 2 3 2" xfId="21632" xr:uid="{00000000-0005-0000-0000-0000C7530000}"/>
    <cellStyle name="Normal 17 2 3 3 2 4" xfId="21633" xr:uid="{00000000-0005-0000-0000-0000C8530000}"/>
    <cellStyle name="Normal 17 2 3 3 2 5" xfId="21634" xr:uid="{00000000-0005-0000-0000-0000C9530000}"/>
    <cellStyle name="Normal 17 2 3 3 2 6" xfId="21635" xr:uid="{00000000-0005-0000-0000-0000CA530000}"/>
    <cellStyle name="Normal 17 2 3 3 2 7" xfId="21636" xr:uid="{00000000-0005-0000-0000-0000CB530000}"/>
    <cellStyle name="Normal 17 2 3 3 3" xfId="21637" xr:uid="{00000000-0005-0000-0000-0000CC530000}"/>
    <cellStyle name="Normal 17 2 3 3 3 2" xfId="21638" xr:uid="{00000000-0005-0000-0000-0000CD530000}"/>
    <cellStyle name="Normal 17 2 3 3 4" xfId="21639" xr:uid="{00000000-0005-0000-0000-0000CE530000}"/>
    <cellStyle name="Normal 17 2 3 3 4 2" xfId="21640" xr:uid="{00000000-0005-0000-0000-0000CF530000}"/>
    <cellStyle name="Normal 17 2 3 3 5" xfId="21641" xr:uid="{00000000-0005-0000-0000-0000D0530000}"/>
    <cellStyle name="Normal 17 2 3 3 6" xfId="21642" xr:uid="{00000000-0005-0000-0000-0000D1530000}"/>
    <cellStyle name="Normal 17 2 3 3 7" xfId="21643" xr:uid="{00000000-0005-0000-0000-0000D2530000}"/>
    <cellStyle name="Normal 17 2 3 3 8" xfId="21644" xr:uid="{00000000-0005-0000-0000-0000D3530000}"/>
    <cellStyle name="Normal 17 2 3 4" xfId="21645" xr:uid="{00000000-0005-0000-0000-0000D4530000}"/>
    <cellStyle name="Normal 17 2 3 4 2" xfId="21646" xr:uid="{00000000-0005-0000-0000-0000D5530000}"/>
    <cellStyle name="Normal 17 2 3 4 2 2" xfId="21647" xr:uid="{00000000-0005-0000-0000-0000D6530000}"/>
    <cellStyle name="Normal 17 2 3 4 3" xfId="21648" xr:uid="{00000000-0005-0000-0000-0000D7530000}"/>
    <cellStyle name="Normal 17 2 3 4 3 2" xfId="21649" xr:uid="{00000000-0005-0000-0000-0000D8530000}"/>
    <cellStyle name="Normal 17 2 3 4 4" xfId="21650" xr:uid="{00000000-0005-0000-0000-0000D9530000}"/>
    <cellStyle name="Normal 17 2 3 4 5" xfId="21651" xr:uid="{00000000-0005-0000-0000-0000DA530000}"/>
    <cellStyle name="Normal 17 2 3 4 6" xfId="21652" xr:uid="{00000000-0005-0000-0000-0000DB530000}"/>
    <cellStyle name="Normal 17 2 3 4 7" xfId="21653" xr:uid="{00000000-0005-0000-0000-0000DC530000}"/>
    <cellStyle name="Normal 17 2 3 5" xfId="21654" xr:uid="{00000000-0005-0000-0000-0000DD530000}"/>
    <cellStyle name="Normal 17 2 3 5 2" xfId="21655" xr:uid="{00000000-0005-0000-0000-0000DE530000}"/>
    <cellStyle name="Normal 17 2 3 6" xfId="21656" xr:uid="{00000000-0005-0000-0000-0000DF530000}"/>
    <cellStyle name="Normal 17 2 3 6 2" xfId="21657" xr:uid="{00000000-0005-0000-0000-0000E0530000}"/>
    <cellStyle name="Normal 17 2 3 7" xfId="21658" xr:uid="{00000000-0005-0000-0000-0000E1530000}"/>
    <cellStyle name="Normal 17 2 3 7 2" xfId="21659" xr:uid="{00000000-0005-0000-0000-0000E2530000}"/>
    <cellStyle name="Normal 17 2 3 8" xfId="21660" xr:uid="{00000000-0005-0000-0000-0000E3530000}"/>
    <cellStyle name="Normal 17 2 3 9" xfId="21661" xr:uid="{00000000-0005-0000-0000-0000E4530000}"/>
    <cellStyle name="Normal 17 2 4" xfId="21662" xr:uid="{00000000-0005-0000-0000-0000E5530000}"/>
    <cellStyle name="Normal 17 2 4 10" xfId="21663" xr:uid="{00000000-0005-0000-0000-0000E6530000}"/>
    <cellStyle name="Normal 17 2 4 2" xfId="21664" xr:uid="{00000000-0005-0000-0000-0000E7530000}"/>
    <cellStyle name="Normal 17 2 4 2 2" xfId="21665" xr:uid="{00000000-0005-0000-0000-0000E8530000}"/>
    <cellStyle name="Normal 17 2 4 2 2 2" xfId="21666" xr:uid="{00000000-0005-0000-0000-0000E9530000}"/>
    <cellStyle name="Normal 17 2 4 2 3" xfId="21667" xr:uid="{00000000-0005-0000-0000-0000EA530000}"/>
    <cellStyle name="Normal 17 2 4 2 3 2" xfId="21668" xr:uid="{00000000-0005-0000-0000-0000EB530000}"/>
    <cellStyle name="Normal 17 2 4 2 4" xfId="21669" xr:uid="{00000000-0005-0000-0000-0000EC530000}"/>
    <cellStyle name="Normal 17 2 4 2 5" xfId="21670" xr:uid="{00000000-0005-0000-0000-0000ED530000}"/>
    <cellStyle name="Normal 17 2 4 2 6" xfId="21671" xr:uid="{00000000-0005-0000-0000-0000EE530000}"/>
    <cellStyle name="Normal 17 2 4 2 7" xfId="21672" xr:uid="{00000000-0005-0000-0000-0000EF530000}"/>
    <cellStyle name="Normal 17 2 4 3" xfId="21673" xr:uid="{00000000-0005-0000-0000-0000F0530000}"/>
    <cellStyle name="Normal 17 2 4 3 2" xfId="21674" xr:uid="{00000000-0005-0000-0000-0000F1530000}"/>
    <cellStyle name="Normal 17 2 4 3 2 2" xfId="21675" xr:uid="{00000000-0005-0000-0000-0000F2530000}"/>
    <cellStyle name="Normal 17 2 4 3 3" xfId="21676" xr:uid="{00000000-0005-0000-0000-0000F3530000}"/>
    <cellStyle name="Normal 17 2 4 3 3 2" xfId="21677" xr:uid="{00000000-0005-0000-0000-0000F4530000}"/>
    <cellStyle name="Normal 17 2 4 3 4" xfId="21678" xr:uid="{00000000-0005-0000-0000-0000F5530000}"/>
    <cellStyle name="Normal 17 2 4 3 5" xfId="21679" xr:uid="{00000000-0005-0000-0000-0000F6530000}"/>
    <cellStyle name="Normal 17 2 4 3 6" xfId="21680" xr:uid="{00000000-0005-0000-0000-0000F7530000}"/>
    <cellStyle name="Normal 17 2 4 3 7" xfId="21681" xr:uid="{00000000-0005-0000-0000-0000F8530000}"/>
    <cellStyle name="Normal 17 2 4 4" xfId="21682" xr:uid="{00000000-0005-0000-0000-0000F9530000}"/>
    <cellStyle name="Normal 17 2 4 4 2" xfId="21683" xr:uid="{00000000-0005-0000-0000-0000FA530000}"/>
    <cellStyle name="Normal 17 2 4 5" xfId="21684" xr:uid="{00000000-0005-0000-0000-0000FB530000}"/>
    <cellStyle name="Normal 17 2 4 5 2" xfId="21685" xr:uid="{00000000-0005-0000-0000-0000FC530000}"/>
    <cellStyle name="Normal 17 2 4 6" xfId="21686" xr:uid="{00000000-0005-0000-0000-0000FD530000}"/>
    <cellStyle name="Normal 17 2 4 7" xfId="21687" xr:uid="{00000000-0005-0000-0000-0000FE530000}"/>
    <cellStyle name="Normal 17 2 4 8" xfId="21688" xr:uid="{00000000-0005-0000-0000-0000FF530000}"/>
    <cellStyle name="Normal 17 2 4 9" xfId="21689" xr:uid="{00000000-0005-0000-0000-000000540000}"/>
    <cellStyle name="Normal 17 2 5" xfId="21690" xr:uid="{00000000-0005-0000-0000-000001540000}"/>
    <cellStyle name="Normal 17 2 5 2" xfId="21691" xr:uid="{00000000-0005-0000-0000-000002540000}"/>
    <cellStyle name="Normal 17 2 5 2 2" xfId="21692" xr:uid="{00000000-0005-0000-0000-000003540000}"/>
    <cellStyle name="Normal 17 2 5 2 2 2" xfId="21693" xr:uid="{00000000-0005-0000-0000-000004540000}"/>
    <cellStyle name="Normal 17 2 5 2 3" xfId="21694" xr:uid="{00000000-0005-0000-0000-000005540000}"/>
    <cellStyle name="Normal 17 2 5 2 3 2" xfId="21695" xr:uid="{00000000-0005-0000-0000-000006540000}"/>
    <cellStyle name="Normal 17 2 5 2 4" xfId="21696" xr:uid="{00000000-0005-0000-0000-000007540000}"/>
    <cellStyle name="Normal 17 2 5 2 5" xfId="21697" xr:uid="{00000000-0005-0000-0000-000008540000}"/>
    <cellStyle name="Normal 17 2 5 2 6" xfId="21698" xr:uid="{00000000-0005-0000-0000-000009540000}"/>
    <cellStyle name="Normal 17 2 5 2 7" xfId="21699" xr:uid="{00000000-0005-0000-0000-00000A540000}"/>
    <cellStyle name="Normal 17 2 5 3" xfId="21700" xr:uid="{00000000-0005-0000-0000-00000B540000}"/>
    <cellStyle name="Normal 17 2 5 3 2" xfId="21701" xr:uid="{00000000-0005-0000-0000-00000C540000}"/>
    <cellStyle name="Normal 17 2 5 4" xfId="21702" xr:uid="{00000000-0005-0000-0000-00000D540000}"/>
    <cellStyle name="Normal 17 2 5 4 2" xfId="21703" xr:uid="{00000000-0005-0000-0000-00000E540000}"/>
    <cellStyle name="Normal 17 2 5 5" xfId="21704" xr:uid="{00000000-0005-0000-0000-00000F540000}"/>
    <cellStyle name="Normal 17 2 5 6" xfId="21705" xr:uid="{00000000-0005-0000-0000-000010540000}"/>
    <cellStyle name="Normal 17 2 5 7" xfId="21706" xr:uid="{00000000-0005-0000-0000-000011540000}"/>
    <cellStyle name="Normal 17 2 5 8" xfId="21707" xr:uid="{00000000-0005-0000-0000-000012540000}"/>
    <cellStyle name="Normal 17 2 5 9" xfId="21708" xr:uid="{00000000-0005-0000-0000-000013540000}"/>
    <cellStyle name="Normal 17 2 6" xfId="21709" xr:uid="{00000000-0005-0000-0000-000014540000}"/>
    <cellStyle name="Normal 17 2 6 2" xfId="21710" xr:uid="{00000000-0005-0000-0000-000015540000}"/>
    <cellStyle name="Normal 17 2 6 2 2" xfId="21711" xr:uid="{00000000-0005-0000-0000-000016540000}"/>
    <cellStyle name="Normal 17 2 6 2 2 2" xfId="21712" xr:uid="{00000000-0005-0000-0000-000017540000}"/>
    <cellStyle name="Normal 17 2 6 2 3" xfId="21713" xr:uid="{00000000-0005-0000-0000-000018540000}"/>
    <cellStyle name="Normal 17 2 6 2 3 2" xfId="21714" xr:uid="{00000000-0005-0000-0000-000019540000}"/>
    <cellStyle name="Normal 17 2 6 2 4" xfId="21715" xr:uid="{00000000-0005-0000-0000-00001A540000}"/>
    <cellStyle name="Normal 17 2 6 2 5" xfId="21716" xr:uid="{00000000-0005-0000-0000-00001B540000}"/>
    <cellStyle name="Normal 17 2 6 2 6" xfId="21717" xr:uid="{00000000-0005-0000-0000-00001C540000}"/>
    <cellStyle name="Normal 17 2 6 2 7" xfId="21718" xr:uid="{00000000-0005-0000-0000-00001D540000}"/>
    <cellStyle name="Normal 17 2 6 3" xfId="21719" xr:uid="{00000000-0005-0000-0000-00001E540000}"/>
    <cellStyle name="Normal 17 2 6 3 2" xfId="21720" xr:uid="{00000000-0005-0000-0000-00001F540000}"/>
    <cellStyle name="Normal 17 2 6 4" xfId="21721" xr:uid="{00000000-0005-0000-0000-000020540000}"/>
    <cellStyle name="Normal 17 2 6 4 2" xfId="21722" xr:uid="{00000000-0005-0000-0000-000021540000}"/>
    <cellStyle name="Normal 17 2 6 5" xfId="21723" xr:uid="{00000000-0005-0000-0000-000022540000}"/>
    <cellStyle name="Normal 17 2 6 6" xfId="21724" xr:uid="{00000000-0005-0000-0000-000023540000}"/>
    <cellStyle name="Normal 17 2 6 7" xfId="21725" xr:uid="{00000000-0005-0000-0000-000024540000}"/>
    <cellStyle name="Normal 17 2 6 8" xfId="21726" xr:uid="{00000000-0005-0000-0000-000025540000}"/>
    <cellStyle name="Normal 17 2 7" xfId="21727" xr:uid="{00000000-0005-0000-0000-000026540000}"/>
    <cellStyle name="Normal 17 2 7 2" xfId="21728" xr:uid="{00000000-0005-0000-0000-000027540000}"/>
    <cellStyle name="Normal 17 2 7 2 2" xfId="21729" xr:uid="{00000000-0005-0000-0000-000028540000}"/>
    <cellStyle name="Normal 17 2 7 3" xfId="21730" xr:uid="{00000000-0005-0000-0000-000029540000}"/>
    <cellStyle name="Normal 17 2 7 3 2" xfId="21731" xr:uid="{00000000-0005-0000-0000-00002A540000}"/>
    <cellStyle name="Normal 17 2 7 4" xfId="21732" xr:uid="{00000000-0005-0000-0000-00002B540000}"/>
    <cellStyle name="Normal 17 2 7 5" xfId="21733" xr:uid="{00000000-0005-0000-0000-00002C540000}"/>
    <cellStyle name="Normal 17 2 7 6" xfId="21734" xr:uid="{00000000-0005-0000-0000-00002D540000}"/>
    <cellStyle name="Normal 17 2 7 7" xfId="21735" xr:uid="{00000000-0005-0000-0000-00002E540000}"/>
    <cellStyle name="Normal 17 2 8" xfId="21736" xr:uid="{00000000-0005-0000-0000-00002F540000}"/>
    <cellStyle name="Normal 17 2 8 2" xfId="21737" xr:uid="{00000000-0005-0000-0000-000030540000}"/>
    <cellStyle name="Normal 17 2 9" xfId="21738" xr:uid="{00000000-0005-0000-0000-000031540000}"/>
    <cellStyle name="Normal 17 2 9 2" xfId="21739" xr:uid="{00000000-0005-0000-0000-000032540000}"/>
    <cellStyle name="Normal 17 3" xfId="263" xr:uid="{00000000-0005-0000-0000-000033540000}"/>
    <cellStyle name="Normal 17 3 10" xfId="21740" xr:uid="{00000000-0005-0000-0000-000034540000}"/>
    <cellStyle name="Normal 17 3 2" xfId="21741" xr:uid="{00000000-0005-0000-0000-000035540000}"/>
    <cellStyle name="Normal 17 3 2 2" xfId="21742" xr:uid="{00000000-0005-0000-0000-000036540000}"/>
    <cellStyle name="Normal 17 3 2 2 2" xfId="21743" xr:uid="{00000000-0005-0000-0000-000037540000}"/>
    <cellStyle name="Normal 17 3 2 2 3" xfId="21744" xr:uid="{00000000-0005-0000-0000-000038540000}"/>
    <cellStyle name="Normal 17 3 2 3" xfId="21745" xr:uid="{00000000-0005-0000-0000-000039540000}"/>
    <cellStyle name="Normal 17 3 2 3 2" xfId="21746" xr:uid="{00000000-0005-0000-0000-00003A540000}"/>
    <cellStyle name="Normal 17 3 2 3 3" xfId="21747" xr:uid="{00000000-0005-0000-0000-00003B540000}"/>
    <cellStyle name="Normal 17 3 2 4" xfId="21748" xr:uid="{00000000-0005-0000-0000-00003C540000}"/>
    <cellStyle name="Normal 17 3 2 5" xfId="21749" xr:uid="{00000000-0005-0000-0000-00003D540000}"/>
    <cellStyle name="Normal 17 3 2 6" xfId="21750" xr:uid="{00000000-0005-0000-0000-00003E540000}"/>
    <cellStyle name="Normal 17 3 2 7" xfId="21751" xr:uid="{00000000-0005-0000-0000-00003F540000}"/>
    <cellStyle name="Normal 17 3 2 8" xfId="21752" xr:uid="{00000000-0005-0000-0000-000040540000}"/>
    <cellStyle name="Normal 17 3 3" xfId="21753" xr:uid="{00000000-0005-0000-0000-000041540000}"/>
    <cellStyle name="Normal 17 3 3 2" xfId="21754" xr:uid="{00000000-0005-0000-0000-000042540000}"/>
    <cellStyle name="Normal 17 3 3 3" xfId="21755" xr:uid="{00000000-0005-0000-0000-000043540000}"/>
    <cellStyle name="Normal 17 3 4" xfId="21756" xr:uid="{00000000-0005-0000-0000-000044540000}"/>
    <cellStyle name="Normal 17 3 4 2" xfId="21757" xr:uid="{00000000-0005-0000-0000-000045540000}"/>
    <cellStyle name="Normal 17 3 4 3" xfId="21758" xr:uid="{00000000-0005-0000-0000-000046540000}"/>
    <cellStyle name="Normal 17 3 5" xfId="21759" xr:uid="{00000000-0005-0000-0000-000047540000}"/>
    <cellStyle name="Normal 17 3 5 2" xfId="21760" xr:uid="{00000000-0005-0000-0000-000048540000}"/>
    <cellStyle name="Normal 17 3 5 3" xfId="21761" xr:uid="{00000000-0005-0000-0000-000049540000}"/>
    <cellStyle name="Normal 17 3 6" xfId="21762" xr:uid="{00000000-0005-0000-0000-00004A540000}"/>
    <cellStyle name="Normal 17 3 7" xfId="21763" xr:uid="{00000000-0005-0000-0000-00004B540000}"/>
    <cellStyle name="Normal 17 3 8" xfId="21764" xr:uid="{00000000-0005-0000-0000-00004C540000}"/>
    <cellStyle name="Normal 17 3 9" xfId="21765" xr:uid="{00000000-0005-0000-0000-00004D540000}"/>
    <cellStyle name="Normal 17 3_2015 Annual Rpt" xfId="21766" xr:uid="{00000000-0005-0000-0000-00004E540000}"/>
    <cellStyle name="Normal 17 4" xfId="264" xr:uid="{00000000-0005-0000-0000-00004F540000}"/>
    <cellStyle name="Normal 17 4 2" xfId="21767" xr:uid="{00000000-0005-0000-0000-000050540000}"/>
    <cellStyle name="Normal 17 4 2 2" xfId="21768" xr:uid="{00000000-0005-0000-0000-000051540000}"/>
    <cellStyle name="Normal 17 4 3" xfId="21769" xr:uid="{00000000-0005-0000-0000-000052540000}"/>
    <cellStyle name="Normal 17 4 4" xfId="21770" xr:uid="{00000000-0005-0000-0000-000053540000}"/>
    <cellStyle name="Normal 17 5" xfId="21771" xr:uid="{00000000-0005-0000-0000-000054540000}"/>
    <cellStyle name="Normal 17 5 2" xfId="21772" xr:uid="{00000000-0005-0000-0000-000055540000}"/>
    <cellStyle name="Normal 17 5 2 2" xfId="21773" xr:uid="{00000000-0005-0000-0000-000056540000}"/>
    <cellStyle name="Normal 17 5 2 3" xfId="21774" xr:uid="{00000000-0005-0000-0000-000057540000}"/>
    <cellStyle name="Normal 17 5 3" xfId="21775" xr:uid="{00000000-0005-0000-0000-000058540000}"/>
    <cellStyle name="Normal 17 5 4" xfId="21776" xr:uid="{00000000-0005-0000-0000-000059540000}"/>
    <cellStyle name="Normal 17 5 5" xfId="21777" xr:uid="{00000000-0005-0000-0000-00005A540000}"/>
    <cellStyle name="Normal 17 6" xfId="21778" xr:uid="{00000000-0005-0000-0000-00005B540000}"/>
    <cellStyle name="Normal 17 6 2" xfId="21779" xr:uid="{00000000-0005-0000-0000-00005C540000}"/>
    <cellStyle name="Normal 17 7" xfId="21780" xr:uid="{00000000-0005-0000-0000-00005D540000}"/>
    <cellStyle name="Normal 17 7 2" xfId="21781" xr:uid="{00000000-0005-0000-0000-00005E540000}"/>
    <cellStyle name="Normal 17 8" xfId="21782" xr:uid="{00000000-0005-0000-0000-00005F540000}"/>
    <cellStyle name="Normal 17 8 2" xfId="21783" xr:uid="{00000000-0005-0000-0000-000060540000}"/>
    <cellStyle name="Normal 17 9" xfId="21784" xr:uid="{00000000-0005-0000-0000-000061540000}"/>
    <cellStyle name="Normal 17_2015 Annual Rpt" xfId="21785" xr:uid="{00000000-0005-0000-0000-000062540000}"/>
    <cellStyle name="Normal 170" xfId="21786" xr:uid="{00000000-0005-0000-0000-000063540000}"/>
    <cellStyle name="Normal 170 2" xfId="21787" xr:uid="{00000000-0005-0000-0000-000064540000}"/>
    <cellStyle name="Normal 170 2 2" xfId="21788" xr:uid="{00000000-0005-0000-0000-000065540000}"/>
    <cellStyle name="Normal 170 2 3" xfId="21789" xr:uid="{00000000-0005-0000-0000-000066540000}"/>
    <cellStyle name="Normal 170 3" xfId="21790" xr:uid="{00000000-0005-0000-0000-000067540000}"/>
    <cellStyle name="Normal 170 4" xfId="21791" xr:uid="{00000000-0005-0000-0000-000068540000}"/>
    <cellStyle name="Normal 171" xfId="21792" xr:uid="{00000000-0005-0000-0000-000069540000}"/>
    <cellStyle name="Normal 171 2" xfId="21793" xr:uid="{00000000-0005-0000-0000-00006A540000}"/>
    <cellStyle name="Normal 171 2 2" xfId="21794" xr:uid="{00000000-0005-0000-0000-00006B540000}"/>
    <cellStyle name="Normal 171 2 3" xfId="21795" xr:uid="{00000000-0005-0000-0000-00006C540000}"/>
    <cellStyle name="Normal 171 3" xfId="21796" xr:uid="{00000000-0005-0000-0000-00006D540000}"/>
    <cellStyle name="Normal 171 4" xfId="21797" xr:uid="{00000000-0005-0000-0000-00006E540000}"/>
    <cellStyle name="Normal 172" xfId="21798" xr:uid="{00000000-0005-0000-0000-00006F540000}"/>
    <cellStyle name="Normal 172 2" xfId="21799" xr:uid="{00000000-0005-0000-0000-000070540000}"/>
    <cellStyle name="Normal 172 2 2" xfId="21800" xr:uid="{00000000-0005-0000-0000-000071540000}"/>
    <cellStyle name="Normal 172 2 3" xfId="21801" xr:uid="{00000000-0005-0000-0000-000072540000}"/>
    <cellStyle name="Normal 172 3" xfId="21802" xr:uid="{00000000-0005-0000-0000-000073540000}"/>
    <cellStyle name="Normal 172 4" xfId="21803" xr:uid="{00000000-0005-0000-0000-000074540000}"/>
    <cellStyle name="Normal 173" xfId="21804" xr:uid="{00000000-0005-0000-0000-000075540000}"/>
    <cellStyle name="Normal 173 2" xfId="21805" xr:uid="{00000000-0005-0000-0000-000076540000}"/>
    <cellStyle name="Normal 173 2 2" xfId="21806" xr:uid="{00000000-0005-0000-0000-000077540000}"/>
    <cellStyle name="Normal 173 2 3" xfId="21807" xr:uid="{00000000-0005-0000-0000-000078540000}"/>
    <cellStyle name="Normal 173 3" xfId="21808" xr:uid="{00000000-0005-0000-0000-000079540000}"/>
    <cellStyle name="Normal 173 4" xfId="21809" xr:uid="{00000000-0005-0000-0000-00007A540000}"/>
    <cellStyle name="Normal 174" xfId="21810" xr:uid="{00000000-0005-0000-0000-00007B540000}"/>
    <cellStyle name="Normal 174 2" xfId="21811" xr:uid="{00000000-0005-0000-0000-00007C540000}"/>
    <cellStyle name="Normal 174 2 2" xfId="21812" xr:uid="{00000000-0005-0000-0000-00007D540000}"/>
    <cellStyle name="Normal 174 2 3" xfId="21813" xr:uid="{00000000-0005-0000-0000-00007E540000}"/>
    <cellStyle name="Normal 174 3" xfId="21814" xr:uid="{00000000-0005-0000-0000-00007F540000}"/>
    <cellStyle name="Normal 174 4" xfId="21815" xr:uid="{00000000-0005-0000-0000-000080540000}"/>
    <cellStyle name="Normal 175" xfId="21816" xr:uid="{00000000-0005-0000-0000-000081540000}"/>
    <cellStyle name="Normal 175 2" xfId="21817" xr:uid="{00000000-0005-0000-0000-000082540000}"/>
    <cellStyle name="Normal 175 2 2" xfId="21818" xr:uid="{00000000-0005-0000-0000-000083540000}"/>
    <cellStyle name="Normal 175 2 3" xfId="21819" xr:uid="{00000000-0005-0000-0000-000084540000}"/>
    <cellStyle name="Normal 175 3" xfId="21820" xr:uid="{00000000-0005-0000-0000-000085540000}"/>
    <cellStyle name="Normal 175 4" xfId="21821" xr:uid="{00000000-0005-0000-0000-000086540000}"/>
    <cellStyle name="Normal 176" xfId="21822" xr:uid="{00000000-0005-0000-0000-000087540000}"/>
    <cellStyle name="Normal 176 2" xfId="21823" xr:uid="{00000000-0005-0000-0000-000088540000}"/>
    <cellStyle name="Normal 176 2 2" xfId="21824" xr:uid="{00000000-0005-0000-0000-000089540000}"/>
    <cellStyle name="Normal 176 2 3" xfId="21825" xr:uid="{00000000-0005-0000-0000-00008A540000}"/>
    <cellStyle name="Normal 176 3" xfId="21826" xr:uid="{00000000-0005-0000-0000-00008B540000}"/>
    <cellStyle name="Normal 176 4" xfId="21827" xr:uid="{00000000-0005-0000-0000-00008C540000}"/>
    <cellStyle name="Normal 177" xfId="21828" xr:uid="{00000000-0005-0000-0000-00008D540000}"/>
    <cellStyle name="Normal 177 2" xfId="21829" xr:uid="{00000000-0005-0000-0000-00008E540000}"/>
    <cellStyle name="Normal 177 2 2" xfId="21830" xr:uid="{00000000-0005-0000-0000-00008F540000}"/>
    <cellStyle name="Normal 177 2 3" xfId="21831" xr:uid="{00000000-0005-0000-0000-000090540000}"/>
    <cellStyle name="Normal 177 3" xfId="21832" xr:uid="{00000000-0005-0000-0000-000091540000}"/>
    <cellStyle name="Normal 177 4" xfId="21833" xr:uid="{00000000-0005-0000-0000-000092540000}"/>
    <cellStyle name="Normal 178" xfId="21834" xr:uid="{00000000-0005-0000-0000-000093540000}"/>
    <cellStyle name="Normal 178 2" xfId="21835" xr:uid="{00000000-0005-0000-0000-000094540000}"/>
    <cellStyle name="Normal 178 2 2" xfId="21836" xr:uid="{00000000-0005-0000-0000-000095540000}"/>
    <cellStyle name="Normal 178 2 3" xfId="21837" xr:uid="{00000000-0005-0000-0000-000096540000}"/>
    <cellStyle name="Normal 178 3" xfId="21838" xr:uid="{00000000-0005-0000-0000-000097540000}"/>
    <cellStyle name="Normal 178 4" xfId="21839" xr:uid="{00000000-0005-0000-0000-000098540000}"/>
    <cellStyle name="Normal 179" xfId="21840" xr:uid="{00000000-0005-0000-0000-000099540000}"/>
    <cellStyle name="Normal 179 2" xfId="21841" xr:uid="{00000000-0005-0000-0000-00009A540000}"/>
    <cellStyle name="Normal 179 2 2" xfId="21842" xr:uid="{00000000-0005-0000-0000-00009B540000}"/>
    <cellStyle name="Normal 179 2 3" xfId="21843" xr:uid="{00000000-0005-0000-0000-00009C540000}"/>
    <cellStyle name="Normal 179 3" xfId="21844" xr:uid="{00000000-0005-0000-0000-00009D540000}"/>
    <cellStyle name="Normal 179 4" xfId="21845" xr:uid="{00000000-0005-0000-0000-00009E540000}"/>
    <cellStyle name="Normal 18" xfId="265" xr:uid="{00000000-0005-0000-0000-00009F540000}"/>
    <cellStyle name="Normal 18 10" xfId="21846" xr:uid="{00000000-0005-0000-0000-0000A0540000}"/>
    <cellStyle name="Normal 18 11" xfId="21847" xr:uid="{00000000-0005-0000-0000-0000A1540000}"/>
    <cellStyle name="Normal 18 12" xfId="21848" xr:uid="{00000000-0005-0000-0000-0000A2540000}"/>
    <cellStyle name="Normal 18 2" xfId="266" xr:uid="{00000000-0005-0000-0000-0000A3540000}"/>
    <cellStyle name="Normal 18 2 2" xfId="21849" xr:uid="{00000000-0005-0000-0000-0000A4540000}"/>
    <cellStyle name="Normal 18 2 2 2" xfId="21850" xr:uid="{00000000-0005-0000-0000-0000A5540000}"/>
    <cellStyle name="Normal 18 2 2 3" xfId="21851" xr:uid="{00000000-0005-0000-0000-0000A6540000}"/>
    <cellStyle name="Normal 18 2 2 4" xfId="21852" xr:uid="{00000000-0005-0000-0000-0000A7540000}"/>
    <cellStyle name="Normal 18 2 3" xfId="21853" xr:uid="{00000000-0005-0000-0000-0000A8540000}"/>
    <cellStyle name="Normal 18 2 3 2" xfId="21854" xr:uid="{00000000-0005-0000-0000-0000A9540000}"/>
    <cellStyle name="Normal 18 2 3 2 2" xfId="21855" xr:uid="{00000000-0005-0000-0000-0000AA540000}"/>
    <cellStyle name="Normal 18 2 3 3" xfId="21856" xr:uid="{00000000-0005-0000-0000-0000AB540000}"/>
    <cellStyle name="Normal 18 2 4" xfId="21857" xr:uid="{00000000-0005-0000-0000-0000AC540000}"/>
    <cellStyle name="Normal 18 2 4 2" xfId="21858" xr:uid="{00000000-0005-0000-0000-0000AD540000}"/>
    <cellStyle name="Normal 18 2 4 3" xfId="21859" xr:uid="{00000000-0005-0000-0000-0000AE540000}"/>
    <cellStyle name="Normal 18 2 5" xfId="21860" xr:uid="{00000000-0005-0000-0000-0000AF540000}"/>
    <cellStyle name="Normal 18 2 5 2" xfId="21861" xr:uid="{00000000-0005-0000-0000-0000B0540000}"/>
    <cellStyle name="Normal 18 2 5 3" xfId="21862" xr:uid="{00000000-0005-0000-0000-0000B1540000}"/>
    <cellStyle name="Normal 18 2 6" xfId="21863" xr:uid="{00000000-0005-0000-0000-0000B2540000}"/>
    <cellStyle name="Normal 18 2 7" xfId="21864" xr:uid="{00000000-0005-0000-0000-0000B3540000}"/>
    <cellStyle name="Normal 18 2 8" xfId="21865" xr:uid="{00000000-0005-0000-0000-0000B4540000}"/>
    <cellStyle name="Normal 18 2 9" xfId="21866" xr:uid="{00000000-0005-0000-0000-0000B5540000}"/>
    <cellStyle name="Normal 18 3" xfId="21867" xr:uid="{00000000-0005-0000-0000-0000B6540000}"/>
    <cellStyle name="Normal 18 3 2" xfId="21868" xr:uid="{00000000-0005-0000-0000-0000B7540000}"/>
    <cellStyle name="Normal 18 3 2 2" xfId="21869" xr:uid="{00000000-0005-0000-0000-0000B8540000}"/>
    <cellStyle name="Normal 18 3 2 2 2" xfId="21870" xr:uid="{00000000-0005-0000-0000-0000B9540000}"/>
    <cellStyle name="Normal 18 3 2 3" xfId="21871" xr:uid="{00000000-0005-0000-0000-0000BA540000}"/>
    <cellStyle name="Normal 18 3 2 4" xfId="21872" xr:uid="{00000000-0005-0000-0000-0000BB540000}"/>
    <cellStyle name="Normal 18 3 3" xfId="21873" xr:uid="{00000000-0005-0000-0000-0000BC540000}"/>
    <cellStyle name="Normal 18 3 3 2" xfId="21874" xr:uid="{00000000-0005-0000-0000-0000BD540000}"/>
    <cellStyle name="Normal 18 3 3 3" xfId="21875" xr:uid="{00000000-0005-0000-0000-0000BE540000}"/>
    <cellStyle name="Normal 18 3 4" xfId="21876" xr:uid="{00000000-0005-0000-0000-0000BF540000}"/>
    <cellStyle name="Normal 18 3 4 2" xfId="21877" xr:uid="{00000000-0005-0000-0000-0000C0540000}"/>
    <cellStyle name="Normal 18 3 5" xfId="21878" xr:uid="{00000000-0005-0000-0000-0000C1540000}"/>
    <cellStyle name="Normal 18 3 6" xfId="21879" xr:uid="{00000000-0005-0000-0000-0000C2540000}"/>
    <cellStyle name="Normal 18 3 7" xfId="21880" xr:uid="{00000000-0005-0000-0000-0000C3540000}"/>
    <cellStyle name="Normal 18 3 8" xfId="21881" xr:uid="{00000000-0005-0000-0000-0000C4540000}"/>
    <cellStyle name="Normal 18 4" xfId="21882" xr:uid="{00000000-0005-0000-0000-0000C5540000}"/>
    <cellStyle name="Normal 18 4 2" xfId="21883" xr:uid="{00000000-0005-0000-0000-0000C6540000}"/>
    <cellStyle name="Normal 18 4 2 2" xfId="21884" xr:uid="{00000000-0005-0000-0000-0000C7540000}"/>
    <cellStyle name="Normal 18 4 2 2 2" xfId="21885" xr:uid="{00000000-0005-0000-0000-0000C8540000}"/>
    <cellStyle name="Normal 18 4 2 2 3" xfId="21886" xr:uid="{00000000-0005-0000-0000-0000C9540000}"/>
    <cellStyle name="Normal 18 4 2 3" xfId="21887" xr:uid="{00000000-0005-0000-0000-0000CA540000}"/>
    <cellStyle name="Normal 18 4 2 4" xfId="21888" xr:uid="{00000000-0005-0000-0000-0000CB540000}"/>
    <cellStyle name="Normal 18 4 2 5" xfId="21889" xr:uid="{00000000-0005-0000-0000-0000CC540000}"/>
    <cellStyle name="Normal 18 4 2 6" xfId="21890" xr:uid="{00000000-0005-0000-0000-0000CD540000}"/>
    <cellStyle name="Normal 18 4 2 7" xfId="21891" xr:uid="{00000000-0005-0000-0000-0000CE540000}"/>
    <cellStyle name="Normal 18 4 3" xfId="21892" xr:uid="{00000000-0005-0000-0000-0000CF540000}"/>
    <cellStyle name="Normal 18 4 3 2" xfId="21893" xr:uid="{00000000-0005-0000-0000-0000D0540000}"/>
    <cellStyle name="Normal 18 4 3 3" xfId="21894" xr:uid="{00000000-0005-0000-0000-0000D1540000}"/>
    <cellStyle name="Normal 18 4 4" xfId="21895" xr:uid="{00000000-0005-0000-0000-0000D2540000}"/>
    <cellStyle name="Normal 18 4 4 2" xfId="21896" xr:uid="{00000000-0005-0000-0000-0000D3540000}"/>
    <cellStyle name="Normal 18 4 4 3" xfId="21897" xr:uid="{00000000-0005-0000-0000-0000D4540000}"/>
    <cellStyle name="Normal 18 4 5" xfId="21898" xr:uid="{00000000-0005-0000-0000-0000D5540000}"/>
    <cellStyle name="Normal 18 4 6" xfId="21899" xr:uid="{00000000-0005-0000-0000-0000D6540000}"/>
    <cellStyle name="Normal 18 4 7" xfId="21900" xr:uid="{00000000-0005-0000-0000-0000D7540000}"/>
    <cellStyle name="Normal 18 4 8" xfId="21901" xr:uid="{00000000-0005-0000-0000-0000D8540000}"/>
    <cellStyle name="Normal 18 5" xfId="21902" xr:uid="{00000000-0005-0000-0000-0000D9540000}"/>
    <cellStyle name="Normal 18 6" xfId="21903" xr:uid="{00000000-0005-0000-0000-0000DA540000}"/>
    <cellStyle name="Normal 18 6 2" xfId="21904" xr:uid="{00000000-0005-0000-0000-0000DB540000}"/>
    <cellStyle name="Normal 18 6 2 2" xfId="21905" xr:uid="{00000000-0005-0000-0000-0000DC540000}"/>
    <cellStyle name="Normal 18 6 3" xfId="21906" xr:uid="{00000000-0005-0000-0000-0000DD540000}"/>
    <cellStyle name="Normal 18 6 3 2" xfId="21907" xr:uid="{00000000-0005-0000-0000-0000DE540000}"/>
    <cellStyle name="Normal 18 6 4" xfId="21908" xr:uid="{00000000-0005-0000-0000-0000DF540000}"/>
    <cellStyle name="Normal 18 7" xfId="21909" xr:uid="{00000000-0005-0000-0000-0000E0540000}"/>
    <cellStyle name="Normal 18 8" xfId="21910" xr:uid="{00000000-0005-0000-0000-0000E1540000}"/>
    <cellStyle name="Normal 18 8 2" xfId="21911" xr:uid="{00000000-0005-0000-0000-0000E2540000}"/>
    <cellStyle name="Normal 18 9" xfId="21912" xr:uid="{00000000-0005-0000-0000-0000E3540000}"/>
    <cellStyle name="Normal 18_2015 Annual Rpt" xfId="21913" xr:uid="{00000000-0005-0000-0000-0000E4540000}"/>
    <cellStyle name="Normal 180" xfId="21914" xr:uid="{00000000-0005-0000-0000-0000E5540000}"/>
    <cellStyle name="Normal 180 2" xfId="21915" xr:uid="{00000000-0005-0000-0000-0000E6540000}"/>
    <cellStyle name="Normal 180 2 2" xfId="21916" xr:uid="{00000000-0005-0000-0000-0000E7540000}"/>
    <cellStyle name="Normal 180 2 3" xfId="21917" xr:uid="{00000000-0005-0000-0000-0000E8540000}"/>
    <cellStyle name="Normal 180 3" xfId="21918" xr:uid="{00000000-0005-0000-0000-0000E9540000}"/>
    <cellStyle name="Normal 180 4" xfId="21919" xr:uid="{00000000-0005-0000-0000-0000EA540000}"/>
    <cellStyle name="Normal 181" xfId="21920" xr:uid="{00000000-0005-0000-0000-0000EB540000}"/>
    <cellStyle name="Normal 181 2" xfId="21921" xr:uid="{00000000-0005-0000-0000-0000EC540000}"/>
    <cellStyle name="Normal 181 2 2" xfId="21922" xr:uid="{00000000-0005-0000-0000-0000ED540000}"/>
    <cellStyle name="Normal 181 2 3" xfId="21923" xr:uid="{00000000-0005-0000-0000-0000EE540000}"/>
    <cellStyle name="Normal 181 3" xfId="21924" xr:uid="{00000000-0005-0000-0000-0000EF540000}"/>
    <cellStyle name="Normal 181 4" xfId="21925" xr:uid="{00000000-0005-0000-0000-0000F0540000}"/>
    <cellStyle name="Normal 182" xfId="21926" xr:uid="{00000000-0005-0000-0000-0000F1540000}"/>
    <cellStyle name="Normal 182 2" xfId="21927" xr:uid="{00000000-0005-0000-0000-0000F2540000}"/>
    <cellStyle name="Normal 182 2 2" xfId="21928" xr:uid="{00000000-0005-0000-0000-0000F3540000}"/>
    <cellStyle name="Normal 182 2 3" xfId="21929" xr:uid="{00000000-0005-0000-0000-0000F4540000}"/>
    <cellStyle name="Normal 182 3" xfId="21930" xr:uid="{00000000-0005-0000-0000-0000F5540000}"/>
    <cellStyle name="Normal 182 4" xfId="21931" xr:uid="{00000000-0005-0000-0000-0000F6540000}"/>
    <cellStyle name="Normal 183" xfId="21932" xr:uid="{00000000-0005-0000-0000-0000F7540000}"/>
    <cellStyle name="Normal 183 2" xfId="21933" xr:uid="{00000000-0005-0000-0000-0000F8540000}"/>
    <cellStyle name="Normal 183 2 2" xfId="21934" xr:uid="{00000000-0005-0000-0000-0000F9540000}"/>
    <cellStyle name="Normal 183 2 3" xfId="21935" xr:uid="{00000000-0005-0000-0000-0000FA540000}"/>
    <cellStyle name="Normal 183 3" xfId="21936" xr:uid="{00000000-0005-0000-0000-0000FB540000}"/>
    <cellStyle name="Normal 183 4" xfId="21937" xr:uid="{00000000-0005-0000-0000-0000FC540000}"/>
    <cellStyle name="Normal 184" xfId="21938" xr:uid="{00000000-0005-0000-0000-0000FD540000}"/>
    <cellStyle name="Normal 184 2" xfId="21939" xr:uid="{00000000-0005-0000-0000-0000FE540000}"/>
    <cellStyle name="Normal 184 2 2" xfId="21940" xr:uid="{00000000-0005-0000-0000-0000FF540000}"/>
    <cellStyle name="Normal 184 2 3" xfId="21941" xr:uid="{00000000-0005-0000-0000-000000550000}"/>
    <cellStyle name="Normal 184 3" xfId="21942" xr:uid="{00000000-0005-0000-0000-000001550000}"/>
    <cellStyle name="Normal 184 4" xfId="21943" xr:uid="{00000000-0005-0000-0000-000002550000}"/>
    <cellStyle name="Normal 185" xfId="21944" xr:uid="{00000000-0005-0000-0000-000003550000}"/>
    <cellStyle name="Normal 185 2" xfId="21945" xr:uid="{00000000-0005-0000-0000-000004550000}"/>
    <cellStyle name="Normal 185 2 2" xfId="21946" xr:uid="{00000000-0005-0000-0000-000005550000}"/>
    <cellStyle name="Normal 185 2 3" xfId="21947" xr:uid="{00000000-0005-0000-0000-000006550000}"/>
    <cellStyle name="Normal 185 3" xfId="21948" xr:uid="{00000000-0005-0000-0000-000007550000}"/>
    <cellStyle name="Normal 185 4" xfId="21949" xr:uid="{00000000-0005-0000-0000-000008550000}"/>
    <cellStyle name="Normal 186" xfId="21950" xr:uid="{00000000-0005-0000-0000-000009550000}"/>
    <cellStyle name="Normal 186 2" xfId="21951" xr:uid="{00000000-0005-0000-0000-00000A550000}"/>
    <cellStyle name="Normal 186 2 2" xfId="21952" xr:uid="{00000000-0005-0000-0000-00000B550000}"/>
    <cellStyle name="Normal 186 2 3" xfId="21953" xr:uid="{00000000-0005-0000-0000-00000C550000}"/>
    <cellStyle name="Normal 186 3" xfId="21954" xr:uid="{00000000-0005-0000-0000-00000D550000}"/>
    <cellStyle name="Normal 186 4" xfId="21955" xr:uid="{00000000-0005-0000-0000-00000E550000}"/>
    <cellStyle name="Normal 187" xfId="21956" xr:uid="{00000000-0005-0000-0000-00000F550000}"/>
    <cellStyle name="Normal 187 2" xfId="21957" xr:uid="{00000000-0005-0000-0000-000010550000}"/>
    <cellStyle name="Normal 187 2 2" xfId="21958" xr:uid="{00000000-0005-0000-0000-000011550000}"/>
    <cellStyle name="Normal 187 2 3" xfId="21959" xr:uid="{00000000-0005-0000-0000-000012550000}"/>
    <cellStyle name="Normal 187 3" xfId="21960" xr:uid="{00000000-0005-0000-0000-000013550000}"/>
    <cellStyle name="Normal 187 4" xfId="21961" xr:uid="{00000000-0005-0000-0000-000014550000}"/>
    <cellStyle name="Normal 188" xfId="21962" xr:uid="{00000000-0005-0000-0000-000015550000}"/>
    <cellStyle name="Normal 188 2" xfId="21963" xr:uid="{00000000-0005-0000-0000-000016550000}"/>
    <cellStyle name="Normal 188 2 2" xfId="21964" xr:uid="{00000000-0005-0000-0000-000017550000}"/>
    <cellStyle name="Normal 188 2 3" xfId="21965" xr:uid="{00000000-0005-0000-0000-000018550000}"/>
    <cellStyle name="Normal 188 3" xfId="21966" xr:uid="{00000000-0005-0000-0000-000019550000}"/>
    <cellStyle name="Normal 188 4" xfId="21967" xr:uid="{00000000-0005-0000-0000-00001A550000}"/>
    <cellStyle name="Normal 189" xfId="21968" xr:uid="{00000000-0005-0000-0000-00001B550000}"/>
    <cellStyle name="Normal 189 2" xfId="21969" xr:uid="{00000000-0005-0000-0000-00001C550000}"/>
    <cellStyle name="Normal 189 2 2" xfId="21970" xr:uid="{00000000-0005-0000-0000-00001D550000}"/>
    <cellStyle name="Normal 189 2 3" xfId="21971" xr:uid="{00000000-0005-0000-0000-00001E550000}"/>
    <cellStyle name="Normal 189 3" xfId="21972" xr:uid="{00000000-0005-0000-0000-00001F550000}"/>
    <cellStyle name="Normal 189 4" xfId="21973" xr:uid="{00000000-0005-0000-0000-000020550000}"/>
    <cellStyle name="Normal 19" xfId="267" xr:uid="{00000000-0005-0000-0000-000021550000}"/>
    <cellStyle name="Normal 19 10" xfId="21974" xr:uid="{00000000-0005-0000-0000-000022550000}"/>
    <cellStyle name="Normal 19 11" xfId="21975" xr:uid="{00000000-0005-0000-0000-000023550000}"/>
    <cellStyle name="Normal 19 12" xfId="21976" xr:uid="{00000000-0005-0000-0000-000024550000}"/>
    <cellStyle name="Normal 19 2" xfId="268" xr:uid="{00000000-0005-0000-0000-000025550000}"/>
    <cellStyle name="Normal 19 2 2" xfId="21977" xr:uid="{00000000-0005-0000-0000-000026550000}"/>
    <cellStyle name="Normal 19 2 2 2" xfId="21978" xr:uid="{00000000-0005-0000-0000-000027550000}"/>
    <cellStyle name="Normal 19 2 2 2 2" xfId="21979" xr:uid="{00000000-0005-0000-0000-000028550000}"/>
    <cellStyle name="Normal 19 2 2 2 3" xfId="21980" xr:uid="{00000000-0005-0000-0000-000029550000}"/>
    <cellStyle name="Normal 19 2 2 3" xfId="21981" xr:uid="{00000000-0005-0000-0000-00002A550000}"/>
    <cellStyle name="Normal 19 2 2 3 2" xfId="21982" xr:uid="{00000000-0005-0000-0000-00002B550000}"/>
    <cellStyle name="Normal 19 2 2 3 3" xfId="21983" xr:uid="{00000000-0005-0000-0000-00002C550000}"/>
    <cellStyle name="Normal 19 2 2 4" xfId="21984" xr:uid="{00000000-0005-0000-0000-00002D550000}"/>
    <cellStyle name="Normal 19 2 2 5" xfId="21985" xr:uid="{00000000-0005-0000-0000-00002E550000}"/>
    <cellStyle name="Normal 19 2 2 6" xfId="21986" xr:uid="{00000000-0005-0000-0000-00002F550000}"/>
    <cellStyle name="Normal 19 2 2 7" xfId="21987" xr:uid="{00000000-0005-0000-0000-000030550000}"/>
    <cellStyle name="Normal 19 2 2 8" xfId="21988" xr:uid="{00000000-0005-0000-0000-000031550000}"/>
    <cellStyle name="Normal 19 2 3" xfId="21989" xr:uid="{00000000-0005-0000-0000-000032550000}"/>
    <cellStyle name="Normal 19 2 3 2" xfId="21990" xr:uid="{00000000-0005-0000-0000-000033550000}"/>
    <cellStyle name="Normal 19 2 3 2 2" xfId="21991" xr:uid="{00000000-0005-0000-0000-000034550000}"/>
    <cellStyle name="Normal 19 2 3 3" xfId="21992" xr:uid="{00000000-0005-0000-0000-000035550000}"/>
    <cellStyle name="Normal 19 2 4" xfId="21993" xr:uid="{00000000-0005-0000-0000-000036550000}"/>
    <cellStyle name="Normal 19 2 4 2" xfId="21994" xr:uid="{00000000-0005-0000-0000-000037550000}"/>
    <cellStyle name="Normal 19 2 4 3" xfId="21995" xr:uid="{00000000-0005-0000-0000-000038550000}"/>
    <cellStyle name="Normal 19 2 5" xfId="21996" xr:uid="{00000000-0005-0000-0000-000039550000}"/>
    <cellStyle name="Normal 19 2 5 2" xfId="21997" xr:uid="{00000000-0005-0000-0000-00003A550000}"/>
    <cellStyle name="Normal 19 2 6" xfId="21998" xr:uid="{00000000-0005-0000-0000-00003B550000}"/>
    <cellStyle name="Normal 19 2 7" xfId="21999" xr:uid="{00000000-0005-0000-0000-00003C550000}"/>
    <cellStyle name="Normal 19 2 8" xfId="22000" xr:uid="{00000000-0005-0000-0000-00003D550000}"/>
    <cellStyle name="Normal 19 2 9" xfId="22001" xr:uid="{00000000-0005-0000-0000-00003E550000}"/>
    <cellStyle name="Normal 19 2_2015 Annual Rpt" xfId="22002" xr:uid="{00000000-0005-0000-0000-00003F550000}"/>
    <cellStyle name="Normal 19 3" xfId="22003" xr:uid="{00000000-0005-0000-0000-000040550000}"/>
    <cellStyle name="Normal 19 3 2" xfId="22004" xr:uid="{00000000-0005-0000-0000-000041550000}"/>
    <cellStyle name="Normal 19 3 2 2" xfId="22005" xr:uid="{00000000-0005-0000-0000-000042550000}"/>
    <cellStyle name="Normal 19 3 2 2 2" xfId="22006" xr:uid="{00000000-0005-0000-0000-000043550000}"/>
    <cellStyle name="Normal 19 3 2 3" xfId="22007" xr:uid="{00000000-0005-0000-0000-000044550000}"/>
    <cellStyle name="Normal 19 3 3" xfId="22008" xr:uid="{00000000-0005-0000-0000-000045550000}"/>
    <cellStyle name="Normal 19 3 3 2" xfId="22009" xr:uid="{00000000-0005-0000-0000-000046550000}"/>
    <cellStyle name="Normal 19 3 3 3" xfId="22010" xr:uid="{00000000-0005-0000-0000-000047550000}"/>
    <cellStyle name="Normal 19 3 4" xfId="22011" xr:uid="{00000000-0005-0000-0000-000048550000}"/>
    <cellStyle name="Normal 19 3 4 2" xfId="22012" xr:uid="{00000000-0005-0000-0000-000049550000}"/>
    <cellStyle name="Normal 19 3 5" xfId="22013" xr:uid="{00000000-0005-0000-0000-00004A550000}"/>
    <cellStyle name="Normal 19 3 6" xfId="22014" xr:uid="{00000000-0005-0000-0000-00004B550000}"/>
    <cellStyle name="Normal 19 3 7" xfId="22015" xr:uid="{00000000-0005-0000-0000-00004C550000}"/>
    <cellStyle name="Normal 19 3 8" xfId="22016" xr:uid="{00000000-0005-0000-0000-00004D550000}"/>
    <cellStyle name="Normal 19 4" xfId="22017" xr:uid="{00000000-0005-0000-0000-00004E550000}"/>
    <cellStyle name="Normal 19 4 2" xfId="22018" xr:uid="{00000000-0005-0000-0000-00004F550000}"/>
    <cellStyle name="Normal 19 4 2 2" xfId="22019" xr:uid="{00000000-0005-0000-0000-000050550000}"/>
    <cellStyle name="Normal 19 4 2 2 2" xfId="22020" xr:uid="{00000000-0005-0000-0000-000051550000}"/>
    <cellStyle name="Normal 19 4 2 3" xfId="22021" xr:uid="{00000000-0005-0000-0000-000052550000}"/>
    <cellStyle name="Normal 19 4 3" xfId="22022" xr:uid="{00000000-0005-0000-0000-000053550000}"/>
    <cellStyle name="Normal 19 4 3 2" xfId="22023" xr:uid="{00000000-0005-0000-0000-000054550000}"/>
    <cellStyle name="Normal 19 4 3 3" xfId="22024" xr:uid="{00000000-0005-0000-0000-000055550000}"/>
    <cellStyle name="Normal 19 4 4" xfId="22025" xr:uid="{00000000-0005-0000-0000-000056550000}"/>
    <cellStyle name="Normal 19 4 5" xfId="22026" xr:uid="{00000000-0005-0000-0000-000057550000}"/>
    <cellStyle name="Normal 19 4 6" xfId="22027" xr:uid="{00000000-0005-0000-0000-000058550000}"/>
    <cellStyle name="Normal 19 4 7" xfId="22028" xr:uid="{00000000-0005-0000-0000-000059550000}"/>
    <cellStyle name="Normal 19 4 8" xfId="22029" xr:uid="{00000000-0005-0000-0000-00005A550000}"/>
    <cellStyle name="Normal 19 5" xfId="22030" xr:uid="{00000000-0005-0000-0000-00005B550000}"/>
    <cellStyle name="Normal 19 5 2" xfId="22031" xr:uid="{00000000-0005-0000-0000-00005C550000}"/>
    <cellStyle name="Normal 19 6" xfId="22032" xr:uid="{00000000-0005-0000-0000-00005D550000}"/>
    <cellStyle name="Normal 19 6 2" xfId="22033" xr:uid="{00000000-0005-0000-0000-00005E550000}"/>
    <cellStyle name="Normal 19 6 2 2" xfId="22034" xr:uid="{00000000-0005-0000-0000-00005F550000}"/>
    <cellStyle name="Normal 19 6 3" xfId="22035" xr:uid="{00000000-0005-0000-0000-000060550000}"/>
    <cellStyle name="Normal 19 6 3 2" xfId="22036" xr:uid="{00000000-0005-0000-0000-000061550000}"/>
    <cellStyle name="Normal 19 6 4" xfId="22037" xr:uid="{00000000-0005-0000-0000-000062550000}"/>
    <cellStyle name="Normal 19 7" xfId="22038" xr:uid="{00000000-0005-0000-0000-000063550000}"/>
    <cellStyle name="Normal 19 8" xfId="22039" xr:uid="{00000000-0005-0000-0000-000064550000}"/>
    <cellStyle name="Normal 19 8 2" xfId="22040" xr:uid="{00000000-0005-0000-0000-000065550000}"/>
    <cellStyle name="Normal 19 9" xfId="22041" xr:uid="{00000000-0005-0000-0000-000066550000}"/>
    <cellStyle name="Normal 19_2015 Annual Rpt" xfId="22042" xr:uid="{00000000-0005-0000-0000-000067550000}"/>
    <cellStyle name="Normal 190" xfId="22043" xr:uid="{00000000-0005-0000-0000-000068550000}"/>
    <cellStyle name="Normal 190 2" xfId="22044" xr:uid="{00000000-0005-0000-0000-000069550000}"/>
    <cellStyle name="Normal 190 2 2" xfId="22045" xr:uid="{00000000-0005-0000-0000-00006A550000}"/>
    <cellStyle name="Normal 190 2 3" xfId="22046" xr:uid="{00000000-0005-0000-0000-00006B550000}"/>
    <cellStyle name="Normal 190 3" xfId="22047" xr:uid="{00000000-0005-0000-0000-00006C550000}"/>
    <cellStyle name="Normal 190 4" xfId="22048" xr:uid="{00000000-0005-0000-0000-00006D550000}"/>
    <cellStyle name="Normal 191" xfId="22049" xr:uid="{00000000-0005-0000-0000-00006E550000}"/>
    <cellStyle name="Normal 191 2" xfId="22050" xr:uid="{00000000-0005-0000-0000-00006F550000}"/>
    <cellStyle name="Normal 191 2 2" xfId="22051" xr:uid="{00000000-0005-0000-0000-000070550000}"/>
    <cellStyle name="Normal 191 2 3" xfId="22052" xr:uid="{00000000-0005-0000-0000-000071550000}"/>
    <cellStyle name="Normal 191 3" xfId="22053" xr:uid="{00000000-0005-0000-0000-000072550000}"/>
    <cellStyle name="Normal 191 4" xfId="22054" xr:uid="{00000000-0005-0000-0000-000073550000}"/>
    <cellStyle name="Normal 192" xfId="22055" xr:uid="{00000000-0005-0000-0000-000074550000}"/>
    <cellStyle name="Normal 192 2" xfId="22056" xr:uid="{00000000-0005-0000-0000-000075550000}"/>
    <cellStyle name="Normal 192 2 2" xfId="22057" xr:uid="{00000000-0005-0000-0000-000076550000}"/>
    <cellStyle name="Normal 192 2 3" xfId="22058" xr:uid="{00000000-0005-0000-0000-000077550000}"/>
    <cellStyle name="Normal 192 3" xfId="22059" xr:uid="{00000000-0005-0000-0000-000078550000}"/>
    <cellStyle name="Normal 192 4" xfId="22060" xr:uid="{00000000-0005-0000-0000-000079550000}"/>
    <cellStyle name="Normal 193" xfId="22061" xr:uid="{00000000-0005-0000-0000-00007A550000}"/>
    <cellStyle name="Normal 193 2" xfId="22062" xr:uid="{00000000-0005-0000-0000-00007B550000}"/>
    <cellStyle name="Normal 193 2 2" xfId="22063" xr:uid="{00000000-0005-0000-0000-00007C550000}"/>
    <cellStyle name="Normal 193 2 3" xfId="22064" xr:uid="{00000000-0005-0000-0000-00007D550000}"/>
    <cellStyle name="Normal 193 3" xfId="22065" xr:uid="{00000000-0005-0000-0000-00007E550000}"/>
    <cellStyle name="Normal 193 4" xfId="22066" xr:uid="{00000000-0005-0000-0000-00007F550000}"/>
    <cellStyle name="Normal 194" xfId="22067" xr:uid="{00000000-0005-0000-0000-000080550000}"/>
    <cellStyle name="Normal 194 2" xfId="22068" xr:uid="{00000000-0005-0000-0000-000081550000}"/>
    <cellStyle name="Normal 194 2 2" xfId="22069" xr:uid="{00000000-0005-0000-0000-000082550000}"/>
    <cellStyle name="Normal 194 2 3" xfId="22070" xr:uid="{00000000-0005-0000-0000-000083550000}"/>
    <cellStyle name="Normal 194 3" xfId="22071" xr:uid="{00000000-0005-0000-0000-000084550000}"/>
    <cellStyle name="Normal 194 4" xfId="22072" xr:uid="{00000000-0005-0000-0000-000085550000}"/>
    <cellStyle name="Normal 195" xfId="22073" xr:uid="{00000000-0005-0000-0000-000086550000}"/>
    <cellStyle name="Normal 195 2" xfId="22074" xr:uid="{00000000-0005-0000-0000-000087550000}"/>
    <cellStyle name="Normal 195 2 2" xfId="22075" xr:uid="{00000000-0005-0000-0000-000088550000}"/>
    <cellStyle name="Normal 195 2 3" xfId="22076" xr:uid="{00000000-0005-0000-0000-000089550000}"/>
    <cellStyle name="Normal 195 3" xfId="22077" xr:uid="{00000000-0005-0000-0000-00008A550000}"/>
    <cellStyle name="Normal 195 4" xfId="22078" xr:uid="{00000000-0005-0000-0000-00008B550000}"/>
    <cellStyle name="Normal 196" xfId="22079" xr:uid="{00000000-0005-0000-0000-00008C550000}"/>
    <cellStyle name="Normal 196 2" xfId="22080" xr:uid="{00000000-0005-0000-0000-00008D550000}"/>
    <cellStyle name="Normal 196 2 2" xfId="22081" xr:uid="{00000000-0005-0000-0000-00008E550000}"/>
    <cellStyle name="Normal 196 2 3" xfId="22082" xr:uid="{00000000-0005-0000-0000-00008F550000}"/>
    <cellStyle name="Normal 196 3" xfId="22083" xr:uid="{00000000-0005-0000-0000-000090550000}"/>
    <cellStyle name="Normal 196 4" xfId="22084" xr:uid="{00000000-0005-0000-0000-000091550000}"/>
    <cellStyle name="Normal 197" xfId="22085" xr:uid="{00000000-0005-0000-0000-000092550000}"/>
    <cellStyle name="Normal 197 2" xfId="22086" xr:uid="{00000000-0005-0000-0000-000093550000}"/>
    <cellStyle name="Normal 197 2 2" xfId="22087" xr:uid="{00000000-0005-0000-0000-000094550000}"/>
    <cellStyle name="Normal 197 2 3" xfId="22088" xr:uid="{00000000-0005-0000-0000-000095550000}"/>
    <cellStyle name="Normal 197 3" xfId="22089" xr:uid="{00000000-0005-0000-0000-000096550000}"/>
    <cellStyle name="Normal 197 4" xfId="22090" xr:uid="{00000000-0005-0000-0000-000097550000}"/>
    <cellStyle name="Normal 198" xfId="22091" xr:uid="{00000000-0005-0000-0000-000098550000}"/>
    <cellStyle name="Normal 198 2" xfId="22092" xr:uid="{00000000-0005-0000-0000-000099550000}"/>
    <cellStyle name="Normal 198 2 2" xfId="22093" xr:uid="{00000000-0005-0000-0000-00009A550000}"/>
    <cellStyle name="Normal 198 2 3" xfId="22094" xr:uid="{00000000-0005-0000-0000-00009B550000}"/>
    <cellStyle name="Normal 198 3" xfId="22095" xr:uid="{00000000-0005-0000-0000-00009C550000}"/>
    <cellStyle name="Normal 198 4" xfId="22096" xr:uid="{00000000-0005-0000-0000-00009D550000}"/>
    <cellStyle name="Normal 199" xfId="22097" xr:uid="{00000000-0005-0000-0000-00009E550000}"/>
    <cellStyle name="Normal 199 2" xfId="22098" xr:uid="{00000000-0005-0000-0000-00009F550000}"/>
    <cellStyle name="Normal 199 2 2" xfId="22099" xr:uid="{00000000-0005-0000-0000-0000A0550000}"/>
    <cellStyle name="Normal 199 2 3" xfId="22100" xr:uid="{00000000-0005-0000-0000-0000A1550000}"/>
    <cellStyle name="Normal 199 3" xfId="22101" xr:uid="{00000000-0005-0000-0000-0000A2550000}"/>
    <cellStyle name="Normal 199 4" xfId="22102" xr:uid="{00000000-0005-0000-0000-0000A3550000}"/>
    <cellStyle name="Normal 2" xfId="110" xr:uid="{00000000-0005-0000-0000-0000A4550000}"/>
    <cellStyle name="Normal 2 10" xfId="269" xr:uid="{00000000-0005-0000-0000-0000A5550000}"/>
    <cellStyle name="Normal 2 10 10" xfId="22103" xr:uid="{00000000-0005-0000-0000-0000A6550000}"/>
    <cellStyle name="Normal 2 10 10 2" xfId="22104" xr:uid="{00000000-0005-0000-0000-0000A7550000}"/>
    <cellStyle name="Normal 2 10 10 2 2" xfId="22105" xr:uid="{00000000-0005-0000-0000-0000A8550000}"/>
    <cellStyle name="Normal 2 10 10 2 2 2" xfId="22106" xr:uid="{00000000-0005-0000-0000-0000A9550000}"/>
    <cellStyle name="Normal 2 10 10 2 2 3" xfId="22107" xr:uid="{00000000-0005-0000-0000-0000AA550000}"/>
    <cellStyle name="Normal 2 10 10 2 3" xfId="22108" xr:uid="{00000000-0005-0000-0000-0000AB550000}"/>
    <cellStyle name="Normal 2 10 10 2 4" xfId="22109" xr:uid="{00000000-0005-0000-0000-0000AC550000}"/>
    <cellStyle name="Normal 2 10 10 3" xfId="22110" xr:uid="{00000000-0005-0000-0000-0000AD550000}"/>
    <cellStyle name="Normal 2 10 10 3 2" xfId="22111" xr:uid="{00000000-0005-0000-0000-0000AE550000}"/>
    <cellStyle name="Normal 2 10 10 3 3" xfId="22112" xr:uid="{00000000-0005-0000-0000-0000AF550000}"/>
    <cellStyle name="Normal 2 10 10 4" xfId="22113" xr:uid="{00000000-0005-0000-0000-0000B0550000}"/>
    <cellStyle name="Normal 2 10 11" xfId="22114" xr:uid="{00000000-0005-0000-0000-0000B1550000}"/>
    <cellStyle name="Normal 2 10 11 2" xfId="22115" xr:uid="{00000000-0005-0000-0000-0000B2550000}"/>
    <cellStyle name="Normal 2 10 11 2 2" xfId="22116" xr:uid="{00000000-0005-0000-0000-0000B3550000}"/>
    <cellStyle name="Normal 2 10 11 2 2 2" xfId="22117" xr:uid="{00000000-0005-0000-0000-0000B4550000}"/>
    <cellStyle name="Normal 2 10 11 2 2 3" xfId="22118" xr:uid="{00000000-0005-0000-0000-0000B5550000}"/>
    <cellStyle name="Normal 2 10 11 2 3" xfId="22119" xr:uid="{00000000-0005-0000-0000-0000B6550000}"/>
    <cellStyle name="Normal 2 10 11 2 4" xfId="22120" xr:uid="{00000000-0005-0000-0000-0000B7550000}"/>
    <cellStyle name="Normal 2 10 11 3" xfId="22121" xr:uid="{00000000-0005-0000-0000-0000B8550000}"/>
    <cellStyle name="Normal 2 10 11 3 2" xfId="22122" xr:uid="{00000000-0005-0000-0000-0000B9550000}"/>
    <cellStyle name="Normal 2 10 11 3 3" xfId="22123" xr:uid="{00000000-0005-0000-0000-0000BA550000}"/>
    <cellStyle name="Normal 2 10 11 4" xfId="22124" xr:uid="{00000000-0005-0000-0000-0000BB550000}"/>
    <cellStyle name="Normal 2 10 12" xfId="22125" xr:uid="{00000000-0005-0000-0000-0000BC550000}"/>
    <cellStyle name="Normal 2 10 12 2" xfId="22126" xr:uid="{00000000-0005-0000-0000-0000BD550000}"/>
    <cellStyle name="Normal 2 10 12 2 2" xfId="22127" xr:uid="{00000000-0005-0000-0000-0000BE550000}"/>
    <cellStyle name="Normal 2 10 12 2 2 2" xfId="22128" xr:uid="{00000000-0005-0000-0000-0000BF550000}"/>
    <cellStyle name="Normal 2 10 12 2 2 3" xfId="22129" xr:uid="{00000000-0005-0000-0000-0000C0550000}"/>
    <cellStyle name="Normal 2 10 12 2 3" xfId="22130" xr:uid="{00000000-0005-0000-0000-0000C1550000}"/>
    <cellStyle name="Normal 2 10 12 2 4" xfId="22131" xr:uid="{00000000-0005-0000-0000-0000C2550000}"/>
    <cellStyle name="Normal 2 10 12 3" xfId="22132" xr:uid="{00000000-0005-0000-0000-0000C3550000}"/>
    <cellStyle name="Normal 2 10 12 3 2" xfId="22133" xr:uid="{00000000-0005-0000-0000-0000C4550000}"/>
    <cellStyle name="Normal 2 10 12 3 3" xfId="22134" xr:uid="{00000000-0005-0000-0000-0000C5550000}"/>
    <cellStyle name="Normal 2 10 12 4" xfId="22135" xr:uid="{00000000-0005-0000-0000-0000C6550000}"/>
    <cellStyle name="Normal 2 10 13" xfId="22136" xr:uid="{00000000-0005-0000-0000-0000C7550000}"/>
    <cellStyle name="Normal 2 10 13 2" xfId="22137" xr:uid="{00000000-0005-0000-0000-0000C8550000}"/>
    <cellStyle name="Normal 2 10 13 2 2" xfId="22138" xr:uid="{00000000-0005-0000-0000-0000C9550000}"/>
    <cellStyle name="Normal 2 10 13 2 2 2" xfId="22139" xr:uid="{00000000-0005-0000-0000-0000CA550000}"/>
    <cellStyle name="Normal 2 10 13 2 2 3" xfId="22140" xr:uid="{00000000-0005-0000-0000-0000CB550000}"/>
    <cellStyle name="Normal 2 10 13 2 3" xfId="22141" xr:uid="{00000000-0005-0000-0000-0000CC550000}"/>
    <cellStyle name="Normal 2 10 13 2 4" xfId="22142" xr:uid="{00000000-0005-0000-0000-0000CD550000}"/>
    <cellStyle name="Normal 2 10 13 3" xfId="22143" xr:uid="{00000000-0005-0000-0000-0000CE550000}"/>
    <cellStyle name="Normal 2 10 13 3 2" xfId="22144" xr:uid="{00000000-0005-0000-0000-0000CF550000}"/>
    <cellStyle name="Normal 2 10 13 3 3" xfId="22145" xr:uid="{00000000-0005-0000-0000-0000D0550000}"/>
    <cellStyle name="Normal 2 10 13 4" xfId="22146" xr:uid="{00000000-0005-0000-0000-0000D1550000}"/>
    <cellStyle name="Normal 2 10 14" xfId="22147" xr:uid="{00000000-0005-0000-0000-0000D2550000}"/>
    <cellStyle name="Normal 2 10 14 2" xfId="22148" xr:uid="{00000000-0005-0000-0000-0000D3550000}"/>
    <cellStyle name="Normal 2 10 14 2 2" xfId="22149" xr:uid="{00000000-0005-0000-0000-0000D4550000}"/>
    <cellStyle name="Normal 2 10 14 2 2 2" xfId="22150" xr:uid="{00000000-0005-0000-0000-0000D5550000}"/>
    <cellStyle name="Normal 2 10 14 2 2 3" xfId="22151" xr:uid="{00000000-0005-0000-0000-0000D6550000}"/>
    <cellStyle name="Normal 2 10 14 2 3" xfId="22152" xr:uid="{00000000-0005-0000-0000-0000D7550000}"/>
    <cellStyle name="Normal 2 10 14 2 4" xfId="22153" xr:uid="{00000000-0005-0000-0000-0000D8550000}"/>
    <cellStyle name="Normal 2 10 14 3" xfId="22154" xr:uid="{00000000-0005-0000-0000-0000D9550000}"/>
    <cellStyle name="Normal 2 10 14 3 2" xfId="22155" xr:uid="{00000000-0005-0000-0000-0000DA550000}"/>
    <cellStyle name="Normal 2 10 14 3 3" xfId="22156" xr:uid="{00000000-0005-0000-0000-0000DB550000}"/>
    <cellStyle name="Normal 2 10 14 4" xfId="22157" xr:uid="{00000000-0005-0000-0000-0000DC550000}"/>
    <cellStyle name="Normal 2 10 15" xfId="22158" xr:uid="{00000000-0005-0000-0000-0000DD550000}"/>
    <cellStyle name="Normal 2 10 15 2" xfId="22159" xr:uid="{00000000-0005-0000-0000-0000DE550000}"/>
    <cellStyle name="Normal 2 10 15 2 2" xfId="22160" xr:uid="{00000000-0005-0000-0000-0000DF550000}"/>
    <cellStyle name="Normal 2 10 15 2 2 2" xfId="22161" xr:uid="{00000000-0005-0000-0000-0000E0550000}"/>
    <cellStyle name="Normal 2 10 15 2 2 3" xfId="22162" xr:uid="{00000000-0005-0000-0000-0000E1550000}"/>
    <cellStyle name="Normal 2 10 15 2 3" xfId="22163" xr:uid="{00000000-0005-0000-0000-0000E2550000}"/>
    <cellStyle name="Normal 2 10 15 2 4" xfId="22164" xr:uid="{00000000-0005-0000-0000-0000E3550000}"/>
    <cellStyle name="Normal 2 10 15 3" xfId="22165" xr:uid="{00000000-0005-0000-0000-0000E4550000}"/>
    <cellStyle name="Normal 2 10 15 3 2" xfId="22166" xr:uid="{00000000-0005-0000-0000-0000E5550000}"/>
    <cellStyle name="Normal 2 10 15 3 3" xfId="22167" xr:uid="{00000000-0005-0000-0000-0000E6550000}"/>
    <cellStyle name="Normal 2 10 15 4" xfId="22168" xr:uid="{00000000-0005-0000-0000-0000E7550000}"/>
    <cellStyle name="Normal 2 10 16" xfId="22169" xr:uid="{00000000-0005-0000-0000-0000E8550000}"/>
    <cellStyle name="Normal 2 10 16 2" xfId="22170" xr:uid="{00000000-0005-0000-0000-0000E9550000}"/>
    <cellStyle name="Normal 2 10 16 2 2" xfId="22171" xr:uid="{00000000-0005-0000-0000-0000EA550000}"/>
    <cellStyle name="Normal 2 10 16 2 2 2" xfId="22172" xr:uid="{00000000-0005-0000-0000-0000EB550000}"/>
    <cellStyle name="Normal 2 10 16 2 2 3" xfId="22173" xr:uid="{00000000-0005-0000-0000-0000EC550000}"/>
    <cellStyle name="Normal 2 10 16 2 3" xfId="22174" xr:uid="{00000000-0005-0000-0000-0000ED550000}"/>
    <cellStyle name="Normal 2 10 16 2 4" xfId="22175" xr:uid="{00000000-0005-0000-0000-0000EE550000}"/>
    <cellStyle name="Normal 2 10 16 3" xfId="22176" xr:uid="{00000000-0005-0000-0000-0000EF550000}"/>
    <cellStyle name="Normal 2 10 16 3 2" xfId="22177" xr:uid="{00000000-0005-0000-0000-0000F0550000}"/>
    <cellStyle name="Normal 2 10 16 3 3" xfId="22178" xr:uid="{00000000-0005-0000-0000-0000F1550000}"/>
    <cellStyle name="Normal 2 10 16 4" xfId="22179" xr:uid="{00000000-0005-0000-0000-0000F2550000}"/>
    <cellStyle name="Normal 2 10 17" xfId="22180" xr:uid="{00000000-0005-0000-0000-0000F3550000}"/>
    <cellStyle name="Normal 2 10 17 2" xfId="22181" xr:uid="{00000000-0005-0000-0000-0000F4550000}"/>
    <cellStyle name="Normal 2 10 17 2 2" xfId="22182" xr:uid="{00000000-0005-0000-0000-0000F5550000}"/>
    <cellStyle name="Normal 2 10 17 2 2 2" xfId="22183" xr:uid="{00000000-0005-0000-0000-0000F6550000}"/>
    <cellStyle name="Normal 2 10 17 2 2 3" xfId="22184" xr:uid="{00000000-0005-0000-0000-0000F7550000}"/>
    <cellStyle name="Normal 2 10 17 2 3" xfId="22185" xr:uid="{00000000-0005-0000-0000-0000F8550000}"/>
    <cellStyle name="Normal 2 10 17 2 4" xfId="22186" xr:uid="{00000000-0005-0000-0000-0000F9550000}"/>
    <cellStyle name="Normal 2 10 17 3" xfId="22187" xr:uid="{00000000-0005-0000-0000-0000FA550000}"/>
    <cellStyle name="Normal 2 10 17 3 2" xfId="22188" xr:uid="{00000000-0005-0000-0000-0000FB550000}"/>
    <cellStyle name="Normal 2 10 17 3 3" xfId="22189" xr:uid="{00000000-0005-0000-0000-0000FC550000}"/>
    <cellStyle name="Normal 2 10 17 4" xfId="22190" xr:uid="{00000000-0005-0000-0000-0000FD550000}"/>
    <cellStyle name="Normal 2 10 18" xfId="22191" xr:uid="{00000000-0005-0000-0000-0000FE550000}"/>
    <cellStyle name="Normal 2 10 18 2" xfId="22192" xr:uid="{00000000-0005-0000-0000-0000FF550000}"/>
    <cellStyle name="Normal 2 10 18 2 2" xfId="22193" xr:uid="{00000000-0005-0000-0000-000000560000}"/>
    <cellStyle name="Normal 2 10 18 2 2 2" xfId="22194" xr:uid="{00000000-0005-0000-0000-000001560000}"/>
    <cellStyle name="Normal 2 10 18 2 2 3" xfId="22195" xr:uid="{00000000-0005-0000-0000-000002560000}"/>
    <cellStyle name="Normal 2 10 18 2 3" xfId="22196" xr:uid="{00000000-0005-0000-0000-000003560000}"/>
    <cellStyle name="Normal 2 10 18 2 4" xfId="22197" xr:uid="{00000000-0005-0000-0000-000004560000}"/>
    <cellStyle name="Normal 2 10 18 3" xfId="22198" xr:uid="{00000000-0005-0000-0000-000005560000}"/>
    <cellStyle name="Normal 2 10 18 3 2" xfId="22199" xr:uid="{00000000-0005-0000-0000-000006560000}"/>
    <cellStyle name="Normal 2 10 18 3 3" xfId="22200" xr:uid="{00000000-0005-0000-0000-000007560000}"/>
    <cellStyle name="Normal 2 10 18 4" xfId="22201" xr:uid="{00000000-0005-0000-0000-000008560000}"/>
    <cellStyle name="Normal 2 10 19" xfId="22202" xr:uid="{00000000-0005-0000-0000-000009560000}"/>
    <cellStyle name="Normal 2 10 19 2" xfId="22203" xr:uid="{00000000-0005-0000-0000-00000A560000}"/>
    <cellStyle name="Normal 2 10 19 2 2" xfId="22204" xr:uid="{00000000-0005-0000-0000-00000B560000}"/>
    <cellStyle name="Normal 2 10 19 2 2 2" xfId="22205" xr:uid="{00000000-0005-0000-0000-00000C560000}"/>
    <cellStyle name="Normal 2 10 19 2 2 3" xfId="22206" xr:uid="{00000000-0005-0000-0000-00000D560000}"/>
    <cellStyle name="Normal 2 10 19 2 3" xfId="22207" xr:uid="{00000000-0005-0000-0000-00000E560000}"/>
    <cellStyle name="Normal 2 10 19 2 4" xfId="22208" xr:uid="{00000000-0005-0000-0000-00000F560000}"/>
    <cellStyle name="Normal 2 10 19 3" xfId="22209" xr:uid="{00000000-0005-0000-0000-000010560000}"/>
    <cellStyle name="Normal 2 10 19 3 2" xfId="22210" xr:uid="{00000000-0005-0000-0000-000011560000}"/>
    <cellStyle name="Normal 2 10 19 3 3" xfId="22211" xr:uid="{00000000-0005-0000-0000-000012560000}"/>
    <cellStyle name="Normal 2 10 19 4" xfId="22212" xr:uid="{00000000-0005-0000-0000-000013560000}"/>
    <cellStyle name="Normal 2 10 2" xfId="22213" xr:uid="{00000000-0005-0000-0000-000014560000}"/>
    <cellStyle name="Normal 2 10 2 2" xfId="22214" xr:uid="{00000000-0005-0000-0000-000015560000}"/>
    <cellStyle name="Normal 2 10 2 2 2" xfId="22215" xr:uid="{00000000-0005-0000-0000-000016560000}"/>
    <cellStyle name="Normal 2 10 2 2 2 2" xfId="22216" xr:uid="{00000000-0005-0000-0000-000017560000}"/>
    <cellStyle name="Normal 2 10 2 2 2 3" xfId="22217" xr:uid="{00000000-0005-0000-0000-000018560000}"/>
    <cellStyle name="Normal 2 10 2 2 3" xfId="22218" xr:uid="{00000000-0005-0000-0000-000019560000}"/>
    <cellStyle name="Normal 2 10 2 2 4" xfId="22219" xr:uid="{00000000-0005-0000-0000-00001A560000}"/>
    <cellStyle name="Normal 2 10 2 3" xfId="22220" xr:uid="{00000000-0005-0000-0000-00001B560000}"/>
    <cellStyle name="Normal 2 10 2 3 2" xfId="22221" xr:uid="{00000000-0005-0000-0000-00001C560000}"/>
    <cellStyle name="Normal 2 10 2 3 3" xfId="22222" xr:uid="{00000000-0005-0000-0000-00001D560000}"/>
    <cellStyle name="Normal 2 10 2 4" xfId="22223" xr:uid="{00000000-0005-0000-0000-00001E560000}"/>
    <cellStyle name="Normal 2 10 2 5" xfId="22224" xr:uid="{00000000-0005-0000-0000-00001F560000}"/>
    <cellStyle name="Normal 2 10 20" xfId="22225" xr:uid="{00000000-0005-0000-0000-000020560000}"/>
    <cellStyle name="Normal 2 10 20 2" xfId="22226" xr:uid="{00000000-0005-0000-0000-000021560000}"/>
    <cellStyle name="Normal 2 10 20 2 2" xfId="22227" xr:uid="{00000000-0005-0000-0000-000022560000}"/>
    <cellStyle name="Normal 2 10 20 2 2 2" xfId="22228" xr:uid="{00000000-0005-0000-0000-000023560000}"/>
    <cellStyle name="Normal 2 10 20 2 2 3" xfId="22229" xr:uid="{00000000-0005-0000-0000-000024560000}"/>
    <cellStyle name="Normal 2 10 20 2 3" xfId="22230" xr:uid="{00000000-0005-0000-0000-000025560000}"/>
    <cellStyle name="Normal 2 10 20 2 4" xfId="22231" xr:uid="{00000000-0005-0000-0000-000026560000}"/>
    <cellStyle name="Normal 2 10 20 3" xfId="22232" xr:uid="{00000000-0005-0000-0000-000027560000}"/>
    <cellStyle name="Normal 2 10 20 3 2" xfId="22233" xr:uid="{00000000-0005-0000-0000-000028560000}"/>
    <cellStyle name="Normal 2 10 20 3 3" xfId="22234" xr:uid="{00000000-0005-0000-0000-000029560000}"/>
    <cellStyle name="Normal 2 10 20 4" xfId="22235" xr:uid="{00000000-0005-0000-0000-00002A560000}"/>
    <cellStyle name="Normal 2 10 21" xfId="22236" xr:uid="{00000000-0005-0000-0000-00002B560000}"/>
    <cellStyle name="Normal 2 10 21 2" xfId="22237" xr:uid="{00000000-0005-0000-0000-00002C560000}"/>
    <cellStyle name="Normal 2 10 21 2 2" xfId="22238" xr:uid="{00000000-0005-0000-0000-00002D560000}"/>
    <cellStyle name="Normal 2 10 21 2 2 2" xfId="22239" xr:uid="{00000000-0005-0000-0000-00002E560000}"/>
    <cellStyle name="Normal 2 10 21 2 2 3" xfId="22240" xr:uid="{00000000-0005-0000-0000-00002F560000}"/>
    <cellStyle name="Normal 2 10 21 2 3" xfId="22241" xr:uid="{00000000-0005-0000-0000-000030560000}"/>
    <cellStyle name="Normal 2 10 21 2 4" xfId="22242" xr:uid="{00000000-0005-0000-0000-000031560000}"/>
    <cellStyle name="Normal 2 10 21 3" xfId="22243" xr:uid="{00000000-0005-0000-0000-000032560000}"/>
    <cellStyle name="Normal 2 10 21 3 2" xfId="22244" xr:uid="{00000000-0005-0000-0000-000033560000}"/>
    <cellStyle name="Normal 2 10 21 3 3" xfId="22245" xr:uid="{00000000-0005-0000-0000-000034560000}"/>
    <cellStyle name="Normal 2 10 21 4" xfId="22246" xr:uid="{00000000-0005-0000-0000-000035560000}"/>
    <cellStyle name="Normal 2 10 22" xfId="22247" xr:uid="{00000000-0005-0000-0000-000036560000}"/>
    <cellStyle name="Normal 2 10 22 2" xfId="22248" xr:uid="{00000000-0005-0000-0000-000037560000}"/>
    <cellStyle name="Normal 2 10 22 2 2" xfId="22249" xr:uid="{00000000-0005-0000-0000-000038560000}"/>
    <cellStyle name="Normal 2 10 22 2 2 2" xfId="22250" xr:uid="{00000000-0005-0000-0000-000039560000}"/>
    <cellStyle name="Normal 2 10 22 2 2 3" xfId="22251" xr:uid="{00000000-0005-0000-0000-00003A560000}"/>
    <cellStyle name="Normal 2 10 22 2 3" xfId="22252" xr:uid="{00000000-0005-0000-0000-00003B560000}"/>
    <cellStyle name="Normal 2 10 22 2 4" xfId="22253" xr:uid="{00000000-0005-0000-0000-00003C560000}"/>
    <cellStyle name="Normal 2 10 22 3" xfId="22254" xr:uid="{00000000-0005-0000-0000-00003D560000}"/>
    <cellStyle name="Normal 2 10 22 3 2" xfId="22255" xr:uid="{00000000-0005-0000-0000-00003E560000}"/>
    <cellStyle name="Normal 2 10 22 3 3" xfId="22256" xr:uid="{00000000-0005-0000-0000-00003F560000}"/>
    <cellStyle name="Normal 2 10 22 4" xfId="22257" xr:uid="{00000000-0005-0000-0000-000040560000}"/>
    <cellStyle name="Normal 2 10 23" xfId="22258" xr:uid="{00000000-0005-0000-0000-000041560000}"/>
    <cellStyle name="Normal 2 10 23 2" xfId="22259" xr:uid="{00000000-0005-0000-0000-000042560000}"/>
    <cellStyle name="Normal 2 10 23 2 2" xfId="22260" xr:uid="{00000000-0005-0000-0000-000043560000}"/>
    <cellStyle name="Normal 2 10 23 2 2 2" xfId="22261" xr:uid="{00000000-0005-0000-0000-000044560000}"/>
    <cellStyle name="Normal 2 10 23 2 2 3" xfId="22262" xr:uid="{00000000-0005-0000-0000-000045560000}"/>
    <cellStyle name="Normal 2 10 23 2 3" xfId="22263" xr:uid="{00000000-0005-0000-0000-000046560000}"/>
    <cellStyle name="Normal 2 10 23 2 4" xfId="22264" xr:uid="{00000000-0005-0000-0000-000047560000}"/>
    <cellStyle name="Normal 2 10 23 3" xfId="22265" xr:uid="{00000000-0005-0000-0000-000048560000}"/>
    <cellStyle name="Normal 2 10 23 3 2" xfId="22266" xr:uid="{00000000-0005-0000-0000-000049560000}"/>
    <cellStyle name="Normal 2 10 23 3 3" xfId="22267" xr:uid="{00000000-0005-0000-0000-00004A560000}"/>
    <cellStyle name="Normal 2 10 23 4" xfId="22268" xr:uid="{00000000-0005-0000-0000-00004B560000}"/>
    <cellStyle name="Normal 2 10 24" xfId="22269" xr:uid="{00000000-0005-0000-0000-00004C560000}"/>
    <cellStyle name="Normal 2 10 24 2" xfId="22270" xr:uid="{00000000-0005-0000-0000-00004D560000}"/>
    <cellStyle name="Normal 2 10 24 2 2" xfId="22271" xr:uid="{00000000-0005-0000-0000-00004E560000}"/>
    <cellStyle name="Normal 2 10 24 2 3" xfId="22272" xr:uid="{00000000-0005-0000-0000-00004F560000}"/>
    <cellStyle name="Normal 2 10 24 3" xfId="22273" xr:uid="{00000000-0005-0000-0000-000050560000}"/>
    <cellStyle name="Normal 2 10 24 4" xfId="22274" xr:uid="{00000000-0005-0000-0000-000051560000}"/>
    <cellStyle name="Normal 2 10 25" xfId="22275" xr:uid="{00000000-0005-0000-0000-000052560000}"/>
    <cellStyle name="Normal 2 10 25 2" xfId="22276" xr:uid="{00000000-0005-0000-0000-000053560000}"/>
    <cellStyle name="Normal 2 10 25 3" xfId="22277" xr:uid="{00000000-0005-0000-0000-000054560000}"/>
    <cellStyle name="Normal 2 10 26" xfId="22278" xr:uid="{00000000-0005-0000-0000-000055560000}"/>
    <cellStyle name="Normal 2 10 27" xfId="22279" xr:uid="{00000000-0005-0000-0000-000056560000}"/>
    <cellStyle name="Normal 2 10 3" xfId="22280" xr:uid="{00000000-0005-0000-0000-000057560000}"/>
    <cellStyle name="Normal 2 10 3 2" xfId="22281" xr:uid="{00000000-0005-0000-0000-000058560000}"/>
    <cellStyle name="Normal 2 10 3 2 2" xfId="22282" xr:uid="{00000000-0005-0000-0000-000059560000}"/>
    <cellStyle name="Normal 2 10 3 2 2 2" xfId="22283" xr:uid="{00000000-0005-0000-0000-00005A560000}"/>
    <cellStyle name="Normal 2 10 3 2 2 3" xfId="22284" xr:uid="{00000000-0005-0000-0000-00005B560000}"/>
    <cellStyle name="Normal 2 10 3 2 3" xfId="22285" xr:uid="{00000000-0005-0000-0000-00005C560000}"/>
    <cellStyle name="Normal 2 10 3 2 4" xfId="22286" xr:uid="{00000000-0005-0000-0000-00005D560000}"/>
    <cellStyle name="Normal 2 10 3 3" xfId="22287" xr:uid="{00000000-0005-0000-0000-00005E560000}"/>
    <cellStyle name="Normal 2 10 3 3 2" xfId="22288" xr:uid="{00000000-0005-0000-0000-00005F560000}"/>
    <cellStyle name="Normal 2 10 3 3 3" xfId="22289" xr:uid="{00000000-0005-0000-0000-000060560000}"/>
    <cellStyle name="Normal 2 10 3 4" xfId="22290" xr:uid="{00000000-0005-0000-0000-000061560000}"/>
    <cellStyle name="Normal 2 10 3 5" xfId="22291" xr:uid="{00000000-0005-0000-0000-000062560000}"/>
    <cellStyle name="Normal 2 10 4" xfId="22292" xr:uid="{00000000-0005-0000-0000-000063560000}"/>
    <cellStyle name="Normal 2 10 4 2" xfId="22293" xr:uid="{00000000-0005-0000-0000-000064560000}"/>
    <cellStyle name="Normal 2 10 4 2 2" xfId="22294" xr:uid="{00000000-0005-0000-0000-000065560000}"/>
    <cellStyle name="Normal 2 10 4 2 2 2" xfId="22295" xr:uid="{00000000-0005-0000-0000-000066560000}"/>
    <cellStyle name="Normal 2 10 4 2 2 3" xfId="22296" xr:uid="{00000000-0005-0000-0000-000067560000}"/>
    <cellStyle name="Normal 2 10 4 2 3" xfId="22297" xr:uid="{00000000-0005-0000-0000-000068560000}"/>
    <cellStyle name="Normal 2 10 4 2 4" xfId="22298" xr:uid="{00000000-0005-0000-0000-000069560000}"/>
    <cellStyle name="Normal 2 10 4 3" xfId="22299" xr:uid="{00000000-0005-0000-0000-00006A560000}"/>
    <cellStyle name="Normal 2 10 4 3 2" xfId="22300" xr:uid="{00000000-0005-0000-0000-00006B560000}"/>
    <cellStyle name="Normal 2 10 4 3 3" xfId="22301" xr:uid="{00000000-0005-0000-0000-00006C560000}"/>
    <cellStyle name="Normal 2 10 4 4" xfId="22302" xr:uid="{00000000-0005-0000-0000-00006D560000}"/>
    <cellStyle name="Normal 2 10 5" xfId="22303" xr:uid="{00000000-0005-0000-0000-00006E560000}"/>
    <cellStyle name="Normal 2 10 5 2" xfId="22304" xr:uid="{00000000-0005-0000-0000-00006F560000}"/>
    <cellStyle name="Normal 2 10 5 2 2" xfId="22305" xr:uid="{00000000-0005-0000-0000-000070560000}"/>
    <cellStyle name="Normal 2 10 5 2 2 2" xfId="22306" xr:uid="{00000000-0005-0000-0000-000071560000}"/>
    <cellStyle name="Normal 2 10 5 2 2 3" xfId="22307" xr:uid="{00000000-0005-0000-0000-000072560000}"/>
    <cellStyle name="Normal 2 10 5 2 3" xfId="22308" xr:uid="{00000000-0005-0000-0000-000073560000}"/>
    <cellStyle name="Normal 2 10 5 2 4" xfId="22309" xr:uid="{00000000-0005-0000-0000-000074560000}"/>
    <cellStyle name="Normal 2 10 5 3" xfId="22310" xr:uid="{00000000-0005-0000-0000-000075560000}"/>
    <cellStyle name="Normal 2 10 5 3 2" xfId="22311" xr:uid="{00000000-0005-0000-0000-000076560000}"/>
    <cellStyle name="Normal 2 10 5 3 3" xfId="22312" xr:uid="{00000000-0005-0000-0000-000077560000}"/>
    <cellStyle name="Normal 2 10 5 4" xfId="22313" xr:uid="{00000000-0005-0000-0000-000078560000}"/>
    <cellStyle name="Normal 2 10 6" xfId="22314" xr:uid="{00000000-0005-0000-0000-000079560000}"/>
    <cellStyle name="Normal 2 10 6 2" xfId="22315" xr:uid="{00000000-0005-0000-0000-00007A560000}"/>
    <cellStyle name="Normal 2 10 6 2 2" xfId="22316" xr:uid="{00000000-0005-0000-0000-00007B560000}"/>
    <cellStyle name="Normal 2 10 6 2 2 2" xfId="22317" xr:uid="{00000000-0005-0000-0000-00007C560000}"/>
    <cellStyle name="Normal 2 10 6 2 2 3" xfId="22318" xr:uid="{00000000-0005-0000-0000-00007D560000}"/>
    <cellStyle name="Normal 2 10 6 2 3" xfId="22319" xr:uid="{00000000-0005-0000-0000-00007E560000}"/>
    <cellStyle name="Normal 2 10 6 2 4" xfId="22320" xr:uid="{00000000-0005-0000-0000-00007F560000}"/>
    <cellStyle name="Normal 2 10 6 3" xfId="22321" xr:uid="{00000000-0005-0000-0000-000080560000}"/>
    <cellStyle name="Normal 2 10 6 3 2" xfId="22322" xr:uid="{00000000-0005-0000-0000-000081560000}"/>
    <cellStyle name="Normal 2 10 6 3 3" xfId="22323" xr:uid="{00000000-0005-0000-0000-000082560000}"/>
    <cellStyle name="Normal 2 10 6 4" xfId="22324" xr:uid="{00000000-0005-0000-0000-000083560000}"/>
    <cellStyle name="Normal 2 10 7" xfId="22325" xr:uid="{00000000-0005-0000-0000-000084560000}"/>
    <cellStyle name="Normal 2 10 7 2" xfId="22326" xr:uid="{00000000-0005-0000-0000-000085560000}"/>
    <cellStyle name="Normal 2 10 7 2 2" xfId="22327" xr:uid="{00000000-0005-0000-0000-000086560000}"/>
    <cellStyle name="Normal 2 10 7 2 2 2" xfId="22328" xr:uid="{00000000-0005-0000-0000-000087560000}"/>
    <cellStyle name="Normal 2 10 7 2 2 3" xfId="22329" xr:uid="{00000000-0005-0000-0000-000088560000}"/>
    <cellStyle name="Normal 2 10 7 2 3" xfId="22330" xr:uid="{00000000-0005-0000-0000-000089560000}"/>
    <cellStyle name="Normal 2 10 7 2 4" xfId="22331" xr:uid="{00000000-0005-0000-0000-00008A560000}"/>
    <cellStyle name="Normal 2 10 7 3" xfId="22332" xr:uid="{00000000-0005-0000-0000-00008B560000}"/>
    <cellStyle name="Normal 2 10 7 3 2" xfId="22333" xr:uid="{00000000-0005-0000-0000-00008C560000}"/>
    <cellStyle name="Normal 2 10 7 3 3" xfId="22334" xr:uid="{00000000-0005-0000-0000-00008D560000}"/>
    <cellStyle name="Normal 2 10 7 4" xfId="22335" xr:uid="{00000000-0005-0000-0000-00008E560000}"/>
    <cellStyle name="Normal 2 10 8" xfId="22336" xr:uid="{00000000-0005-0000-0000-00008F560000}"/>
    <cellStyle name="Normal 2 10 8 2" xfId="22337" xr:uid="{00000000-0005-0000-0000-000090560000}"/>
    <cellStyle name="Normal 2 10 8 2 2" xfId="22338" xr:uid="{00000000-0005-0000-0000-000091560000}"/>
    <cellStyle name="Normal 2 10 8 2 2 2" xfId="22339" xr:uid="{00000000-0005-0000-0000-000092560000}"/>
    <cellStyle name="Normal 2 10 8 2 2 3" xfId="22340" xr:uid="{00000000-0005-0000-0000-000093560000}"/>
    <cellStyle name="Normal 2 10 8 2 3" xfId="22341" xr:uid="{00000000-0005-0000-0000-000094560000}"/>
    <cellStyle name="Normal 2 10 8 2 4" xfId="22342" xr:uid="{00000000-0005-0000-0000-000095560000}"/>
    <cellStyle name="Normal 2 10 8 3" xfId="22343" xr:uid="{00000000-0005-0000-0000-000096560000}"/>
    <cellStyle name="Normal 2 10 8 3 2" xfId="22344" xr:uid="{00000000-0005-0000-0000-000097560000}"/>
    <cellStyle name="Normal 2 10 8 3 3" xfId="22345" xr:uid="{00000000-0005-0000-0000-000098560000}"/>
    <cellStyle name="Normal 2 10 8 4" xfId="22346" xr:uid="{00000000-0005-0000-0000-000099560000}"/>
    <cellStyle name="Normal 2 10 9" xfId="22347" xr:uid="{00000000-0005-0000-0000-00009A560000}"/>
    <cellStyle name="Normal 2 10 9 2" xfId="22348" xr:uid="{00000000-0005-0000-0000-00009B560000}"/>
    <cellStyle name="Normal 2 10 9 2 2" xfId="22349" xr:uid="{00000000-0005-0000-0000-00009C560000}"/>
    <cellStyle name="Normal 2 10 9 2 2 2" xfId="22350" xr:uid="{00000000-0005-0000-0000-00009D560000}"/>
    <cellStyle name="Normal 2 10 9 2 2 3" xfId="22351" xr:uid="{00000000-0005-0000-0000-00009E560000}"/>
    <cellStyle name="Normal 2 10 9 2 3" xfId="22352" xr:uid="{00000000-0005-0000-0000-00009F560000}"/>
    <cellStyle name="Normal 2 10 9 2 4" xfId="22353" xr:uid="{00000000-0005-0000-0000-0000A0560000}"/>
    <cellStyle name="Normal 2 10 9 3" xfId="22354" xr:uid="{00000000-0005-0000-0000-0000A1560000}"/>
    <cellStyle name="Normal 2 10 9 3 2" xfId="22355" xr:uid="{00000000-0005-0000-0000-0000A2560000}"/>
    <cellStyle name="Normal 2 10 9 3 3" xfId="22356" xr:uid="{00000000-0005-0000-0000-0000A3560000}"/>
    <cellStyle name="Normal 2 10 9 4" xfId="22357" xr:uid="{00000000-0005-0000-0000-0000A4560000}"/>
    <cellStyle name="Normal 2 10_2015 Annual Rpt" xfId="22358" xr:uid="{00000000-0005-0000-0000-0000A5560000}"/>
    <cellStyle name="Normal 2 100" xfId="22359" xr:uid="{00000000-0005-0000-0000-0000A6560000}"/>
    <cellStyle name="Normal 2 100 2" xfId="22360" xr:uid="{00000000-0005-0000-0000-0000A7560000}"/>
    <cellStyle name="Normal 2 100 2 2" xfId="22361" xr:uid="{00000000-0005-0000-0000-0000A8560000}"/>
    <cellStyle name="Normal 2 100 2 2 2" xfId="22362" xr:uid="{00000000-0005-0000-0000-0000A9560000}"/>
    <cellStyle name="Normal 2 100 2 3" xfId="22363" xr:uid="{00000000-0005-0000-0000-0000AA560000}"/>
    <cellStyle name="Normal 2 100 2 4" xfId="22364" xr:uid="{00000000-0005-0000-0000-0000AB560000}"/>
    <cellStyle name="Normal 2 100 2 5" xfId="22365" xr:uid="{00000000-0005-0000-0000-0000AC560000}"/>
    <cellStyle name="Normal 2 100 3" xfId="22366" xr:uid="{00000000-0005-0000-0000-0000AD560000}"/>
    <cellStyle name="Normal 2 100 3 2" xfId="22367" xr:uid="{00000000-0005-0000-0000-0000AE560000}"/>
    <cellStyle name="Normal 2 100 4" xfId="22368" xr:uid="{00000000-0005-0000-0000-0000AF560000}"/>
    <cellStyle name="Normal 2 100 5" xfId="22369" xr:uid="{00000000-0005-0000-0000-0000B0560000}"/>
    <cellStyle name="Normal 2 100 6" xfId="22370" xr:uid="{00000000-0005-0000-0000-0000B1560000}"/>
    <cellStyle name="Normal 2 100 7" xfId="22371" xr:uid="{00000000-0005-0000-0000-0000B2560000}"/>
    <cellStyle name="Normal 2 100 8" xfId="22372" xr:uid="{00000000-0005-0000-0000-0000B3560000}"/>
    <cellStyle name="Normal 2 101" xfId="22373" xr:uid="{00000000-0005-0000-0000-0000B4560000}"/>
    <cellStyle name="Normal 2 101 2" xfId="22374" xr:uid="{00000000-0005-0000-0000-0000B5560000}"/>
    <cellStyle name="Normal 2 101 2 2" xfId="22375" xr:uid="{00000000-0005-0000-0000-0000B6560000}"/>
    <cellStyle name="Normal 2 101 2 2 2" xfId="22376" xr:uid="{00000000-0005-0000-0000-0000B7560000}"/>
    <cellStyle name="Normal 2 101 2 2 3" xfId="22377" xr:uid="{00000000-0005-0000-0000-0000B8560000}"/>
    <cellStyle name="Normal 2 101 2 3" xfId="22378" xr:uid="{00000000-0005-0000-0000-0000B9560000}"/>
    <cellStyle name="Normal 2 101 2 4" xfId="22379" xr:uid="{00000000-0005-0000-0000-0000BA560000}"/>
    <cellStyle name="Normal 2 101 3" xfId="22380" xr:uid="{00000000-0005-0000-0000-0000BB560000}"/>
    <cellStyle name="Normal 2 101 3 2" xfId="22381" xr:uid="{00000000-0005-0000-0000-0000BC560000}"/>
    <cellStyle name="Normal 2 101 3 3" xfId="22382" xr:uid="{00000000-0005-0000-0000-0000BD560000}"/>
    <cellStyle name="Normal 2 101 4" xfId="22383" xr:uid="{00000000-0005-0000-0000-0000BE560000}"/>
    <cellStyle name="Normal 2 101 5" xfId="22384" xr:uid="{00000000-0005-0000-0000-0000BF560000}"/>
    <cellStyle name="Normal 2 101 6" xfId="22385" xr:uid="{00000000-0005-0000-0000-0000C0560000}"/>
    <cellStyle name="Normal 2 101 7" xfId="22386" xr:uid="{00000000-0005-0000-0000-0000C1560000}"/>
    <cellStyle name="Normal 2 102" xfId="22387" xr:uid="{00000000-0005-0000-0000-0000C2560000}"/>
    <cellStyle name="Normal 2 102 2" xfId="22388" xr:uid="{00000000-0005-0000-0000-0000C3560000}"/>
    <cellStyle name="Normal 2 102 2 2" xfId="22389" xr:uid="{00000000-0005-0000-0000-0000C4560000}"/>
    <cellStyle name="Normal 2 102 2 2 2" xfId="22390" xr:uid="{00000000-0005-0000-0000-0000C5560000}"/>
    <cellStyle name="Normal 2 102 2 3" xfId="22391" xr:uid="{00000000-0005-0000-0000-0000C6560000}"/>
    <cellStyle name="Normal 2 102 3" xfId="22392" xr:uid="{00000000-0005-0000-0000-0000C7560000}"/>
    <cellStyle name="Normal 2 102 3 2" xfId="22393" xr:uid="{00000000-0005-0000-0000-0000C8560000}"/>
    <cellStyle name="Normal 2 102 3 3" xfId="22394" xr:uid="{00000000-0005-0000-0000-0000C9560000}"/>
    <cellStyle name="Normal 2 102 4" xfId="22395" xr:uid="{00000000-0005-0000-0000-0000CA560000}"/>
    <cellStyle name="Normal 2 102 5" xfId="22396" xr:uid="{00000000-0005-0000-0000-0000CB560000}"/>
    <cellStyle name="Normal 2 102 6" xfId="22397" xr:uid="{00000000-0005-0000-0000-0000CC560000}"/>
    <cellStyle name="Normal 2 103" xfId="22398" xr:uid="{00000000-0005-0000-0000-0000CD560000}"/>
    <cellStyle name="Normal 2 103 2" xfId="22399" xr:uid="{00000000-0005-0000-0000-0000CE560000}"/>
    <cellStyle name="Normal 2 103 2 2" xfId="22400" xr:uid="{00000000-0005-0000-0000-0000CF560000}"/>
    <cellStyle name="Normal 2 103 3" xfId="22401" xr:uid="{00000000-0005-0000-0000-0000D0560000}"/>
    <cellStyle name="Normal 2 103 4" xfId="22402" xr:uid="{00000000-0005-0000-0000-0000D1560000}"/>
    <cellStyle name="Normal 2 103 5" xfId="22403" xr:uid="{00000000-0005-0000-0000-0000D2560000}"/>
    <cellStyle name="Normal 2 104" xfId="22404" xr:uid="{00000000-0005-0000-0000-0000D3560000}"/>
    <cellStyle name="Normal 2 104 2" xfId="22405" xr:uid="{00000000-0005-0000-0000-0000D4560000}"/>
    <cellStyle name="Normal 2 104 2 2" xfId="22406" xr:uid="{00000000-0005-0000-0000-0000D5560000}"/>
    <cellStyle name="Normal 2 104 2 3" xfId="22407" xr:uid="{00000000-0005-0000-0000-0000D6560000}"/>
    <cellStyle name="Normal 2 104 3" xfId="22408" xr:uid="{00000000-0005-0000-0000-0000D7560000}"/>
    <cellStyle name="Normal 2 104 4" xfId="22409" xr:uid="{00000000-0005-0000-0000-0000D8560000}"/>
    <cellStyle name="Normal 2 105" xfId="22410" xr:uid="{00000000-0005-0000-0000-0000D9560000}"/>
    <cellStyle name="Normal 2 105 2" xfId="22411" xr:uid="{00000000-0005-0000-0000-0000DA560000}"/>
    <cellStyle name="Normal 2 106" xfId="22412" xr:uid="{00000000-0005-0000-0000-0000DB560000}"/>
    <cellStyle name="Normal 2 107" xfId="22413" xr:uid="{00000000-0005-0000-0000-0000DC560000}"/>
    <cellStyle name="Normal 2 108" xfId="22414" xr:uid="{00000000-0005-0000-0000-0000DD560000}"/>
    <cellStyle name="Normal 2 109" xfId="22415" xr:uid="{00000000-0005-0000-0000-0000DE560000}"/>
    <cellStyle name="Normal 2 109 2" xfId="22416" xr:uid="{00000000-0005-0000-0000-0000DF560000}"/>
    <cellStyle name="Normal 2 11" xfId="392" xr:uid="{00000000-0005-0000-0000-0000E0560000}"/>
    <cellStyle name="Normal 2 11 10" xfId="22417" xr:uid="{00000000-0005-0000-0000-0000E1560000}"/>
    <cellStyle name="Normal 2 11 10 2" xfId="22418" xr:uid="{00000000-0005-0000-0000-0000E2560000}"/>
    <cellStyle name="Normal 2 11 10 2 2" xfId="22419" xr:uid="{00000000-0005-0000-0000-0000E3560000}"/>
    <cellStyle name="Normal 2 11 10 2 2 2" xfId="22420" xr:uid="{00000000-0005-0000-0000-0000E4560000}"/>
    <cellStyle name="Normal 2 11 10 2 2 3" xfId="22421" xr:uid="{00000000-0005-0000-0000-0000E5560000}"/>
    <cellStyle name="Normal 2 11 10 2 3" xfId="22422" xr:uid="{00000000-0005-0000-0000-0000E6560000}"/>
    <cellStyle name="Normal 2 11 10 2 4" xfId="22423" xr:uid="{00000000-0005-0000-0000-0000E7560000}"/>
    <cellStyle name="Normal 2 11 10 3" xfId="22424" xr:uid="{00000000-0005-0000-0000-0000E8560000}"/>
    <cellStyle name="Normal 2 11 10 3 2" xfId="22425" xr:uid="{00000000-0005-0000-0000-0000E9560000}"/>
    <cellStyle name="Normal 2 11 10 3 3" xfId="22426" xr:uid="{00000000-0005-0000-0000-0000EA560000}"/>
    <cellStyle name="Normal 2 11 10 4" xfId="22427" xr:uid="{00000000-0005-0000-0000-0000EB560000}"/>
    <cellStyle name="Normal 2 11 11" xfId="22428" xr:uid="{00000000-0005-0000-0000-0000EC560000}"/>
    <cellStyle name="Normal 2 11 11 2" xfId="22429" xr:uid="{00000000-0005-0000-0000-0000ED560000}"/>
    <cellStyle name="Normal 2 11 11 2 2" xfId="22430" xr:uid="{00000000-0005-0000-0000-0000EE560000}"/>
    <cellStyle name="Normal 2 11 11 2 2 2" xfId="22431" xr:uid="{00000000-0005-0000-0000-0000EF560000}"/>
    <cellStyle name="Normal 2 11 11 2 2 3" xfId="22432" xr:uid="{00000000-0005-0000-0000-0000F0560000}"/>
    <cellStyle name="Normal 2 11 11 2 3" xfId="22433" xr:uid="{00000000-0005-0000-0000-0000F1560000}"/>
    <cellStyle name="Normal 2 11 11 2 4" xfId="22434" xr:uid="{00000000-0005-0000-0000-0000F2560000}"/>
    <cellStyle name="Normal 2 11 11 3" xfId="22435" xr:uid="{00000000-0005-0000-0000-0000F3560000}"/>
    <cellStyle name="Normal 2 11 11 3 2" xfId="22436" xr:uid="{00000000-0005-0000-0000-0000F4560000}"/>
    <cellStyle name="Normal 2 11 11 3 3" xfId="22437" xr:uid="{00000000-0005-0000-0000-0000F5560000}"/>
    <cellStyle name="Normal 2 11 11 4" xfId="22438" xr:uid="{00000000-0005-0000-0000-0000F6560000}"/>
    <cellStyle name="Normal 2 11 12" xfId="22439" xr:uid="{00000000-0005-0000-0000-0000F7560000}"/>
    <cellStyle name="Normal 2 11 12 2" xfId="22440" xr:uid="{00000000-0005-0000-0000-0000F8560000}"/>
    <cellStyle name="Normal 2 11 12 2 2" xfId="22441" xr:uid="{00000000-0005-0000-0000-0000F9560000}"/>
    <cellStyle name="Normal 2 11 12 2 2 2" xfId="22442" xr:uid="{00000000-0005-0000-0000-0000FA560000}"/>
    <cellStyle name="Normal 2 11 12 2 2 3" xfId="22443" xr:uid="{00000000-0005-0000-0000-0000FB560000}"/>
    <cellStyle name="Normal 2 11 12 2 3" xfId="22444" xr:uid="{00000000-0005-0000-0000-0000FC560000}"/>
    <cellStyle name="Normal 2 11 12 2 4" xfId="22445" xr:uid="{00000000-0005-0000-0000-0000FD560000}"/>
    <cellStyle name="Normal 2 11 12 3" xfId="22446" xr:uid="{00000000-0005-0000-0000-0000FE560000}"/>
    <cellStyle name="Normal 2 11 12 3 2" xfId="22447" xr:uid="{00000000-0005-0000-0000-0000FF560000}"/>
    <cellStyle name="Normal 2 11 12 3 3" xfId="22448" xr:uid="{00000000-0005-0000-0000-000000570000}"/>
    <cellStyle name="Normal 2 11 12 4" xfId="22449" xr:uid="{00000000-0005-0000-0000-000001570000}"/>
    <cellStyle name="Normal 2 11 13" xfId="22450" xr:uid="{00000000-0005-0000-0000-000002570000}"/>
    <cellStyle name="Normal 2 11 13 2" xfId="22451" xr:uid="{00000000-0005-0000-0000-000003570000}"/>
    <cellStyle name="Normal 2 11 13 2 2" xfId="22452" xr:uid="{00000000-0005-0000-0000-000004570000}"/>
    <cellStyle name="Normal 2 11 13 2 2 2" xfId="22453" xr:uid="{00000000-0005-0000-0000-000005570000}"/>
    <cellStyle name="Normal 2 11 13 2 2 3" xfId="22454" xr:uid="{00000000-0005-0000-0000-000006570000}"/>
    <cellStyle name="Normal 2 11 13 2 3" xfId="22455" xr:uid="{00000000-0005-0000-0000-000007570000}"/>
    <cellStyle name="Normal 2 11 13 2 4" xfId="22456" xr:uid="{00000000-0005-0000-0000-000008570000}"/>
    <cellStyle name="Normal 2 11 13 3" xfId="22457" xr:uid="{00000000-0005-0000-0000-000009570000}"/>
    <cellStyle name="Normal 2 11 13 3 2" xfId="22458" xr:uid="{00000000-0005-0000-0000-00000A570000}"/>
    <cellStyle name="Normal 2 11 13 3 3" xfId="22459" xr:uid="{00000000-0005-0000-0000-00000B570000}"/>
    <cellStyle name="Normal 2 11 13 4" xfId="22460" xr:uid="{00000000-0005-0000-0000-00000C570000}"/>
    <cellStyle name="Normal 2 11 14" xfId="22461" xr:uid="{00000000-0005-0000-0000-00000D570000}"/>
    <cellStyle name="Normal 2 11 14 2" xfId="22462" xr:uid="{00000000-0005-0000-0000-00000E570000}"/>
    <cellStyle name="Normal 2 11 14 2 2" xfId="22463" xr:uid="{00000000-0005-0000-0000-00000F570000}"/>
    <cellStyle name="Normal 2 11 14 2 2 2" xfId="22464" xr:uid="{00000000-0005-0000-0000-000010570000}"/>
    <cellStyle name="Normal 2 11 14 2 2 3" xfId="22465" xr:uid="{00000000-0005-0000-0000-000011570000}"/>
    <cellStyle name="Normal 2 11 14 2 3" xfId="22466" xr:uid="{00000000-0005-0000-0000-000012570000}"/>
    <cellStyle name="Normal 2 11 14 2 4" xfId="22467" xr:uid="{00000000-0005-0000-0000-000013570000}"/>
    <cellStyle name="Normal 2 11 14 3" xfId="22468" xr:uid="{00000000-0005-0000-0000-000014570000}"/>
    <cellStyle name="Normal 2 11 14 3 2" xfId="22469" xr:uid="{00000000-0005-0000-0000-000015570000}"/>
    <cellStyle name="Normal 2 11 14 3 3" xfId="22470" xr:uid="{00000000-0005-0000-0000-000016570000}"/>
    <cellStyle name="Normal 2 11 14 4" xfId="22471" xr:uid="{00000000-0005-0000-0000-000017570000}"/>
    <cellStyle name="Normal 2 11 15" xfId="22472" xr:uid="{00000000-0005-0000-0000-000018570000}"/>
    <cellStyle name="Normal 2 11 15 2" xfId="22473" xr:uid="{00000000-0005-0000-0000-000019570000}"/>
    <cellStyle name="Normal 2 11 15 2 2" xfId="22474" xr:uid="{00000000-0005-0000-0000-00001A570000}"/>
    <cellStyle name="Normal 2 11 15 2 2 2" xfId="22475" xr:uid="{00000000-0005-0000-0000-00001B570000}"/>
    <cellStyle name="Normal 2 11 15 2 2 3" xfId="22476" xr:uid="{00000000-0005-0000-0000-00001C570000}"/>
    <cellStyle name="Normal 2 11 15 2 3" xfId="22477" xr:uid="{00000000-0005-0000-0000-00001D570000}"/>
    <cellStyle name="Normal 2 11 15 2 4" xfId="22478" xr:uid="{00000000-0005-0000-0000-00001E570000}"/>
    <cellStyle name="Normal 2 11 15 3" xfId="22479" xr:uid="{00000000-0005-0000-0000-00001F570000}"/>
    <cellStyle name="Normal 2 11 15 3 2" xfId="22480" xr:uid="{00000000-0005-0000-0000-000020570000}"/>
    <cellStyle name="Normal 2 11 15 3 3" xfId="22481" xr:uid="{00000000-0005-0000-0000-000021570000}"/>
    <cellStyle name="Normal 2 11 15 4" xfId="22482" xr:uid="{00000000-0005-0000-0000-000022570000}"/>
    <cellStyle name="Normal 2 11 16" xfId="22483" xr:uid="{00000000-0005-0000-0000-000023570000}"/>
    <cellStyle name="Normal 2 11 16 2" xfId="22484" xr:uid="{00000000-0005-0000-0000-000024570000}"/>
    <cellStyle name="Normal 2 11 16 2 2" xfId="22485" xr:uid="{00000000-0005-0000-0000-000025570000}"/>
    <cellStyle name="Normal 2 11 16 2 2 2" xfId="22486" xr:uid="{00000000-0005-0000-0000-000026570000}"/>
    <cellStyle name="Normal 2 11 16 2 2 3" xfId="22487" xr:uid="{00000000-0005-0000-0000-000027570000}"/>
    <cellStyle name="Normal 2 11 16 2 3" xfId="22488" xr:uid="{00000000-0005-0000-0000-000028570000}"/>
    <cellStyle name="Normal 2 11 16 2 4" xfId="22489" xr:uid="{00000000-0005-0000-0000-000029570000}"/>
    <cellStyle name="Normal 2 11 16 3" xfId="22490" xr:uid="{00000000-0005-0000-0000-00002A570000}"/>
    <cellStyle name="Normal 2 11 16 3 2" xfId="22491" xr:uid="{00000000-0005-0000-0000-00002B570000}"/>
    <cellStyle name="Normal 2 11 16 3 3" xfId="22492" xr:uid="{00000000-0005-0000-0000-00002C570000}"/>
    <cellStyle name="Normal 2 11 16 4" xfId="22493" xr:uid="{00000000-0005-0000-0000-00002D570000}"/>
    <cellStyle name="Normal 2 11 17" xfId="22494" xr:uid="{00000000-0005-0000-0000-00002E570000}"/>
    <cellStyle name="Normal 2 11 17 2" xfId="22495" xr:uid="{00000000-0005-0000-0000-00002F570000}"/>
    <cellStyle name="Normal 2 11 17 2 2" xfId="22496" xr:uid="{00000000-0005-0000-0000-000030570000}"/>
    <cellStyle name="Normal 2 11 17 2 2 2" xfId="22497" xr:uid="{00000000-0005-0000-0000-000031570000}"/>
    <cellStyle name="Normal 2 11 17 2 2 3" xfId="22498" xr:uid="{00000000-0005-0000-0000-000032570000}"/>
    <cellStyle name="Normal 2 11 17 2 3" xfId="22499" xr:uid="{00000000-0005-0000-0000-000033570000}"/>
    <cellStyle name="Normal 2 11 17 2 4" xfId="22500" xr:uid="{00000000-0005-0000-0000-000034570000}"/>
    <cellStyle name="Normal 2 11 17 3" xfId="22501" xr:uid="{00000000-0005-0000-0000-000035570000}"/>
    <cellStyle name="Normal 2 11 17 3 2" xfId="22502" xr:uid="{00000000-0005-0000-0000-000036570000}"/>
    <cellStyle name="Normal 2 11 17 3 3" xfId="22503" xr:uid="{00000000-0005-0000-0000-000037570000}"/>
    <cellStyle name="Normal 2 11 17 4" xfId="22504" xr:uid="{00000000-0005-0000-0000-000038570000}"/>
    <cellStyle name="Normal 2 11 18" xfId="22505" xr:uid="{00000000-0005-0000-0000-000039570000}"/>
    <cellStyle name="Normal 2 11 18 2" xfId="22506" xr:uid="{00000000-0005-0000-0000-00003A570000}"/>
    <cellStyle name="Normal 2 11 18 2 2" xfId="22507" xr:uid="{00000000-0005-0000-0000-00003B570000}"/>
    <cellStyle name="Normal 2 11 18 2 2 2" xfId="22508" xr:uid="{00000000-0005-0000-0000-00003C570000}"/>
    <cellStyle name="Normal 2 11 18 2 2 3" xfId="22509" xr:uid="{00000000-0005-0000-0000-00003D570000}"/>
    <cellStyle name="Normal 2 11 18 2 3" xfId="22510" xr:uid="{00000000-0005-0000-0000-00003E570000}"/>
    <cellStyle name="Normal 2 11 18 2 4" xfId="22511" xr:uid="{00000000-0005-0000-0000-00003F570000}"/>
    <cellStyle name="Normal 2 11 18 3" xfId="22512" xr:uid="{00000000-0005-0000-0000-000040570000}"/>
    <cellStyle name="Normal 2 11 18 3 2" xfId="22513" xr:uid="{00000000-0005-0000-0000-000041570000}"/>
    <cellStyle name="Normal 2 11 18 3 3" xfId="22514" xr:uid="{00000000-0005-0000-0000-000042570000}"/>
    <cellStyle name="Normal 2 11 18 4" xfId="22515" xr:uid="{00000000-0005-0000-0000-000043570000}"/>
    <cellStyle name="Normal 2 11 19" xfId="22516" xr:uid="{00000000-0005-0000-0000-000044570000}"/>
    <cellStyle name="Normal 2 11 19 2" xfId="22517" xr:uid="{00000000-0005-0000-0000-000045570000}"/>
    <cellStyle name="Normal 2 11 19 2 2" xfId="22518" xr:uid="{00000000-0005-0000-0000-000046570000}"/>
    <cellStyle name="Normal 2 11 19 2 2 2" xfId="22519" xr:uid="{00000000-0005-0000-0000-000047570000}"/>
    <cellStyle name="Normal 2 11 19 2 2 3" xfId="22520" xr:uid="{00000000-0005-0000-0000-000048570000}"/>
    <cellStyle name="Normal 2 11 19 2 3" xfId="22521" xr:uid="{00000000-0005-0000-0000-000049570000}"/>
    <cellStyle name="Normal 2 11 19 2 4" xfId="22522" xr:uid="{00000000-0005-0000-0000-00004A570000}"/>
    <cellStyle name="Normal 2 11 19 3" xfId="22523" xr:uid="{00000000-0005-0000-0000-00004B570000}"/>
    <cellStyle name="Normal 2 11 19 3 2" xfId="22524" xr:uid="{00000000-0005-0000-0000-00004C570000}"/>
    <cellStyle name="Normal 2 11 19 3 3" xfId="22525" xr:uid="{00000000-0005-0000-0000-00004D570000}"/>
    <cellStyle name="Normal 2 11 19 4" xfId="22526" xr:uid="{00000000-0005-0000-0000-00004E570000}"/>
    <cellStyle name="Normal 2 11 2" xfId="22527" xr:uid="{00000000-0005-0000-0000-00004F570000}"/>
    <cellStyle name="Normal 2 11 2 2" xfId="22528" xr:uid="{00000000-0005-0000-0000-000050570000}"/>
    <cellStyle name="Normal 2 11 2 2 2" xfId="22529" xr:uid="{00000000-0005-0000-0000-000051570000}"/>
    <cellStyle name="Normal 2 11 2 2 2 2" xfId="22530" xr:uid="{00000000-0005-0000-0000-000052570000}"/>
    <cellStyle name="Normal 2 11 2 2 2 3" xfId="22531" xr:uid="{00000000-0005-0000-0000-000053570000}"/>
    <cellStyle name="Normal 2 11 2 2 3" xfId="22532" xr:uid="{00000000-0005-0000-0000-000054570000}"/>
    <cellStyle name="Normal 2 11 2 2 4" xfId="22533" xr:uid="{00000000-0005-0000-0000-000055570000}"/>
    <cellStyle name="Normal 2 11 2 3" xfId="22534" xr:uid="{00000000-0005-0000-0000-000056570000}"/>
    <cellStyle name="Normal 2 11 2 3 2" xfId="22535" xr:uid="{00000000-0005-0000-0000-000057570000}"/>
    <cellStyle name="Normal 2 11 2 3 3" xfId="22536" xr:uid="{00000000-0005-0000-0000-000058570000}"/>
    <cellStyle name="Normal 2 11 2 4" xfId="22537" xr:uid="{00000000-0005-0000-0000-000059570000}"/>
    <cellStyle name="Normal 2 11 2 4 2" xfId="22538" xr:uid="{00000000-0005-0000-0000-00005A570000}"/>
    <cellStyle name="Normal 2 11 2 4 3" xfId="22539" xr:uid="{00000000-0005-0000-0000-00005B570000}"/>
    <cellStyle name="Normal 2 11 2 5" xfId="22540" xr:uid="{00000000-0005-0000-0000-00005C570000}"/>
    <cellStyle name="Normal 2 11 2 6" xfId="22541" xr:uid="{00000000-0005-0000-0000-00005D570000}"/>
    <cellStyle name="Normal 2 11 20" xfId="22542" xr:uid="{00000000-0005-0000-0000-00005E570000}"/>
    <cellStyle name="Normal 2 11 20 2" xfId="22543" xr:uid="{00000000-0005-0000-0000-00005F570000}"/>
    <cellStyle name="Normal 2 11 20 2 2" xfId="22544" xr:uid="{00000000-0005-0000-0000-000060570000}"/>
    <cellStyle name="Normal 2 11 20 2 2 2" xfId="22545" xr:uid="{00000000-0005-0000-0000-000061570000}"/>
    <cellStyle name="Normal 2 11 20 2 2 3" xfId="22546" xr:uid="{00000000-0005-0000-0000-000062570000}"/>
    <cellStyle name="Normal 2 11 20 2 3" xfId="22547" xr:uid="{00000000-0005-0000-0000-000063570000}"/>
    <cellStyle name="Normal 2 11 20 2 4" xfId="22548" xr:uid="{00000000-0005-0000-0000-000064570000}"/>
    <cellStyle name="Normal 2 11 20 3" xfId="22549" xr:uid="{00000000-0005-0000-0000-000065570000}"/>
    <cellStyle name="Normal 2 11 20 3 2" xfId="22550" xr:uid="{00000000-0005-0000-0000-000066570000}"/>
    <cellStyle name="Normal 2 11 20 3 3" xfId="22551" xr:uid="{00000000-0005-0000-0000-000067570000}"/>
    <cellStyle name="Normal 2 11 20 4" xfId="22552" xr:uid="{00000000-0005-0000-0000-000068570000}"/>
    <cellStyle name="Normal 2 11 21" xfId="22553" xr:uid="{00000000-0005-0000-0000-000069570000}"/>
    <cellStyle name="Normal 2 11 21 2" xfId="22554" xr:uid="{00000000-0005-0000-0000-00006A570000}"/>
    <cellStyle name="Normal 2 11 21 2 2" xfId="22555" xr:uid="{00000000-0005-0000-0000-00006B570000}"/>
    <cellStyle name="Normal 2 11 21 2 2 2" xfId="22556" xr:uid="{00000000-0005-0000-0000-00006C570000}"/>
    <cellStyle name="Normal 2 11 21 2 2 3" xfId="22557" xr:uid="{00000000-0005-0000-0000-00006D570000}"/>
    <cellStyle name="Normal 2 11 21 2 3" xfId="22558" xr:uid="{00000000-0005-0000-0000-00006E570000}"/>
    <cellStyle name="Normal 2 11 21 2 4" xfId="22559" xr:uid="{00000000-0005-0000-0000-00006F570000}"/>
    <cellStyle name="Normal 2 11 21 3" xfId="22560" xr:uid="{00000000-0005-0000-0000-000070570000}"/>
    <cellStyle name="Normal 2 11 21 3 2" xfId="22561" xr:uid="{00000000-0005-0000-0000-000071570000}"/>
    <cellStyle name="Normal 2 11 21 3 3" xfId="22562" xr:uid="{00000000-0005-0000-0000-000072570000}"/>
    <cellStyle name="Normal 2 11 21 4" xfId="22563" xr:uid="{00000000-0005-0000-0000-000073570000}"/>
    <cellStyle name="Normal 2 11 22" xfId="22564" xr:uid="{00000000-0005-0000-0000-000074570000}"/>
    <cellStyle name="Normal 2 11 22 2" xfId="22565" xr:uid="{00000000-0005-0000-0000-000075570000}"/>
    <cellStyle name="Normal 2 11 22 2 2" xfId="22566" xr:uid="{00000000-0005-0000-0000-000076570000}"/>
    <cellStyle name="Normal 2 11 22 2 2 2" xfId="22567" xr:uid="{00000000-0005-0000-0000-000077570000}"/>
    <cellStyle name="Normal 2 11 22 2 2 3" xfId="22568" xr:uid="{00000000-0005-0000-0000-000078570000}"/>
    <cellStyle name="Normal 2 11 22 2 3" xfId="22569" xr:uid="{00000000-0005-0000-0000-000079570000}"/>
    <cellStyle name="Normal 2 11 22 2 4" xfId="22570" xr:uid="{00000000-0005-0000-0000-00007A570000}"/>
    <cellStyle name="Normal 2 11 22 3" xfId="22571" xr:uid="{00000000-0005-0000-0000-00007B570000}"/>
    <cellStyle name="Normal 2 11 22 3 2" xfId="22572" xr:uid="{00000000-0005-0000-0000-00007C570000}"/>
    <cellStyle name="Normal 2 11 22 3 3" xfId="22573" xr:uid="{00000000-0005-0000-0000-00007D570000}"/>
    <cellStyle name="Normal 2 11 22 4" xfId="22574" xr:uid="{00000000-0005-0000-0000-00007E570000}"/>
    <cellStyle name="Normal 2 11 23" xfId="22575" xr:uid="{00000000-0005-0000-0000-00007F570000}"/>
    <cellStyle name="Normal 2 11 23 2" xfId="22576" xr:uid="{00000000-0005-0000-0000-000080570000}"/>
    <cellStyle name="Normal 2 11 23 2 2" xfId="22577" xr:uid="{00000000-0005-0000-0000-000081570000}"/>
    <cellStyle name="Normal 2 11 23 2 2 2" xfId="22578" xr:uid="{00000000-0005-0000-0000-000082570000}"/>
    <cellStyle name="Normal 2 11 23 2 2 3" xfId="22579" xr:uid="{00000000-0005-0000-0000-000083570000}"/>
    <cellStyle name="Normal 2 11 23 2 3" xfId="22580" xr:uid="{00000000-0005-0000-0000-000084570000}"/>
    <cellStyle name="Normal 2 11 23 2 4" xfId="22581" xr:uid="{00000000-0005-0000-0000-000085570000}"/>
    <cellStyle name="Normal 2 11 23 3" xfId="22582" xr:uid="{00000000-0005-0000-0000-000086570000}"/>
    <cellStyle name="Normal 2 11 23 3 2" xfId="22583" xr:uid="{00000000-0005-0000-0000-000087570000}"/>
    <cellStyle name="Normal 2 11 23 3 3" xfId="22584" xr:uid="{00000000-0005-0000-0000-000088570000}"/>
    <cellStyle name="Normal 2 11 23 4" xfId="22585" xr:uid="{00000000-0005-0000-0000-000089570000}"/>
    <cellStyle name="Normal 2 11 24" xfId="22586" xr:uid="{00000000-0005-0000-0000-00008A570000}"/>
    <cellStyle name="Normal 2 11 24 2" xfId="22587" xr:uid="{00000000-0005-0000-0000-00008B570000}"/>
    <cellStyle name="Normal 2 11 24 2 2" xfId="22588" xr:uid="{00000000-0005-0000-0000-00008C570000}"/>
    <cellStyle name="Normal 2 11 24 2 3" xfId="22589" xr:uid="{00000000-0005-0000-0000-00008D570000}"/>
    <cellStyle name="Normal 2 11 24 3" xfId="22590" xr:uid="{00000000-0005-0000-0000-00008E570000}"/>
    <cellStyle name="Normal 2 11 24 4" xfId="22591" xr:uid="{00000000-0005-0000-0000-00008F570000}"/>
    <cellStyle name="Normal 2 11 25" xfId="22592" xr:uid="{00000000-0005-0000-0000-000090570000}"/>
    <cellStyle name="Normal 2 11 25 2" xfId="22593" xr:uid="{00000000-0005-0000-0000-000091570000}"/>
    <cellStyle name="Normal 2 11 25 2 2" xfId="22594" xr:uid="{00000000-0005-0000-0000-000092570000}"/>
    <cellStyle name="Normal 2 11 25 2 3" xfId="22595" xr:uid="{00000000-0005-0000-0000-000093570000}"/>
    <cellStyle name="Normal 2 11 25 3" xfId="22596" xr:uid="{00000000-0005-0000-0000-000094570000}"/>
    <cellStyle name="Normal 2 11 25 3 2" xfId="22597" xr:uid="{00000000-0005-0000-0000-000095570000}"/>
    <cellStyle name="Normal 2 11 25 3 3" xfId="22598" xr:uid="{00000000-0005-0000-0000-000096570000}"/>
    <cellStyle name="Normal 2 11 25 4" xfId="22599" xr:uid="{00000000-0005-0000-0000-000097570000}"/>
    <cellStyle name="Normal 2 11 25 5" xfId="22600" xr:uid="{00000000-0005-0000-0000-000098570000}"/>
    <cellStyle name="Normal 2 11 25 6" xfId="22601" xr:uid="{00000000-0005-0000-0000-000099570000}"/>
    <cellStyle name="Normal 2 11 25 7" xfId="22602" xr:uid="{00000000-0005-0000-0000-00009A570000}"/>
    <cellStyle name="Normal 2 11 25 8" xfId="22603" xr:uid="{00000000-0005-0000-0000-00009B570000}"/>
    <cellStyle name="Normal 2 11 26" xfId="22604" xr:uid="{00000000-0005-0000-0000-00009C570000}"/>
    <cellStyle name="Normal 2 11 26 2" xfId="22605" xr:uid="{00000000-0005-0000-0000-00009D570000}"/>
    <cellStyle name="Normal 2 11 26 2 2" xfId="22606" xr:uid="{00000000-0005-0000-0000-00009E570000}"/>
    <cellStyle name="Normal 2 11 26 2 3" xfId="22607" xr:uid="{00000000-0005-0000-0000-00009F570000}"/>
    <cellStyle name="Normal 2 11 26 3" xfId="22608" xr:uid="{00000000-0005-0000-0000-0000A0570000}"/>
    <cellStyle name="Normal 2 11 26 3 2" xfId="22609" xr:uid="{00000000-0005-0000-0000-0000A1570000}"/>
    <cellStyle name="Normal 2 11 26 3 3" xfId="22610" xr:uid="{00000000-0005-0000-0000-0000A2570000}"/>
    <cellStyle name="Normal 2 11 26 4" xfId="22611" xr:uid="{00000000-0005-0000-0000-0000A3570000}"/>
    <cellStyle name="Normal 2 11 26 5" xfId="22612" xr:uid="{00000000-0005-0000-0000-0000A4570000}"/>
    <cellStyle name="Normal 2 11 26 6" xfId="22613" xr:uid="{00000000-0005-0000-0000-0000A5570000}"/>
    <cellStyle name="Normal 2 11 26 7" xfId="22614" xr:uid="{00000000-0005-0000-0000-0000A6570000}"/>
    <cellStyle name="Normal 2 11 27" xfId="22615" xr:uid="{00000000-0005-0000-0000-0000A7570000}"/>
    <cellStyle name="Normal 2 11 27 2" xfId="22616" xr:uid="{00000000-0005-0000-0000-0000A8570000}"/>
    <cellStyle name="Normal 2 11 27 3" xfId="22617" xr:uid="{00000000-0005-0000-0000-0000A9570000}"/>
    <cellStyle name="Normal 2 11 28" xfId="22618" xr:uid="{00000000-0005-0000-0000-0000AA570000}"/>
    <cellStyle name="Normal 2 11 28 2" xfId="22619" xr:uid="{00000000-0005-0000-0000-0000AB570000}"/>
    <cellStyle name="Normal 2 11 28 3" xfId="22620" xr:uid="{00000000-0005-0000-0000-0000AC570000}"/>
    <cellStyle name="Normal 2 11 29" xfId="22621" xr:uid="{00000000-0005-0000-0000-0000AD570000}"/>
    <cellStyle name="Normal 2 11 29 2" xfId="22622" xr:uid="{00000000-0005-0000-0000-0000AE570000}"/>
    <cellStyle name="Normal 2 11 29 3" xfId="22623" xr:uid="{00000000-0005-0000-0000-0000AF570000}"/>
    <cellStyle name="Normal 2 11 3" xfId="22624" xr:uid="{00000000-0005-0000-0000-0000B0570000}"/>
    <cellStyle name="Normal 2 11 3 2" xfId="22625" xr:uid="{00000000-0005-0000-0000-0000B1570000}"/>
    <cellStyle name="Normal 2 11 3 2 2" xfId="22626" xr:uid="{00000000-0005-0000-0000-0000B2570000}"/>
    <cellStyle name="Normal 2 11 3 2 2 2" xfId="22627" xr:uid="{00000000-0005-0000-0000-0000B3570000}"/>
    <cellStyle name="Normal 2 11 3 2 2 3" xfId="22628" xr:uid="{00000000-0005-0000-0000-0000B4570000}"/>
    <cellStyle name="Normal 2 11 3 2 3" xfId="22629" xr:uid="{00000000-0005-0000-0000-0000B5570000}"/>
    <cellStyle name="Normal 2 11 3 2 4" xfId="22630" xr:uid="{00000000-0005-0000-0000-0000B6570000}"/>
    <cellStyle name="Normal 2 11 3 3" xfId="22631" xr:uid="{00000000-0005-0000-0000-0000B7570000}"/>
    <cellStyle name="Normal 2 11 3 3 2" xfId="22632" xr:uid="{00000000-0005-0000-0000-0000B8570000}"/>
    <cellStyle name="Normal 2 11 3 3 3" xfId="22633" xr:uid="{00000000-0005-0000-0000-0000B9570000}"/>
    <cellStyle name="Normal 2 11 3 4" xfId="22634" xr:uid="{00000000-0005-0000-0000-0000BA570000}"/>
    <cellStyle name="Normal 2 11 30" xfId="22635" xr:uid="{00000000-0005-0000-0000-0000BB570000}"/>
    <cellStyle name="Normal 2 11 30 2" xfId="22636" xr:uid="{00000000-0005-0000-0000-0000BC570000}"/>
    <cellStyle name="Normal 2 11 30 3" xfId="22637" xr:uid="{00000000-0005-0000-0000-0000BD570000}"/>
    <cellStyle name="Normal 2 11 31" xfId="22638" xr:uid="{00000000-0005-0000-0000-0000BE570000}"/>
    <cellStyle name="Normal 2 11 31 2" xfId="22639" xr:uid="{00000000-0005-0000-0000-0000BF570000}"/>
    <cellStyle name="Normal 2 11 31 3" xfId="22640" xr:uid="{00000000-0005-0000-0000-0000C0570000}"/>
    <cellStyle name="Normal 2 11 32" xfId="22641" xr:uid="{00000000-0005-0000-0000-0000C1570000}"/>
    <cellStyle name="Normal 2 11 32 2" xfId="22642" xr:uid="{00000000-0005-0000-0000-0000C2570000}"/>
    <cellStyle name="Normal 2 11 32 3" xfId="22643" xr:uid="{00000000-0005-0000-0000-0000C3570000}"/>
    <cellStyle name="Normal 2 11 33" xfId="22644" xr:uid="{00000000-0005-0000-0000-0000C4570000}"/>
    <cellStyle name="Normal 2 11 33 2" xfId="22645" xr:uid="{00000000-0005-0000-0000-0000C5570000}"/>
    <cellStyle name="Normal 2 11 33 3" xfId="22646" xr:uid="{00000000-0005-0000-0000-0000C6570000}"/>
    <cellStyle name="Normal 2 11 34" xfId="22647" xr:uid="{00000000-0005-0000-0000-0000C7570000}"/>
    <cellStyle name="Normal 2 11 34 2" xfId="22648" xr:uid="{00000000-0005-0000-0000-0000C8570000}"/>
    <cellStyle name="Normal 2 11 34 3" xfId="22649" xr:uid="{00000000-0005-0000-0000-0000C9570000}"/>
    <cellStyle name="Normal 2 11 35" xfId="22650" xr:uid="{00000000-0005-0000-0000-0000CA570000}"/>
    <cellStyle name="Normal 2 11 35 2" xfId="22651" xr:uid="{00000000-0005-0000-0000-0000CB570000}"/>
    <cellStyle name="Normal 2 11 35 3" xfId="22652" xr:uid="{00000000-0005-0000-0000-0000CC570000}"/>
    <cellStyle name="Normal 2 11 36" xfId="22653" xr:uid="{00000000-0005-0000-0000-0000CD570000}"/>
    <cellStyle name="Normal 2 11 36 2" xfId="22654" xr:uid="{00000000-0005-0000-0000-0000CE570000}"/>
    <cellStyle name="Normal 2 11 36 3" xfId="22655" xr:uid="{00000000-0005-0000-0000-0000CF570000}"/>
    <cellStyle name="Normal 2 11 37" xfId="22656" xr:uid="{00000000-0005-0000-0000-0000D0570000}"/>
    <cellStyle name="Normal 2 11 37 2" xfId="22657" xr:uid="{00000000-0005-0000-0000-0000D1570000}"/>
    <cellStyle name="Normal 2 11 37 3" xfId="22658" xr:uid="{00000000-0005-0000-0000-0000D2570000}"/>
    <cellStyle name="Normal 2 11 38" xfId="22659" xr:uid="{00000000-0005-0000-0000-0000D3570000}"/>
    <cellStyle name="Normal 2 11 39" xfId="22660" xr:uid="{00000000-0005-0000-0000-0000D4570000}"/>
    <cellStyle name="Normal 2 11 4" xfId="22661" xr:uid="{00000000-0005-0000-0000-0000D5570000}"/>
    <cellStyle name="Normal 2 11 4 2" xfId="22662" xr:uid="{00000000-0005-0000-0000-0000D6570000}"/>
    <cellStyle name="Normal 2 11 4 2 2" xfId="22663" xr:uid="{00000000-0005-0000-0000-0000D7570000}"/>
    <cellStyle name="Normal 2 11 4 2 2 2" xfId="22664" xr:uid="{00000000-0005-0000-0000-0000D8570000}"/>
    <cellStyle name="Normal 2 11 4 2 2 3" xfId="22665" xr:uid="{00000000-0005-0000-0000-0000D9570000}"/>
    <cellStyle name="Normal 2 11 4 2 3" xfId="22666" xr:uid="{00000000-0005-0000-0000-0000DA570000}"/>
    <cellStyle name="Normal 2 11 4 2 4" xfId="22667" xr:uid="{00000000-0005-0000-0000-0000DB570000}"/>
    <cellStyle name="Normal 2 11 4 3" xfId="22668" xr:uid="{00000000-0005-0000-0000-0000DC570000}"/>
    <cellStyle name="Normal 2 11 4 3 2" xfId="22669" xr:uid="{00000000-0005-0000-0000-0000DD570000}"/>
    <cellStyle name="Normal 2 11 4 3 3" xfId="22670" xr:uid="{00000000-0005-0000-0000-0000DE570000}"/>
    <cellStyle name="Normal 2 11 4 4" xfId="22671" xr:uid="{00000000-0005-0000-0000-0000DF570000}"/>
    <cellStyle name="Normal 2 11 40" xfId="22672" xr:uid="{00000000-0005-0000-0000-0000E0570000}"/>
    <cellStyle name="Normal 2 11 41" xfId="61197" xr:uid="{DF9F7668-9068-4CF3-9BB8-0F0EC12316E0}"/>
    <cellStyle name="Normal 2 11 41 2" xfId="61204" xr:uid="{391992C2-7EBF-491D-9B06-B69A89C99A23}"/>
    <cellStyle name="Normal 2 11 5" xfId="22673" xr:uid="{00000000-0005-0000-0000-0000E1570000}"/>
    <cellStyle name="Normal 2 11 5 2" xfId="22674" xr:uid="{00000000-0005-0000-0000-0000E2570000}"/>
    <cellStyle name="Normal 2 11 5 2 2" xfId="22675" xr:uid="{00000000-0005-0000-0000-0000E3570000}"/>
    <cellStyle name="Normal 2 11 5 2 2 2" xfId="22676" xr:uid="{00000000-0005-0000-0000-0000E4570000}"/>
    <cellStyle name="Normal 2 11 5 2 2 3" xfId="22677" xr:uid="{00000000-0005-0000-0000-0000E5570000}"/>
    <cellStyle name="Normal 2 11 5 2 3" xfId="22678" xr:uid="{00000000-0005-0000-0000-0000E6570000}"/>
    <cellStyle name="Normal 2 11 5 2 4" xfId="22679" xr:uid="{00000000-0005-0000-0000-0000E7570000}"/>
    <cellStyle name="Normal 2 11 5 3" xfId="22680" xr:uid="{00000000-0005-0000-0000-0000E8570000}"/>
    <cellStyle name="Normal 2 11 5 3 2" xfId="22681" xr:uid="{00000000-0005-0000-0000-0000E9570000}"/>
    <cellStyle name="Normal 2 11 5 3 3" xfId="22682" xr:uid="{00000000-0005-0000-0000-0000EA570000}"/>
    <cellStyle name="Normal 2 11 5 4" xfId="22683" xr:uid="{00000000-0005-0000-0000-0000EB570000}"/>
    <cellStyle name="Normal 2 11 6" xfId="22684" xr:uid="{00000000-0005-0000-0000-0000EC570000}"/>
    <cellStyle name="Normal 2 11 6 2" xfId="22685" xr:uid="{00000000-0005-0000-0000-0000ED570000}"/>
    <cellStyle name="Normal 2 11 6 2 2" xfId="22686" xr:uid="{00000000-0005-0000-0000-0000EE570000}"/>
    <cellStyle name="Normal 2 11 6 2 2 2" xfId="22687" xr:uid="{00000000-0005-0000-0000-0000EF570000}"/>
    <cellStyle name="Normal 2 11 6 2 2 3" xfId="22688" xr:uid="{00000000-0005-0000-0000-0000F0570000}"/>
    <cellStyle name="Normal 2 11 6 2 3" xfId="22689" xr:uid="{00000000-0005-0000-0000-0000F1570000}"/>
    <cellStyle name="Normal 2 11 6 2 4" xfId="22690" xr:uid="{00000000-0005-0000-0000-0000F2570000}"/>
    <cellStyle name="Normal 2 11 6 3" xfId="22691" xr:uid="{00000000-0005-0000-0000-0000F3570000}"/>
    <cellStyle name="Normal 2 11 6 3 2" xfId="22692" xr:uid="{00000000-0005-0000-0000-0000F4570000}"/>
    <cellStyle name="Normal 2 11 6 3 3" xfId="22693" xr:uid="{00000000-0005-0000-0000-0000F5570000}"/>
    <cellStyle name="Normal 2 11 6 4" xfId="22694" xr:uid="{00000000-0005-0000-0000-0000F6570000}"/>
    <cellStyle name="Normal 2 11 7" xfId="22695" xr:uid="{00000000-0005-0000-0000-0000F7570000}"/>
    <cellStyle name="Normal 2 11 7 2" xfId="22696" xr:uid="{00000000-0005-0000-0000-0000F8570000}"/>
    <cellStyle name="Normal 2 11 7 2 2" xfId="22697" xr:uid="{00000000-0005-0000-0000-0000F9570000}"/>
    <cellStyle name="Normal 2 11 7 2 2 2" xfId="22698" xr:uid="{00000000-0005-0000-0000-0000FA570000}"/>
    <cellStyle name="Normal 2 11 7 2 2 3" xfId="22699" xr:uid="{00000000-0005-0000-0000-0000FB570000}"/>
    <cellStyle name="Normal 2 11 7 2 3" xfId="22700" xr:uid="{00000000-0005-0000-0000-0000FC570000}"/>
    <cellStyle name="Normal 2 11 7 2 4" xfId="22701" xr:uid="{00000000-0005-0000-0000-0000FD570000}"/>
    <cellStyle name="Normal 2 11 7 3" xfId="22702" xr:uid="{00000000-0005-0000-0000-0000FE570000}"/>
    <cellStyle name="Normal 2 11 7 3 2" xfId="22703" xr:uid="{00000000-0005-0000-0000-0000FF570000}"/>
    <cellStyle name="Normal 2 11 7 3 3" xfId="22704" xr:uid="{00000000-0005-0000-0000-000000580000}"/>
    <cellStyle name="Normal 2 11 7 4" xfId="22705" xr:uid="{00000000-0005-0000-0000-000001580000}"/>
    <cellStyle name="Normal 2 11 8" xfId="22706" xr:uid="{00000000-0005-0000-0000-000002580000}"/>
    <cellStyle name="Normal 2 11 8 2" xfId="22707" xr:uid="{00000000-0005-0000-0000-000003580000}"/>
    <cellStyle name="Normal 2 11 8 2 2" xfId="22708" xr:uid="{00000000-0005-0000-0000-000004580000}"/>
    <cellStyle name="Normal 2 11 8 2 2 2" xfId="22709" xr:uid="{00000000-0005-0000-0000-000005580000}"/>
    <cellStyle name="Normal 2 11 8 2 2 3" xfId="22710" xr:uid="{00000000-0005-0000-0000-000006580000}"/>
    <cellStyle name="Normal 2 11 8 2 3" xfId="22711" xr:uid="{00000000-0005-0000-0000-000007580000}"/>
    <cellStyle name="Normal 2 11 8 2 4" xfId="22712" xr:uid="{00000000-0005-0000-0000-000008580000}"/>
    <cellStyle name="Normal 2 11 8 3" xfId="22713" xr:uid="{00000000-0005-0000-0000-000009580000}"/>
    <cellStyle name="Normal 2 11 8 3 2" xfId="22714" xr:uid="{00000000-0005-0000-0000-00000A580000}"/>
    <cellStyle name="Normal 2 11 8 3 3" xfId="22715" xr:uid="{00000000-0005-0000-0000-00000B580000}"/>
    <cellStyle name="Normal 2 11 8 4" xfId="22716" xr:uid="{00000000-0005-0000-0000-00000C580000}"/>
    <cellStyle name="Normal 2 11 9" xfId="22717" xr:uid="{00000000-0005-0000-0000-00000D580000}"/>
    <cellStyle name="Normal 2 11 9 2" xfId="22718" xr:uid="{00000000-0005-0000-0000-00000E580000}"/>
    <cellStyle name="Normal 2 11 9 2 2" xfId="22719" xr:uid="{00000000-0005-0000-0000-00000F580000}"/>
    <cellStyle name="Normal 2 11 9 2 2 2" xfId="22720" xr:uid="{00000000-0005-0000-0000-000010580000}"/>
    <cellStyle name="Normal 2 11 9 2 2 3" xfId="22721" xr:uid="{00000000-0005-0000-0000-000011580000}"/>
    <cellStyle name="Normal 2 11 9 2 3" xfId="22722" xr:uid="{00000000-0005-0000-0000-000012580000}"/>
    <cellStyle name="Normal 2 11 9 2 4" xfId="22723" xr:uid="{00000000-0005-0000-0000-000013580000}"/>
    <cellStyle name="Normal 2 11 9 3" xfId="22724" xr:uid="{00000000-0005-0000-0000-000014580000}"/>
    <cellStyle name="Normal 2 11 9 3 2" xfId="22725" xr:uid="{00000000-0005-0000-0000-000015580000}"/>
    <cellStyle name="Normal 2 11 9 3 3" xfId="22726" xr:uid="{00000000-0005-0000-0000-000016580000}"/>
    <cellStyle name="Normal 2 11 9 4" xfId="22727" xr:uid="{00000000-0005-0000-0000-000017580000}"/>
    <cellStyle name="Normal 2 11_Dec monthly report" xfId="22728" xr:uid="{00000000-0005-0000-0000-000018580000}"/>
    <cellStyle name="Normal 2 110" xfId="22729" xr:uid="{00000000-0005-0000-0000-000019580000}"/>
    <cellStyle name="Normal 2 111" xfId="22730" xr:uid="{00000000-0005-0000-0000-00001A580000}"/>
    <cellStyle name="Normal 2 112" xfId="22731" xr:uid="{00000000-0005-0000-0000-00001B580000}"/>
    <cellStyle name="Normal 2 112 2" xfId="22732" xr:uid="{00000000-0005-0000-0000-00001C580000}"/>
    <cellStyle name="Normal 2 113" xfId="22733" xr:uid="{00000000-0005-0000-0000-00001D580000}"/>
    <cellStyle name="Normal 2 114" xfId="22734" xr:uid="{00000000-0005-0000-0000-00001E580000}"/>
    <cellStyle name="Normal 2 115" xfId="22735" xr:uid="{00000000-0005-0000-0000-00001F580000}"/>
    <cellStyle name="Normal 2 116" xfId="22736" xr:uid="{00000000-0005-0000-0000-000020580000}"/>
    <cellStyle name="Normal 2 117" xfId="22737" xr:uid="{00000000-0005-0000-0000-000021580000}"/>
    <cellStyle name="Normal 2 118" xfId="22738" xr:uid="{00000000-0005-0000-0000-000022580000}"/>
    <cellStyle name="Normal 2 119" xfId="22739" xr:uid="{00000000-0005-0000-0000-000023580000}"/>
    <cellStyle name="Normal 2 12" xfId="22740" xr:uid="{00000000-0005-0000-0000-000024580000}"/>
    <cellStyle name="Normal 2 12 10" xfId="22741" xr:uid="{00000000-0005-0000-0000-000025580000}"/>
    <cellStyle name="Normal 2 12 10 2" xfId="22742" xr:uid="{00000000-0005-0000-0000-000026580000}"/>
    <cellStyle name="Normal 2 12 10 2 2" xfId="22743" xr:uid="{00000000-0005-0000-0000-000027580000}"/>
    <cellStyle name="Normal 2 12 10 2 2 2" xfId="22744" xr:uid="{00000000-0005-0000-0000-000028580000}"/>
    <cellStyle name="Normal 2 12 10 2 2 3" xfId="22745" xr:uid="{00000000-0005-0000-0000-000029580000}"/>
    <cellStyle name="Normal 2 12 10 2 3" xfId="22746" xr:uid="{00000000-0005-0000-0000-00002A580000}"/>
    <cellStyle name="Normal 2 12 10 2 4" xfId="22747" xr:uid="{00000000-0005-0000-0000-00002B580000}"/>
    <cellStyle name="Normal 2 12 10 3" xfId="22748" xr:uid="{00000000-0005-0000-0000-00002C580000}"/>
    <cellStyle name="Normal 2 12 10 3 2" xfId="22749" xr:uid="{00000000-0005-0000-0000-00002D580000}"/>
    <cellStyle name="Normal 2 12 10 3 3" xfId="22750" xr:uid="{00000000-0005-0000-0000-00002E580000}"/>
    <cellStyle name="Normal 2 12 10 4" xfId="22751" xr:uid="{00000000-0005-0000-0000-00002F580000}"/>
    <cellStyle name="Normal 2 12 11" xfId="22752" xr:uid="{00000000-0005-0000-0000-000030580000}"/>
    <cellStyle name="Normal 2 12 11 2" xfId="22753" xr:uid="{00000000-0005-0000-0000-000031580000}"/>
    <cellStyle name="Normal 2 12 11 2 2" xfId="22754" xr:uid="{00000000-0005-0000-0000-000032580000}"/>
    <cellStyle name="Normal 2 12 11 2 2 2" xfId="22755" xr:uid="{00000000-0005-0000-0000-000033580000}"/>
    <cellStyle name="Normal 2 12 11 2 2 3" xfId="22756" xr:uid="{00000000-0005-0000-0000-000034580000}"/>
    <cellStyle name="Normal 2 12 11 2 3" xfId="22757" xr:uid="{00000000-0005-0000-0000-000035580000}"/>
    <cellStyle name="Normal 2 12 11 2 4" xfId="22758" xr:uid="{00000000-0005-0000-0000-000036580000}"/>
    <cellStyle name="Normal 2 12 11 3" xfId="22759" xr:uid="{00000000-0005-0000-0000-000037580000}"/>
    <cellStyle name="Normal 2 12 11 3 2" xfId="22760" xr:uid="{00000000-0005-0000-0000-000038580000}"/>
    <cellStyle name="Normal 2 12 11 3 3" xfId="22761" xr:uid="{00000000-0005-0000-0000-000039580000}"/>
    <cellStyle name="Normal 2 12 11 4" xfId="22762" xr:uid="{00000000-0005-0000-0000-00003A580000}"/>
    <cellStyle name="Normal 2 12 12" xfId="22763" xr:uid="{00000000-0005-0000-0000-00003B580000}"/>
    <cellStyle name="Normal 2 12 12 2" xfId="22764" xr:uid="{00000000-0005-0000-0000-00003C580000}"/>
    <cellStyle name="Normal 2 12 12 2 2" xfId="22765" xr:uid="{00000000-0005-0000-0000-00003D580000}"/>
    <cellStyle name="Normal 2 12 12 2 2 2" xfId="22766" xr:uid="{00000000-0005-0000-0000-00003E580000}"/>
    <cellStyle name="Normal 2 12 12 2 2 3" xfId="22767" xr:uid="{00000000-0005-0000-0000-00003F580000}"/>
    <cellStyle name="Normal 2 12 12 2 3" xfId="22768" xr:uid="{00000000-0005-0000-0000-000040580000}"/>
    <cellStyle name="Normal 2 12 12 2 4" xfId="22769" xr:uid="{00000000-0005-0000-0000-000041580000}"/>
    <cellStyle name="Normal 2 12 12 3" xfId="22770" xr:uid="{00000000-0005-0000-0000-000042580000}"/>
    <cellStyle name="Normal 2 12 12 3 2" xfId="22771" xr:uid="{00000000-0005-0000-0000-000043580000}"/>
    <cellStyle name="Normal 2 12 12 3 3" xfId="22772" xr:uid="{00000000-0005-0000-0000-000044580000}"/>
    <cellStyle name="Normal 2 12 12 4" xfId="22773" xr:uid="{00000000-0005-0000-0000-000045580000}"/>
    <cellStyle name="Normal 2 12 13" xfId="22774" xr:uid="{00000000-0005-0000-0000-000046580000}"/>
    <cellStyle name="Normal 2 12 13 2" xfId="22775" xr:uid="{00000000-0005-0000-0000-000047580000}"/>
    <cellStyle name="Normal 2 12 13 2 2" xfId="22776" xr:uid="{00000000-0005-0000-0000-000048580000}"/>
    <cellStyle name="Normal 2 12 13 2 2 2" xfId="22777" xr:uid="{00000000-0005-0000-0000-000049580000}"/>
    <cellStyle name="Normal 2 12 13 2 2 3" xfId="22778" xr:uid="{00000000-0005-0000-0000-00004A580000}"/>
    <cellStyle name="Normal 2 12 13 2 3" xfId="22779" xr:uid="{00000000-0005-0000-0000-00004B580000}"/>
    <cellStyle name="Normal 2 12 13 2 4" xfId="22780" xr:uid="{00000000-0005-0000-0000-00004C580000}"/>
    <cellStyle name="Normal 2 12 13 3" xfId="22781" xr:uid="{00000000-0005-0000-0000-00004D580000}"/>
    <cellStyle name="Normal 2 12 13 3 2" xfId="22782" xr:uid="{00000000-0005-0000-0000-00004E580000}"/>
    <cellStyle name="Normal 2 12 13 3 3" xfId="22783" xr:uid="{00000000-0005-0000-0000-00004F580000}"/>
    <cellStyle name="Normal 2 12 13 4" xfId="22784" xr:uid="{00000000-0005-0000-0000-000050580000}"/>
    <cellStyle name="Normal 2 12 14" xfId="22785" xr:uid="{00000000-0005-0000-0000-000051580000}"/>
    <cellStyle name="Normal 2 12 14 2" xfId="22786" xr:uid="{00000000-0005-0000-0000-000052580000}"/>
    <cellStyle name="Normal 2 12 14 2 2" xfId="22787" xr:uid="{00000000-0005-0000-0000-000053580000}"/>
    <cellStyle name="Normal 2 12 14 2 2 2" xfId="22788" xr:uid="{00000000-0005-0000-0000-000054580000}"/>
    <cellStyle name="Normal 2 12 14 2 2 3" xfId="22789" xr:uid="{00000000-0005-0000-0000-000055580000}"/>
    <cellStyle name="Normal 2 12 14 2 3" xfId="22790" xr:uid="{00000000-0005-0000-0000-000056580000}"/>
    <cellStyle name="Normal 2 12 14 2 4" xfId="22791" xr:uid="{00000000-0005-0000-0000-000057580000}"/>
    <cellStyle name="Normal 2 12 14 3" xfId="22792" xr:uid="{00000000-0005-0000-0000-000058580000}"/>
    <cellStyle name="Normal 2 12 14 3 2" xfId="22793" xr:uid="{00000000-0005-0000-0000-000059580000}"/>
    <cellStyle name="Normal 2 12 14 3 3" xfId="22794" xr:uid="{00000000-0005-0000-0000-00005A580000}"/>
    <cellStyle name="Normal 2 12 14 4" xfId="22795" xr:uid="{00000000-0005-0000-0000-00005B580000}"/>
    <cellStyle name="Normal 2 12 15" xfId="22796" xr:uid="{00000000-0005-0000-0000-00005C580000}"/>
    <cellStyle name="Normal 2 12 15 2" xfId="22797" xr:uid="{00000000-0005-0000-0000-00005D580000}"/>
    <cellStyle name="Normal 2 12 15 2 2" xfId="22798" xr:uid="{00000000-0005-0000-0000-00005E580000}"/>
    <cellStyle name="Normal 2 12 15 2 2 2" xfId="22799" xr:uid="{00000000-0005-0000-0000-00005F580000}"/>
    <cellStyle name="Normal 2 12 15 2 2 3" xfId="22800" xr:uid="{00000000-0005-0000-0000-000060580000}"/>
    <cellStyle name="Normal 2 12 15 2 3" xfId="22801" xr:uid="{00000000-0005-0000-0000-000061580000}"/>
    <cellStyle name="Normal 2 12 15 2 4" xfId="22802" xr:uid="{00000000-0005-0000-0000-000062580000}"/>
    <cellStyle name="Normal 2 12 15 3" xfId="22803" xr:uid="{00000000-0005-0000-0000-000063580000}"/>
    <cellStyle name="Normal 2 12 15 3 2" xfId="22804" xr:uid="{00000000-0005-0000-0000-000064580000}"/>
    <cellStyle name="Normal 2 12 15 3 3" xfId="22805" xr:uid="{00000000-0005-0000-0000-000065580000}"/>
    <cellStyle name="Normal 2 12 15 4" xfId="22806" xr:uid="{00000000-0005-0000-0000-000066580000}"/>
    <cellStyle name="Normal 2 12 16" xfId="22807" xr:uid="{00000000-0005-0000-0000-000067580000}"/>
    <cellStyle name="Normal 2 12 16 2" xfId="22808" xr:uid="{00000000-0005-0000-0000-000068580000}"/>
    <cellStyle name="Normal 2 12 16 2 2" xfId="22809" xr:uid="{00000000-0005-0000-0000-000069580000}"/>
    <cellStyle name="Normal 2 12 16 2 2 2" xfId="22810" xr:uid="{00000000-0005-0000-0000-00006A580000}"/>
    <cellStyle name="Normal 2 12 16 2 2 3" xfId="22811" xr:uid="{00000000-0005-0000-0000-00006B580000}"/>
    <cellStyle name="Normal 2 12 16 2 3" xfId="22812" xr:uid="{00000000-0005-0000-0000-00006C580000}"/>
    <cellStyle name="Normal 2 12 16 2 4" xfId="22813" xr:uid="{00000000-0005-0000-0000-00006D580000}"/>
    <cellStyle name="Normal 2 12 16 3" xfId="22814" xr:uid="{00000000-0005-0000-0000-00006E580000}"/>
    <cellStyle name="Normal 2 12 16 3 2" xfId="22815" xr:uid="{00000000-0005-0000-0000-00006F580000}"/>
    <cellStyle name="Normal 2 12 16 3 3" xfId="22816" xr:uid="{00000000-0005-0000-0000-000070580000}"/>
    <cellStyle name="Normal 2 12 16 4" xfId="22817" xr:uid="{00000000-0005-0000-0000-000071580000}"/>
    <cellStyle name="Normal 2 12 17" xfId="22818" xr:uid="{00000000-0005-0000-0000-000072580000}"/>
    <cellStyle name="Normal 2 12 17 2" xfId="22819" xr:uid="{00000000-0005-0000-0000-000073580000}"/>
    <cellStyle name="Normal 2 12 17 2 2" xfId="22820" xr:uid="{00000000-0005-0000-0000-000074580000}"/>
    <cellStyle name="Normal 2 12 17 2 2 2" xfId="22821" xr:uid="{00000000-0005-0000-0000-000075580000}"/>
    <cellStyle name="Normal 2 12 17 2 2 3" xfId="22822" xr:uid="{00000000-0005-0000-0000-000076580000}"/>
    <cellStyle name="Normal 2 12 17 2 3" xfId="22823" xr:uid="{00000000-0005-0000-0000-000077580000}"/>
    <cellStyle name="Normal 2 12 17 2 4" xfId="22824" xr:uid="{00000000-0005-0000-0000-000078580000}"/>
    <cellStyle name="Normal 2 12 17 3" xfId="22825" xr:uid="{00000000-0005-0000-0000-000079580000}"/>
    <cellStyle name="Normal 2 12 17 3 2" xfId="22826" xr:uid="{00000000-0005-0000-0000-00007A580000}"/>
    <cellStyle name="Normal 2 12 17 3 3" xfId="22827" xr:uid="{00000000-0005-0000-0000-00007B580000}"/>
    <cellStyle name="Normal 2 12 17 4" xfId="22828" xr:uid="{00000000-0005-0000-0000-00007C580000}"/>
    <cellStyle name="Normal 2 12 18" xfId="22829" xr:uid="{00000000-0005-0000-0000-00007D580000}"/>
    <cellStyle name="Normal 2 12 18 2" xfId="22830" xr:uid="{00000000-0005-0000-0000-00007E580000}"/>
    <cellStyle name="Normal 2 12 18 2 2" xfId="22831" xr:uid="{00000000-0005-0000-0000-00007F580000}"/>
    <cellStyle name="Normal 2 12 18 2 2 2" xfId="22832" xr:uid="{00000000-0005-0000-0000-000080580000}"/>
    <cellStyle name="Normal 2 12 18 2 2 3" xfId="22833" xr:uid="{00000000-0005-0000-0000-000081580000}"/>
    <cellStyle name="Normal 2 12 18 2 3" xfId="22834" xr:uid="{00000000-0005-0000-0000-000082580000}"/>
    <cellStyle name="Normal 2 12 18 2 4" xfId="22835" xr:uid="{00000000-0005-0000-0000-000083580000}"/>
    <cellStyle name="Normal 2 12 18 3" xfId="22836" xr:uid="{00000000-0005-0000-0000-000084580000}"/>
    <cellStyle name="Normal 2 12 18 3 2" xfId="22837" xr:uid="{00000000-0005-0000-0000-000085580000}"/>
    <cellStyle name="Normal 2 12 18 3 3" xfId="22838" xr:uid="{00000000-0005-0000-0000-000086580000}"/>
    <cellStyle name="Normal 2 12 18 4" xfId="22839" xr:uid="{00000000-0005-0000-0000-000087580000}"/>
    <cellStyle name="Normal 2 12 19" xfId="22840" xr:uid="{00000000-0005-0000-0000-000088580000}"/>
    <cellStyle name="Normal 2 12 19 2" xfId="22841" xr:uid="{00000000-0005-0000-0000-000089580000}"/>
    <cellStyle name="Normal 2 12 19 2 2" xfId="22842" xr:uid="{00000000-0005-0000-0000-00008A580000}"/>
    <cellStyle name="Normal 2 12 19 2 2 2" xfId="22843" xr:uid="{00000000-0005-0000-0000-00008B580000}"/>
    <cellStyle name="Normal 2 12 19 2 2 3" xfId="22844" xr:uid="{00000000-0005-0000-0000-00008C580000}"/>
    <cellStyle name="Normal 2 12 19 2 3" xfId="22845" xr:uid="{00000000-0005-0000-0000-00008D580000}"/>
    <cellStyle name="Normal 2 12 19 2 4" xfId="22846" xr:uid="{00000000-0005-0000-0000-00008E580000}"/>
    <cellStyle name="Normal 2 12 19 3" xfId="22847" xr:uid="{00000000-0005-0000-0000-00008F580000}"/>
    <cellStyle name="Normal 2 12 19 3 2" xfId="22848" xr:uid="{00000000-0005-0000-0000-000090580000}"/>
    <cellStyle name="Normal 2 12 19 3 3" xfId="22849" xr:uid="{00000000-0005-0000-0000-000091580000}"/>
    <cellStyle name="Normal 2 12 19 4" xfId="22850" xr:uid="{00000000-0005-0000-0000-000092580000}"/>
    <cellStyle name="Normal 2 12 2" xfId="22851" xr:uid="{00000000-0005-0000-0000-000093580000}"/>
    <cellStyle name="Normal 2 12 2 2" xfId="22852" xr:uid="{00000000-0005-0000-0000-000094580000}"/>
    <cellStyle name="Normal 2 12 2 2 2" xfId="22853" xr:uid="{00000000-0005-0000-0000-000095580000}"/>
    <cellStyle name="Normal 2 12 2 2 2 2" xfId="22854" xr:uid="{00000000-0005-0000-0000-000096580000}"/>
    <cellStyle name="Normal 2 12 2 2 2 3" xfId="22855" xr:uid="{00000000-0005-0000-0000-000097580000}"/>
    <cellStyle name="Normal 2 12 2 2 3" xfId="22856" xr:uid="{00000000-0005-0000-0000-000098580000}"/>
    <cellStyle name="Normal 2 12 2 2 4" xfId="22857" xr:uid="{00000000-0005-0000-0000-000099580000}"/>
    <cellStyle name="Normal 2 12 2 3" xfId="22858" xr:uid="{00000000-0005-0000-0000-00009A580000}"/>
    <cellStyle name="Normal 2 12 2 3 2" xfId="22859" xr:uid="{00000000-0005-0000-0000-00009B580000}"/>
    <cellStyle name="Normal 2 12 2 3 3" xfId="22860" xr:uid="{00000000-0005-0000-0000-00009C580000}"/>
    <cellStyle name="Normal 2 12 2 4" xfId="22861" xr:uid="{00000000-0005-0000-0000-00009D580000}"/>
    <cellStyle name="Normal 2 12 20" xfId="22862" xr:uid="{00000000-0005-0000-0000-00009E580000}"/>
    <cellStyle name="Normal 2 12 20 2" xfId="22863" xr:uid="{00000000-0005-0000-0000-00009F580000}"/>
    <cellStyle name="Normal 2 12 20 2 2" xfId="22864" xr:uid="{00000000-0005-0000-0000-0000A0580000}"/>
    <cellStyle name="Normal 2 12 20 2 2 2" xfId="22865" xr:uid="{00000000-0005-0000-0000-0000A1580000}"/>
    <cellStyle name="Normal 2 12 20 2 2 3" xfId="22866" xr:uid="{00000000-0005-0000-0000-0000A2580000}"/>
    <cellStyle name="Normal 2 12 20 2 3" xfId="22867" xr:uid="{00000000-0005-0000-0000-0000A3580000}"/>
    <cellStyle name="Normal 2 12 20 2 4" xfId="22868" xr:uid="{00000000-0005-0000-0000-0000A4580000}"/>
    <cellStyle name="Normal 2 12 20 3" xfId="22869" xr:uid="{00000000-0005-0000-0000-0000A5580000}"/>
    <cellStyle name="Normal 2 12 20 3 2" xfId="22870" xr:uid="{00000000-0005-0000-0000-0000A6580000}"/>
    <cellStyle name="Normal 2 12 20 3 3" xfId="22871" xr:uid="{00000000-0005-0000-0000-0000A7580000}"/>
    <cellStyle name="Normal 2 12 20 4" xfId="22872" xr:uid="{00000000-0005-0000-0000-0000A8580000}"/>
    <cellStyle name="Normal 2 12 21" xfId="22873" xr:uid="{00000000-0005-0000-0000-0000A9580000}"/>
    <cellStyle name="Normal 2 12 21 2" xfId="22874" xr:uid="{00000000-0005-0000-0000-0000AA580000}"/>
    <cellStyle name="Normal 2 12 21 2 2" xfId="22875" xr:uid="{00000000-0005-0000-0000-0000AB580000}"/>
    <cellStyle name="Normal 2 12 21 2 2 2" xfId="22876" xr:uid="{00000000-0005-0000-0000-0000AC580000}"/>
    <cellStyle name="Normal 2 12 21 2 2 3" xfId="22877" xr:uid="{00000000-0005-0000-0000-0000AD580000}"/>
    <cellStyle name="Normal 2 12 21 2 3" xfId="22878" xr:uid="{00000000-0005-0000-0000-0000AE580000}"/>
    <cellStyle name="Normal 2 12 21 2 4" xfId="22879" xr:uid="{00000000-0005-0000-0000-0000AF580000}"/>
    <cellStyle name="Normal 2 12 21 3" xfId="22880" xr:uid="{00000000-0005-0000-0000-0000B0580000}"/>
    <cellStyle name="Normal 2 12 21 3 2" xfId="22881" xr:uid="{00000000-0005-0000-0000-0000B1580000}"/>
    <cellStyle name="Normal 2 12 21 3 3" xfId="22882" xr:uid="{00000000-0005-0000-0000-0000B2580000}"/>
    <cellStyle name="Normal 2 12 21 4" xfId="22883" xr:uid="{00000000-0005-0000-0000-0000B3580000}"/>
    <cellStyle name="Normal 2 12 22" xfId="22884" xr:uid="{00000000-0005-0000-0000-0000B4580000}"/>
    <cellStyle name="Normal 2 12 22 2" xfId="22885" xr:uid="{00000000-0005-0000-0000-0000B5580000}"/>
    <cellStyle name="Normal 2 12 22 2 2" xfId="22886" xr:uid="{00000000-0005-0000-0000-0000B6580000}"/>
    <cellStyle name="Normal 2 12 22 2 2 2" xfId="22887" xr:uid="{00000000-0005-0000-0000-0000B7580000}"/>
    <cellStyle name="Normal 2 12 22 2 2 3" xfId="22888" xr:uid="{00000000-0005-0000-0000-0000B8580000}"/>
    <cellStyle name="Normal 2 12 22 2 3" xfId="22889" xr:uid="{00000000-0005-0000-0000-0000B9580000}"/>
    <cellStyle name="Normal 2 12 22 2 4" xfId="22890" xr:uid="{00000000-0005-0000-0000-0000BA580000}"/>
    <cellStyle name="Normal 2 12 22 3" xfId="22891" xr:uid="{00000000-0005-0000-0000-0000BB580000}"/>
    <cellStyle name="Normal 2 12 22 3 2" xfId="22892" xr:uid="{00000000-0005-0000-0000-0000BC580000}"/>
    <cellStyle name="Normal 2 12 22 3 3" xfId="22893" xr:uid="{00000000-0005-0000-0000-0000BD580000}"/>
    <cellStyle name="Normal 2 12 22 4" xfId="22894" xr:uid="{00000000-0005-0000-0000-0000BE580000}"/>
    <cellStyle name="Normal 2 12 23" xfId="22895" xr:uid="{00000000-0005-0000-0000-0000BF580000}"/>
    <cellStyle name="Normal 2 12 23 2" xfId="22896" xr:uid="{00000000-0005-0000-0000-0000C0580000}"/>
    <cellStyle name="Normal 2 12 23 2 2" xfId="22897" xr:uid="{00000000-0005-0000-0000-0000C1580000}"/>
    <cellStyle name="Normal 2 12 23 2 2 2" xfId="22898" xr:uid="{00000000-0005-0000-0000-0000C2580000}"/>
    <cellStyle name="Normal 2 12 23 2 2 3" xfId="22899" xr:uid="{00000000-0005-0000-0000-0000C3580000}"/>
    <cellStyle name="Normal 2 12 23 2 3" xfId="22900" xr:uid="{00000000-0005-0000-0000-0000C4580000}"/>
    <cellStyle name="Normal 2 12 23 2 4" xfId="22901" xr:uid="{00000000-0005-0000-0000-0000C5580000}"/>
    <cellStyle name="Normal 2 12 23 3" xfId="22902" xr:uid="{00000000-0005-0000-0000-0000C6580000}"/>
    <cellStyle name="Normal 2 12 23 3 2" xfId="22903" xr:uid="{00000000-0005-0000-0000-0000C7580000}"/>
    <cellStyle name="Normal 2 12 23 3 3" xfId="22904" xr:uid="{00000000-0005-0000-0000-0000C8580000}"/>
    <cellStyle name="Normal 2 12 23 4" xfId="22905" xr:uid="{00000000-0005-0000-0000-0000C9580000}"/>
    <cellStyle name="Normal 2 12 24" xfId="22906" xr:uid="{00000000-0005-0000-0000-0000CA580000}"/>
    <cellStyle name="Normal 2 12 24 2" xfId="22907" xr:uid="{00000000-0005-0000-0000-0000CB580000}"/>
    <cellStyle name="Normal 2 12 24 2 2" xfId="22908" xr:uid="{00000000-0005-0000-0000-0000CC580000}"/>
    <cellStyle name="Normal 2 12 24 2 3" xfId="22909" xr:uid="{00000000-0005-0000-0000-0000CD580000}"/>
    <cellStyle name="Normal 2 12 24 3" xfId="22910" xr:uid="{00000000-0005-0000-0000-0000CE580000}"/>
    <cellStyle name="Normal 2 12 24 4" xfId="22911" xr:uid="{00000000-0005-0000-0000-0000CF580000}"/>
    <cellStyle name="Normal 2 12 25" xfId="22912" xr:uid="{00000000-0005-0000-0000-0000D0580000}"/>
    <cellStyle name="Normal 2 12 25 2" xfId="22913" xr:uid="{00000000-0005-0000-0000-0000D1580000}"/>
    <cellStyle name="Normal 2 12 25 3" xfId="22914" xr:uid="{00000000-0005-0000-0000-0000D2580000}"/>
    <cellStyle name="Normal 2 12 26" xfId="22915" xr:uid="{00000000-0005-0000-0000-0000D3580000}"/>
    <cellStyle name="Normal 2 12 27" xfId="22916" xr:uid="{00000000-0005-0000-0000-0000D4580000}"/>
    <cellStyle name="Normal 2 12 3" xfId="22917" xr:uid="{00000000-0005-0000-0000-0000D5580000}"/>
    <cellStyle name="Normal 2 12 3 2" xfId="22918" xr:uid="{00000000-0005-0000-0000-0000D6580000}"/>
    <cellStyle name="Normal 2 12 3 2 2" xfId="22919" xr:uid="{00000000-0005-0000-0000-0000D7580000}"/>
    <cellStyle name="Normal 2 12 3 2 2 2" xfId="22920" xr:uid="{00000000-0005-0000-0000-0000D8580000}"/>
    <cellStyle name="Normal 2 12 3 2 2 3" xfId="22921" xr:uid="{00000000-0005-0000-0000-0000D9580000}"/>
    <cellStyle name="Normal 2 12 3 2 3" xfId="22922" xr:uid="{00000000-0005-0000-0000-0000DA580000}"/>
    <cellStyle name="Normal 2 12 3 2 4" xfId="22923" xr:uid="{00000000-0005-0000-0000-0000DB580000}"/>
    <cellStyle name="Normal 2 12 3 3" xfId="22924" xr:uid="{00000000-0005-0000-0000-0000DC580000}"/>
    <cellStyle name="Normal 2 12 3 3 2" xfId="22925" xr:uid="{00000000-0005-0000-0000-0000DD580000}"/>
    <cellStyle name="Normal 2 12 3 3 3" xfId="22926" xr:uid="{00000000-0005-0000-0000-0000DE580000}"/>
    <cellStyle name="Normal 2 12 3 4" xfId="22927" xr:uid="{00000000-0005-0000-0000-0000DF580000}"/>
    <cellStyle name="Normal 2 12 4" xfId="22928" xr:uid="{00000000-0005-0000-0000-0000E0580000}"/>
    <cellStyle name="Normal 2 12 4 2" xfId="22929" xr:uid="{00000000-0005-0000-0000-0000E1580000}"/>
    <cellStyle name="Normal 2 12 4 2 2" xfId="22930" xr:uid="{00000000-0005-0000-0000-0000E2580000}"/>
    <cellStyle name="Normal 2 12 4 2 2 2" xfId="22931" xr:uid="{00000000-0005-0000-0000-0000E3580000}"/>
    <cellStyle name="Normal 2 12 4 2 2 3" xfId="22932" xr:uid="{00000000-0005-0000-0000-0000E4580000}"/>
    <cellStyle name="Normal 2 12 4 2 3" xfId="22933" xr:uid="{00000000-0005-0000-0000-0000E5580000}"/>
    <cellStyle name="Normal 2 12 4 2 4" xfId="22934" xr:uid="{00000000-0005-0000-0000-0000E6580000}"/>
    <cellStyle name="Normal 2 12 4 3" xfId="22935" xr:uid="{00000000-0005-0000-0000-0000E7580000}"/>
    <cellStyle name="Normal 2 12 4 3 2" xfId="22936" xr:uid="{00000000-0005-0000-0000-0000E8580000}"/>
    <cellStyle name="Normal 2 12 4 3 3" xfId="22937" xr:uid="{00000000-0005-0000-0000-0000E9580000}"/>
    <cellStyle name="Normal 2 12 4 4" xfId="22938" xr:uid="{00000000-0005-0000-0000-0000EA580000}"/>
    <cellStyle name="Normal 2 12 5" xfId="22939" xr:uid="{00000000-0005-0000-0000-0000EB580000}"/>
    <cellStyle name="Normal 2 12 5 2" xfId="22940" xr:uid="{00000000-0005-0000-0000-0000EC580000}"/>
    <cellStyle name="Normal 2 12 5 2 2" xfId="22941" xr:uid="{00000000-0005-0000-0000-0000ED580000}"/>
    <cellStyle name="Normal 2 12 5 2 2 2" xfId="22942" xr:uid="{00000000-0005-0000-0000-0000EE580000}"/>
    <cellStyle name="Normal 2 12 5 2 2 3" xfId="22943" xr:uid="{00000000-0005-0000-0000-0000EF580000}"/>
    <cellStyle name="Normal 2 12 5 2 3" xfId="22944" xr:uid="{00000000-0005-0000-0000-0000F0580000}"/>
    <cellStyle name="Normal 2 12 5 2 4" xfId="22945" xr:uid="{00000000-0005-0000-0000-0000F1580000}"/>
    <cellStyle name="Normal 2 12 5 3" xfId="22946" xr:uid="{00000000-0005-0000-0000-0000F2580000}"/>
    <cellStyle name="Normal 2 12 5 3 2" xfId="22947" xr:uid="{00000000-0005-0000-0000-0000F3580000}"/>
    <cellStyle name="Normal 2 12 5 3 3" xfId="22948" xr:uid="{00000000-0005-0000-0000-0000F4580000}"/>
    <cellStyle name="Normal 2 12 5 4" xfId="22949" xr:uid="{00000000-0005-0000-0000-0000F5580000}"/>
    <cellStyle name="Normal 2 12 6" xfId="22950" xr:uid="{00000000-0005-0000-0000-0000F6580000}"/>
    <cellStyle name="Normal 2 12 6 2" xfId="22951" xr:uid="{00000000-0005-0000-0000-0000F7580000}"/>
    <cellStyle name="Normal 2 12 6 2 2" xfId="22952" xr:uid="{00000000-0005-0000-0000-0000F8580000}"/>
    <cellStyle name="Normal 2 12 6 2 2 2" xfId="22953" xr:uid="{00000000-0005-0000-0000-0000F9580000}"/>
    <cellStyle name="Normal 2 12 6 2 2 3" xfId="22954" xr:uid="{00000000-0005-0000-0000-0000FA580000}"/>
    <cellStyle name="Normal 2 12 6 2 3" xfId="22955" xr:uid="{00000000-0005-0000-0000-0000FB580000}"/>
    <cellStyle name="Normal 2 12 6 2 4" xfId="22956" xr:uid="{00000000-0005-0000-0000-0000FC580000}"/>
    <cellStyle name="Normal 2 12 6 3" xfId="22957" xr:uid="{00000000-0005-0000-0000-0000FD580000}"/>
    <cellStyle name="Normal 2 12 6 3 2" xfId="22958" xr:uid="{00000000-0005-0000-0000-0000FE580000}"/>
    <cellStyle name="Normal 2 12 6 3 3" xfId="22959" xr:uid="{00000000-0005-0000-0000-0000FF580000}"/>
    <cellStyle name="Normal 2 12 6 4" xfId="22960" xr:uid="{00000000-0005-0000-0000-000000590000}"/>
    <cellStyle name="Normal 2 12 7" xfId="22961" xr:uid="{00000000-0005-0000-0000-000001590000}"/>
    <cellStyle name="Normal 2 12 7 2" xfId="22962" xr:uid="{00000000-0005-0000-0000-000002590000}"/>
    <cellStyle name="Normal 2 12 7 2 2" xfId="22963" xr:uid="{00000000-0005-0000-0000-000003590000}"/>
    <cellStyle name="Normal 2 12 7 2 2 2" xfId="22964" xr:uid="{00000000-0005-0000-0000-000004590000}"/>
    <cellStyle name="Normal 2 12 7 2 2 3" xfId="22965" xr:uid="{00000000-0005-0000-0000-000005590000}"/>
    <cellStyle name="Normal 2 12 7 2 3" xfId="22966" xr:uid="{00000000-0005-0000-0000-000006590000}"/>
    <cellStyle name="Normal 2 12 7 2 4" xfId="22967" xr:uid="{00000000-0005-0000-0000-000007590000}"/>
    <cellStyle name="Normal 2 12 7 3" xfId="22968" xr:uid="{00000000-0005-0000-0000-000008590000}"/>
    <cellStyle name="Normal 2 12 7 3 2" xfId="22969" xr:uid="{00000000-0005-0000-0000-000009590000}"/>
    <cellStyle name="Normal 2 12 7 3 3" xfId="22970" xr:uid="{00000000-0005-0000-0000-00000A590000}"/>
    <cellStyle name="Normal 2 12 7 4" xfId="22971" xr:uid="{00000000-0005-0000-0000-00000B590000}"/>
    <cellStyle name="Normal 2 12 8" xfId="22972" xr:uid="{00000000-0005-0000-0000-00000C590000}"/>
    <cellStyle name="Normal 2 12 8 2" xfId="22973" xr:uid="{00000000-0005-0000-0000-00000D590000}"/>
    <cellStyle name="Normal 2 12 8 2 2" xfId="22974" xr:uid="{00000000-0005-0000-0000-00000E590000}"/>
    <cellStyle name="Normal 2 12 8 2 2 2" xfId="22975" xr:uid="{00000000-0005-0000-0000-00000F590000}"/>
    <cellStyle name="Normal 2 12 8 2 2 3" xfId="22976" xr:uid="{00000000-0005-0000-0000-000010590000}"/>
    <cellStyle name="Normal 2 12 8 2 3" xfId="22977" xr:uid="{00000000-0005-0000-0000-000011590000}"/>
    <cellStyle name="Normal 2 12 8 2 4" xfId="22978" xr:uid="{00000000-0005-0000-0000-000012590000}"/>
    <cellStyle name="Normal 2 12 8 3" xfId="22979" xr:uid="{00000000-0005-0000-0000-000013590000}"/>
    <cellStyle name="Normal 2 12 8 3 2" xfId="22980" xr:uid="{00000000-0005-0000-0000-000014590000}"/>
    <cellStyle name="Normal 2 12 8 3 3" xfId="22981" xr:uid="{00000000-0005-0000-0000-000015590000}"/>
    <cellStyle name="Normal 2 12 8 4" xfId="22982" xr:uid="{00000000-0005-0000-0000-000016590000}"/>
    <cellStyle name="Normal 2 12 9" xfId="22983" xr:uid="{00000000-0005-0000-0000-000017590000}"/>
    <cellStyle name="Normal 2 12 9 2" xfId="22984" xr:uid="{00000000-0005-0000-0000-000018590000}"/>
    <cellStyle name="Normal 2 12 9 2 2" xfId="22985" xr:uid="{00000000-0005-0000-0000-000019590000}"/>
    <cellStyle name="Normal 2 12 9 2 2 2" xfId="22986" xr:uid="{00000000-0005-0000-0000-00001A590000}"/>
    <cellStyle name="Normal 2 12 9 2 2 3" xfId="22987" xr:uid="{00000000-0005-0000-0000-00001B590000}"/>
    <cellStyle name="Normal 2 12 9 2 3" xfId="22988" xr:uid="{00000000-0005-0000-0000-00001C590000}"/>
    <cellStyle name="Normal 2 12 9 2 4" xfId="22989" xr:uid="{00000000-0005-0000-0000-00001D590000}"/>
    <cellStyle name="Normal 2 12 9 3" xfId="22990" xr:uid="{00000000-0005-0000-0000-00001E590000}"/>
    <cellStyle name="Normal 2 12 9 3 2" xfId="22991" xr:uid="{00000000-0005-0000-0000-00001F590000}"/>
    <cellStyle name="Normal 2 12 9 3 3" xfId="22992" xr:uid="{00000000-0005-0000-0000-000020590000}"/>
    <cellStyle name="Normal 2 12 9 4" xfId="22993" xr:uid="{00000000-0005-0000-0000-000021590000}"/>
    <cellStyle name="Normal 2 120" xfId="22994" xr:uid="{00000000-0005-0000-0000-000022590000}"/>
    <cellStyle name="Normal 2 121" xfId="22995" xr:uid="{00000000-0005-0000-0000-000023590000}"/>
    <cellStyle name="Normal 2 122" xfId="61187" xr:uid="{76EBE6C1-88EB-4A6D-949D-E78660266682}"/>
    <cellStyle name="Normal 2 13" xfId="22996" xr:uid="{00000000-0005-0000-0000-000024590000}"/>
    <cellStyle name="Normal 2 13 10" xfId="22997" xr:uid="{00000000-0005-0000-0000-000025590000}"/>
    <cellStyle name="Normal 2 13 10 2" xfId="22998" xr:uid="{00000000-0005-0000-0000-000026590000}"/>
    <cellStyle name="Normal 2 13 10 2 2" xfId="22999" xr:uid="{00000000-0005-0000-0000-000027590000}"/>
    <cellStyle name="Normal 2 13 10 2 2 2" xfId="23000" xr:uid="{00000000-0005-0000-0000-000028590000}"/>
    <cellStyle name="Normal 2 13 10 2 2 3" xfId="23001" xr:uid="{00000000-0005-0000-0000-000029590000}"/>
    <cellStyle name="Normal 2 13 10 2 3" xfId="23002" xr:uid="{00000000-0005-0000-0000-00002A590000}"/>
    <cellStyle name="Normal 2 13 10 2 4" xfId="23003" xr:uid="{00000000-0005-0000-0000-00002B590000}"/>
    <cellStyle name="Normal 2 13 10 3" xfId="23004" xr:uid="{00000000-0005-0000-0000-00002C590000}"/>
    <cellStyle name="Normal 2 13 10 3 2" xfId="23005" xr:uid="{00000000-0005-0000-0000-00002D590000}"/>
    <cellStyle name="Normal 2 13 10 3 3" xfId="23006" xr:uid="{00000000-0005-0000-0000-00002E590000}"/>
    <cellStyle name="Normal 2 13 10 4" xfId="23007" xr:uid="{00000000-0005-0000-0000-00002F590000}"/>
    <cellStyle name="Normal 2 13 11" xfId="23008" xr:uid="{00000000-0005-0000-0000-000030590000}"/>
    <cellStyle name="Normal 2 13 11 2" xfId="23009" xr:uid="{00000000-0005-0000-0000-000031590000}"/>
    <cellStyle name="Normal 2 13 11 2 2" xfId="23010" xr:uid="{00000000-0005-0000-0000-000032590000}"/>
    <cellStyle name="Normal 2 13 11 2 2 2" xfId="23011" xr:uid="{00000000-0005-0000-0000-000033590000}"/>
    <cellStyle name="Normal 2 13 11 2 2 3" xfId="23012" xr:uid="{00000000-0005-0000-0000-000034590000}"/>
    <cellStyle name="Normal 2 13 11 2 3" xfId="23013" xr:uid="{00000000-0005-0000-0000-000035590000}"/>
    <cellStyle name="Normal 2 13 11 2 4" xfId="23014" xr:uid="{00000000-0005-0000-0000-000036590000}"/>
    <cellStyle name="Normal 2 13 11 3" xfId="23015" xr:uid="{00000000-0005-0000-0000-000037590000}"/>
    <cellStyle name="Normal 2 13 11 3 2" xfId="23016" xr:uid="{00000000-0005-0000-0000-000038590000}"/>
    <cellStyle name="Normal 2 13 11 3 3" xfId="23017" xr:uid="{00000000-0005-0000-0000-000039590000}"/>
    <cellStyle name="Normal 2 13 11 4" xfId="23018" xr:uid="{00000000-0005-0000-0000-00003A590000}"/>
    <cellStyle name="Normal 2 13 12" xfId="23019" xr:uid="{00000000-0005-0000-0000-00003B590000}"/>
    <cellStyle name="Normal 2 13 12 2" xfId="23020" xr:uid="{00000000-0005-0000-0000-00003C590000}"/>
    <cellStyle name="Normal 2 13 12 2 2" xfId="23021" xr:uid="{00000000-0005-0000-0000-00003D590000}"/>
    <cellStyle name="Normal 2 13 12 2 2 2" xfId="23022" xr:uid="{00000000-0005-0000-0000-00003E590000}"/>
    <cellStyle name="Normal 2 13 12 2 2 3" xfId="23023" xr:uid="{00000000-0005-0000-0000-00003F590000}"/>
    <cellStyle name="Normal 2 13 12 2 3" xfId="23024" xr:uid="{00000000-0005-0000-0000-000040590000}"/>
    <cellStyle name="Normal 2 13 12 2 4" xfId="23025" xr:uid="{00000000-0005-0000-0000-000041590000}"/>
    <cellStyle name="Normal 2 13 12 3" xfId="23026" xr:uid="{00000000-0005-0000-0000-000042590000}"/>
    <cellStyle name="Normal 2 13 12 3 2" xfId="23027" xr:uid="{00000000-0005-0000-0000-000043590000}"/>
    <cellStyle name="Normal 2 13 12 3 3" xfId="23028" xr:uid="{00000000-0005-0000-0000-000044590000}"/>
    <cellStyle name="Normal 2 13 12 4" xfId="23029" xr:uid="{00000000-0005-0000-0000-000045590000}"/>
    <cellStyle name="Normal 2 13 13" xfId="23030" xr:uid="{00000000-0005-0000-0000-000046590000}"/>
    <cellStyle name="Normal 2 13 13 2" xfId="23031" xr:uid="{00000000-0005-0000-0000-000047590000}"/>
    <cellStyle name="Normal 2 13 13 2 2" xfId="23032" xr:uid="{00000000-0005-0000-0000-000048590000}"/>
    <cellStyle name="Normal 2 13 13 2 2 2" xfId="23033" xr:uid="{00000000-0005-0000-0000-000049590000}"/>
    <cellStyle name="Normal 2 13 13 2 2 3" xfId="23034" xr:uid="{00000000-0005-0000-0000-00004A590000}"/>
    <cellStyle name="Normal 2 13 13 2 3" xfId="23035" xr:uid="{00000000-0005-0000-0000-00004B590000}"/>
    <cellStyle name="Normal 2 13 13 2 4" xfId="23036" xr:uid="{00000000-0005-0000-0000-00004C590000}"/>
    <cellStyle name="Normal 2 13 13 3" xfId="23037" xr:uid="{00000000-0005-0000-0000-00004D590000}"/>
    <cellStyle name="Normal 2 13 13 3 2" xfId="23038" xr:uid="{00000000-0005-0000-0000-00004E590000}"/>
    <cellStyle name="Normal 2 13 13 3 3" xfId="23039" xr:uid="{00000000-0005-0000-0000-00004F590000}"/>
    <cellStyle name="Normal 2 13 13 4" xfId="23040" xr:uid="{00000000-0005-0000-0000-000050590000}"/>
    <cellStyle name="Normal 2 13 14" xfId="23041" xr:uid="{00000000-0005-0000-0000-000051590000}"/>
    <cellStyle name="Normal 2 13 14 2" xfId="23042" xr:uid="{00000000-0005-0000-0000-000052590000}"/>
    <cellStyle name="Normal 2 13 14 2 2" xfId="23043" xr:uid="{00000000-0005-0000-0000-000053590000}"/>
    <cellStyle name="Normal 2 13 14 2 2 2" xfId="23044" xr:uid="{00000000-0005-0000-0000-000054590000}"/>
    <cellStyle name="Normal 2 13 14 2 2 3" xfId="23045" xr:uid="{00000000-0005-0000-0000-000055590000}"/>
    <cellStyle name="Normal 2 13 14 2 3" xfId="23046" xr:uid="{00000000-0005-0000-0000-000056590000}"/>
    <cellStyle name="Normal 2 13 14 2 4" xfId="23047" xr:uid="{00000000-0005-0000-0000-000057590000}"/>
    <cellStyle name="Normal 2 13 14 3" xfId="23048" xr:uid="{00000000-0005-0000-0000-000058590000}"/>
    <cellStyle name="Normal 2 13 14 3 2" xfId="23049" xr:uid="{00000000-0005-0000-0000-000059590000}"/>
    <cellStyle name="Normal 2 13 14 3 3" xfId="23050" xr:uid="{00000000-0005-0000-0000-00005A590000}"/>
    <cellStyle name="Normal 2 13 14 4" xfId="23051" xr:uid="{00000000-0005-0000-0000-00005B590000}"/>
    <cellStyle name="Normal 2 13 15" xfId="23052" xr:uid="{00000000-0005-0000-0000-00005C590000}"/>
    <cellStyle name="Normal 2 13 15 2" xfId="23053" xr:uid="{00000000-0005-0000-0000-00005D590000}"/>
    <cellStyle name="Normal 2 13 15 2 2" xfId="23054" xr:uid="{00000000-0005-0000-0000-00005E590000}"/>
    <cellStyle name="Normal 2 13 15 2 2 2" xfId="23055" xr:uid="{00000000-0005-0000-0000-00005F590000}"/>
    <cellStyle name="Normal 2 13 15 2 2 3" xfId="23056" xr:uid="{00000000-0005-0000-0000-000060590000}"/>
    <cellStyle name="Normal 2 13 15 2 3" xfId="23057" xr:uid="{00000000-0005-0000-0000-000061590000}"/>
    <cellStyle name="Normal 2 13 15 2 4" xfId="23058" xr:uid="{00000000-0005-0000-0000-000062590000}"/>
    <cellStyle name="Normal 2 13 15 3" xfId="23059" xr:uid="{00000000-0005-0000-0000-000063590000}"/>
    <cellStyle name="Normal 2 13 15 3 2" xfId="23060" xr:uid="{00000000-0005-0000-0000-000064590000}"/>
    <cellStyle name="Normal 2 13 15 3 3" xfId="23061" xr:uid="{00000000-0005-0000-0000-000065590000}"/>
    <cellStyle name="Normal 2 13 15 4" xfId="23062" xr:uid="{00000000-0005-0000-0000-000066590000}"/>
    <cellStyle name="Normal 2 13 16" xfId="23063" xr:uid="{00000000-0005-0000-0000-000067590000}"/>
    <cellStyle name="Normal 2 13 16 2" xfId="23064" xr:uid="{00000000-0005-0000-0000-000068590000}"/>
    <cellStyle name="Normal 2 13 16 2 2" xfId="23065" xr:uid="{00000000-0005-0000-0000-000069590000}"/>
    <cellStyle name="Normal 2 13 16 2 2 2" xfId="23066" xr:uid="{00000000-0005-0000-0000-00006A590000}"/>
    <cellStyle name="Normal 2 13 16 2 2 3" xfId="23067" xr:uid="{00000000-0005-0000-0000-00006B590000}"/>
    <cellStyle name="Normal 2 13 16 2 3" xfId="23068" xr:uid="{00000000-0005-0000-0000-00006C590000}"/>
    <cellStyle name="Normal 2 13 16 2 4" xfId="23069" xr:uid="{00000000-0005-0000-0000-00006D590000}"/>
    <cellStyle name="Normal 2 13 16 3" xfId="23070" xr:uid="{00000000-0005-0000-0000-00006E590000}"/>
    <cellStyle name="Normal 2 13 16 3 2" xfId="23071" xr:uid="{00000000-0005-0000-0000-00006F590000}"/>
    <cellStyle name="Normal 2 13 16 3 3" xfId="23072" xr:uid="{00000000-0005-0000-0000-000070590000}"/>
    <cellStyle name="Normal 2 13 16 4" xfId="23073" xr:uid="{00000000-0005-0000-0000-000071590000}"/>
    <cellStyle name="Normal 2 13 17" xfId="23074" xr:uid="{00000000-0005-0000-0000-000072590000}"/>
    <cellStyle name="Normal 2 13 17 2" xfId="23075" xr:uid="{00000000-0005-0000-0000-000073590000}"/>
    <cellStyle name="Normal 2 13 17 2 2" xfId="23076" xr:uid="{00000000-0005-0000-0000-000074590000}"/>
    <cellStyle name="Normal 2 13 17 2 2 2" xfId="23077" xr:uid="{00000000-0005-0000-0000-000075590000}"/>
    <cellStyle name="Normal 2 13 17 2 2 3" xfId="23078" xr:uid="{00000000-0005-0000-0000-000076590000}"/>
    <cellStyle name="Normal 2 13 17 2 3" xfId="23079" xr:uid="{00000000-0005-0000-0000-000077590000}"/>
    <cellStyle name="Normal 2 13 17 2 4" xfId="23080" xr:uid="{00000000-0005-0000-0000-000078590000}"/>
    <cellStyle name="Normal 2 13 17 3" xfId="23081" xr:uid="{00000000-0005-0000-0000-000079590000}"/>
    <cellStyle name="Normal 2 13 17 3 2" xfId="23082" xr:uid="{00000000-0005-0000-0000-00007A590000}"/>
    <cellStyle name="Normal 2 13 17 3 3" xfId="23083" xr:uid="{00000000-0005-0000-0000-00007B590000}"/>
    <cellStyle name="Normal 2 13 17 4" xfId="23084" xr:uid="{00000000-0005-0000-0000-00007C590000}"/>
    <cellStyle name="Normal 2 13 18" xfId="23085" xr:uid="{00000000-0005-0000-0000-00007D590000}"/>
    <cellStyle name="Normal 2 13 18 2" xfId="23086" xr:uid="{00000000-0005-0000-0000-00007E590000}"/>
    <cellStyle name="Normal 2 13 18 2 2" xfId="23087" xr:uid="{00000000-0005-0000-0000-00007F590000}"/>
    <cellStyle name="Normal 2 13 18 2 2 2" xfId="23088" xr:uid="{00000000-0005-0000-0000-000080590000}"/>
    <cellStyle name="Normal 2 13 18 2 2 3" xfId="23089" xr:uid="{00000000-0005-0000-0000-000081590000}"/>
    <cellStyle name="Normal 2 13 18 2 3" xfId="23090" xr:uid="{00000000-0005-0000-0000-000082590000}"/>
    <cellStyle name="Normal 2 13 18 2 4" xfId="23091" xr:uid="{00000000-0005-0000-0000-000083590000}"/>
    <cellStyle name="Normal 2 13 18 3" xfId="23092" xr:uid="{00000000-0005-0000-0000-000084590000}"/>
    <cellStyle name="Normal 2 13 18 3 2" xfId="23093" xr:uid="{00000000-0005-0000-0000-000085590000}"/>
    <cellStyle name="Normal 2 13 18 3 3" xfId="23094" xr:uid="{00000000-0005-0000-0000-000086590000}"/>
    <cellStyle name="Normal 2 13 18 4" xfId="23095" xr:uid="{00000000-0005-0000-0000-000087590000}"/>
    <cellStyle name="Normal 2 13 19" xfId="23096" xr:uid="{00000000-0005-0000-0000-000088590000}"/>
    <cellStyle name="Normal 2 13 19 2" xfId="23097" xr:uid="{00000000-0005-0000-0000-000089590000}"/>
    <cellStyle name="Normal 2 13 19 2 2" xfId="23098" xr:uid="{00000000-0005-0000-0000-00008A590000}"/>
    <cellStyle name="Normal 2 13 19 2 2 2" xfId="23099" xr:uid="{00000000-0005-0000-0000-00008B590000}"/>
    <cellStyle name="Normal 2 13 19 2 2 3" xfId="23100" xr:uid="{00000000-0005-0000-0000-00008C590000}"/>
    <cellStyle name="Normal 2 13 19 2 3" xfId="23101" xr:uid="{00000000-0005-0000-0000-00008D590000}"/>
    <cellStyle name="Normal 2 13 19 2 4" xfId="23102" xr:uid="{00000000-0005-0000-0000-00008E590000}"/>
    <cellStyle name="Normal 2 13 19 3" xfId="23103" xr:uid="{00000000-0005-0000-0000-00008F590000}"/>
    <cellStyle name="Normal 2 13 19 3 2" xfId="23104" xr:uid="{00000000-0005-0000-0000-000090590000}"/>
    <cellStyle name="Normal 2 13 19 3 3" xfId="23105" xr:uid="{00000000-0005-0000-0000-000091590000}"/>
    <cellStyle name="Normal 2 13 19 4" xfId="23106" xr:uid="{00000000-0005-0000-0000-000092590000}"/>
    <cellStyle name="Normal 2 13 2" xfId="23107" xr:uid="{00000000-0005-0000-0000-000093590000}"/>
    <cellStyle name="Normal 2 13 2 2" xfId="23108" xr:uid="{00000000-0005-0000-0000-000094590000}"/>
    <cellStyle name="Normal 2 13 2 2 2" xfId="23109" xr:uid="{00000000-0005-0000-0000-000095590000}"/>
    <cellStyle name="Normal 2 13 2 2 2 2" xfId="23110" xr:uid="{00000000-0005-0000-0000-000096590000}"/>
    <cellStyle name="Normal 2 13 2 2 2 3" xfId="23111" xr:uid="{00000000-0005-0000-0000-000097590000}"/>
    <cellStyle name="Normal 2 13 2 2 3" xfId="23112" xr:uid="{00000000-0005-0000-0000-000098590000}"/>
    <cellStyle name="Normal 2 13 2 2 4" xfId="23113" xr:uid="{00000000-0005-0000-0000-000099590000}"/>
    <cellStyle name="Normal 2 13 2 3" xfId="23114" xr:uid="{00000000-0005-0000-0000-00009A590000}"/>
    <cellStyle name="Normal 2 13 2 3 2" xfId="23115" xr:uid="{00000000-0005-0000-0000-00009B590000}"/>
    <cellStyle name="Normal 2 13 2 3 3" xfId="23116" xr:uid="{00000000-0005-0000-0000-00009C590000}"/>
    <cellStyle name="Normal 2 13 2 4" xfId="23117" xr:uid="{00000000-0005-0000-0000-00009D590000}"/>
    <cellStyle name="Normal 2 13 2 5" xfId="23118" xr:uid="{00000000-0005-0000-0000-00009E590000}"/>
    <cellStyle name="Normal 2 13 20" xfId="23119" xr:uid="{00000000-0005-0000-0000-00009F590000}"/>
    <cellStyle name="Normal 2 13 20 2" xfId="23120" xr:uid="{00000000-0005-0000-0000-0000A0590000}"/>
    <cellStyle name="Normal 2 13 20 2 2" xfId="23121" xr:uid="{00000000-0005-0000-0000-0000A1590000}"/>
    <cellStyle name="Normal 2 13 20 2 2 2" xfId="23122" xr:uid="{00000000-0005-0000-0000-0000A2590000}"/>
    <cellStyle name="Normal 2 13 20 2 2 3" xfId="23123" xr:uid="{00000000-0005-0000-0000-0000A3590000}"/>
    <cellStyle name="Normal 2 13 20 2 3" xfId="23124" xr:uid="{00000000-0005-0000-0000-0000A4590000}"/>
    <cellStyle name="Normal 2 13 20 2 4" xfId="23125" xr:uid="{00000000-0005-0000-0000-0000A5590000}"/>
    <cellStyle name="Normal 2 13 20 3" xfId="23126" xr:uid="{00000000-0005-0000-0000-0000A6590000}"/>
    <cellStyle name="Normal 2 13 20 3 2" xfId="23127" xr:uid="{00000000-0005-0000-0000-0000A7590000}"/>
    <cellStyle name="Normal 2 13 20 3 3" xfId="23128" xr:uid="{00000000-0005-0000-0000-0000A8590000}"/>
    <cellStyle name="Normal 2 13 20 4" xfId="23129" xr:uid="{00000000-0005-0000-0000-0000A9590000}"/>
    <cellStyle name="Normal 2 13 21" xfId="23130" xr:uid="{00000000-0005-0000-0000-0000AA590000}"/>
    <cellStyle name="Normal 2 13 21 2" xfId="23131" xr:uid="{00000000-0005-0000-0000-0000AB590000}"/>
    <cellStyle name="Normal 2 13 21 2 2" xfId="23132" xr:uid="{00000000-0005-0000-0000-0000AC590000}"/>
    <cellStyle name="Normal 2 13 21 2 2 2" xfId="23133" xr:uid="{00000000-0005-0000-0000-0000AD590000}"/>
    <cellStyle name="Normal 2 13 21 2 2 3" xfId="23134" xr:uid="{00000000-0005-0000-0000-0000AE590000}"/>
    <cellStyle name="Normal 2 13 21 2 3" xfId="23135" xr:uid="{00000000-0005-0000-0000-0000AF590000}"/>
    <cellStyle name="Normal 2 13 21 2 4" xfId="23136" xr:uid="{00000000-0005-0000-0000-0000B0590000}"/>
    <cellStyle name="Normal 2 13 21 3" xfId="23137" xr:uid="{00000000-0005-0000-0000-0000B1590000}"/>
    <cellStyle name="Normal 2 13 21 3 2" xfId="23138" xr:uid="{00000000-0005-0000-0000-0000B2590000}"/>
    <cellStyle name="Normal 2 13 21 3 3" xfId="23139" xr:uid="{00000000-0005-0000-0000-0000B3590000}"/>
    <cellStyle name="Normal 2 13 21 4" xfId="23140" xr:uid="{00000000-0005-0000-0000-0000B4590000}"/>
    <cellStyle name="Normal 2 13 22" xfId="23141" xr:uid="{00000000-0005-0000-0000-0000B5590000}"/>
    <cellStyle name="Normal 2 13 22 2" xfId="23142" xr:uid="{00000000-0005-0000-0000-0000B6590000}"/>
    <cellStyle name="Normal 2 13 22 2 2" xfId="23143" xr:uid="{00000000-0005-0000-0000-0000B7590000}"/>
    <cellStyle name="Normal 2 13 22 2 2 2" xfId="23144" xr:uid="{00000000-0005-0000-0000-0000B8590000}"/>
    <cellStyle name="Normal 2 13 22 2 2 3" xfId="23145" xr:uid="{00000000-0005-0000-0000-0000B9590000}"/>
    <cellStyle name="Normal 2 13 22 2 3" xfId="23146" xr:uid="{00000000-0005-0000-0000-0000BA590000}"/>
    <cellStyle name="Normal 2 13 22 2 4" xfId="23147" xr:uid="{00000000-0005-0000-0000-0000BB590000}"/>
    <cellStyle name="Normal 2 13 22 3" xfId="23148" xr:uid="{00000000-0005-0000-0000-0000BC590000}"/>
    <cellStyle name="Normal 2 13 22 3 2" xfId="23149" xr:uid="{00000000-0005-0000-0000-0000BD590000}"/>
    <cellStyle name="Normal 2 13 22 3 3" xfId="23150" xr:uid="{00000000-0005-0000-0000-0000BE590000}"/>
    <cellStyle name="Normal 2 13 22 4" xfId="23151" xr:uid="{00000000-0005-0000-0000-0000BF590000}"/>
    <cellStyle name="Normal 2 13 23" xfId="23152" xr:uid="{00000000-0005-0000-0000-0000C0590000}"/>
    <cellStyle name="Normal 2 13 23 2" xfId="23153" xr:uid="{00000000-0005-0000-0000-0000C1590000}"/>
    <cellStyle name="Normal 2 13 23 2 2" xfId="23154" xr:uid="{00000000-0005-0000-0000-0000C2590000}"/>
    <cellStyle name="Normal 2 13 23 2 2 2" xfId="23155" xr:uid="{00000000-0005-0000-0000-0000C3590000}"/>
    <cellStyle name="Normal 2 13 23 2 2 3" xfId="23156" xr:uid="{00000000-0005-0000-0000-0000C4590000}"/>
    <cellStyle name="Normal 2 13 23 2 3" xfId="23157" xr:uid="{00000000-0005-0000-0000-0000C5590000}"/>
    <cellStyle name="Normal 2 13 23 2 4" xfId="23158" xr:uid="{00000000-0005-0000-0000-0000C6590000}"/>
    <cellStyle name="Normal 2 13 23 3" xfId="23159" xr:uid="{00000000-0005-0000-0000-0000C7590000}"/>
    <cellStyle name="Normal 2 13 23 3 2" xfId="23160" xr:uid="{00000000-0005-0000-0000-0000C8590000}"/>
    <cellStyle name="Normal 2 13 23 3 3" xfId="23161" xr:uid="{00000000-0005-0000-0000-0000C9590000}"/>
    <cellStyle name="Normal 2 13 23 4" xfId="23162" xr:uid="{00000000-0005-0000-0000-0000CA590000}"/>
    <cellStyle name="Normal 2 13 24" xfId="23163" xr:uid="{00000000-0005-0000-0000-0000CB590000}"/>
    <cellStyle name="Normal 2 13 24 2" xfId="23164" xr:uid="{00000000-0005-0000-0000-0000CC590000}"/>
    <cellStyle name="Normal 2 13 24 2 2" xfId="23165" xr:uid="{00000000-0005-0000-0000-0000CD590000}"/>
    <cellStyle name="Normal 2 13 24 2 3" xfId="23166" xr:uid="{00000000-0005-0000-0000-0000CE590000}"/>
    <cellStyle name="Normal 2 13 24 3" xfId="23167" xr:uid="{00000000-0005-0000-0000-0000CF590000}"/>
    <cellStyle name="Normal 2 13 24 4" xfId="23168" xr:uid="{00000000-0005-0000-0000-0000D0590000}"/>
    <cellStyle name="Normal 2 13 25" xfId="23169" xr:uid="{00000000-0005-0000-0000-0000D1590000}"/>
    <cellStyle name="Normal 2 13 25 2" xfId="23170" xr:uid="{00000000-0005-0000-0000-0000D2590000}"/>
    <cellStyle name="Normal 2 13 25 3" xfId="23171" xr:uid="{00000000-0005-0000-0000-0000D3590000}"/>
    <cellStyle name="Normal 2 13 26" xfId="23172" xr:uid="{00000000-0005-0000-0000-0000D4590000}"/>
    <cellStyle name="Normal 2 13 27" xfId="23173" xr:uid="{00000000-0005-0000-0000-0000D5590000}"/>
    <cellStyle name="Normal 2 13 3" xfId="23174" xr:uid="{00000000-0005-0000-0000-0000D6590000}"/>
    <cellStyle name="Normal 2 13 3 2" xfId="23175" xr:uid="{00000000-0005-0000-0000-0000D7590000}"/>
    <cellStyle name="Normal 2 13 3 2 2" xfId="23176" xr:uid="{00000000-0005-0000-0000-0000D8590000}"/>
    <cellStyle name="Normal 2 13 3 2 2 2" xfId="23177" xr:uid="{00000000-0005-0000-0000-0000D9590000}"/>
    <cellStyle name="Normal 2 13 3 2 2 3" xfId="23178" xr:uid="{00000000-0005-0000-0000-0000DA590000}"/>
    <cellStyle name="Normal 2 13 3 2 3" xfId="23179" xr:uid="{00000000-0005-0000-0000-0000DB590000}"/>
    <cellStyle name="Normal 2 13 3 2 4" xfId="23180" xr:uid="{00000000-0005-0000-0000-0000DC590000}"/>
    <cellStyle name="Normal 2 13 3 3" xfId="23181" xr:uid="{00000000-0005-0000-0000-0000DD590000}"/>
    <cellStyle name="Normal 2 13 3 3 2" xfId="23182" xr:uid="{00000000-0005-0000-0000-0000DE590000}"/>
    <cellStyle name="Normal 2 13 3 3 3" xfId="23183" xr:uid="{00000000-0005-0000-0000-0000DF590000}"/>
    <cellStyle name="Normal 2 13 3 4" xfId="23184" xr:uid="{00000000-0005-0000-0000-0000E0590000}"/>
    <cellStyle name="Normal 2 13 4" xfId="23185" xr:uid="{00000000-0005-0000-0000-0000E1590000}"/>
    <cellStyle name="Normal 2 13 4 2" xfId="23186" xr:uid="{00000000-0005-0000-0000-0000E2590000}"/>
    <cellStyle name="Normal 2 13 4 2 2" xfId="23187" xr:uid="{00000000-0005-0000-0000-0000E3590000}"/>
    <cellStyle name="Normal 2 13 4 2 2 2" xfId="23188" xr:uid="{00000000-0005-0000-0000-0000E4590000}"/>
    <cellStyle name="Normal 2 13 4 2 2 3" xfId="23189" xr:uid="{00000000-0005-0000-0000-0000E5590000}"/>
    <cellStyle name="Normal 2 13 4 2 3" xfId="23190" xr:uid="{00000000-0005-0000-0000-0000E6590000}"/>
    <cellStyle name="Normal 2 13 4 2 4" xfId="23191" xr:uid="{00000000-0005-0000-0000-0000E7590000}"/>
    <cellStyle name="Normal 2 13 4 3" xfId="23192" xr:uid="{00000000-0005-0000-0000-0000E8590000}"/>
    <cellStyle name="Normal 2 13 4 3 2" xfId="23193" xr:uid="{00000000-0005-0000-0000-0000E9590000}"/>
    <cellStyle name="Normal 2 13 4 3 3" xfId="23194" xr:uid="{00000000-0005-0000-0000-0000EA590000}"/>
    <cellStyle name="Normal 2 13 4 4" xfId="23195" xr:uid="{00000000-0005-0000-0000-0000EB590000}"/>
    <cellStyle name="Normal 2 13 5" xfId="23196" xr:uid="{00000000-0005-0000-0000-0000EC590000}"/>
    <cellStyle name="Normal 2 13 5 2" xfId="23197" xr:uid="{00000000-0005-0000-0000-0000ED590000}"/>
    <cellStyle name="Normal 2 13 5 2 2" xfId="23198" xr:uid="{00000000-0005-0000-0000-0000EE590000}"/>
    <cellStyle name="Normal 2 13 5 2 2 2" xfId="23199" xr:uid="{00000000-0005-0000-0000-0000EF590000}"/>
    <cellStyle name="Normal 2 13 5 2 2 3" xfId="23200" xr:uid="{00000000-0005-0000-0000-0000F0590000}"/>
    <cellStyle name="Normal 2 13 5 2 3" xfId="23201" xr:uid="{00000000-0005-0000-0000-0000F1590000}"/>
    <cellStyle name="Normal 2 13 5 2 4" xfId="23202" xr:uid="{00000000-0005-0000-0000-0000F2590000}"/>
    <cellStyle name="Normal 2 13 5 3" xfId="23203" xr:uid="{00000000-0005-0000-0000-0000F3590000}"/>
    <cellStyle name="Normal 2 13 5 3 2" xfId="23204" xr:uid="{00000000-0005-0000-0000-0000F4590000}"/>
    <cellStyle name="Normal 2 13 5 3 3" xfId="23205" xr:uid="{00000000-0005-0000-0000-0000F5590000}"/>
    <cellStyle name="Normal 2 13 5 4" xfId="23206" xr:uid="{00000000-0005-0000-0000-0000F6590000}"/>
    <cellStyle name="Normal 2 13 6" xfId="23207" xr:uid="{00000000-0005-0000-0000-0000F7590000}"/>
    <cellStyle name="Normal 2 13 6 2" xfId="23208" xr:uid="{00000000-0005-0000-0000-0000F8590000}"/>
    <cellStyle name="Normal 2 13 6 2 2" xfId="23209" xr:uid="{00000000-0005-0000-0000-0000F9590000}"/>
    <cellStyle name="Normal 2 13 6 2 2 2" xfId="23210" xr:uid="{00000000-0005-0000-0000-0000FA590000}"/>
    <cellStyle name="Normal 2 13 6 2 2 3" xfId="23211" xr:uid="{00000000-0005-0000-0000-0000FB590000}"/>
    <cellStyle name="Normal 2 13 6 2 3" xfId="23212" xr:uid="{00000000-0005-0000-0000-0000FC590000}"/>
    <cellStyle name="Normal 2 13 6 2 4" xfId="23213" xr:uid="{00000000-0005-0000-0000-0000FD590000}"/>
    <cellStyle name="Normal 2 13 6 3" xfId="23214" xr:uid="{00000000-0005-0000-0000-0000FE590000}"/>
    <cellStyle name="Normal 2 13 6 3 2" xfId="23215" xr:uid="{00000000-0005-0000-0000-0000FF590000}"/>
    <cellStyle name="Normal 2 13 6 3 3" xfId="23216" xr:uid="{00000000-0005-0000-0000-0000005A0000}"/>
    <cellStyle name="Normal 2 13 6 4" xfId="23217" xr:uid="{00000000-0005-0000-0000-0000015A0000}"/>
    <cellStyle name="Normal 2 13 7" xfId="23218" xr:uid="{00000000-0005-0000-0000-0000025A0000}"/>
    <cellStyle name="Normal 2 13 7 2" xfId="23219" xr:uid="{00000000-0005-0000-0000-0000035A0000}"/>
    <cellStyle name="Normal 2 13 7 2 2" xfId="23220" xr:uid="{00000000-0005-0000-0000-0000045A0000}"/>
    <cellStyle name="Normal 2 13 7 2 2 2" xfId="23221" xr:uid="{00000000-0005-0000-0000-0000055A0000}"/>
    <cellStyle name="Normal 2 13 7 2 2 3" xfId="23222" xr:uid="{00000000-0005-0000-0000-0000065A0000}"/>
    <cellStyle name="Normal 2 13 7 2 3" xfId="23223" xr:uid="{00000000-0005-0000-0000-0000075A0000}"/>
    <cellStyle name="Normal 2 13 7 2 4" xfId="23224" xr:uid="{00000000-0005-0000-0000-0000085A0000}"/>
    <cellStyle name="Normal 2 13 7 3" xfId="23225" xr:uid="{00000000-0005-0000-0000-0000095A0000}"/>
    <cellStyle name="Normal 2 13 7 3 2" xfId="23226" xr:uid="{00000000-0005-0000-0000-00000A5A0000}"/>
    <cellStyle name="Normal 2 13 7 3 3" xfId="23227" xr:uid="{00000000-0005-0000-0000-00000B5A0000}"/>
    <cellStyle name="Normal 2 13 7 4" xfId="23228" xr:uid="{00000000-0005-0000-0000-00000C5A0000}"/>
    <cellStyle name="Normal 2 13 8" xfId="23229" xr:uid="{00000000-0005-0000-0000-00000D5A0000}"/>
    <cellStyle name="Normal 2 13 8 2" xfId="23230" xr:uid="{00000000-0005-0000-0000-00000E5A0000}"/>
    <cellStyle name="Normal 2 13 8 2 2" xfId="23231" xr:uid="{00000000-0005-0000-0000-00000F5A0000}"/>
    <cellStyle name="Normal 2 13 8 2 2 2" xfId="23232" xr:uid="{00000000-0005-0000-0000-0000105A0000}"/>
    <cellStyle name="Normal 2 13 8 2 2 3" xfId="23233" xr:uid="{00000000-0005-0000-0000-0000115A0000}"/>
    <cellStyle name="Normal 2 13 8 2 3" xfId="23234" xr:uid="{00000000-0005-0000-0000-0000125A0000}"/>
    <cellStyle name="Normal 2 13 8 2 4" xfId="23235" xr:uid="{00000000-0005-0000-0000-0000135A0000}"/>
    <cellStyle name="Normal 2 13 8 3" xfId="23236" xr:uid="{00000000-0005-0000-0000-0000145A0000}"/>
    <cellStyle name="Normal 2 13 8 3 2" xfId="23237" xr:uid="{00000000-0005-0000-0000-0000155A0000}"/>
    <cellStyle name="Normal 2 13 8 3 3" xfId="23238" xr:uid="{00000000-0005-0000-0000-0000165A0000}"/>
    <cellStyle name="Normal 2 13 8 4" xfId="23239" xr:uid="{00000000-0005-0000-0000-0000175A0000}"/>
    <cellStyle name="Normal 2 13 9" xfId="23240" xr:uid="{00000000-0005-0000-0000-0000185A0000}"/>
    <cellStyle name="Normal 2 13 9 2" xfId="23241" xr:uid="{00000000-0005-0000-0000-0000195A0000}"/>
    <cellStyle name="Normal 2 13 9 2 2" xfId="23242" xr:uid="{00000000-0005-0000-0000-00001A5A0000}"/>
    <cellStyle name="Normal 2 13 9 2 2 2" xfId="23243" xr:uid="{00000000-0005-0000-0000-00001B5A0000}"/>
    <cellStyle name="Normal 2 13 9 2 2 3" xfId="23244" xr:uid="{00000000-0005-0000-0000-00001C5A0000}"/>
    <cellStyle name="Normal 2 13 9 2 3" xfId="23245" xr:uid="{00000000-0005-0000-0000-00001D5A0000}"/>
    <cellStyle name="Normal 2 13 9 2 4" xfId="23246" xr:uid="{00000000-0005-0000-0000-00001E5A0000}"/>
    <cellStyle name="Normal 2 13 9 3" xfId="23247" xr:uid="{00000000-0005-0000-0000-00001F5A0000}"/>
    <cellStyle name="Normal 2 13 9 3 2" xfId="23248" xr:uid="{00000000-0005-0000-0000-0000205A0000}"/>
    <cellStyle name="Normal 2 13 9 3 3" xfId="23249" xr:uid="{00000000-0005-0000-0000-0000215A0000}"/>
    <cellStyle name="Normal 2 13 9 4" xfId="23250" xr:uid="{00000000-0005-0000-0000-0000225A0000}"/>
    <cellStyle name="Normal 2 14" xfId="23251" xr:uid="{00000000-0005-0000-0000-0000235A0000}"/>
    <cellStyle name="Normal 2 14 10" xfId="23252" xr:uid="{00000000-0005-0000-0000-0000245A0000}"/>
    <cellStyle name="Normal 2 14 10 2" xfId="23253" xr:uid="{00000000-0005-0000-0000-0000255A0000}"/>
    <cellStyle name="Normal 2 14 10 2 2" xfId="23254" xr:uid="{00000000-0005-0000-0000-0000265A0000}"/>
    <cellStyle name="Normal 2 14 10 2 2 2" xfId="23255" xr:uid="{00000000-0005-0000-0000-0000275A0000}"/>
    <cellStyle name="Normal 2 14 10 2 2 3" xfId="23256" xr:uid="{00000000-0005-0000-0000-0000285A0000}"/>
    <cellStyle name="Normal 2 14 10 2 3" xfId="23257" xr:uid="{00000000-0005-0000-0000-0000295A0000}"/>
    <cellStyle name="Normal 2 14 10 2 4" xfId="23258" xr:uid="{00000000-0005-0000-0000-00002A5A0000}"/>
    <cellStyle name="Normal 2 14 10 3" xfId="23259" xr:uid="{00000000-0005-0000-0000-00002B5A0000}"/>
    <cellStyle name="Normal 2 14 10 3 2" xfId="23260" xr:uid="{00000000-0005-0000-0000-00002C5A0000}"/>
    <cellStyle name="Normal 2 14 10 3 3" xfId="23261" xr:uid="{00000000-0005-0000-0000-00002D5A0000}"/>
    <cellStyle name="Normal 2 14 10 4" xfId="23262" xr:uid="{00000000-0005-0000-0000-00002E5A0000}"/>
    <cellStyle name="Normal 2 14 11" xfId="23263" xr:uid="{00000000-0005-0000-0000-00002F5A0000}"/>
    <cellStyle name="Normal 2 14 11 2" xfId="23264" xr:uid="{00000000-0005-0000-0000-0000305A0000}"/>
    <cellStyle name="Normal 2 14 11 2 2" xfId="23265" xr:uid="{00000000-0005-0000-0000-0000315A0000}"/>
    <cellStyle name="Normal 2 14 11 2 2 2" xfId="23266" xr:uid="{00000000-0005-0000-0000-0000325A0000}"/>
    <cellStyle name="Normal 2 14 11 2 2 3" xfId="23267" xr:uid="{00000000-0005-0000-0000-0000335A0000}"/>
    <cellStyle name="Normal 2 14 11 2 3" xfId="23268" xr:uid="{00000000-0005-0000-0000-0000345A0000}"/>
    <cellStyle name="Normal 2 14 11 2 4" xfId="23269" xr:uid="{00000000-0005-0000-0000-0000355A0000}"/>
    <cellStyle name="Normal 2 14 11 3" xfId="23270" xr:uid="{00000000-0005-0000-0000-0000365A0000}"/>
    <cellStyle name="Normal 2 14 11 3 2" xfId="23271" xr:uid="{00000000-0005-0000-0000-0000375A0000}"/>
    <cellStyle name="Normal 2 14 11 3 3" xfId="23272" xr:uid="{00000000-0005-0000-0000-0000385A0000}"/>
    <cellStyle name="Normal 2 14 11 4" xfId="23273" xr:uid="{00000000-0005-0000-0000-0000395A0000}"/>
    <cellStyle name="Normal 2 14 12" xfId="23274" xr:uid="{00000000-0005-0000-0000-00003A5A0000}"/>
    <cellStyle name="Normal 2 14 12 2" xfId="23275" xr:uid="{00000000-0005-0000-0000-00003B5A0000}"/>
    <cellStyle name="Normal 2 14 12 2 2" xfId="23276" xr:uid="{00000000-0005-0000-0000-00003C5A0000}"/>
    <cellStyle name="Normal 2 14 12 2 2 2" xfId="23277" xr:uid="{00000000-0005-0000-0000-00003D5A0000}"/>
    <cellStyle name="Normal 2 14 12 2 2 3" xfId="23278" xr:uid="{00000000-0005-0000-0000-00003E5A0000}"/>
    <cellStyle name="Normal 2 14 12 2 3" xfId="23279" xr:uid="{00000000-0005-0000-0000-00003F5A0000}"/>
    <cellStyle name="Normal 2 14 12 2 4" xfId="23280" xr:uid="{00000000-0005-0000-0000-0000405A0000}"/>
    <cellStyle name="Normal 2 14 12 3" xfId="23281" xr:uid="{00000000-0005-0000-0000-0000415A0000}"/>
    <cellStyle name="Normal 2 14 12 3 2" xfId="23282" xr:uid="{00000000-0005-0000-0000-0000425A0000}"/>
    <cellStyle name="Normal 2 14 12 3 3" xfId="23283" xr:uid="{00000000-0005-0000-0000-0000435A0000}"/>
    <cellStyle name="Normal 2 14 12 4" xfId="23284" xr:uid="{00000000-0005-0000-0000-0000445A0000}"/>
    <cellStyle name="Normal 2 14 13" xfId="23285" xr:uid="{00000000-0005-0000-0000-0000455A0000}"/>
    <cellStyle name="Normal 2 14 13 2" xfId="23286" xr:uid="{00000000-0005-0000-0000-0000465A0000}"/>
    <cellStyle name="Normal 2 14 13 2 2" xfId="23287" xr:uid="{00000000-0005-0000-0000-0000475A0000}"/>
    <cellStyle name="Normal 2 14 13 2 2 2" xfId="23288" xr:uid="{00000000-0005-0000-0000-0000485A0000}"/>
    <cellStyle name="Normal 2 14 13 2 2 3" xfId="23289" xr:uid="{00000000-0005-0000-0000-0000495A0000}"/>
    <cellStyle name="Normal 2 14 13 2 3" xfId="23290" xr:uid="{00000000-0005-0000-0000-00004A5A0000}"/>
    <cellStyle name="Normal 2 14 13 2 4" xfId="23291" xr:uid="{00000000-0005-0000-0000-00004B5A0000}"/>
    <cellStyle name="Normal 2 14 13 3" xfId="23292" xr:uid="{00000000-0005-0000-0000-00004C5A0000}"/>
    <cellStyle name="Normal 2 14 13 3 2" xfId="23293" xr:uid="{00000000-0005-0000-0000-00004D5A0000}"/>
    <cellStyle name="Normal 2 14 13 3 3" xfId="23294" xr:uid="{00000000-0005-0000-0000-00004E5A0000}"/>
    <cellStyle name="Normal 2 14 13 4" xfId="23295" xr:uid="{00000000-0005-0000-0000-00004F5A0000}"/>
    <cellStyle name="Normal 2 14 14" xfId="23296" xr:uid="{00000000-0005-0000-0000-0000505A0000}"/>
    <cellStyle name="Normal 2 14 14 2" xfId="23297" xr:uid="{00000000-0005-0000-0000-0000515A0000}"/>
    <cellStyle name="Normal 2 14 14 2 2" xfId="23298" xr:uid="{00000000-0005-0000-0000-0000525A0000}"/>
    <cellStyle name="Normal 2 14 14 2 2 2" xfId="23299" xr:uid="{00000000-0005-0000-0000-0000535A0000}"/>
    <cellStyle name="Normal 2 14 14 2 2 3" xfId="23300" xr:uid="{00000000-0005-0000-0000-0000545A0000}"/>
    <cellStyle name="Normal 2 14 14 2 3" xfId="23301" xr:uid="{00000000-0005-0000-0000-0000555A0000}"/>
    <cellStyle name="Normal 2 14 14 2 4" xfId="23302" xr:uid="{00000000-0005-0000-0000-0000565A0000}"/>
    <cellStyle name="Normal 2 14 14 3" xfId="23303" xr:uid="{00000000-0005-0000-0000-0000575A0000}"/>
    <cellStyle name="Normal 2 14 14 3 2" xfId="23304" xr:uid="{00000000-0005-0000-0000-0000585A0000}"/>
    <cellStyle name="Normal 2 14 14 3 3" xfId="23305" xr:uid="{00000000-0005-0000-0000-0000595A0000}"/>
    <cellStyle name="Normal 2 14 14 4" xfId="23306" xr:uid="{00000000-0005-0000-0000-00005A5A0000}"/>
    <cellStyle name="Normal 2 14 15" xfId="23307" xr:uid="{00000000-0005-0000-0000-00005B5A0000}"/>
    <cellStyle name="Normal 2 14 15 2" xfId="23308" xr:uid="{00000000-0005-0000-0000-00005C5A0000}"/>
    <cellStyle name="Normal 2 14 15 2 2" xfId="23309" xr:uid="{00000000-0005-0000-0000-00005D5A0000}"/>
    <cellStyle name="Normal 2 14 15 2 2 2" xfId="23310" xr:uid="{00000000-0005-0000-0000-00005E5A0000}"/>
    <cellStyle name="Normal 2 14 15 2 2 3" xfId="23311" xr:uid="{00000000-0005-0000-0000-00005F5A0000}"/>
    <cellStyle name="Normal 2 14 15 2 3" xfId="23312" xr:uid="{00000000-0005-0000-0000-0000605A0000}"/>
    <cellStyle name="Normal 2 14 15 2 4" xfId="23313" xr:uid="{00000000-0005-0000-0000-0000615A0000}"/>
    <cellStyle name="Normal 2 14 15 3" xfId="23314" xr:uid="{00000000-0005-0000-0000-0000625A0000}"/>
    <cellStyle name="Normal 2 14 15 3 2" xfId="23315" xr:uid="{00000000-0005-0000-0000-0000635A0000}"/>
    <cellStyle name="Normal 2 14 15 3 3" xfId="23316" xr:uid="{00000000-0005-0000-0000-0000645A0000}"/>
    <cellStyle name="Normal 2 14 15 4" xfId="23317" xr:uid="{00000000-0005-0000-0000-0000655A0000}"/>
    <cellStyle name="Normal 2 14 16" xfId="23318" xr:uid="{00000000-0005-0000-0000-0000665A0000}"/>
    <cellStyle name="Normal 2 14 16 2" xfId="23319" xr:uid="{00000000-0005-0000-0000-0000675A0000}"/>
    <cellStyle name="Normal 2 14 16 2 2" xfId="23320" xr:uid="{00000000-0005-0000-0000-0000685A0000}"/>
    <cellStyle name="Normal 2 14 16 2 2 2" xfId="23321" xr:uid="{00000000-0005-0000-0000-0000695A0000}"/>
    <cellStyle name="Normal 2 14 16 2 2 3" xfId="23322" xr:uid="{00000000-0005-0000-0000-00006A5A0000}"/>
    <cellStyle name="Normal 2 14 16 2 3" xfId="23323" xr:uid="{00000000-0005-0000-0000-00006B5A0000}"/>
    <cellStyle name="Normal 2 14 16 2 4" xfId="23324" xr:uid="{00000000-0005-0000-0000-00006C5A0000}"/>
    <cellStyle name="Normal 2 14 16 3" xfId="23325" xr:uid="{00000000-0005-0000-0000-00006D5A0000}"/>
    <cellStyle name="Normal 2 14 16 3 2" xfId="23326" xr:uid="{00000000-0005-0000-0000-00006E5A0000}"/>
    <cellStyle name="Normal 2 14 16 3 3" xfId="23327" xr:uid="{00000000-0005-0000-0000-00006F5A0000}"/>
    <cellStyle name="Normal 2 14 16 4" xfId="23328" xr:uid="{00000000-0005-0000-0000-0000705A0000}"/>
    <cellStyle name="Normal 2 14 17" xfId="23329" xr:uid="{00000000-0005-0000-0000-0000715A0000}"/>
    <cellStyle name="Normal 2 14 17 2" xfId="23330" xr:uid="{00000000-0005-0000-0000-0000725A0000}"/>
    <cellStyle name="Normal 2 14 17 2 2" xfId="23331" xr:uid="{00000000-0005-0000-0000-0000735A0000}"/>
    <cellStyle name="Normal 2 14 17 2 2 2" xfId="23332" xr:uid="{00000000-0005-0000-0000-0000745A0000}"/>
    <cellStyle name="Normal 2 14 17 2 2 3" xfId="23333" xr:uid="{00000000-0005-0000-0000-0000755A0000}"/>
    <cellStyle name="Normal 2 14 17 2 3" xfId="23334" xr:uid="{00000000-0005-0000-0000-0000765A0000}"/>
    <cellStyle name="Normal 2 14 17 2 4" xfId="23335" xr:uid="{00000000-0005-0000-0000-0000775A0000}"/>
    <cellStyle name="Normal 2 14 17 3" xfId="23336" xr:uid="{00000000-0005-0000-0000-0000785A0000}"/>
    <cellStyle name="Normal 2 14 17 3 2" xfId="23337" xr:uid="{00000000-0005-0000-0000-0000795A0000}"/>
    <cellStyle name="Normal 2 14 17 3 3" xfId="23338" xr:uid="{00000000-0005-0000-0000-00007A5A0000}"/>
    <cellStyle name="Normal 2 14 17 4" xfId="23339" xr:uid="{00000000-0005-0000-0000-00007B5A0000}"/>
    <cellStyle name="Normal 2 14 18" xfId="23340" xr:uid="{00000000-0005-0000-0000-00007C5A0000}"/>
    <cellStyle name="Normal 2 14 18 2" xfId="23341" xr:uid="{00000000-0005-0000-0000-00007D5A0000}"/>
    <cellStyle name="Normal 2 14 18 2 2" xfId="23342" xr:uid="{00000000-0005-0000-0000-00007E5A0000}"/>
    <cellStyle name="Normal 2 14 18 2 2 2" xfId="23343" xr:uid="{00000000-0005-0000-0000-00007F5A0000}"/>
    <cellStyle name="Normal 2 14 18 2 2 3" xfId="23344" xr:uid="{00000000-0005-0000-0000-0000805A0000}"/>
    <cellStyle name="Normal 2 14 18 2 3" xfId="23345" xr:uid="{00000000-0005-0000-0000-0000815A0000}"/>
    <cellStyle name="Normal 2 14 18 2 4" xfId="23346" xr:uid="{00000000-0005-0000-0000-0000825A0000}"/>
    <cellStyle name="Normal 2 14 18 3" xfId="23347" xr:uid="{00000000-0005-0000-0000-0000835A0000}"/>
    <cellStyle name="Normal 2 14 18 3 2" xfId="23348" xr:uid="{00000000-0005-0000-0000-0000845A0000}"/>
    <cellStyle name="Normal 2 14 18 3 3" xfId="23349" xr:uid="{00000000-0005-0000-0000-0000855A0000}"/>
    <cellStyle name="Normal 2 14 18 4" xfId="23350" xr:uid="{00000000-0005-0000-0000-0000865A0000}"/>
    <cellStyle name="Normal 2 14 19" xfId="23351" xr:uid="{00000000-0005-0000-0000-0000875A0000}"/>
    <cellStyle name="Normal 2 14 19 2" xfId="23352" xr:uid="{00000000-0005-0000-0000-0000885A0000}"/>
    <cellStyle name="Normal 2 14 19 2 2" xfId="23353" xr:uid="{00000000-0005-0000-0000-0000895A0000}"/>
    <cellStyle name="Normal 2 14 19 2 2 2" xfId="23354" xr:uid="{00000000-0005-0000-0000-00008A5A0000}"/>
    <cellStyle name="Normal 2 14 19 2 2 3" xfId="23355" xr:uid="{00000000-0005-0000-0000-00008B5A0000}"/>
    <cellStyle name="Normal 2 14 19 2 3" xfId="23356" xr:uid="{00000000-0005-0000-0000-00008C5A0000}"/>
    <cellStyle name="Normal 2 14 19 2 4" xfId="23357" xr:uid="{00000000-0005-0000-0000-00008D5A0000}"/>
    <cellStyle name="Normal 2 14 19 3" xfId="23358" xr:uid="{00000000-0005-0000-0000-00008E5A0000}"/>
    <cellStyle name="Normal 2 14 19 3 2" xfId="23359" xr:uid="{00000000-0005-0000-0000-00008F5A0000}"/>
    <cellStyle name="Normal 2 14 19 3 3" xfId="23360" xr:uid="{00000000-0005-0000-0000-0000905A0000}"/>
    <cellStyle name="Normal 2 14 19 4" xfId="23361" xr:uid="{00000000-0005-0000-0000-0000915A0000}"/>
    <cellStyle name="Normal 2 14 2" xfId="23362" xr:uid="{00000000-0005-0000-0000-0000925A0000}"/>
    <cellStyle name="Normal 2 14 2 2" xfId="23363" xr:uid="{00000000-0005-0000-0000-0000935A0000}"/>
    <cellStyle name="Normal 2 14 2 2 2" xfId="23364" xr:uid="{00000000-0005-0000-0000-0000945A0000}"/>
    <cellStyle name="Normal 2 14 2 2 2 2" xfId="23365" xr:uid="{00000000-0005-0000-0000-0000955A0000}"/>
    <cellStyle name="Normal 2 14 2 2 2 3" xfId="23366" xr:uid="{00000000-0005-0000-0000-0000965A0000}"/>
    <cellStyle name="Normal 2 14 2 2 3" xfId="23367" xr:uid="{00000000-0005-0000-0000-0000975A0000}"/>
    <cellStyle name="Normal 2 14 2 2 4" xfId="23368" xr:uid="{00000000-0005-0000-0000-0000985A0000}"/>
    <cellStyle name="Normal 2 14 2 3" xfId="23369" xr:uid="{00000000-0005-0000-0000-0000995A0000}"/>
    <cellStyle name="Normal 2 14 2 3 2" xfId="23370" xr:uid="{00000000-0005-0000-0000-00009A5A0000}"/>
    <cellStyle name="Normal 2 14 2 3 3" xfId="23371" xr:uid="{00000000-0005-0000-0000-00009B5A0000}"/>
    <cellStyle name="Normal 2 14 2 4" xfId="23372" xr:uid="{00000000-0005-0000-0000-00009C5A0000}"/>
    <cellStyle name="Normal 2 14 20" xfId="23373" xr:uid="{00000000-0005-0000-0000-00009D5A0000}"/>
    <cellStyle name="Normal 2 14 20 2" xfId="23374" xr:uid="{00000000-0005-0000-0000-00009E5A0000}"/>
    <cellStyle name="Normal 2 14 20 2 2" xfId="23375" xr:uid="{00000000-0005-0000-0000-00009F5A0000}"/>
    <cellStyle name="Normal 2 14 20 2 2 2" xfId="23376" xr:uid="{00000000-0005-0000-0000-0000A05A0000}"/>
    <cellStyle name="Normal 2 14 20 2 2 3" xfId="23377" xr:uid="{00000000-0005-0000-0000-0000A15A0000}"/>
    <cellStyle name="Normal 2 14 20 2 3" xfId="23378" xr:uid="{00000000-0005-0000-0000-0000A25A0000}"/>
    <cellStyle name="Normal 2 14 20 2 4" xfId="23379" xr:uid="{00000000-0005-0000-0000-0000A35A0000}"/>
    <cellStyle name="Normal 2 14 20 3" xfId="23380" xr:uid="{00000000-0005-0000-0000-0000A45A0000}"/>
    <cellStyle name="Normal 2 14 20 3 2" xfId="23381" xr:uid="{00000000-0005-0000-0000-0000A55A0000}"/>
    <cellStyle name="Normal 2 14 20 3 3" xfId="23382" xr:uid="{00000000-0005-0000-0000-0000A65A0000}"/>
    <cellStyle name="Normal 2 14 20 4" xfId="23383" xr:uid="{00000000-0005-0000-0000-0000A75A0000}"/>
    <cellStyle name="Normal 2 14 21" xfId="23384" xr:uid="{00000000-0005-0000-0000-0000A85A0000}"/>
    <cellStyle name="Normal 2 14 21 2" xfId="23385" xr:uid="{00000000-0005-0000-0000-0000A95A0000}"/>
    <cellStyle name="Normal 2 14 21 2 2" xfId="23386" xr:uid="{00000000-0005-0000-0000-0000AA5A0000}"/>
    <cellStyle name="Normal 2 14 21 2 2 2" xfId="23387" xr:uid="{00000000-0005-0000-0000-0000AB5A0000}"/>
    <cellStyle name="Normal 2 14 21 2 2 3" xfId="23388" xr:uid="{00000000-0005-0000-0000-0000AC5A0000}"/>
    <cellStyle name="Normal 2 14 21 2 3" xfId="23389" xr:uid="{00000000-0005-0000-0000-0000AD5A0000}"/>
    <cellStyle name="Normal 2 14 21 2 4" xfId="23390" xr:uid="{00000000-0005-0000-0000-0000AE5A0000}"/>
    <cellStyle name="Normal 2 14 21 3" xfId="23391" xr:uid="{00000000-0005-0000-0000-0000AF5A0000}"/>
    <cellStyle name="Normal 2 14 21 3 2" xfId="23392" xr:uid="{00000000-0005-0000-0000-0000B05A0000}"/>
    <cellStyle name="Normal 2 14 21 3 3" xfId="23393" xr:uid="{00000000-0005-0000-0000-0000B15A0000}"/>
    <cellStyle name="Normal 2 14 21 4" xfId="23394" xr:uid="{00000000-0005-0000-0000-0000B25A0000}"/>
    <cellStyle name="Normal 2 14 22" xfId="23395" xr:uid="{00000000-0005-0000-0000-0000B35A0000}"/>
    <cellStyle name="Normal 2 14 22 2" xfId="23396" xr:uid="{00000000-0005-0000-0000-0000B45A0000}"/>
    <cellStyle name="Normal 2 14 22 2 2" xfId="23397" xr:uid="{00000000-0005-0000-0000-0000B55A0000}"/>
    <cellStyle name="Normal 2 14 22 2 2 2" xfId="23398" xr:uid="{00000000-0005-0000-0000-0000B65A0000}"/>
    <cellStyle name="Normal 2 14 22 2 2 3" xfId="23399" xr:uid="{00000000-0005-0000-0000-0000B75A0000}"/>
    <cellStyle name="Normal 2 14 22 2 3" xfId="23400" xr:uid="{00000000-0005-0000-0000-0000B85A0000}"/>
    <cellStyle name="Normal 2 14 22 2 4" xfId="23401" xr:uid="{00000000-0005-0000-0000-0000B95A0000}"/>
    <cellStyle name="Normal 2 14 22 3" xfId="23402" xr:uid="{00000000-0005-0000-0000-0000BA5A0000}"/>
    <cellStyle name="Normal 2 14 22 3 2" xfId="23403" xr:uid="{00000000-0005-0000-0000-0000BB5A0000}"/>
    <cellStyle name="Normal 2 14 22 3 3" xfId="23404" xr:uid="{00000000-0005-0000-0000-0000BC5A0000}"/>
    <cellStyle name="Normal 2 14 22 4" xfId="23405" xr:uid="{00000000-0005-0000-0000-0000BD5A0000}"/>
    <cellStyle name="Normal 2 14 23" xfId="23406" xr:uid="{00000000-0005-0000-0000-0000BE5A0000}"/>
    <cellStyle name="Normal 2 14 23 2" xfId="23407" xr:uid="{00000000-0005-0000-0000-0000BF5A0000}"/>
    <cellStyle name="Normal 2 14 23 2 2" xfId="23408" xr:uid="{00000000-0005-0000-0000-0000C05A0000}"/>
    <cellStyle name="Normal 2 14 23 2 2 2" xfId="23409" xr:uid="{00000000-0005-0000-0000-0000C15A0000}"/>
    <cellStyle name="Normal 2 14 23 2 2 3" xfId="23410" xr:uid="{00000000-0005-0000-0000-0000C25A0000}"/>
    <cellStyle name="Normal 2 14 23 2 3" xfId="23411" xr:uid="{00000000-0005-0000-0000-0000C35A0000}"/>
    <cellStyle name="Normal 2 14 23 2 4" xfId="23412" xr:uid="{00000000-0005-0000-0000-0000C45A0000}"/>
    <cellStyle name="Normal 2 14 23 3" xfId="23413" xr:uid="{00000000-0005-0000-0000-0000C55A0000}"/>
    <cellStyle name="Normal 2 14 23 3 2" xfId="23414" xr:uid="{00000000-0005-0000-0000-0000C65A0000}"/>
    <cellStyle name="Normal 2 14 23 3 3" xfId="23415" xr:uid="{00000000-0005-0000-0000-0000C75A0000}"/>
    <cellStyle name="Normal 2 14 23 4" xfId="23416" xr:uid="{00000000-0005-0000-0000-0000C85A0000}"/>
    <cellStyle name="Normal 2 14 24" xfId="23417" xr:uid="{00000000-0005-0000-0000-0000C95A0000}"/>
    <cellStyle name="Normal 2 14 24 2" xfId="23418" xr:uid="{00000000-0005-0000-0000-0000CA5A0000}"/>
    <cellStyle name="Normal 2 14 24 2 2" xfId="23419" xr:uid="{00000000-0005-0000-0000-0000CB5A0000}"/>
    <cellStyle name="Normal 2 14 24 2 3" xfId="23420" xr:uid="{00000000-0005-0000-0000-0000CC5A0000}"/>
    <cellStyle name="Normal 2 14 24 3" xfId="23421" xr:uid="{00000000-0005-0000-0000-0000CD5A0000}"/>
    <cellStyle name="Normal 2 14 24 4" xfId="23422" xr:uid="{00000000-0005-0000-0000-0000CE5A0000}"/>
    <cellStyle name="Normal 2 14 25" xfId="23423" xr:uid="{00000000-0005-0000-0000-0000CF5A0000}"/>
    <cellStyle name="Normal 2 14 25 2" xfId="23424" xr:uid="{00000000-0005-0000-0000-0000D05A0000}"/>
    <cellStyle name="Normal 2 14 25 3" xfId="23425" xr:uid="{00000000-0005-0000-0000-0000D15A0000}"/>
    <cellStyle name="Normal 2 14 26" xfId="23426" xr:uid="{00000000-0005-0000-0000-0000D25A0000}"/>
    <cellStyle name="Normal 2 14 27" xfId="23427" xr:uid="{00000000-0005-0000-0000-0000D35A0000}"/>
    <cellStyle name="Normal 2 14 3" xfId="23428" xr:uid="{00000000-0005-0000-0000-0000D45A0000}"/>
    <cellStyle name="Normal 2 14 3 2" xfId="23429" xr:uid="{00000000-0005-0000-0000-0000D55A0000}"/>
    <cellStyle name="Normal 2 14 3 2 2" xfId="23430" xr:uid="{00000000-0005-0000-0000-0000D65A0000}"/>
    <cellStyle name="Normal 2 14 3 2 2 2" xfId="23431" xr:uid="{00000000-0005-0000-0000-0000D75A0000}"/>
    <cellStyle name="Normal 2 14 3 2 2 3" xfId="23432" xr:uid="{00000000-0005-0000-0000-0000D85A0000}"/>
    <cellStyle name="Normal 2 14 3 2 3" xfId="23433" xr:uid="{00000000-0005-0000-0000-0000D95A0000}"/>
    <cellStyle name="Normal 2 14 3 2 4" xfId="23434" xr:uid="{00000000-0005-0000-0000-0000DA5A0000}"/>
    <cellStyle name="Normal 2 14 3 3" xfId="23435" xr:uid="{00000000-0005-0000-0000-0000DB5A0000}"/>
    <cellStyle name="Normal 2 14 3 3 2" xfId="23436" xr:uid="{00000000-0005-0000-0000-0000DC5A0000}"/>
    <cellStyle name="Normal 2 14 3 3 3" xfId="23437" xr:uid="{00000000-0005-0000-0000-0000DD5A0000}"/>
    <cellStyle name="Normal 2 14 3 4" xfId="23438" xr:uid="{00000000-0005-0000-0000-0000DE5A0000}"/>
    <cellStyle name="Normal 2 14 4" xfId="23439" xr:uid="{00000000-0005-0000-0000-0000DF5A0000}"/>
    <cellStyle name="Normal 2 14 4 2" xfId="23440" xr:uid="{00000000-0005-0000-0000-0000E05A0000}"/>
    <cellStyle name="Normal 2 14 4 2 2" xfId="23441" xr:uid="{00000000-0005-0000-0000-0000E15A0000}"/>
    <cellStyle name="Normal 2 14 4 2 2 2" xfId="23442" xr:uid="{00000000-0005-0000-0000-0000E25A0000}"/>
    <cellStyle name="Normal 2 14 4 2 2 3" xfId="23443" xr:uid="{00000000-0005-0000-0000-0000E35A0000}"/>
    <cellStyle name="Normal 2 14 4 2 3" xfId="23444" xr:uid="{00000000-0005-0000-0000-0000E45A0000}"/>
    <cellStyle name="Normal 2 14 4 2 4" xfId="23445" xr:uid="{00000000-0005-0000-0000-0000E55A0000}"/>
    <cellStyle name="Normal 2 14 4 3" xfId="23446" xr:uid="{00000000-0005-0000-0000-0000E65A0000}"/>
    <cellStyle name="Normal 2 14 4 3 2" xfId="23447" xr:uid="{00000000-0005-0000-0000-0000E75A0000}"/>
    <cellStyle name="Normal 2 14 4 3 3" xfId="23448" xr:uid="{00000000-0005-0000-0000-0000E85A0000}"/>
    <cellStyle name="Normal 2 14 4 4" xfId="23449" xr:uid="{00000000-0005-0000-0000-0000E95A0000}"/>
    <cellStyle name="Normal 2 14 5" xfId="23450" xr:uid="{00000000-0005-0000-0000-0000EA5A0000}"/>
    <cellStyle name="Normal 2 14 5 2" xfId="23451" xr:uid="{00000000-0005-0000-0000-0000EB5A0000}"/>
    <cellStyle name="Normal 2 14 5 2 2" xfId="23452" xr:uid="{00000000-0005-0000-0000-0000EC5A0000}"/>
    <cellStyle name="Normal 2 14 5 2 2 2" xfId="23453" xr:uid="{00000000-0005-0000-0000-0000ED5A0000}"/>
    <cellStyle name="Normal 2 14 5 2 2 3" xfId="23454" xr:uid="{00000000-0005-0000-0000-0000EE5A0000}"/>
    <cellStyle name="Normal 2 14 5 2 3" xfId="23455" xr:uid="{00000000-0005-0000-0000-0000EF5A0000}"/>
    <cellStyle name="Normal 2 14 5 2 4" xfId="23456" xr:uid="{00000000-0005-0000-0000-0000F05A0000}"/>
    <cellStyle name="Normal 2 14 5 3" xfId="23457" xr:uid="{00000000-0005-0000-0000-0000F15A0000}"/>
    <cellStyle name="Normal 2 14 5 3 2" xfId="23458" xr:uid="{00000000-0005-0000-0000-0000F25A0000}"/>
    <cellStyle name="Normal 2 14 5 3 3" xfId="23459" xr:uid="{00000000-0005-0000-0000-0000F35A0000}"/>
    <cellStyle name="Normal 2 14 5 4" xfId="23460" xr:uid="{00000000-0005-0000-0000-0000F45A0000}"/>
    <cellStyle name="Normal 2 14 6" xfId="23461" xr:uid="{00000000-0005-0000-0000-0000F55A0000}"/>
    <cellStyle name="Normal 2 14 6 2" xfId="23462" xr:uid="{00000000-0005-0000-0000-0000F65A0000}"/>
    <cellStyle name="Normal 2 14 6 2 2" xfId="23463" xr:uid="{00000000-0005-0000-0000-0000F75A0000}"/>
    <cellStyle name="Normal 2 14 6 2 2 2" xfId="23464" xr:uid="{00000000-0005-0000-0000-0000F85A0000}"/>
    <cellStyle name="Normal 2 14 6 2 2 3" xfId="23465" xr:uid="{00000000-0005-0000-0000-0000F95A0000}"/>
    <cellStyle name="Normal 2 14 6 2 3" xfId="23466" xr:uid="{00000000-0005-0000-0000-0000FA5A0000}"/>
    <cellStyle name="Normal 2 14 6 2 4" xfId="23467" xr:uid="{00000000-0005-0000-0000-0000FB5A0000}"/>
    <cellStyle name="Normal 2 14 6 3" xfId="23468" xr:uid="{00000000-0005-0000-0000-0000FC5A0000}"/>
    <cellStyle name="Normal 2 14 6 3 2" xfId="23469" xr:uid="{00000000-0005-0000-0000-0000FD5A0000}"/>
    <cellStyle name="Normal 2 14 6 3 3" xfId="23470" xr:uid="{00000000-0005-0000-0000-0000FE5A0000}"/>
    <cellStyle name="Normal 2 14 6 4" xfId="23471" xr:uid="{00000000-0005-0000-0000-0000FF5A0000}"/>
    <cellStyle name="Normal 2 14 7" xfId="23472" xr:uid="{00000000-0005-0000-0000-0000005B0000}"/>
    <cellStyle name="Normal 2 14 7 2" xfId="23473" xr:uid="{00000000-0005-0000-0000-0000015B0000}"/>
    <cellStyle name="Normal 2 14 7 2 2" xfId="23474" xr:uid="{00000000-0005-0000-0000-0000025B0000}"/>
    <cellStyle name="Normal 2 14 7 2 2 2" xfId="23475" xr:uid="{00000000-0005-0000-0000-0000035B0000}"/>
    <cellStyle name="Normal 2 14 7 2 2 3" xfId="23476" xr:uid="{00000000-0005-0000-0000-0000045B0000}"/>
    <cellStyle name="Normal 2 14 7 2 3" xfId="23477" xr:uid="{00000000-0005-0000-0000-0000055B0000}"/>
    <cellStyle name="Normal 2 14 7 2 4" xfId="23478" xr:uid="{00000000-0005-0000-0000-0000065B0000}"/>
    <cellStyle name="Normal 2 14 7 3" xfId="23479" xr:uid="{00000000-0005-0000-0000-0000075B0000}"/>
    <cellStyle name="Normal 2 14 7 3 2" xfId="23480" xr:uid="{00000000-0005-0000-0000-0000085B0000}"/>
    <cellStyle name="Normal 2 14 7 3 3" xfId="23481" xr:uid="{00000000-0005-0000-0000-0000095B0000}"/>
    <cellStyle name="Normal 2 14 7 4" xfId="23482" xr:uid="{00000000-0005-0000-0000-00000A5B0000}"/>
    <cellStyle name="Normal 2 14 8" xfId="23483" xr:uid="{00000000-0005-0000-0000-00000B5B0000}"/>
    <cellStyle name="Normal 2 14 8 2" xfId="23484" xr:uid="{00000000-0005-0000-0000-00000C5B0000}"/>
    <cellStyle name="Normal 2 14 8 2 2" xfId="23485" xr:uid="{00000000-0005-0000-0000-00000D5B0000}"/>
    <cellStyle name="Normal 2 14 8 2 2 2" xfId="23486" xr:uid="{00000000-0005-0000-0000-00000E5B0000}"/>
    <cellStyle name="Normal 2 14 8 2 2 3" xfId="23487" xr:uid="{00000000-0005-0000-0000-00000F5B0000}"/>
    <cellStyle name="Normal 2 14 8 2 3" xfId="23488" xr:uid="{00000000-0005-0000-0000-0000105B0000}"/>
    <cellStyle name="Normal 2 14 8 2 4" xfId="23489" xr:uid="{00000000-0005-0000-0000-0000115B0000}"/>
    <cellStyle name="Normal 2 14 8 3" xfId="23490" xr:uid="{00000000-0005-0000-0000-0000125B0000}"/>
    <cellStyle name="Normal 2 14 8 3 2" xfId="23491" xr:uid="{00000000-0005-0000-0000-0000135B0000}"/>
    <cellStyle name="Normal 2 14 8 3 3" xfId="23492" xr:uid="{00000000-0005-0000-0000-0000145B0000}"/>
    <cellStyle name="Normal 2 14 8 4" xfId="23493" xr:uid="{00000000-0005-0000-0000-0000155B0000}"/>
    <cellStyle name="Normal 2 14 9" xfId="23494" xr:uid="{00000000-0005-0000-0000-0000165B0000}"/>
    <cellStyle name="Normal 2 14 9 2" xfId="23495" xr:uid="{00000000-0005-0000-0000-0000175B0000}"/>
    <cellStyle name="Normal 2 14 9 2 2" xfId="23496" xr:uid="{00000000-0005-0000-0000-0000185B0000}"/>
    <cellStyle name="Normal 2 14 9 2 2 2" xfId="23497" xr:uid="{00000000-0005-0000-0000-0000195B0000}"/>
    <cellStyle name="Normal 2 14 9 2 2 3" xfId="23498" xr:uid="{00000000-0005-0000-0000-00001A5B0000}"/>
    <cellStyle name="Normal 2 14 9 2 3" xfId="23499" xr:uid="{00000000-0005-0000-0000-00001B5B0000}"/>
    <cellStyle name="Normal 2 14 9 2 4" xfId="23500" xr:uid="{00000000-0005-0000-0000-00001C5B0000}"/>
    <cellStyle name="Normal 2 14 9 3" xfId="23501" xr:uid="{00000000-0005-0000-0000-00001D5B0000}"/>
    <cellStyle name="Normal 2 14 9 3 2" xfId="23502" xr:uid="{00000000-0005-0000-0000-00001E5B0000}"/>
    <cellStyle name="Normal 2 14 9 3 3" xfId="23503" xr:uid="{00000000-0005-0000-0000-00001F5B0000}"/>
    <cellStyle name="Normal 2 14 9 4" xfId="23504" xr:uid="{00000000-0005-0000-0000-0000205B0000}"/>
    <cellStyle name="Normal 2 15" xfId="23505" xr:uid="{00000000-0005-0000-0000-0000215B0000}"/>
    <cellStyle name="Normal 2 15 10" xfId="23506" xr:uid="{00000000-0005-0000-0000-0000225B0000}"/>
    <cellStyle name="Normal 2 15 10 2" xfId="23507" xr:uid="{00000000-0005-0000-0000-0000235B0000}"/>
    <cellStyle name="Normal 2 15 10 2 2" xfId="23508" xr:uid="{00000000-0005-0000-0000-0000245B0000}"/>
    <cellStyle name="Normal 2 15 10 2 2 2" xfId="23509" xr:uid="{00000000-0005-0000-0000-0000255B0000}"/>
    <cellStyle name="Normal 2 15 10 2 2 3" xfId="23510" xr:uid="{00000000-0005-0000-0000-0000265B0000}"/>
    <cellStyle name="Normal 2 15 10 2 3" xfId="23511" xr:uid="{00000000-0005-0000-0000-0000275B0000}"/>
    <cellStyle name="Normal 2 15 10 2 4" xfId="23512" xr:uid="{00000000-0005-0000-0000-0000285B0000}"/>
    <cellStyle name="Normal 2 15 10 3" xfId="23513" xr:uid="{00000000-0005-0000-0000-0000295B0000}"/>
    <cellStyle name="Normal 2 15 10 3 2" xfId="23514" xr:uid="{00000000-0005-0000-0000-00002A5B0000}"/>
    <cellStyle name="Normal 2 15 10 3 3" xfId="23515" xr:uid="{00000000-0005-0000-0000-00002B5B0000}"/>
    <cellStyle name="Normal 2 15 10 4" xfId="23516" xr:uid="{00000000-0005-0000-0000-00002C5B0000}"/>
    <cellStyle name="Normal 2 15 11" xfId="23517" xr:uid="{00000000-0005-0000-0000-00002D5B0000}"/>
    <cellStyle name="Normal 2 15 11 2" xfId="23518" xr:uid="{00000000-0005-0000-0000-00002E5B0000}"/>
    <cellStyle name="Normal 2 15 11 2 2" xfId="23519" xr:uid="{00000000-0005-0000-0000-00002F5B0000}"/>
    <cellStyle name="Normal 2 15 11 2 2 2" xfId="23520" xr:uid="{00000000-0005-0000-0000-0000305B0000}"/>
    <cellStyle name="Normal 2 15 11 2 2 3" xfId="23521" xr:uid="{00000000-0005-0000-0000-0000315B0000}"/>
    <cellStyle name="Normal 2 15 11 2 3" xfId="23522" xr:uid="{00000000-0005-0000-0000-0000325B0000}"/>
    <cellStyle name="Normal 2 15 11 2 4" xfId="23523" xr:uid="{00000000-0005-0000-0000-0000335B0000}"/>
    <cellStyle name="Normal 2 15 11 3" xfId="23524" xr:uid="{00000000-0005-0000-0000-0000345B0000}"/>
    <cellStyle name="Normal 2 15 11 3 2" xfId="23525" xr:uid="{00000000-0005-0000-0000-0000355B0000}"/>
    <cellStyle name="Normal 2 15 11 3 3" xfId="23526" xr:uid="{00000000-0005-0000-0000-0000365B0000}"/>
    <cellStyle name="Normal 2 15 11 4" xfId="23527" xr:uid="{00000000-0005-0000-0000-0000375B0000}"/>
    <cellStyle name="Normal 2 15 12" xfId="23528" xr:uid="{00000000-0005-0000-0000-0000385B0000}"/>
    <cellStyle name="Normal 2 15 12 2" xfId="23529" xr:uid="{00000000-0005-0000-0000-0000395B0000}"/>
    <cellStyle name="Normal 2 15 12 2 2" xfId="23530" xr:uid="{00000000-0005-0000-0000-00003A5B0000}"/>
    <cellStyle name="Normal 2 15 12 2 2 2" xfId="23531" xr:uid="{00000000-0005-0000-0000-00003B5B0000}"/>
    <cellStyle name="Normal 2 15 12 2 2 3" xfId="23532" xr:uid="{00000000-0005-0000-0000-00003C5B0000}"/>
    <cellStyle name="Normal 2 15 12 2 3" xfId="23533" xr:uid="{00000000-0005-0000-0000-00003D5B0000}"/>
    <cellStyle name="Normal 2 15 12 2 4" xfId="23534" xr:uid="{00000000-0005-0000-0000-00003E5B0000}"/>
    <cellStyle name="Normal 2 15 12 3" xfId="23535" xr:uid="{00000000-0005-0000-0000-00003F5B0000}"/>
    <cellStyle name="Normal 2 15 12 3 2" xfId="23536" xr:uid="{00000000-0005-0000-0000-0000405B0000}"/>
    <cellStyle name="Normal 2 15 12 3 3" xfId="23537" xr:uid="{00000000-0005-0000-0000-0000415B0000}"/>
    <cellStyle name="Normal 2 15 12 4" xfId="23538" xr:uid="{00000000-0005-0000-0000-0000425B0000}"/>
    <cellStyle name="Normal 2 15 13" xfId="23539" xr:uid="{00000000-0005-0000-0000-0000435B0000}"/>
    <cellStyle name="Normal 2 15 13 2" xfId="23540" xr:uid="{00000000-0005-0000-0000-0000445B0000}"/>
    <cellStyle name="Normal 2 15 13 2 2" xfId="23541" xr:uid="{00000000-0005-0000-0000-0000455B0000}"/>
    <cellStyle name="Normal 2 15 13 2 2 2" xfId="23542" xr:uid="{00000000-0005-0000-0000-0000465B0000}"/>
    <cellStyle name="Normal 2 15 13 2 2 3" xfId="23543" xr:uid="{00000000-0005-0000-0000-0000475B0000}"/>
    <cellStyle name="Normal 2 15 13 2 3" xfId="23544" xr:uid="{00000000-0005-0000-0000-0000485B0000}"/>
    <cellStyle name="Normal 2 15 13 2 4" xfId="23545" xr:uid="{00000000-0005-0000-0000-0000495B0000}"/>
    <cellStyle name="Normal 2 15 13 3" xfId="23546" xr:uid="{00000000-0005-0000-0000-00004A5B0000}"/>
    <cellStyle name="Normal 2 15 13 3 2" xfId="23547" xr:uid="{00000000-0005-0000-0000-00004B5B0000}"/>
    <cellStyle name="Normal 2 15 13 3 3" xfId="23548" xr:uid="{00000000-0005-0000-0000-00004C5B0000}"/>
    <cellStyle name="Normal 2 15 13 4" xfId="23549" xr:uid="{00000000-0005-0000-0000-00004D5B0000}"/>
    <cellStyle name="Normal 2 15 14" xfId="23550" xr:uid="{00000000-0005-0000-0000-00004E5B0000}"/>
    <cellStyle name="Normal 2 15 14 2" xfId="23551" xr:uid="{00000000-0005-0000-0000-00004F5B0000}"/>
    <cellStyle name="Normal 2 15 14 2 2" xfId="23552" xr:uid="{00000000-0005-0000-0000-0000505B0000}"/>
    <cellStyle name="Normal 2 15 14 2 2 2" xfId="23553" xr:uid="{00000000-0005-0000-0000-0000515B0000}"/>
    <cellStyle name="Normal 2 15 14 2 2 3" xfId="23554" xr:uid="{00000000-0005-0000-0000-0000525B0000}"/>
    <cellStyle name="Normal 2 15 14 2 3" xfId="23555" xr:uid="{00000000-0005-0000-0000-0000535B0000}"/>
    <cellStyle name="Normal 2 15 14 2 4" xfId="23556" xr:uid="{00000000-0005-0000-0000-0000545B0000}"/>
    <cellStyle name="Normal 2 15 14 3" xfId="23557" xr:uid="{00000000-0005-0000-0000-0000555B0000}"/>
    <cellStyle name="Normal 2 15 14 3 2" xfId="23558" xr:uid="{00000000-0005-0000-0000-0000565B0000}"/>
    <cellStyle name="Normal 2 15 14 3 3" xfId="23559" xr:uid="{00000000-0005-0000-0000-0000575B0000}"/>
    <cellStyle name="Normal 2 15 14 4" xfId="23560" xr:uid="{00000000-0005-0000-0000-0000585B0000}"/>
    <cellStyle name="Normal 2 15 15" xfId="23561" xr:uid="{00000000-0005-0000-0000-0000595B0000}"/>
    <cellStyle name="Normal 2 15 15 2" xfId="23562" xr:uid="{00000000-0005-0000-0000-00005A5B0000}"/>
    <cellStyle name="Normal 2 15 15 2 2" xfId="23563" xr:uid="{00000000-0005-0000-0000-00005B5B0000}"/>
    <cellStyle name="Normal 2 15 15 2 2 2" xfId="23564" xr:uid="{00000000-0005-0000-0000-00005C5B0000}"/>
    <cellStyle name="Normal 2 15 15 2 2 3" xfId="23565" xr:uid="{00000000-0005-0000-0000-00005D5B0000}"/>
    <cellStyle name="Normal 2 15 15 2 3" xfId="23566" xr:uid="{00000000-0005-0000-0000-00005E5B0000}"/>
    <cellStyle name="Normal 2 15 15 2 4" xfId="23567" xr:uid="{00000000-0005-0000-0000-00005F5B0000}"/>
    <cellStyle name="Normal 2 15 15 3" xfId="23568" xr:uid="{00000000-0005-0000-0000-0000605B0000}"/>
    <cellStyle name="Normal 2 15 15 3 2" xfId="23569" xr:uid="{00000000-0005-0000-0000-0000615B0000}"/>
    <cellStyle name="Normal 2 15 15 3 3" xfId="23570" xr:uid="{00000000-0005-0000-0000-0000625B0000}"/>
    <cellStyle name="Normal 2 15 15 4" xfId="23571" xr:uid="{00000000-0005-0000-0000-0000635B0000}"/>
    <cellStyle name="Normal 2 15 16" xfId="23572" xr:uid="{00000000-0005-0000-0000-0000645B0000}"/>
    <cellStyle name="Normal 2 15 16 2" xfId="23573" xr:uid="{00000000-0005-0000-0000-0000655B0000}"/>
    <cellStyle name="Normal 2 15 16 2 2" xfId="23574" xr:uid="{00000000-0005-0000-0000-0000665B0000}"/>
    <cellStyle name="Normal 2 15 16 2 2 2" xfId="23575" xr:uid="{00000000-0005-0000-0000-0000675B0000}"/>
    <cellStyle name="Normal 2 15 16 2 2 3" xfId="23576" xr:uid="{00000000-0005-0000-0000-0000685B0000}"/>
    <cellStyle name="Normal 2 15 16 2 3" xfId="23577" xr:uid="{00000000-0005-0000-0000-0000695B0000}"/>
    <cellStyle name="Normal 2 15 16 2 4" xfId="23578" xr:uid="{00000000-0005-0000-0000-00006A5B0000}"/>
    <cellStyle name="Normal 2 15 16 3" xfId="23579" xr:uid="{00000000-0005-0000-0000-00006B5B0000}"/>
    <cellStyle name="Normal 2 15 16 3 2" xfId="23580" xr:uid="{00000000-0005-0000-0000-00006C5B0000}"/>
    <cellStyle name="Normal 2 15 16 3 3" xfId="23581" xr:uid="{00000000-0005-0000-0000-00006D5B0000}"/>
    <cellStyle name="Normal 2 15 16 4" xfId="23582" xr:uid="{00000000-0005-0000-0000-00006E5B0000}"/>
    <cellStyle name="Normal 2 15 17" xfId="23583" xr:uid="{00000000-0005-0000-0000-00006F5B0000}"/>
    <cellStyle name="Normal 2 15 17 2" xfId="23584" xr:uid="{00000000-0005-0000-0000-0000705B0000}"/>
    <cellStyle name="Normal 2 15 17 2 2" xfId="23585" xr:uid="{00000000-0005-0000-0000-0000715B0000}"/>
    <cellStyle name="Normal 2 15 17 2 2 2" xfId="23586" xr:uid="{00000000-0005-0000-0000-0000725B0000}"/>
    <cellStyle name="Normal 2 15 17 2 2 3" xfId="23587" xr:uid="{00000000-0005-0000-0000-0000735B0000}"/>
    <cellStyle name="Normal 2 15 17 2 3" xfId="23588" xr:uid="{00000000-0005-0000-0000-0000745B0000}"/>
    <cellStyle name="Normal 2 15 17 2 4" xfId="23589" xr:uid="{00000000-0005-0000-0000-0000755B0000}"/>
    <cellStyle name="Normal 2 15 17 3" xfId="23590" xr:uid="{00000000-0005-0000-0000-0000765B0000}"/>
    <cellStyle name="Normal 2 15 17 3 2" xfId="23591" xr:uid="{00000000-0005-0000-0000-0000775B0000}"/>
    <cellStyle name="Normal 2 15 17 3 3" xfId="23592" xr:uid="{00000000-0005-0000-0000-0000785B0000}"/>
    <cellStyle name="Normal 2 15 17 4" xfId="23593" xr:uid="{00000000-0005-0000-0000-0000795B0000}"/>
    <cellStyle name="Normal 2 15 18" xfId="23594" xr:uid="{00000000-0005-0000-0000-00007A5B0000}"/>
    <cellStyle name="Normal 2 15 18 2" xfId="23595" xr:uid="{00000000-0005-0000-0000-00007B5B0000}"/>
    <cellStyle name="Normal 2 15 18 2 2" xfId="23596" xr:uid="{00000000-0005-0000-0000-00007C5B0000}"/>
    <cellStyle name="Normal 2 15 18 2 2 2" xfId="23597" xr:uid="{00000000-0005-0000-0000-00007D5B0000}"/>
    <cellStyle name="Normal 2 15 18 2 2 3" xfId="23598" xr:uid="{00000000-0005-0000-0000-00007E5B0000}"/>
    <cellStyle name="Normal 2 15 18 2 3" xfId="23599" xr:uid="{00000000-0005-0000-0000-00007F5B0000}"/>
    <cellStyle name="Normal 2 15 18 2 4" xfId="23600" xr:uid="{00000000-0005-0000-0000-0000805B0000}"/>
    <cellStyle name="Normal 2 15 18 3" xfId="23601" xr:uid="{00000000-0005-0000-0000-0000815B0000}"/>
    <cellStyle name="Normal 2 15 18 3 2" xfId="23602" xr:uid="{00000000-0005-0000-0000-0000825B0000}"/>
    <cellStyle name="Normal 2 15 18 3 3" xfId="23603" xr:uid="{00000000-0005-0000-0000-0000835B0000}"/>
    <cellStyle name="Normal 2 15 18 4" xfId="23604" xr:uid="{00000000-0005-0000-0000-0000845B0000}"/>
    <cellStyle name="Normal 2 15 19" xfId="23605" xr:uid="{00000000-0005-0000-0000-0000855B0000}"/>
    <cellStyle name="Normal 2 15 19 2" xfId="23606" xr:uid="{00000000-0005-0000-0000-0000865B0000}"/>
    <cellStyle name="Normal 2 15 19 2 2" xfId="23607" xr:uid="{00000000-0005-0000-0000-0000875B0000}"/>
    <cellStyle name="Normal 2 15 19 2 2 2" xfId="23608" xr:uid="{00000000-0005-0000-0000-0000885B0000}"/>
    <cellStyle name="Normal 2 15 19 2 2 3" xfId="23609" xr:uid="{00000000-0005-0000-0000-0000895B0000}"/>
    <cellStyle name="Normal 2 15 19 2 3" xfId="23610" xr:uid="{00000000-0005-0000-0000-00008A5B0000}"/>
    <cellStyle name="Normal 2 15 19 2 4" xfId="23611" xr:uid="{00000000-0005-0000-0000-00008B5B0000}"/>
    <cellStyle name="Normal 2 15 19 3" xfId="23612" xr:uid="{00000000-0005-0000-0000-00008C5B0000}"/>
    <cellStyle name="Normal 2 15 19 3 2" xfId="23613" xr:uid="{00000000-0005-0000-0000-00008D5B0000}"/>
    <cellStyle name="Normal 2 15 19 3 3" xfId="23614" xr:uid="{00000000-0005-0000-0000-00008E5B0000}"/>
    <cellStyle name="Normal 2 15 19 4" xfId="23615" xr:uid="{00000000-0005-0000-0000-00008F5B0000}"/>
    <cellStyle name="Normal 2 15 2" xfId="23616" xr:uid="{00000000-0005-0000-0000-0000905B0000}"/>
    <cellStyle name="Normal 2 15 2 2" xfId="23617" xr:uid="{00000000-0005-0000-0000-0000915B0000}"/>
    <cellStyle name="Normal 2 15 2 2 2" xfId="23618" xr:uid="{00000000-0005-0000-0000-0000925B0000}"/>
    <cellStyle name="Normal 2 15 2 2 2 2" xfId="23619" xr:uid="{00000000-0005-0000-0000-0000935B0000}"/>
    <cellStyle name="Normal 2 15 2 2 2 3" xfId="23620" xr:uid="{00000000-0005-0000-0000-0000945B0000}"/>
    <cellStyle name="Normal 2 15 2 2 3" xfId="23621" xr:uid="{00000000-0005-0000-0000-0000955B0000}"/>
    <cellStyle name="Normal 2 15 2 2 4" xfId="23622" xr:uid="{00000000-0005-0000-0000-0000965B0000}"/>
    <cellStyle name="Normal 2 15 2 3" xfId="23623" xr:uid="{00000000-0005-0000-0000-0000975B0000}"/>
    <cellStyle name="Normal 2 15 2 3 2" xfId="23624" xr:uid="{00000000-0005-0000-0000-0000985B0000}"/>
    <cellStyle name="Normal 2 15 2 3 3" xfId="23625" xr:uid="{00000000-0005-0000-0000-0000995B0000}"/>
    <cellStyle name="Normal 2 15 2 4" xfId="23626" xr:uid="{00000000-0005-0000-0000-00009A5B0000}"/>
    <cellStyle name="Normal 2 15 20" xfId="23627" xr:uid="{00000000-0005-0000-0000-00009B5B0000}"/>
    <cellStyle name="Normal 2 15 20 2" xfId="23628" xr:uid="{00000000-0005-0000-0000-00009C5B0000}"/>
    <cellStyle name="Normal 2 15 20 2 2" xfId="23629" xr:uid="{00000000-0005-0000-0000-00009D5B0000}"/>
    <cellStyle name="Normal 2 15 20 2 2 2" xfId="23630" xr:uid="{00000000-0005-0000-0000-00009E5B0000}"/>
    <cellStyle name="Normal 2 15 20 2 2 3" xfId="23631" xr:uid="{00000000-0005-0000-0000-00009F5B0000}"/>
    <cellStyle name="Normal 2 15 20 2 3" xfId="23632" xr:uid="{00000000-0005-0000-0000-0000A05B0000}"/>
    <cellStyle name="Normal 2 15 20 2 4" xfId="23633" xr:uid="{00000000-0005-0000-0000-0000A15B0000}"/>
    <cellStyle name="Normal 2 15 20 3" xfId="23634" xr:uid="{00000000-0005-0000-0000-0000A25B0000}"/>
    <cellStyle name="Normal 2 15 20 3 2" xfId="23635" xr:uid="{00000000-0005-0000-0000-0000A35B0000}"/>
    <cellStyle name="Normal 2 15 20 3 3" xfId="23636" xr:uid="{00000000-0005-0000-0000-0000A45B0000}"/>
    <cellStyle name="Normal 2 15 20 4" xfId="23637" xr:uid="{00000000-0005-0000-0000-0000A55B0000}"/>
    <cellStyle name="Normal 2 15 21" xfId="23638" xr:uid="{00000000-0005-0000-0000-0000A65B0000}"/>
    <cellStyle name="Normal 2 15 21 2" xfId="23639" xr:uid="{00000000-0005-0000-0000-0000A75B0000}"/>
    <cellStyle name="Normal 2 15 21 2 2" xfId="23640" xr:uid="{00000000-0005-0000-0000-0000A85B0000}"/>
    <cellStyle name="Normal 2 15 21 2 2 2" xfId="23641" xr:uid="{00000000-0005-0000-0000-0000A95B0000}"/>
    <cellStyle name="Normal 2 15 21 2 2 3" xfId="23642" xr:uid="{00000000-0005-0000-0000-0000AA5B0000}"/>
    <cellStyle name="Normal 2 15 21 2 3" xfId="23643" xr:uid="{00000000-0005-0000-0000-0000AB5B0000}"/>
    <cellStyle name="Normal 2 15 21 2 4" xfId="23644" xr:uid="{00000000-0005-0000-0000-0000AC5B0000}"/>
    <cellStyle name="Normal 2 15 21 3" xfId="23645" xr:uid="{00000000-0005-0000-0000-0000AD5B0000}"/>
    <cellStyle name="Normal 2 15 21 3 2" xfId="23646" xr:uid="{00000000-0005-0000-0000-0000AE5B0000}"/>
    <cellStyle name="Normal 2 15 21 3 3" xfId="23647" xr:uid="{00000000-0005-0000-0000-0000AF5B0000}"/>
    <cellStyle name="Normal 2 15 21 4" xfId="23648" xr:uid="{00000000-0005-0000-0000-0000B05B0000}"/>
    <cellStyle name="Normal 2 15 22" xfId="23649" xr:uid="{00000000-0005-0000-0000-0000B15B0000}"/>
    <cellStyle name="Normal 2 15 22 2" xfId="23650" xr:uid="{00000000-0005-0000-0000-0000B25B0000}"/>
    <cellStyle name="Normal 2 15 22 2 2" xfId="23651" xr:uid="{00000000-0005-0000-0000-0000B35B0000}"/>
    <cellStyle name="Normal 2 15 22 2 2 2" xfId="23652" xr:uid="{00000000-0005-0000-0000-0000B45B0000}"/>
    <cellStyle name="Normal 2 15 22 2 2 3" xfId="23653" xr:uid="{00000000-0005-0000-0000-0000B55B0000}"/>
    <cellStyle name="Normal 2 15 22 2 3" xfId="23654" xr:uid="{00000000-0005-0000-0000-0000B65B0000}"/>
    <cellStyle name="Normal 2 15 22 2 4" xfId="23655" xr:uid="{00000000-0005-0000-0000-0000B75B0000}"/>
    <cellStyle name="Normal 2 15 22 3" xfId="23656" xr:uid="{00000000-0005-0000-0000-0000B85B0000}"/>
    <cellStyle name="Normal 2 15 22 3 2" xfId="23657" xr:uid="{00000000-0005-0000-0000-0000B95B0000}"/>
    <cellStyle name="Normal 2 15 22 3 3" xfId="23658" xr:uid="{00000000-0005-0000-0000-0000BA5B0000}"/>
    <cellStyle name="Normal 2 15 22 4" xfId="23659" xr:uid="{00000000-0005-0000-0000-0000BB5B0000}"/>
    <cellStyle name="Normal 2 15 23" xfId="23660" xr:uid="{00000000-0005-0000-0000-0000BC5B0000}"/>
    <cellStyle name="Normal 2 15 23 2" xfId="23661" xr:uid="{00000000-0005-0000-0000-0000BD5B0000}"/>
    <cellStyle name="Normal 2 15 23 2 2" xfId="23662" xr:uid="{00000000-0005-0000-0000-0000BE5B0000}"/>
    <cellStyle name="Normal 2 15 23 2 2 2" xfId="23663" xr:uid="{00000000-0005-0000-0000-0000BF5B0000}"/>
    <cellStyle name="Normal 2 15 23 2 2 3" xfId="23664" xr:uid="{00000000-0005-0000-0000-0000C05B0000}"/>
    <cellStyle name="Normal 2 15 23 2 3" xfId="23665" xr:uid="{00000000-0005-0000-0000-0000C15B0000}"/>
    <cellStyle name="Normal 2 15 23 2 4" xfId="23666" xr:uid="{00000000-0005-0000-0000-0000C25B0000}"/>
    <cellStyle name="Normal 2 15 23 3" xfId="23667" xr:uid="{00000000-0005-0000-0000-0000C35B0000}"/>
    <cellStyle name="Normal 2 15 23 3 2" xfId="23668" xr:uid="{00000000-0005-0000-0000-0000C45B0000}"/>
    <cellStyle name="Normal 2 15 23 3 3" xfId="23669" xr:uid="{00000000-0005-0000-0000-0000C55B0000}"/>
    <cellStyle name="Normal 2 15 23 4" xfId="23670" xr:uid="{00000000-0005-0000-0000-0000C65B0000}"/>
    <cellStyle name="Normal 2 15 24" xfId="23671" xr:uid="{00000000-0005-0000-0000-0000C75B0000}"/>
    <cellStyle name="Normal 2 15 24 2" xfId="23672" xr:uid="{00000000-0005-0000-0000-0000C85B0000}"/>
    <cellStyle name="Normal 2 15 24 2 2" xfId="23673" xr:uid="{00000000-0005-0000-0000-0000C95B0000}"/>
    <cellStyle name="Normal 2 15 24 2 3" xfId="23674" xr:uid="{00000000-0005-0000-0000-0000CA5B0000}"/>
    <cellStyle name="Normal 2 15 24 3" xfId="23675" xr:uid="{00000000-0005-0000-0000-0000CB5B0000}"/>
    <cellStyle name="Normal 2 15 24 4" xfId="23676" xr:uid="{00000000-0005-0000-0000-0000CC5B0000}"/>
    <cellStyle name="Normal 2 15 25" xfId="23677" xr:uid="{00000000-0005-0000-0000-0000CD5B0000}"/>
    <cellStyle name="Normal 2 15 25 2" xfId="23678" xr:uid="{00000000-0005-0000-0000-0000CE5B0000}"/>
    <cellStyle name="Normal 2 15 25 3" xfId="23679" xr:uid="{00000000-0005-0000-0000-0000CF5B0000}"/>
    <cellStyle name="Normal 2 15 26" xfId="23680" xr:uid="{00000000-0005-0000-0000-0000D05B0000}"/>
    <cellStyle name="Normal 2 15 27" xfId="23681" xr:uid="{00000000-0005-0000-0000-0000D15B0000}"/>
    <cellStyle name="Normal 2 15 3" xfId="23682" xr:uid="{00000000-0005-0000-0000-0000D25B0000}"/>
    <cellStyle name="Normal 2 15 3 2" xfId="23683" xr:uid="{00000000-0005-0000-0000-0000D35B0000}"/>
    <cellStyle name="Normal 2 15 3 2 2" xfId="23684" xr:uid="{00000000-0005-0000-0000-0000D45B0000}"/>
    <cellStyle name="Normal 2 15 3 2 2 2" xfId="23685" xr:uid="{00000000-0005-0000-0000-0000D55B0000}"/>
    <cellStyle name="Normal 2 15 3 2 2 3" xfId="23686" xr:uid="{00000000-0005-0000-0000-0000D65B0000}"/>
    <cellStyle name="Normal 2 15 3 2 3" xfId="23687" xr:uid="{00000000-0005-0000-0000-0000D75B0000}"/>
    <cellStyle name="Normal 2 15 3 2 4" xfId="23688" xr:uid="{00000000-0005-0000-0000-0000D85B0000}"/>
    <cellStyle name="Normal 2 15 3 3" xfId="23689" xr:uid="{00000000-0005-0000-0000-0000D95B0000}"/>
    <cellStyle name="Normal 2 15 3 3 2" xfId="23690" xr:uid="{00000000-0005-0000-0000-0000DA5B0000}"/>
    <cellStyle name="Normal 2 15 3 3 3" xfId="23691" xr:uid="{00000000-0005-0000-0000-0000DB5B0000}"/>
    <cellStyle name="Normal 2 15 3 4" xfId="23692" xr:uid="{00000000-0005-0000-0000-0000DC5B0000}"/>
    <cellStyle name="Normal 2 15 4" xfId="23693" xr:uid="{00000000-0005-0000-0000-0000DD5B0000}"/>
    <cellStyle name="Normal 2 15 4 2" xfId="23694" xr:uid="{00000000-0005-0000-0000-0000DE5B0000}"/>
    <cellStyle name="Normal 2 15 4 2 2" xfId="23695" xr:uid="{00000000-0005-0000-0000-0000DF5B0000}"/>
    <cellStyle name="Normal 2 15 4 2 2 2" xfId="23696" xr:uid="{00000000-0005-0000-0000-0000E05B0000}"/>
    <cellStyle name="Normal 2 15 4 2 2 3" xfId="23697" xr:uid="{00000000-0005-0000-0000-0000E15B0000}"/>
    <cellStyle name="Normal 2 15 4 2 3" xfId="23698" xr:uid="{00000000-0005-0000-0000-0000E25B0000}"/>
    <cellStyle name="Normal 2 15 4 2 4" xfId="23699" xr:uid="{00000000-0005-0000-0000-0000E35B0000}"/>
    <cellStyle name="Normal 2 15 4 3" xfId="23700" xr:uid="{00000000-0005-0000-0000-0000E45B0000}"/>
    <cellStyle name="Normal 2 15 4 3 2" xfId="23701" xr:uid="{00000000-0005-0000-0000-0000E55B0000}"/>
    <cellStyle name="Normal 2 15 4 3 3" xfId="23702" xr:uid="{00000000-0005-0000-0000-0000E65B0000}"/>
    <cellStyle name="Normal 2 15 4 4" xfId="23703" xr:uid="{00000000-0005-0000-0000-0000E75B0000}"/>
    <cellStyle name="Normal 2 15 5" xfId="23704" xr:uid="{00000000-0005-0000-0000-0000E85B0000}"/>
    <cellStyle name="Normal 2 15 5 2" xfId="23705" xr:uid="{00000000-0005-0000-0000-0000E95B0000}"/>
    <cellStyle name="Normal 2 15 5 2 2" xfId="23706" xr:uid="{00000000-0005-0000-0000-0000EA5B0000}"/>
    <cellStyle name="Normal 2 15 5 2 2 2" xfId="23707" xr:uid="{00000000-0005-0000-0000-0000EB5B0000}"/>
    <cellStyle name="Normal 2 15 5 2 2 3" xfId="23708" xr:uid="{00000000-0005-0000-0000-0000EC5B0000}"/>
    <cellStyle name="Normal 2 15 5 2 3" xfId="23709" xr:uid="{00000000-0005-0000-0000-0000ED5B0000}"/>
    <cellStyle name="Normal 2 15 5 2 4" xfId="23710" xr:uid="{00000000-0005-0000-0000-0000EE5B0000}"/>
    <cellStyle name="Normal 2 15 5 3" xfId="23711" xr:uid="{00000000-0005-0000-0000-0000EF5B0000}"/>
    <cellStyle name="Normal 2 15 5 3 2" xfId="23712" xr:uid="{00000000-0005-0000-0000-0000F05B0000}"/>
    <cellStyle name="Normal 2 15 5 3 3" xfId="23713" xr:uid="{00000000-0005-0000-0000-0000F15B0000}"/>
    <cellStyle name="Normal 2 15 5 4" xfId="23714" xr:uid="{00000000-0005-0000-0000-0000F25B0000}"/>
    <cellStyle name="Normal 2 15 6" xfId="23715" xr:uid="{00000000-0005-0000-0000-0000F35B0000}"/>
    <cellStyle name="Normal 2 15 6 2" xfId="23716" xr:uid="{00000000-0005-0000-0000-0000F45B0000}"/>
    <cellStyle name="Normal 2 15 6 2 2" xfId="23717" xr:uid="{00000000-0005-0000-0000-0000F55B0000}"/>
    <cellStyle name="Normal 2 15 6 2 2 2" xfId="23718" xr:uid="{00000000-0005-0000-0000-0000F65B0000}"/>
    <cellStyle name="Normal 2 15 6 2 2 3" xfId="23719" xr:uid="{00000000-0005-0000-0000-0000F75B0000}"/>
    <cellStyle name="Normal 2 15 6 2 3" xfId="23720" xr:uid="{00000000-0005-0000-0000-0000F85B0000}"/>
    <cellStyle name="Normal 2 15 6 2 4" xfId="23721" xr:uid="{00000000-0005-0000-0000-0000F95B0000}"/>
    <cellStyle name="Normal 2 15 6 3" xfId="23722" xr:uid="{00000000-0005-0000-0000-0000FA5B0000}"/>
    <cellStyle name="Normal 2 15 6 3 2" xfId="23723" xr:uid="{00000000-0005-0000-0000-0000FB5B0000}"/>
    <cellStyle name="Normal 2 15 6 3 3" xfId="23724" xr:uid="{00000000-0005-0000-0000-0000FC5B0000}"/>
    <cellStyle name="Normal 2 15 6 4" xfId="23725" xr:uid="{00000000-0005-0000-0000-0000FD5B0000}"/>
    <cellStyle name="Normal 2 15 7" xfId="23726" xr:uid="{00000000-0005-0000-0000-0000FE5B0000}"/>
    <cellStyle name="Normal 2 15 7 2" xfId="23727" xr:uid="{00000000-0005-0000-0000-0000FF5B0000}"/>
    <cellStyle name="Normal 2 15 7 2 2" xfId="23728" xr:uid="{00000000-0005-0000-0000-0000005C0000}"/>
    <cellStyle name="Normal 2 15 7 2 2 2" xfId="23729" xr:uid="{00000000-0005-0000-0000-0000015C0000}"/>
    <cellStyle name="Normal 2 15 7 2 2 3" xfId="23730" xr:uid="{00000000-0005-0000-0000-0000025C0000}"/>
    <cellStyle name="Normal 2 15 7 2 3" xfId="23731" xr:uid="{00000000-0005-0000-0000-0000035C0000}"/>
    <cellStyle name="Normal 2 15 7 2 4" xfId="23732" xr:uid="{00000000-0005-0000-0000-0000045C0000}"/>
    <cellStyle name="Normal 2 15 7 3" xfId="23733" xr:uid="{00000000-0005-0000-0000-0000055C0000}"/>
    <cellStyle name="Normal 2 15 7 3 2" xfId="23734" xr:uid="{00000000-0005-0000-0000-0000065C0000}"/>
    <cellStyle name="Normal 2 15 7 3 3" xfId="23735" xr:uid="{00000000-0005-0000-0000-0000075C0000}"/>
    <cellStyle name="Normal 2 15 7 4" xfId="23736" xr:uid="{00000000-0005-0000-0000-0000085C0000}"/>
    <cellStyle name="Normal 2 15 8" xfId="23737" xr:uid="{00000000-0005-0000-0000-0000095C0000}"/>
    <cellStyle name="Normal 2 15 8 2" xfId="23738" xr:uid="{00000000-0005-0000-0000-00000A5C0000}"/>
    <cellStyle name="Normal 2 15 8 2 2" xfId="23739" xr:uid="{00000000-0005-0000-0000-00000B5C0000}"/>
    <cellStyle name="Normal 2 15 8 2 2 2" xfId="23740" xr:uid="{00000000-0005-0000-0000-00000C5C0000}"/>
    <cellStyle name="Normal 2 15 8 2 2 3" xfId="23741" xr:uid="{00000000-0005-0000-0000-00000D5C0000}"/>
    <cellStyle name="Normal 2 15 8 2 3" xfId="23742" xr:uid="{00000000-0005-0000-0000-00000E5C0000}"/>
    <cellStyle name="Normal 2 15 8 2 4" xfId="23743" xr:uid="{00000000-0005-0000-0000-00000F5C0000}"/>
    <cellStyle name="Normal 2 15 8 3" xfId="23744" xr:uid="{00000000-0005-0000-0000-0000105C0000}"/>
    <cellStyle name="Normal 2 15 8 3 2" xfId="23745" xr:uid="{00000000-0005-0000-0000-0000115C0000}"/>
    <cellStyle name="Normal 2 15 8 3 3" xfId="23746" xr:uid="{00000000-0005-0000-0000-0000125C0000}"/>
    <cellStyle name="Normal 2 15 8 4" xfId="23747" xr:uid="{00000000-0005-0000-0000-0000135C0000}"/>
    <cellStyle name="Normal 2 15 9" xfId="23748" xr:uid="{00000000-0005-0000-0000-0000145C0000}"/>
    <cellStyle name="Normal 2 15 9 2" xfId="23749" xr:uid="{00000000-0005-0000-0000-0000155C0000}"/>
    <cellStyle name="Normal 2 15 9 2 2" xfId="23750" xr:uid="{00000000-0005-0000-0000-0000165C0000}"/>
    <cellStyle name="Normal 2 15 9 2 2 2" xfId="23751" xr:uid="{00000000-0005-0000-0000-0000175C0000}"/>
    <cellStyle name="Normal 2 15 9 2 2 3" xfId="23752" xr:uid="{00000000-0005-0000-0000-0000185C0000}"/>
    <cellStyle name="Normal 2 15 9 2 3" xfId="23753" xr:uid="{00000000-0005-0000-0000-0000195C0000}"/>
    <cellStyle name="Normal 2 15 9 2 4" xfId="23754" xr:uid="{00000000-0005-0000-0000-00001A5C0000}"/>
    <cellStyle name="Normal 2 15 9 3" xfId="23755" xr:uid="{00000000-0005-0000-0000-00001B5C0000}"/>
    <cellStyle name="Normal 2 15 9 3 2" xfId="23756" xr:uid="{00000000-0005-0000-0000-00001C5C0000}"/>
    <cellStyle name="Normal 2 15 9 3 3" xfId="23757" xr:uid="{00000000-0005-0000-0000-00001D5C0000}"/>
    <cellStyle name="Normal 2 15 9 4" xfId="23758" xr:uid="{00000000-0005-0000-0000-00001E5C0000}"/>
    <cellStyle name="Normal 2 16" xfId="23759" xr:uid="{00000000-0005-0000-0000-00001F5C0000}"/>
    <cellStyle name="Normal 2 16 10" xfId="23760" xr:uid="{00000000-0005-0000-0000-0000205C0000}"/>
    <cellStyle name="Normal 2 16 10 2" xfId="23761" xr:uid="{00000000-0005-0000-0000-0000215C0000}"/>
    <cellStyle name="Normal 2 16 10 2 2" xfId="23762" xr:uid="{00000000-0005-0000-0000-0000225C0000}"/>
    <cellStyle name="Normal 2 16 10 2 2 2" xfId="23763" xr:uid="{00000000-0005-0000-0000-0000235C0000}"/>
    <cellStyle name="Normal 2 16 10 2 2 3" xfId="23764" xr:uid="{00000000-0005-0000-0000-0000245C0000}"/>
    <cellStyle name="Normal 2 16 10 2 3" xfId="23765" xr:uid="{00000000-0005-0000-0000-0000255C0000}"/>
    <cellStyle name="Normal 2 16 10 2 4" xfId="23766" xr:uid="{00000000-0005-0000-0000-0000265C0000}"/>
    <cellStyle name="Normal 2 16 10 3" xfId="23767" xr:uid="{00000000-0005-0000-0000-0000275C0000}"/>
    <cellStyle name="Normal 2 16 10 3 2" xfId="23768" xr:uid="{00000000-0005-0000-0000-0000285C0000}"/>
    <cellStyle name="Normal 2 16 10 3 3" xfId="23769" xr:uid="{00000000-0005-0000-0000-0000295C0000}"/>
    <cellStyle name="Normal 2 16 10 4" xfId="23770" xr:uid="{00000000-0005-0000-0000-00002A5C0000}"/>
    <cellStyle name="Normal 2 16 11" xfId="23771" xr:uid="{00000000-0005-0000-0000-00002B5C0000}"/>
    <cellStyle name="Normal 2 16 11 2" xfId="23772" xr:uid="{00000000-0005-0000-0000-00002C5C0000}"/>
    <cellStyle name="Normal 2 16 11 2 2" xfId="23773" xr:uid="{00000000-0005-0000-0000-00002D5C0000}"/>
    <cellStyle name="Normal 2 16 11 2 2 2" xfId="23774" xr:uid="{00000000-0005-0000-0000-00002E5C0000}"/>
    <cellStyle name="Normal 2 16 11 2 2 3" xfId="23775" xr:uid="{00000000-0005-0000-0000-00002F5C0000}"/>
    <cellStyle name="Normal 2 16 11 2 3" xfId="23776" xr:uid="{00000000-0005-0000-0000-0000305C0000}"/>
    <cellStyle name="Normal 2 16 11 2 4" xfId="23777" xr:uid="{00000000-0005-0000-0000-0000315C0000}"/>
    <cellStyle name="Normal 2 16 11 3" xfId="23778" xr:uid="{00000000-0005-0000-0000-0000325C0000}"/>
    <cellStyle name="Normal 2 16 11 3 2" xfId="23779" xr:uid="{00000000-0005-0000-0000-0000335C0000}"/>
    <cellStyle name="Normal 2 16 11 3 3" xfId="23780" xr:uid="{00000000-0005-0000-0000-0000345C0000}"/>
    <cellStyle name="Normal 2 16 11 4" xfId="23781" xr:uid="{00000000-0005-0000-0000-0000355C0000}"/>
    <cellStyle name="Normal 2 16 12" xfId="23782" xr:uid="{00000000-0005-0000-0000-0000365C0000}"/>
    <cellStyle name="Normal 2 16 12 2" xfId="23783" xr:uid="{00000000-0005-0000-0000-0000375C0000}"/>
    <cellStyle name="Normal 2 16 12 2 2" xfId="23784" xr:uid="{00000000-0005-0000-0000-0000385C0000}"/>
    <cellStyle name="Normal 2 16 12 2 2 2" xfId="23785" xr:uid="{00000000-0005-0000-0000-0000395C0000}"/>
    <cellStyle name="Normal 2 16 12 2 2 3" xfId="23786" xr:uid="{00000000-0005-0000-0000-00003A5C0000}"/>
    <cellStyle name="Normal 2 16 12 2 3" xfId="23787" xr:uid="{00000000-0005-0000-0000-00003B5C0000}"/>
    <cellStyle name="Normal 2 16 12 2 4" xfId="23788" xr:uid="{00000000-0005-0000-0000-00003C5C0000}"/>
    <cellStyle name="Normal 2 16 12 3" xfId="23789" xr:uid="{00000000-0005-0000-0000-00003D5C0000}"/>
    <cellStyle name="Normal 2 16 12 3 2" xfId="23790" xr:uid="{00000000-0005-0000-0000-00003E5C0000}"/>
    <cellStyle name="Normal 2 16 12 3 3" xfId="23791" xr:uid="{00000000-0005-0000-0000-00003F5C0000}"/>
    <cellStyle name="Normal 2 16 12 4" xfId="23792" xr:uid="{00000000-0005-0000-0000-0000405C0000}"/>
    <cellStyle name="Normal 2 16 13" xfId="23793" xr:uid="{00000000-0005-0000-0000-0000415C0000}"/>
    <cellStyle name="Normal 2 16 13 2" xfId="23794" xr:uid="{00000000-0005-0000-0000-0000425C0000}"/>
    <cellStyle name="Normal 2 16 13 2 2" xfId="23795" xr:uid="{00000000-0005-0000-0000-0000435C0000}"/>
    <cellStyle name="Normal 2 16 13 2 2 2" xfId="23796" xr:uid="{00000000-0005-0000-0000-0000445C0000}"/>
    <cellStyle name="Normal 2 16 13 2 2 3" xfId="23797" xr:uid="{00000000-0005-0000-0000-0000455C0000}"/>
    <cellStyle name="Normal 2 16 13 2 3" xfId="23798" xr:uid="{00000000-0005-0000-0000-0000465C0000}"/>
    <cellStyle name="Normal 2 16 13 2 4" xfId="23799" xr:uid="{00000000-0005-0000-0000-0000475C0000}"/>
    <cellStyle name="Normal 2 16 13 3" xfId="23800" xr:uid="{00000000-0005-0000-0000-0000485C0000}"/>
    <cellStyle name="Normal 2 16 13 3 2" xfId="23801" xr:uid="{00000000-0005-0000-0000-0000495C0000}"/>
    <cellStyle name="Normal 2 16 13 3 3" xfId="23802" xr:uid="{00000000-0005-0000-0000-00004A5C0000}"/>
    <cellStyle name="Normal 2 16 13 4" xfId="23803" xr:uid="{00000000-0005-0000-0000-00004B5C0000}"/>
    <cellStyle name="Normal 2 16 14" xfId="23804" xr:uid="{00000000-0005-0000-0000-00004C5C0000}"/>
    <cellStyle name="Normal 2 16 14 2" xfId="23805" xr:uid="{00000000-0005-0000-0000-00004D5C0000}"/>
    <cellStyle name="Normal 2 16 14 2 2" xfId="23806" xr:uid="{00000000-0005-0000-0000-00004E5C0000}"/>
    <cellStyle name="Normal 2 16 14 2 2 2" xfId="23807" xr:uid="{00000000-0005-0000-0000-00004F5C0000}"/>
    <cellStyle name="Normal 2 16 14 2 2 3" xfId="23808" xr:uid="{00000000-0005-0000-0000-0000505C0000}"/>
    <cellStyle name="Normal 2 16 14 2 3" xfId="23809" xr:uid="{00000000-0005-0000-0000-0000515C0000}"/>
    <cellStyle name="Normal 2 16 14 2 4" xfId="23810" xr:uid="{00000000-0005-0000-0000-0000525C0000}"/>
    <cellStyle name="Normal 2 16 14 3" xfId="23811" xr:uid="{00000000-0005-0000-0000-0000535C0000}"/>
    <cellStyle name="Normal 2 16 14 3 2" xfId="23812" xr:uid="{00000000-0005-0000-0000-0000545C0000}"/>
    <cellStyle name="Normal 2 16 14 3 3" xfId="23813" xr:uid="{00000000-0005-0000-0000-0000555C0000}"/>
    <cellStyle name="Normal 2 16 14 4" xfId="23814" xr:uid="{00000000-0005-0000-0000-0000565C0000}"/>
    <cellStyle name="Normal 2 16 15" xfId="23815" xr:uid="{00000000-0005-0000-0000-0000575C0000}"/>
    <cellStyle name="Normal 2 16 15 2" xfId="23816" xr:uid="{00000000-0005-0000-0000-0000585C0000}"/>
    <cellStyle name="Normal 2 16 15 2 2" xfId="23817" xr:uid="{00000000-0005-0000-0000-0000595C0000}"/>
    <cellStyle name="Normal 2 16 15 2 2 2" xfId="23818" xr:uid="{00000000-0005-0000-0000-00005A5C0000}"/>
    <cellStyle name="Normal 2 16 15 2 2 3" xfId="23819" xr:uid="{00000000-0005-0000-0000-00005B5C0000}"/>
    <cellStyle name="Normal 2 16 15 2 3" xfId="23820" xr:uid="{00000000-0005-0000-0000-00005C5C0000}"/>
    <cellStyle name="Normal 2 16 15 2 4" xfId="23821" xr:uid="{00000000-0005-0000-0000-00005D5C0000}"/>
    <cellStyle name="Normal 2 16 15 3" xfId="23822" xr:uid="{00000000-0005-0000-0000-00005E5C0000}"/>
    <cellStyle name="Normal 2 16 15 3 2" xfId="23823" xr:uid="{00000000-0005-0000-0000-00005F5C0000}"/>
    <cellStyle name="Normal 2 16 15 3 3" xfId="23824" xr:uid="{00000000-0005-0000-0000-0000605C0000}"/>
    <cellStyle name="Normal 2 16 15 4" xfId="23825" xr:uid="{00000000-0005-0000-0000-0000615C0000}"/>
    <cellStyle name="Normal 2 16 16" xfId="23826" xr:uid="{00000000-0005-0000-0000-0000625C0000}"/>
    <cellStyle name="Normal 2 16 16 2" xfId="23827" xr:uid="{00000000-0005-0000-0000-0000635C0000}"/>
    <cellStyle name="Normal 2 16 16 2 2" xfId="23828" xr:uid="{00000000-0005-0000-0000-0000645C0000}"/>
    <cellStyle name="Normal 2 16 16 2 2 2" xfId="23829" xr:uid="{00000000-0005-0000-0000-0000655C0000}"/>
    <cellStyle name="Normal 2 16 16 2 2 3" xfId="23830" xr:uid="{00000000-0005-0000-0000-0000665C0000}"/>
    <cellStyle name="Normal 2 16 16 2 3" xfId="23831" xr:uid="{00000000-0005-0000-0000-0000675C0000}"/>
    <cellStyle name="Normal 2 16 16 2 4" xfId="23832" xr:uid="{00000000-0005-0000-0000-0000685C0000}"/>
    <cellStyle name="Normal 2 16 16 3" xfId="23833" xr:uid="{00000000-0005-0000-0000-0000695C0000}"/>
    <cellStyle name="Normal 2 16 16 3 2" xfId="23834" xr:uid="{00000000-0005-0000-0000-00006A5C0000}"/>
    <cellStyle name="Normal 2 16 16 3 3" xfId="23835" xr:uid="{00000000-0005-0000-0000-00006B5C0000}"/>
    <cellStyle name="Normal 2 16 16 4" xfId="23836" xr:uid="{00000000-0005-0000-0000-00006C5C0000}"/>
    <cellStyle name="Normal 2 16 17" xfId="23837" xr:uid="{00000000-0005-0000-0000-00006D5C0000}"/>
    <cellStyle name="Normal 2 16 17 2" xfId="23838" xr:uid="{00000000-0005-0000-0000-00006E5C0000}"/>
    <cellStyle name="Normal 2 16 17 2 2" xfId="23839" xr:uid="{00000000-0005-0000-0000-00006F5C0000}"/>
    <cellStyle name="Normal 2 16 17 2 2 2" xfId="23840" xr:uid="{00000000-0005-0000-0000-0000705C0000}"/>
    <cellStyle name="Normal 2 16 17 2 2 3" xfId="23841" xr:uid="{00000000-0005-0000-0000-0000715C0000}"/>
    <cellStyle name="Normal 2 16 17 2 3" xfId="23842" xr:uid="{00000000-0005-0000-0000-0000725C0000}"/>
    <cellStyle name="Normal 2 16 17 2 4" xfId="23843" xr:uid="{00000000-0005-0000-0000-0000735C0000}"/>
    <cellStyle name="Normal 2 16 17 3" xfId="23844" xr:uid="{00000000-0005-0000-0000-0000745C0000}"/>
    <cellStyle name="Normal 2 16 17 3 2" xfId="23845" xr:uid="{00000000-0005-0000-0000-0000755C0000}"/>
    <cellStyle name="Normal 2 16 17 3 3" xfId="23846" xr:uid="{00000000-0005-0000-0000-0000765C0000}"/>
    <cellStyle name="Normal 2 16 17 4" xfId="23847" xr:uid="{00000000-0005-0000-0000-0000775C0000}"/>
    <cellStyle name="Normal 2 16 18" xfId="23848" xr:uid="{00000000-0005-0000-0000-0000785C0000}"/>
    <cellStyle name="Normal 2 16 18 2" xfId="23849" xr:uid="{00000000-0005-0000-0000-0000795C0000}"/>
    <cellStyle name="Normal 2 16 18 2 2" xfId="23850" xr:uid="{00000000-0005-0000-0000-00007A5C0000}"/>
    <cellStyle name="Normal 2 16 18 2 2 2" xfId="23851" xr:uid="{00000000-0005-0000-0000-00007B5C0000}"/>
    <cellStyle name="Normal 2 16 18 2 2 3" xfId="23852" xr:uid="{00000000-0005-0000-0000-00007C5C0000}"/>
    <cellStyle name="Normal 2 16 18 2 3" xfId="23853" xr:uid="{00000000-0005-0000-0000-00007D5C0000}"/>
    <cellStyle name="Normal 2 16 18 2 4" xfId="23854" xr:uid="{00000000-0005-0000-0000-00007E5C0000}"/>
    <cellStyle name="Normal 2 16 18 3" xfId="23855" xr:uid="{00000000-0005-0000-0000-00007F5C0000}"/>
    <cellStyle name="Normal 2 16 18 3 2" xfId="23856" xr:uid="{00000000-0005-0000-0000-0000805C0000}"/>
    <cellStyle name="Normal 2 16 18 3 3" xfId="23857" xr:uid="{00000000-0005-0000-0000-0000815C0000}"/>
    <cellStyle name="Normal 2 16 18 4" xfId="23858" xr:uid="{00000000-0005-0000-0000-0000825C0000}"/>
    <cellStyle name="Normal 2 16 19" xfId="23859" xr:uid="{00000000-0005-0000-0000-0000835C0000}"/>
    <cellStyle name="Normal 2 16 19 2" xfId="23860" xr:uid="{00000000-0005-0000-0000-0000845C0000}"/>
    <cellStyle name="Normal 2 16 19 2 2" xfId="23861" xr:uid="{00000000-0005-0000-0000-0000855C0000}"/>
    <cellStyle name="Normal 2 16 19 2 2 2" xfId="23862" xr:uid="{00000000-0005-0000-0000-0000865C0000}"/>
    <cellStyle name="Normal 2 16 19 2 2 3" xfId="23863" xr:uid="{00000000-0005-0000-0000-0000875C0000}"/>
    <cellStyle name="Normal 2 16 19 2 3" xfId="23864" xr:uid="{00000000-0005-0000-0000-0000885C0000}"/>
    <cellStyle name="Normal 2 16 19 2 4" xfId="23865" xr:uid="{00000000-0005-0000-0000-0000895C0000}"/>
    <cellStyle name="Normal 2 16 19 3" xfId="23866" xr:uid="{00000000-0005-0000-0000-00008A5C0000}"/>
    <cellStyle name="Normal 2 16 19 3 2" xfId="23867" xr:uid="{00000000-0005-0000-0000-00008B5C0000}"/>
    <cellStyle name="Normal 2 16 19 3 3" xfId="23868" xr:uid="{00000000-0005-0000-0000-00008C5C0000}"/>
    <cellStyle name="Normal 2 16 19 4" xfId="23869" xr:uid="{00000000-0005-0000-0000-00008D5C0000}"/>
    <cellStyle name="Normal 2 16 2" xfId="23870" xr:uid="{00000000-0005-0000-0000-00008E5C0000}"/>
    <cellStyle name="Normal 2 16 2 2" xfId="23871" xr:uid="{00000000-0005-0000-0000-00008F5C0000}"/>
    <cellStyle name="Normal 2 16 2 2 2" xfId="23872" xr:uid="{00000000-0005-0000-0000-0000905C0000}"/>
    <cellStyle name="Normal 2 16 2 2 2 2" xfId="23873" xr:uid="{00000000-0005-0000-0000-0000915C0000}"/>
    <cellStyle name="Normal 2 16 2 2 2 3" xfId="23874" xr:uid="{00000000-0005-0000-0000-0000925C0000}"/>
    <cellStyle name="Normal 2 16 2 2 3" xfId="23875" xr:uid="{00000000-0005-0000-0000-0000935C0000}"/>
    <cellStyle name="Normal 2 16 2 2 4" xfId="23876" xr:uid="{00000000-0005-0000-0000-0000945C0000}"/>
    <cellStyle name="Normal 2 16 2 3" xfId="23877" xr:uid="{00000000-0005-0000-0000-0000955C0000}"/>
    <cellStyle name="Normal 2 16 2 3 2" xfId="23878" xr:uid="{00000000-0005-0000-0000-0000965C0000}"/>
    <cellStyle name="Normal 2 16 2 3 3" xfId="23879" xr:uid="{00000000-0005-0000-0000-0000975C0000}"/>
    <cellStyle name="Normal 2 16 2 4" xfId="23880" xr:uid="{00000000-0005-0000-0000-0000985C0000}"/>
    <cellStyle name="Normal 2 16 20" xfId="23881" xr:uid="{00000000-0005-0000-0000-0000995C0000}"/>
    <cellStyle name="Normal 2 16 20 2" xfId="23882" xr:uid="{00000000-0005-0000-0000-00009A5C0000}"/>
    <cellStyle name="Normal 2 16 20 2 2" xfId="23883" xr:uid="{00000000-0005-0000-0000-00009B5C0000}"/>
    <cellStyle name="Normal 2 16 20 2 2 2" xfId="23884" xr:uid="{00000000-0005-0000-0000-00009C5C0000}"/>
    <cellStyle name="Normal 2 16 20 2 2 3" xfId="23885" xr:uid="{00000000-0005-0000-0000-00009D5C0000}"/>
    <cellStyle name="Normal 2 16 20 2 3" xfId="23886" xr:uid="{00000000-0005-0000-0000-00009E5C0000}"/>
    <cellStyle name="Normal 2 16 20 2 4" xfId="23887" xr:uid="{00000000-0005-0000-0000-00009F5C0000}"/>
    <cellStyle name="Normal 2 16 20 3" xfId="23888" xr:uid="{00000000-0005-0000-0000-0000A05C0000}"/>
    <cellStyle name="Normal 2 16 20 3 2" xfId="23889" xr:uid="{00000000-0005-0000-0000-0000A15C0000}"/>
    <cellStyle name="Normal 2 16 20 3 3" xfId="23890" xr:uid="{00000000-0005-0000-0000-0000A25C0000}"/>
    <cellStyle name="Normal 2 16 20 4" xfId="23891" xr:uid="{00000000-0005-0000-0000-0000A35C0000}"/>
    <cellStyle name="Normal 2 16 21" xfId="23892" xr:uid="{00000000-0005-0000-0000-0000A45C0000}"/>
    <cellStyle name="Normal 2 16 21 2" xfId="23893" xr:uid="{00000000-0005-0000-0000-0000A55C0000}"/>
    <cellStyle name="Normal 2 16 21 2 2" xfId="23894" xr:uid="{00000000-0005-0000-0000-0000A65C0000}"/>
    <cellStyle name="Normal 2 16 21 2 2 2" xfId="23895" xr:uid="{00000000-0005-0000-0000-0000A75C0000}"/>
    <cellStyle name="Normal 2 16 21 2 2 3" xfId="23896" xr:uid="{00000000-0005-0000-0000-0000A85C0000}"/>
    <cellStyle name="Normal 2 16 21 2 3" xfId="23897" xr:uid="{00000000-0005-0000-0000-0000A95C0000}"/>
    <cellStyle name="Normal 2 16 21 2 4" xfId="23898" xr:uid="{00000000-0005-0000-0000-0000AA5C0000}"/>
    <cellStyle name="Normal 2 16 21 3" xfId="23899" xr:uid="{00000000-0005-0000-0000-0000AB5C0000}"/>
    <cellStyle name="Normal 2 16 21 3 2" xfId="23900" xr:uid="{00000000-0005-0000-0000-0000AC5C0000}"/>
    <cellStyle name="Normal 2 16 21 3 3" xfId="23901" xr:uid="{00000000-0005-0000-0000-0000AD5C0000}"/>
    <cellStyle name="Normal 2 16 21 4" xfId="23902" xr:uid="{00000000-0005-0000-0000-0000AE5C0000}"/>
    <cellStyle name="Normal 2 16 22" xfId="23903" xr:uid="{00000000-0005-0000-0000-0000AF5C0000}"/>
    <cellStyle name="Normal 2 16 22 2" xfId="23904" xr:uid="{00000000-0005-0000-0000-0000B05C0000}"/>
    <cellStyle name="Normal 2 16 22 2 2" xfId="23905" xr:uid="{00000000-0005-0000-0000-0000B15C0000}"/>
    <cellStyle name="Normal 2 16 22 2 2 2" xfId="23906" xr:uid="{00000000-0005-0000-0000-0000B25C0000}"/>
    <cellStyle name="Normal 2 16 22 2 2 3" xfId="23907" xr:uid="{00000000-0005-0000-0000-0000B35C0000}"/>
    <cellStyle name="Normal 2 16 22 2 3" xfId="23908" xr:uid="{00000000-0005-0000-0000-0000B45C0000}"/>
    <cellStyle name="Normal 2 16 22 2 4" xfId="23909" xr:uid="{00000000-0005-0000-0000-0000B55C0000}"/>
    <cellStyle name="Normal 2 16 22 3" xfId="23910" xr:uid="{00000000-0005-0000-0000-0000B65C0000}"/>
    <cellStyle name="Normal 2 16 22 3 2" xfId="23911" xr:uid="{00000000-0005-0000-0000-0000B75C0000}"/>
    <cellStyle name="Normal 2 16 22 3 3" xfId="23912" xr:uid="{00000000-0005-0000-0000-0000B85C0000}"/>
    <cellStyle name="Normal 2 16 22 4" xfId="23913" xr:uid="{00000000-0005-0000-0000-0000B95C0000}"/>
    <cellStyle name="Normal 2 16 23" xfId="23914" xr:uid="{00000000-0005-0000-0000-0000BA5C0000}"/>
    <cellStyle name="Normal 2 16 23 2" xfId="23915" xr:uid="{00000000-0005-0000-0000-0000BB5C0000}"/>
    <cellStyle name="Normal 2 16 23 2 2" xfId="23916" xr:uid="{00000000-0005-0000-0000-0000BC5C0000}"/>
    <cellStyle name="Normal 2 16 23 2 2 2" xfId="23917" xr:uid="{00000000-0005-0000-0000-0000BD5C0000}"/>
    <cellStyle name="Normal 2 16 23 2 2 3" xfId="23918" xr:uid="{00000000-0005-0000-0000-0000BE5C0000}"/>
    <cellStyle name="Normal 2 16 23 2 3" xfId="23919" xr:uid="{00000000-0005-0000-0000-0000BF5C0000}"/>
    <cellStyle name="Normal 2 16 23 2 4" xfId="23920" xr:uid="{00000000-0005-0000-0000-0000C05C0000}"/>
    <cellStyle name="Normal 2 16 23 3" xfId="23921" xr:uid="{00000000-0005-0000-0000-0000C15C0000}"/>
    <cellStyle name="Normal 2 16 23 3 2" xfId="23922" xr:uid="{00000000-0005-0000-0000-0000C25C0000}"/>
    <cellStyle name="Normal 2 16 23 3 3" xfId="23923" xr:uid="{00000000-0005-0000-0000-0000C35C0000}"/>
    <cellStyle name="Normal 2 16 23 4" xfId="23924" xr:uid="{00000000-0005-0000-0000-0000C45C0000}"/>
    <cellStyle name="Normal 2 16 24" xfId="23925" xr:uid="{00000000-0005-0000-0000-0000C55C0000}"/>
    <cellStyle name="Normal 2 16 24 2" xfId="23926" xr:uid="{00000000-0005-0000-0000-0000C65C0000}"/>
    <cellStyle name="Normal 2 16 24 2 2" xfId="23927" xr:uid="{00000000-0005-0000-0000-0000C75C0000}"/>
    <cellStyle name="Normal 2 16 24 2 3" xfId="23928" xr:uid="{00000000-0005-0000-0000-0000C85C0000}"/>
    <cellStyle name="Normal 2 16 24 3" xfId="23929" xr:uid="{00000000-0005-0000-0000-0000C95C0000}"/>
    <cellStyle name="Normal 2 16 24 4" xfId="23930" xr:uid="{00000000-0005-0000-0000-0000CA5C0000}"/>
    <cellStyle name="Normal 2 16 25" xfId="23931" xr:uid="{00000000-0005-0000-0000-0000CB5C0000}"/>
    <cellStyle name="Normal 2 16 25 2" xfId="23932" xr:uid="{00000000-0005-0000-0000-0000CC5C0000}"/>
    <cellStyle name="Normal 2 16 25 3" xfId="23933" xr:uid="{00000000-0005-0000-0000-0000CD5C0000}"/>
    <cellStyle name="Normal 2 16 26" xfId="23934" xr:uid="{00000000-0005-0000-0000-0000CE5C0000}"/>
    <cellStyle name="Normal 2 16 3" xfId="23935" xr:uid="{00000000-0005-0000-0000-0000CF5C0000}"/>
    <cellStyle name="Normal 2 16 3 2" xfId="23936" xr:uid="{00000000-0005-0000-0000-0000D05C0000}"/>
    <cellStyle name="Normal 2 16 3 2 2" xfId="23937" xr:uid="{00000000-0005-0000-0000-0000D15C0000}"/>
    <cellStyle name="Normal 2 16 3 2 2 2" xfId="23938" xr:uid="{00000000-0005-0000-0000-0000D25C0000}"/>
    <cellStyle name="Normal 2 16 3 2 2 3" xfId="23939" xr:uid="{00000000-0005-0000-0000-0000D35C0000}"/>
    <cellStyle name="Normal 2 16 3 2 3" xfId="23940" xr:uid="{00000000-0005-0000-0000-0000D45C0000}"/>
    <cellStyle name="Normal 2 16 3 2 4" xfId="23941" xr:uid="{00000000-0005-0000-0000-0000D55C0000}"/>
    <cellStyle name="Normal 2 16 3 3" xfId="23942" xr:uid="{00000000-0005-0000-0000-0000D65C0000}"/>
    <cellStyle name="Normal 2 16 3 3 2" xfId="23943" xr:uid="{00000000-0005-0000-0000-0000D75C0000}"/>
    <cellStyle name="Normal 2 16 3 3 3" xfId="23944" xr:uid="{00000000-0005-0000-0000-0000D85C0000}"/>
    <cellStyle name="Normal 2 16 3 4" xfId="23945" xr:uid="{00000000-0005-0000-0000-0000D95C0000}"/>
    <cellStyle name="Normal 2 16 4" xfId="23946" xr:uid="{00000000-0005-0000-0000-0000DA5C0000}"/>
    <cellStyle name="Normal 2 16 4 2" xfId="23947" xr:uid="{00000000-0005-0000-0000-0000DB5C0000}"/>
    <cellStyle name="Normal 2 16 4 2 2" xfId="23948" xr:uid="{00000000-0005-0000-0000-0000DC5C0000}"/>
    <cellStyle name="Normal 2 16 4 2 2 2" xfId="23949" xr:uid="{00000000-0005-0000-0000-0000DD5C0000}"/>
    <cellStyle name="Normal 2 16 4 2 2 3" xfId="23950" xr:uid="{00000000-0005-0000-0000-0000DE5C0000}"/>
    <cellStyle name="Normal 2 16 4 2 3" xfId="23951" xr:uid="{00000000-0005-0000-0000-0000DF5C0000}"/>
    <cellStyle name="Normal 2 16 4 2 4" xfId="23952" xr:uid="{00000000-0005-0000-0000-0000E05C0000}"/>
    <cellStyle name="Normal 2 16 4 3" xfId="23953" xr:uid="{00000000-0005-0000-0000-0000E15C0000}"/>
    <cellStyle name="Normal 2 16 4 3 2" xfId="23954" xr:uid="{00000000-0005-0000-0000-0000E25C0000}"/>
    <cellStyle name="Normal 2 16 4 3 3" xfId="23955" xr:uid="{00000000-0005-0000-0000-0000E35C0000}"/>
    <cellStyle name="Normal 2 16 4 4" xfId="23956" xr:uid="{00000000-0005-0000-0000-0000E45C0000}"/>
    <cellStyle name="Normal 2 16 5" xfId="23957" xr:uid="{00000000-0005-0000-0000-0000E55C0000}"/>
    <cellStyle name="Normal 2 16 5 2" xfId="23958" xr:uid="{00000000-0005-0000-0000-0000E65C0000}"/>
    <cellStyle name="Normal 2 16 5 2 2" xfId="23959" xr:uid="{00000000-0005-0000-0000-0000E75C0000}"/>
    <cellStyle name="Normal 2 16 5 2 2 2" xfId="23960" xr:uid="{00000000-0005-0000-0000-0000E85C0000}"/>
    <cellStyle name="Normal 2 16 5 2 2 3" xfId="23961" xr:uid="{00000000-0005-0000-0000-0000E95C0000}"/>
    <cellStyle name="Normal 2 16 5 2 3" xfId="23962" xr:uid="{00000000-0005-0000-0000-0000EA5C0000}"/>
    <cellStyle name="Normal 2 16 5 2 4" xfId="23963" xr:uid="{00000000-0005-0000-0000-0000EB5C0000}"/>
    <cellStyle name="Normal 2 16 5 3" xfId="23964" xr:uid="{00000000-0005-0000-0000-0000EC5C0000}"/>
    <cellStyle name="Normal 2 16 5 3 2" xfId="23965" xr:uid="{00000000-0005-0000-0000-0000ED5C0000}"/>
    <cellStyle name="Normal 2 16 5 3 3" xfId="23966" xr:uid="{00000000-0005-0000-0000-0000EE5C0000}"/>
    <cellStyle name="Normal 2 16 5 4" xfId="23967" xr:uid="{00000000-0005-0000-0000-0000EF5C0000}"/>
    <cellStyle name="Normal 2 16 6" xfId="23968" xr:uid="{00000000-0005-0000-0000-0000F05C0000}"/>
    <cellStyle name="Normal 2 16 6 2" xfId="23969" xr:uid="{00000000-0005-0000-0000-0000F15C0000}"/>
    <cellStyle name="Normal 2 16 6 2 2" xfId="23970" xr:uid="{00000000-0005-0000-0000-0000F25C0000}"/>
    <cellStyle name="Normal 2 16 6 2 2 2" xfId="23971" xr:uid="{00000000-0005-0000-0000-0000F35C0000}"/>
    <cellStyle name="Normal 2 16 6 2 2 3" xfId="23972" xr:uid="{00000000-0005-0000-0000-0000F45C0000}"/>
    <cellStyle name="Normal 2 16 6 2 3" xfId="23973" xr:uid="{00000000-0005-0000-0000-0000F55C0000}"/>
    <cellStyle name="Normal 2 16 6 2 4" xfId="23974" xr:uid="{00000000-0005-0000-0000-0000F65C0000}"/>
    <cellStyle name="Normal 2 16 6 3" xfId="23975" xr:uid="{00000000-0005-0000-0000-0000F75C0000}"/>
    <cellStyle name="Normal 2 16 6 3 2" xfId="23976" xr:uid="{00000000-0005-0000-0000-0000F85C0000}"/>
    <cellStyle name="Normal 2 16 6 3 3" xfId="23977" xr:uid="{00000000-0005-0000-0000-0000F95C0000}"/>
    <cellStyle name="Normal 2 16 6 4" xfId="23978" xr:uid="{00000000-0005-0000-0000-0000FA5C0000}"/>
    <cellStyle name="Normal 2 16 7" xfId="23979" xr:uid="{00000000-0005-0000-0000-0000FB5C0000}"/>
    <cellStyle name="Normal 2 16 7 2" xfId="23980" xr:uid="{00000000-0005-0000-0000-0000FC5C0000}"/>
    <cellStyle name="Normal 2 16 7 2 2" xfId="23981" xr:uid="{00000000-0005-0000-0000-0000FD5C0000}"/>
    <cellStyle name="Normal 2 16 7 2 2 2" xfId="23982" xr:uid="{00000000-0005-0000-0000-0000FE5C0000}"/>
    <cellStyle name="Normal 2 16 7 2 2 3" xfId="23983" xr:uid="{00000000-0005-0000-0000-0000FF5C0000}"/>
    <cellStyle name="Normal 2 16 7 2 3" xfId="23984" xr:uid="{00000000-0005-0000-0000-0000005D0000}"/>
    <cellStyle name="Normal 2 16 7 2 4" xfId="23985" xr:uid="{00000000-0005-0000-0000-0000015D0000}"/>
    <cellStyle name="Normal 2 16 7 3" xfId="23986" xr:uid="{00000000-0005-0000-0000-0000025D0000}"/>
    <cellStyle name="Normal 2 16 7 3 2" xfId="23987" xr:uid="{00000000-0005-0000-0000-0000035D0000}"/>
    <cellStyle name="Normal 2 16 7 3 3" xfId="23988" xr:uid="{00000000-0005-0000-0000-0000045D0000}"/>
    <cellStyle name="Normal 2 16 7 4" xfId="23989" xr:uid="{00000000-0005-0000-0000-0000055D0000}"/>
    <cellStyle name="Normal 2 16 8" xfId="23990" xr:uid="{00000000-0005-0000-0000-0000065D0000}"/>
    <cellStyle name="Normal 2 16 8 2" xfId="23991" xr:uid="{00000000-0005-0000-0000-0000075D0000}"/>
    <cellStyle name="Normal 2 16 8 2 2" xfId="23992" xr:uid="{00000000-0005-0000-0000-0000085D0000}"/>
    <cellStyle name="Normal 2 16 8 2 2 2" xfId="23993" xr:uid="{00000000-0005-0000-0000-0000095D0000}"/>
    <cellStyle name="Normal 2 16 8 2 2 3" xfId="23994" xr:uid="{00000000-0005-0000-0000-00000A5D0000}"/>
    <cellStyle name="Normal 2 16 8 2 3" xfId="23995" xr:uid="{00000000-0005-0000-0000-00000B5D0000}"/>
    <cellStyle name="Normal 2 16 8 2 4" xfId="23996" xr:uid="{00000000-0005-0000-0000-00000C5D0000}"/>
    <cellStyle name="Normal 2 16 8 3" xfId="23997" xr:uid="{00000000-0005-0000-0000-00000D5D0000}"/>
    <cellStyle name="Normal 2 16 8 3 2" xfId="23998" xr:uid="{00000000-0005-0000-0000-00000E5D0000}"/>
    <cellStyle name="Normal 2 16 8 3 3" xfId="23999" xr:uid="{00000000-0005-0000-0000-00000F5D0000}"/>
    <cellStyle name="Normal 2 16 8 4" xfId="24000" xr:uid="{00000000-0005-0000-0000-0000105D0000}"/>
    <cellStyle name="Normal 2 16 9" xfId="24001" xr:uid="{00000000-0005-0000-0000-0000115D0000}"/>
    <cellStyle name="Normal 2 16 9 2" xfId="24002" xr:uid="{00000000-0005-0000-0000-0000125D0000}"/>
    <cellStyle name="Normal 2 16 9 2 2" xfId="24003" xr:uid="{00000000-0005-0000-0000-0000135D0000}"/>
    <cellStyle name="Normal 2 16 9 2 2 2" xfId="24004" xr:uid="{00000000-0005-0000-0000-0000145D0000}"/>
    <cellStyle name="Normal 2 16 9 2 2 3" xfId="24005" xr:uid="{00000000-0005-0000-0000-0000155D0000}"/>
    <cellStyle name="Normal 2 16 9 2 3" xfId="24006" xr:uid="{00000000-0005-0000-0000-0000165D0000}"/>
    <cellStyle name="Normal 2 16 9 2 4" xfId="24007" xr:uid="{00000000-0005-0000-0000-0000175D0000}"/>
    <cellStyle name="Normal 2 16 9 3" xfId="24008" xr:uid="{00000000-0005-0000-0000-0000185D0000}"/>
    <cellStyle name="Normal 2 16 9 3 2" xfId="24009" xr:uid="{00000000-0005-0000-0000-0000195D0000}"/>
    <cellStyle name="Normal 2 16 9 3 3" xfId="24010" xr:uid="{00000000-0005-0000-0000-00001A5D0000}"/>
    <cellStyle name="Normal 2 16 9 4" xfId="24011" xr:uid="{00000000-0005-0000-0000-00001B5D0000}"/>
    <cellStyle name="Normal 2 17" xfId="24012" xr:uid="{00000000-0005-0000-0000-00001C5D0000}"/>
    <cellStyle name="Normal 2 17 10" xfId="24013" xr:uid="{00000000-0005-0000-0000-00001D5D0000}"/>
    <cellStyle name="Normal 2 17 10 2" xfId="24014" xr:uid="{00000000-0005-0000-0000-00001E5D0000}"/>
    <cellStyle name="Normal 2 17 10 2 2" xfId="24015" xr:uid="{00000000-0005-0000-0000-00001F5D0000}"/>
    <cellStyle name="Normal 2 17 10 2 2 2" xfId="24016" xr:uid="{00000000-0005-0000-0000-0000205D0000}"/>
    <cellStyle name="Normal 2 17 10 2 2 3" xfId="24017" xr:uid="{00000000-0005-0000-0000-0000215D0000}"/>
    <cellStyle name="Normal 2 17 10 2 3" xfId="24018" xr:uid="{00000000-0005-0000-0000-0000225D0000}"/>
    <cellStyle name="Normal 2 17 10 2 4" xfId="24019" xr:uid="{00000000-0005-0000-0000-0000235D0000}"/>
    <cellStyle name="Normal 2 17 10 3" xfId="24020" xr:uid="{00000000-0005-0000-0000-0000245D0000}"/>
    <cellStyle name="Normal 2 17 10 3 2" xfId="24021" xr:uid="{00000000-0005-0000-0000-0000255D0000}"/>
    <cellStyle name="Normal 2 17 10 3 3" xfId="24022" xr:uid="{00000000-0005-0000-0000-0000265D0000}"/>
    <cellStyle name="Normal 2 17 10 4" xfId="24023" xr:uid="{00000000-0005-0000-0000-0000275D0000}"/>
    <cellStyle name="Normal 2 17 11" xfId="24024" xr:uid="{00000000-0005-0000-0000-0000285D0000}"/>
    <cellStyle name="Normal 2 17 11 2" xfId="24025" xr:uid="{00000000-0005-0000-0000-0000295D0000}"/>
    <cellStyle name="Normal 2 17 11 2 2" xfId="24026" xr:uid="{00000000-0005-0000-0000-00002A5D0000}"/>
    <cellStyle name="Normal 2 17 11 2 2 2" xfId="24027" xr:uid="{00000000-0005-0000-0000-00002B5D0000}"/>
    <cellStyle name="Normal 2 17 11 2 2 3" xfId="24028" xr:uid="{00000000-0005-0000-0000-00002C5D0000}"/>
    <cellStyle name="Normal 2 17 11 2 3" xfId="24029" xr:uid="{00000000-0005-0000-0000-00002D5D0000}"/>
    <cellStyle name="Normal 2 17 11 2 4" xfId="24030" xr:uid="{00000000-0005-0000-0000-00002E5D0000}"/>
    <cellStyle name="Normal 2 17 11 3" xfId="24031" xr:uid="{00000000-0005-0000-0000-00002F5D0000}"/>
    <cellStyle name="Normal 2 17 11 3 2" xfId="24032" xr:uid="{00000000-0005-0000-0000-0000305D0000}"/>
    <cellStyle name="Normal 2 17 11 3 3" xfId="24033" xr:uid="{00000000-0005-0000-0000-0000315D0000}"/>
    <cellStyle name="Normal 2 17 11 4" xfId="24034" xr:uid="{00000000-0005-0000-0000-0000325D0000}"/>
    <cellStyle name="Normal 2 17 12" xfId="24035" xr:uid="{00000000-0005-0000-0000-0000335D0000}"/>
    <cellStyle name="Normal 2 17 12 2" xfId="24036" xr:uid="{00000000-0005-0000-0000-0000345D0000}"/>
    <cellStyle name="Normal 2 17 12 2 2" xfId="24037" xr:uid="{00000000-0005-0000-0000-0000355D0000}"/>
    <cellStyle name="Normal 2 17 12 2 2 2" xfId="24038" xr:uid="{00000000-0005-0000-0000-0000365D0000}"/>
    <cellStyle name="Normal 2 17 12 2 2 3" xfId="24039" xr:uid="{00000000-0005-0000-0000-0000375D0000}"/>
    <cellStyle name="Normal 2 17 12 2 3" xfId="24040" xr:uid="{00000000-0005-0000-0000-0000385D0000}"/>
    <cellStyle name="Normal 2 17 12 2 4" xfId="24041" xr:uid="{00000000-0005-0000-0000-0000395D0000}"/>
    <cellStyle name="Normal 2 17 12 3" xfId="24042" xr:uid="{00000000-0005-0000-0000-00003A5D0000}"/>
    <cellStyle name="Normal 2 17 12 3 2" xfId="24043" xr:uid="{00000000-0005-0000-0000-00003B5D0000}"/>
    <cellStyle name="Normal 2 17 12 3 3" xfId="24044" xr:uid="{00000000-0005-0000-0000-00003C5D0000}"/>
    <cellStyle name="Normal 2 17 12 4" xfId="24045" xr:uid="{00000000-0005-0000-0000-00003D5D0000}"/>
    <cellStyle name="Normal 2 17 13" xfId="24046" xr:uid="{00000000-0005-0000-0000-00003E5D0000}"/>
    <cellStyle name="Normal 2 17 13 2" xfId="24047" xr:uid="{00000000-0005-0000-0000-00003F5D0000}"/>
    <cellStyle name="Normal 2 17 13 2 2" xfId="24048" xr:uid="{00000000-0005-0000-0000-0000405D0000}"/>
    <cellStyle name="Normal 2 17 13 2 2 2" xfId="24049" xr:uid="{00000000-0005-0000-0000-0000415D0000}"/>
    <cellStyle name="Normal 2 17 13 2 2 3" xfId="24050" xr:uid="{00000000-0005-0000-0000-0000425D0000}"/>
    <cellStyle name="Normal 2 17 13 2 3" xfId="24051" xr:uid="{00000000-0005-0000-0000-0000435D0000}"/>
    <cellStyle name="Normal 2 17 13 2 4" xfId="24052" xr:uid="{00000000-0005-0000-0000-0000445D0000}"/>
    <cellStyle name="Normal 2 17 13 3" xfId="24053" xr:uid="{00000000-0005-0000-0000-0000455D0000}"/>
    <cellStyle name="Normal 2 17 13 3 2" xfId="24054" xr:uid="{00000000-0005-0000-0000-0000465D0000}"/>
    <cellStyle name="Normal 2 17 13 3 3" xfId="24055" xr:uid="{00000000-0005-0000-0000-0000475D0000}"/>
    <cellStyle name="Normal 2 17 13 4" xfId="24056" xr:uid="{00000000-0005-0000-0000-0000485D0000}"/>
    <cellStyle name="Normal 2 17 14" xfId="24057" xr:uid="{00000000-0005-0000-0000-0000495D0000}"/>
    <cellStyle name="Normal 2 17 14 2" xfId="24058" xr:uid="{00000000-0005-0000-0000-00004A5D0000}"/>
    <cellStyle name="Normal 2 17 14 2 2" xfId="24059" xr:uid="{00000000-0005-0000-0000-00004B5D0000}"/>
    <cellStyle name="Normal 2 17 14 2 2 2" xfId="24060" xr:uid="{00000000-0005-0000-0000-00004C5D0000}"/>
    <cellStyle name="Normal 2 17 14 2 2 3" xfId="24061" xr:uid="{00000000-0005-0000-0000-00004D5D0000}"/>
    <cellStyle name="Normal 2 17 14 2 3" xfId="24062" xr:uid="{00000000-0005-0000-0000-00004E5D0000}"/>
    <cellStyle name="Normal 2 17 14 2 4" xfId="24063" xr:uid="{00000000-0005-0000-0000-00004F5D0000}"/>
    <cellStyle name="Normal 2 17 14 3" xfId="24064" xr:uid="{00000000-0005-0000-0000-0000505D0000}"/>
    <cellStyle name="Normal 2 17 14 3 2" xfId="24065" xr:uid="{00000000-0005-0000-0000-0000515D0000}"/>
    <cellStyle name="Normal 2 17 14 3 3" xfId="24066" xr:uid="{00000000-0005-0000-0000-0000525D0000}"/>
    <cellStyle name="Normal 2 17 14 4" xfId="24067" xr:uid="{00000000-0005-0000-0000-0000535D0000}"/>
    <cellStyle name="Normal 2 17 15" xfId="24068" xr:uid="{00000000-0005-0000-0000-0000545D0000}"/>
    <cellStyle name="Normal 2 17 15 2" xfId="24069" xr:uid="{00000000-0005-0000-0000-0000555D0000}"/>
    <cellStyle name="Normal 2 17 15 2 2" xfId="24070" xr:uid="{00000000-0005-0000-0000-0000565D0000}"/>
    <cellStyle name="Normal 2 17 15 2 2 2" xfId="24071" xr:uid="{00000000-0005-0000-0000-0000575D0000}"/>
    <cellStyle name="Normal 2 17 15 2 2 3" xfId="24072" xr:uid="{00000000-0005-0000-0000-0000585D0000}"/>
    <cellStyle name="Normal 2 17 15 2 3" xfId="24073" xr:uid="{00000000-0005-0000-0000-0000595D0000}"/>
    <cellStyle name="Normal 2 17 15 2 4" xfId="24074" xr:uid="{00000000-0005-0000-0000-00005A5D0000}"/>
    <cellStyle name="Normal 2 17 15 3" xfId="24075" xr:uid="{00000000-0005-0000-0000-00005B5D0000}"/>
    <cellStyle name="Normal 2 17 15 3 2" xfId="24076" xr:uid="{00000000-0005-0000-0000-00005C5D0000}"/>
    <cellStyle name="Normal 2 17 15 3 3" xfId="24077" xr:uid="{00000000-0005-0000-0000-00005D5D0000}"/>
    <cellStyle name="Normal 2 17 15 4" xfId="24078" xr:uid="{00000000-0005-0000-0000-00005E5D0000}"/>
    <cellStyle name="Normal 2 17 16" xfId="24079" xr:uid="{00000000-0005-0000-0000-00005F5D0000}"/>
    <cellStyle name="Normal 2 17 16 2" xfId="24080" xr:uid="{00000000-0005-0000-0000-0000605D0000}"/>
    <cellStyle name="Normal 2 17 16 2 2" xfId="24081" xr:uid="{00000000-0005-0000-0000-0000615D0000}"/>
    <cellStyle name="Normal 2 17 16 2 2 2" xfId="24082" xr:uid="{00000000-0005-0000-0000-0000625D0000}"/>
    <cellStyle name="Normal 2 17 16 2 2 3" xfId="24083" xr:uid="{00000000-0005-0000-0000-0000635D0000}"/>
    <cellStyle name="Normal 2 17 16 2 3" xfId="24084" xr:uid="{00000000-0005-0000-0000-0000645D0000}"/>
    <cellStyle name="Normal 2 17 16 2 4" xfId="24085" xr:uid="{00000000-0005-0000-0000-0000655D0000}"/>
    <cellStyle name="Normal 2 17 16 3" xfId="24086" xr:uid="{00000000-0005-0000-0000-0000665D0000}"/>
    <cellStyle name="Normal 2 17 16 3 2" xfId="24087" xr:uid="{00000000-0005-0000-0000-0000675D0000}"/>
    <cellStyle name="Normal 2 17 16 3 3" xfId="24088" xr:uid="{00000000-0005-0000-0000-0000685D0000}"/>
    <cellStyle name="Normal 2 17 16 4" xfId="24089" xr:uid="{00000000-0005-0000-0000-0000695D0000}"/>
    <cellStyle name="Normal 2 17 17" xfId="24090" xr:uid="{00000000-0005-0000-0000-00006A5D0000}"/>
    <cellStyle name="Normal 2 17 17 2" xfId="24091" xr:uid="{00000000-0005-0000-0000-00006B5D0000}"/>
    <cellStyle name="Normal 2 17 17 2 2" xfId="24092" xr:uid="{00000000-0005-0000-0000-00006C5D0000}"/>
    <cellStyle name="Normal 2 17 17 2 2 2" xfId="24093" xr:uid="{00000000-0005-0000-0000-00006D5D0000}"/>
    <cellStyle name="Normal 2 17 17 2 2 3" xfId="24094" xr:uid="{00000000-0005-0000-0000-00006E5D0000}"/>
    <cellStyle name="Normal 2 17 17 2 3" xfId="24095" xr:uid="{00000000-0005-0000-0000-00006F5D0000}"/>
    <cellStyle name="Normal 2 17 17 2 4" xfId="24096" xr:uid="{00000000-0005-0000-0000-0000705D0000}"/>
    <cellStyle name="Normal 2 17 17 3" xfId="24097" xr:uid="{00000000-0005-0000-0000-0000715D0000}"/>
    <cellStyle name="Normal 2 17 17 3 2" xfId="24098" xr:uid="{00000000-0005-0000-0000-0000725D0000}"/>
    <cellStyle name="Normal 2 17 17 3 3" xfId="24099" xr:uid="{00000000-0005-0000-0000-0000735D0000}"/>
    <cellStyle name="Normal 2 17 17 4" xfId="24100" xr:uid="{00000000-0005-0000-0000-0000745D0000}"/>
    <cellStyle name="Normal 2 17 18" xfId="24101" xr:uid="{00000000-0005-0000-0000-0000755D0000}"/>
    <cellStyle name="Normal 2 17 18 2" xfId="24102" xr:uid="{00000000-0005-0000-0000-0000765D0000}"/>
    <cellStyle name="Normal 2 17 18 2 2" xfId="24103" xr:uid="{00000000-0005-0000-0000-0000775D0000}"/>
    <cellStyle name="Normal 2 17 18 2 2 2" xfId="24104" xr:uid="{00000000-0005-0000-0000-0000785D0000}"/>
    <cellStyle name="Normal 2 17 18 2 2 3" xfId="24105" xr:uid="{00000000-0005-0000-0000-0000795D0000}"/>
    <cellStyle name="Normal 2 17 18 2 3" xfId="24106" xr:uid="{00000000-0005-0000-0000-00007A5D0000}"/>
    <cellStyle name="Normal 2 17 18 2 4" xfId="24107" xr:uid="{00000000-0005-0000-0000-00007B5D0000}"/>
    <cellStyle name="Normal 2 17 18 3" xfId="24108" xr:uid="{00000000-0005-0000-0000-00007C5D0000}"/>
    <cellStyle name="Normal 2 17 18 3 2" xfId="24109" xr:uid="{00000000-0005-0000-0000-00007D5D0000}"/>
    <cellStyle name="Normal 2 17 18 3 3" xfId="24110" xr:uid="{00000000-0005-0000-0000-00007E5D0000}"/>
    <cellStyle name="Normal 2 17 18 4" xfId="24111" xr:uid="{00000000-0005-0000-0000-00007F5D0000}"/>
    <cellStyle name="Normal 2 17 19" xfId="24112" xr:uid="{00000000-0005-0000-0000-0000805D0000}"/>
    <cellStyle name="Normal 2 17 19 2" xfId="24113" xr:uid="{00000000-0005-0000-0000-0000815D0000}"/>
    <cellStyle name="Normal 2 17 19 2 2" xfId="24114" xr:uid="{00000000-0005-0000-0000-0000825D0000}"/>
    <cellStyle name="Normal 2 17 19 2 2 2" xfId="24115" xr:uid="{00000000-0005-0000-0000-0000835D0000}"/>
    <cellStyle name="Normal 2 17 19 2 2 3" xfId="24116" xr:uid="{00000000-0005-0000-0000-0000845D0000}"/>
    <cellStyle name="Normal 2 17 19 2 3" xfId="24117" xr:uid="{00000000-0005-0000-0000-0000855D0000}"/>
    <cellStyle name="Normal 2 17 19 2 4" xfId="24118" xr:uid="{00000000-0005-0000-0000-0000865D0000}"/>
    <cellStyle name="Normal 2 17 19 3" xfId="24119" xr:uid="{00000000-0005-0000-0000-0000875D0000}"/>
    <cellStyle name="Normal 2 17 19 3 2" xfId="24120" xr:uid="{00000000-0005-0000-0000-0000885D0000}"/>
    <cellStyle name="Normal 2 17 19 3 3" xfId="24121" xr:uid="{00000000-0005-0000-0000-0000895D0000}"/>
    <cellStyle name="Normal 2 17 19 4" xfId="24122" xr:uid="{00000000-0005-0000-0000-00008A5D0000}"/>
    <cellStyle name="Normal 2 17 2" xfId="24123" xr:uid="{00000000-0005-0000-0000-00008B5D0000}"/>
    <cellStyle name="Normal 2 17 2 2" xfId="24124" xr:uid="{00000000-0005-0000-0000-00008C5D0000}"/>
    <cellStyle name="Normal 2 17 2 2 2" xfId="24125" xr:uid="{00000000-0005-0000-0000-00008D5D0000}"/>
    <cellStyle name="Normal 2 17 2 2 2 2" xfId="24126" xr:uid="{00000000-0005-0000-0000-00008E5D0000}"/>
    <cellStyle name="Normal 2 17 2 2 2 3" xfId="24127" xr:uid="{00000000-0005-0000-0000-00008F5D0000}"/>
    <cellStyle name="Normal 2 17 2 2 3" xfId="24128" xr:uid="{00000000-0005-0000-0000-0000905D0000}"/>
    <cellStyle name="Normal 2 17 2 2 4" xfId="24129" xr:uid="{00000000-0005-0000-0000-0000915D0000}"/>
    <cellStyle name="Normal 2 17 2 3" xfId="24130" xr:uid="{00000000-0005-0000-0000-0000925D0000}"/>
    <cellStyle name="Normal 2 17 2 3 2" xfId="24131" xr:uid="{00000000-0005-0000-0000-0000935D0000}"/>
    <cellStyle name="Normal 2 17 2 3 3" xfId="24132" xr:uid="{00000000-0005-0000-0000-0000945D0000}"/>
    <cellStyle name="Normal 2 17 2 4" xfId="24133" xr:uid="{00000000-0005-0000-0000-0000955D0000}"/>
    <cellStyle name="Normal 2 17 20" xfId="24134" xr:uid="{00000000-0005-0000-0000-0000965D0000}"/>
    <cellStyle name="Normal 2 17 20 2" xfId="24135" xr:uid="{00000000-0005-0000-0000-0000975D0000}"/>
    <cellStyle name="Normal 2 17 20 2 2" xfId="24136" xr:uid="{00000000-0005-0000-0000-0000985D0000}"/>
    <cellStyle name="Normal 2 17 20 2 2 2" xfId="24137" xr:uid="{00000000-0005-0000-0000-0000995D0000}"/>
    <cellStyle name="Normal 2 17 20 2 2 3" xfId="24138" xr:uid="{00000000-0005-0000-0000-00009A5D0000}"/>
    <cellStyle name="Normal 2 17 20 2 3" xfId="24139" xr:uid="{00000000-0005-0000-0000-00009B5D0000}"/>
    <cellStyle name="Normal 2 17 20 2 4" xfId="24140" xr:uid="{00000000-0005-0000-0000-00009C5D0000}"/>
    <cellStyle name="Normal 2 17 20 3" xfId="24141" xr:uid="{00000000-0005-0000-0000-00009D5D0000}"/>
    <cellStyle name="Normal 2 17 20 3 2" xfId="24142" xr:uid="{00000000-0005-0000-0000-00009E5D0000}"/>
    <cellStyle name="Normal 2 17 20 3 3" xfId="24143" xr:uid="{00000000-0005-0000-0000-00009F5D0000}"/>
    <cellStyle name="Normal 2 17 20 4" xfId="24144" xr:uid="{00000000-0005-0000-0000-0000A05D0000}"/>
    <cellStyle name="Normal 2 17 21" xfId="24145" xr:uid="{00000000-0005-0000-0000-0000A15D0000}"/>
    <cellStyle name="Normal 2 17 21 2" xfId="24146" xr:uid="{00000000-0005-0000-0000-0000A25D0000}"/>
    <cellStyle name="Normal 2 17 21 2 2" xfId="24147" xr:uid="{00000000-0005-0000-0000-0000A35D0000}"/>
    <cellStyle name="Normal 2 17 21 2 2 2" xfId="24148" xr:uid="{00000000-0005-0000-0000-0000A45D0000}"/>
    <cellStyle name="Normal 2 17 21 2 2 3" xfId="24149" xr:uid="{00000000-0005-0000-0000-0000A55D0000}"/>
    <cellStyle name="Normal 2 17 21 2 3" xfId="24150" xr:uid="{00000000-0005-0000-0000-0000A65D0000}"/>
    <cellStyle name="Normal 2 17 21 2 4" xfId="24151" xr:uid="{00000000-0005-0000-0000-0000A75D0000}"/>
    <cellStyle name="Normal 2 17 21 3" xfId="24152" xr:uid="{00000000-0005-0000-0000-0000A85D0000}"/>
    <cellStyle name="Normal 2 17 21 3 2" xfId="24153" xr:uid="{00000000-0005-0000-0000-0000A95D0000}"/>
    <cellStyle name="Normal 2 17 21 3 3" xfId="24154" xr:uid="{00000000-0005-0000-0000-0000AA5D0000}"/>
    <cellStyle name="Normal 2 17 21 4" xfId="24155" xr:uid="{00000000-0005-0000-0000-0000AB5D0000}"/>
    <cellStyle name="Normal 2 17 22" xfId="24156" xr:uid="{00000000-0005-0000-0000-0000AC5D0000}"/>
    <cellStyle name="Normal 2 17 22 2" xfId="24157" xr:uid="{00000000-0005-0000-0000-0000AD5D0000}"/>
    <cellStyle name="Normal 2 17 22 2 2" xfId="24158" xr:uid="{00000000-0005-0000-0000-0000AE5D0000}"/>
    <cellStyle name="Normal 2 17 22 2 2 2" xfId="24159" xr:uid="{00000000-0005-0000-0000-0000AF5D0000}"/>
    <cellStyle name="Normal 2 17 22 2 2 3" xfId="24160" xr:uid="{00000000-0005-0000-0000-0000B05D0000}"/>
    <cellStyle name="Normal 2 17 22 2 3" xfId="24161" xr:uid="{00000000-0005-0000-0000-0000B15D0000}"/>
    <cellStyle name="Normal 2 17 22 2 4" xfId="24162" xr:uid="{00000000-0005-0000-0000-0000B25D0000}"/>
    <cellStyle name="Normal 2 17 22 3" xfId="24163" xr:uid="{00000000-0005-0000-0000-0000B35D0000}"/>
    <cellStyle name="Normal 2 17 22 3 2" xfId="24164" xr:uid="{00000000-0005-0000-0000-0000B45D0000}"/>
    <cellStyle name="Normal 2 17 22 3 3" xfId="24165" xr:uid="{00000000-0005-0000-0000-0000B55D0000}"/>
    <cellStyle name="Normal 2 17 22 4" xfId="24166" xr:uid="{00000000-0005-0000-0000-0000B65D0000}"/>
    <cellStyle name="Normal 2 17 23" xfId="24167" xr:uid="{00000000-0005-0000-0000-0000B75D0000}"/>
    <cellStyle name="Normal 2 17 23 2" xfId="24168" xr:uid="{00000000-0005-0000-0000-0000B85D0000}"/>
    <cellStyle name="Normal 2 17 23 2 2" xfId="24169" xr:uid="{00000000-0005-0000-0000-0000B95D0000}"/>
    <cellStyle name="Normal 2 17 23 2 2 2" xfId="24170" xr:uid="{00000000-0005-0000-0000-0000BA5D0000}"/>
    <cellStyle name="Normal 2 17 23 2 2 3" xfId="24171" xr:uid="{00000000-0005-0000-0000-0000BB5D0000}"/>
    <cellStyle name="Normal 2 17 23 2 3" xfId="24172" xr:uid="{00000000-0005-0000-0000-0000BC5D0000}"/>
    <cellStyle name="Normal 2 17 23 2 4" xfId="24173" xr:uid="{00000000-0005-0000-0000-0000BD5D0000}"/>
    <cellStyle name="Normal 2 17 23 3" xfId="24174" xr:uid="{00000000-0005-0000-0000-0000BE5D0000}"/>
    <cellStyle name="Normal 2 17 23 3 2" xfId="24175" xr:uid="{00000000-0005-0000-0000-0000BF5D0000}"/>
    <cellStyle name="Normal 2 17 23 3 3" xfId="24176" xr:uid="{00000000-0005-0000-0000-0000C05D0000}"/>
    <cellStyle name="Normal 2 17 23 4" xfId="24177" xr:uid="{00000000-0005-0000-0000-0000C15D0000}"/>
    <cellStyle name="Normal 2 17 24" xfId="24178" xr:uid="{00000000-0005-0000-0000-0000C25D0000}"/>
    <cellStyle name="Normal 2 17 24 2" xfId="24179" xr:uid="{00000000-0005-0000-0000-0000C35D0000}"/>
    <cellStyle name="Normal 2 17 24 2 2" xfId="24180" xr:uid="{00000000-0005-0000-0000-0000C45D0000}"/>
    <cellStyle name="Normal 2 17 24 2 3" xfId="24181" xr:uid="{00000000-0005-0000-0000-0000C55D0000}"/>
    <cellStyle name="Normal 2 17 24 3" xfId="24182" xr:uid="{00000000-0005-0000-0000-0000C65D0000}"/>
    <cellStyle name="Normal 2 17 24 4" xfId="24183" xr:uid="{00000000-0005-0000-0000-0000C75D0000}"/>
    <cellStyle name="Normal 2 17 25" xfId="24184" xr:uid="{00000000-0005-0000-0000-0000C85D0000}"/>
    <cellStyle name="Normal 2 17 25 2" xfId="24185" xr:uid="{00000000-0005-0000-0000-0000C95D0000}"/>
    <cellStyle name="Normal 2 17 25 3" xfId="24186" xr:uid="{00000000-0005-0000-0000-0000CA5D0000}"/>
    <cellStyle name="Normal 2 17 26" xfId="24187" xr:uid="{00000000-0005-0000-0000-0000CB5D0000}"/>
    <cellStyle name="Normal 2 17 27" xfId="24188" xr:uid="{00000000-0005-0000-0000-0000CC5D0000}"/>
    <cellStyle name="Normal 2 17 3" xfId="24189" xr:uid="{00000000-0005-0000-0000-0000CD5D0000}"/>
    <cellStyle name="Normal 2 17 3 2" xfId="24190" xr:uid="{00000000-0005-0000-0000-0000CE5D0000}"/>
    <cellStyle name="Normal 2 17 3 2 2" xfId="24191" xr:uid="{00000000-0005-0000-0000-0000CF5D0000}"/>
    <cellStyle name="Normal 2 17 3 2 2 2" xfId="24192" xr:uid="{00000000-0005-0000-0000-0000D05D0000}"/>
    <cellStyle name="Normal 2 17 3 2 2 3" xfId="24193" xr:uid="{00000000-0005-0000-0000-0000D15D0000}"/>
    <cellStyle name="Normal 2 17 3 2 3" xfId="24194" xr:uid="{00000000-0005-0000-0000-0000D25D0000}"/>
    <cellStyle name="Normal 2 17 3 2 4" xfId="24195" xr:uid="{00000000-0005-0000-0000-0000D35D0000}"/>
    <cellStyle name="Normal 2 17 3 3" xfId="24196" xr:uid="{00000000-0005-0000-0000-0000D45D0000}"/>
    <cellStyle name="Normal 2 17 3 3 2" xfId="24197" xr:uid="{00000000-0005-0000-0000-0000D55D0000}"/>
    <cellStyle name="Normal 2 17 3 3 3" xfId="24198" xr:uid="{00000000-0005-0000-0000-0000D65D0000}"/>
    <cellStyle name="Normal 2 17 3 4" xfId="24199" xr:uid="{00000000-0005-0000-0000-0000D75D0000}"/>
    <cellStyle name="Normal 2 17 4" xfId="24200" xr:uid="{00000000-0005-0000-0000-0000D85D0000}"/>
    <cellStyle name="Normal 2 17 4 2" xfId="24201" xr:uid="{00000000-0005-0000-0000-0000D95D0000}"/>
    <cellStyle name="Normal 2 17 4 2 2" xfId="24202" xr:uid="{00000000-0005-0000-0000-0000DA5D0000}"/>
    <cellStyle name="Normal 2 17 4 2 2 2" xfId="24203" xr:uid="{00000000-0005-0000-0000-0000DB5D0000}"/>
    <cellStyle name="Normal 2 17 4 2 2 3" xfId="24204" xr:uid="{00000000-0005-0000-0000-0000DC5D0000}"/>
    <cellStyle name="Normal 2 17 4 2 3" xfId="24205" xr:uid="{00000000-0005-0000-0000-0000DD5D0000}"/>
    <cellStyle name="Normal 2 17 4 2 4" xfId="24206" xr:uid="{00000000-0005-0000-0000-0000DE5D0000}"/>
    <cellStyle name="Normal 2 17 4 3" xfId="24207" xr:uid="{00000000-0005-0000-0000-0000DF5D0000}"/>
    <cellStyle name="Normal 2 17 4 3 2" xfId="24208" xr:uid="{00000000-0005-0000-0000-0000E05D0000}"/>
    <cellStyle name="Normal 2 17 4 3 3" xfId="24209" xr:uid="{00000000-0005-0000-0000-0000E15D0000}"/>
    <cellStyle name="Normal 2 17 4 4" xfId="24210" xr:uid="{00000000-0005-0000-0000-0000E25D0000}"/>
    <cellStyle name="Normal 2 17 5" xfId="24211" xr:uid="{00000000-0005-0000-0000-0000E35D0000}"/>
    <cellStyle name="Normal 2 17 5 2" xfId="24212" xr:uid="{00000000-0005-0000-0000-0000E45D0000}"/>
    <cellStyle name="Normal 2 17 5 2 2" xfId="24213" xr:uid="{00000000-0005-0000-0000-0000E55D0000}"/>
    <cellStyle name="Normal 2 17 5 2 2 2" xfId="24214" xr:uid="{00000000-0005-0000-0000-0000E65D0000}"/>
    <cellStyle name="Normal 2 17 5 2 2 3" xfId="24215" xr:uid="{00000000-0005-0000-0000-0000E75D0000}"/>
    <cellStyle name="Normal 2 17 5 2 3" xfId="24216" xr:uid="{00000000-0005-0000-0000-0000E85D0000}"/>
    <cellStyle name="Normal 2 17 5 2 4" xfId="24217" xr:uid="{00000000-0005-0000-0000-0000E95D0000}"/>
    <cellStyle name="Normal 2 17 5 3" xfId="24218" xr:uid="{00000000-0005-0000-0000-0000EA5D0000}"/>
    <cellStyle name="Normal 2 17 5 3 2" xfId="24219" xr:uid="{00000000-0005-0000-0000-0000EB5D0000}"/>
    <cellStyle name="Normal 2 17 5 3 3" xfId="24220" xr:uid="{00000000-0005-0000-0000-0000EC5D0000}"/>
    <cellStyle name="Normal 2 17 5 4" xfId="24221" xr:uid="{00000000-0005-0000-0000-0000ED5D0000}"/>
    <cellStyle name="Normal 2 17 6" xfId="24222" xr:uid="{00000000-0005-0000-0000-0000EE5D0000}"/>
    <cellStyle name="Normal 2 17 6 2" xfId="24223" xr:uid="{00000000-0005-0000-0000-0000EF5D0000}"/>
    <cellStyle name="Normal 2 17 6 2 2" xfId="24224" xr:uid="{00000000-0005-0000-0000-0000F05D0000}"/>
    <cellStyle name="Normal 2 17 6 2 2 2" xfId="24225" xr:uid="{00000000-0005-0000-0000-0000F15D0000}"/>
    <cellStyle name="Normal 2 17 6 2 2 3" xfId="24226" xr:uid="{00000000-0005-0000-0000-0000F25D0000}"/>
    <cellStyle name="Normal 2 17 6 2 3" xfId="24227" xr:uid="{00000000-0005-0000-0000-0000F35D0000}"/>
    <cellStyle name="Normal 2 17 6 2 4" xfId="24228" xr:uid="{00000000-0005-0000-0000-0000F45D0000}"/>
    <cellStyle name="Normal 2 17 6 3" xfId="24229" xr:uid="{00000000-0005-0000-0000-0000F55D0000}"/>
    <cellStyle name="Normal 2 17 6 3 2" xfId="24230" xr:uid="{00000000-0005-0000-0000-0000F65D0000}"/>
    <cellStyle name="Normal 2 17 6 3 3" xfId="24231" xr:uid="{00000000-0005-0000-0000-0000F75D0000}"/>
    <cellStyle name="Normal 2 17 6 4" xfId="24232" xr:uid="{00000000-0005-0000-0000-0000F85D0000}"/>
    <cellStyle name="Normal 2 17 7" xfId="24233" xr:uid="{00000000-0005-0000-0000-0000F95D0000}"/>
    <cellStyle name="Normal 2 17 7 2" xfId="24234" xr:uid="{00000000-0005-0000-0000-0000FA5D0000}"/>
    <cellStyle name="Normal 2 17 7 2 2" xfId="24235" xr:uid="{00000000-0005-0000-0000-0000FB5D0000}"/>
    <cellStyle name="Normal 2 17 7 2 2 2" xfId="24236" xr:uid="{00000000-0005-0000-0000-0000FC5D0000}"/>
    <cellStyle name="Normal 2 17 7 2 2 3" xfId="24237" xr:uid="{00000000-0005-0000-0000-0000FD5D0000}"/>
    <cellStyle name="Normal 2 17 7 2 3" xfId="24238" xr:uid="{00000000-0005-0000-0000-0000FE5D0000}"/>
    <cellStyle name="Normal 2 17 7 2 4" xfId="24239" xr:uid="{00000000-0005-0000-0000-0000FF5D0000}"/>
    <cellStyle name="Normal 2 17 7 3" xfId="24240" xr:uid="{00000000-0005-0000-0000-0000005E0000}"/>
    <cellStyle name="Normal 2 17 7 3 2" xfId="24241" xr:uid="{00000000-0005-0000-0000-0000015E0000}"/>
    <cellStyle name="Normal 2 17 7 3 3" xfId="24242" xr:uid="{00000000-0005-0000-0000-0000025E0000}"/>
    <cellStyle name="Normal 2 17 7 4" xfId="24243" xr:uid="{00000000-0005-0000-0000-0000035E0000}"/>
    <cellStyle name="Normal 2 17 8" xfId="24244" xr:uid="{00000000-0005-0000-0000-0000045E0000}"/>
    <cellStyle name="Normal 2 17 8 2" xfId="24245" xr:uid="{00000000-0005-0000-0000-0000055E0000}"/>
    <cellStyle name="Normal 2 17 8 2 2" xfId="24246" xr:uid="{00000000-0005-0000-0000-0000065E0000}"/>
    <cellStyle name="Normal 2 17 8 2 2 2" xfId="24247" xr:uid="{00000000-0005-0000-0000-0000075E0000}"/>
    <cellStyle name="Normal 2 17 8 2 2 3" xfId="24248" xr:uid="{00000000-0005-0000-0000-0000085E0000}"/>
    <cellStyle name="Normal 2 17 8 2 3" xfId="24249" xr:uid="{00000000-0005-0000-0000-0000095E0000}"/>
    <cellStyle name="Normal 2 17 8 2 4" xfId="24250" xr:uid="{00000000-0005-0000-0000-00000A5E0000}"/>
    <cellStyle name="Normal 2 17 8 3" xfId="24251" xr:uid="{00000000-0005-0000-0000-00000B5E0000}"/>
    <cellStyle name="Normal 2 17 8 3 2" xfId="24252" xr:uid="{00000000-0005-0000-0000-00000C5E0000}"/>
    <cellStyle name="Normal 2 17 8 3 3" xfId="24253" xr:uid="{00000000-0005-0000-0000-00000D5E0000}"/>
    <cellStyle name="Normal 2 17 8 4" xfId="24254" xr:uid="{00000000-0005-0000-0000-00000E5E0000}"/>
    <cellStyle name="Normal 2 17 9" xfId="24255" xr:uid="{00000000-0005-0000-0000-00000F5E0000}"/>
    <cellStyle name="Normal 2 17 9 2" xfId="24256" xr:uid="{00000000-0005-0000-0000-0000105E0000}"/>
    <cellStyle name="Normal 2 17 9 2 2" xfId="24257" xr:uid="{00000000-0005-0000-0000-0000115E0000}"/>
    <cellStyle name="Normal 2 17 9 2 2 2" xfId="24258" xr:uid="{00000000-0005-0000-0000-0000125E0000}"/>
    <cellStyle name="Normal 2 17 9 2 2 3" xfId="24259" xr:uid="{00000000-0005-0000-0000-0000135E0000}"/>
    <cellStyle name="Normal 2 17 9 2 3" xfId="24260" xr:uid="{00000000-0005-0000-0000-0000145E0000}"/>
    <cellStyle name="Normal 2 17 9 2 4" xfId="24261" xr:uid="{00000000-0005-0000-0000-0000155E0000}"/>
    <cellStyle name="Normal 2 17 9 3" xfId="24262" xr:uid="{00000000-0005-0000-0000-0000165E0000}"/>
    <cellStyle name="Normal 2 17 9 3 2" xfId="24263" xr:uid="{00000000-0005-0000-0000-0000175E0000}"/>
    <cellStyle name="Normal 2 17 9 3 3" xfId="24264" xr:uid="{00000000-0005-0000-0000-0000185E0000}"/>
    <cellStyle name="Normal 2 17 9 4" xfId="24265" xr:uid="{00000000-0005-0000-0000-0000195E0000}"/>
    <cellStyle name="Normal 2 18" xfId="24266" xr:uid="{00000000-0005-0000-0000-00001A5E0000}"/>
    <cellStyle name="Normal 2 18 10" xfId="24267" xr:uid="{00000000-0005-0000-0000-00001B5E0000}"/>
    <cellStyle name="Normal 2 18 10 2" xfId="24268" xr:uid="{00000000-0005-0000-0000-00001C5E0000}"/>
    <cellStyle name="Normal 2 18 10 2 2" xfId="24269" xr:uid="{00000000-0005-0000-0000-00001D5E0000}"/>
    <cellStyle name="Normal 2 18 10 2 2 2" xfId="24270" xr:uid="{00000000-0005-0000-0000-00001E5E0000}"/>
    <cellStyle name="Normal 2 18 10 2 2 3" xfId="24271" xr:uid="{00000000-0005-0000-0000-00001F5E0000}"/>
    <cellStyle name="Normal 2 18 10 2 3" xfId="24272" xr:uid="{00000000-0005-0000-0000-0000205E0000}"/>
    <cellStyle name="Normal 2 18 10 2 4" xfId="24273" xr:uid="{00000000-0005-0000-0000-0000215E0000}"/>
    <cellStyle name="Normal 2 18 10 3" xfId="24274" xr:uid="{00000000-0005-0000-0000-0000225E0000}"/>
    <cellStyle name="Normal 2 18 10 3 2" xfId="24275" xr:uid="{00000000-0005-0000-0000-0000235E0000}"/>
    <cellStyle name="Normal 2 18 10 3 3" xfId="24276" xr:uid="{00000000-0005-0000-0000-0000245E0000}"/>
    <cellStyle name="Normal 2 18 10 4" xfId="24277" xr:uid="{00000000-0005-0000-0000-0000255E0000}"/>
    <cellStyle name="Normal 2 18 11" xfId="24278" xr:uid="{00000000-0005-0000-0000-0000265E0000}"/>
    <cellStyle name="Normal 2 18 11 2" xfId="24279" xr:uid="{00000000-0005-0000-0000-0000275E0000}"/>
    <cellStyle name="Normal 2 18 11 2 2" xfId="24280" xr:uid="{00000000-0005-0000-0000-0000285E0000}"/>
    <cellStyle name="Normal 2 18 11 2 2 2" xfId="24281" xr:uid="{00000000-0005-0000-0000-0000295E0000}"/>
    <cellStyle name="Normal 2 18 11 2 2 3" xfId="24282" xr:uid="{00000000-0005-0000-0000-00002A5E0000}"/>
    <cellStyle name="Normal 2 18 11 2 3" xfId="24283" xr:uid="{00000000-0005-0000-0000-00002B5E0000}"/>
    <cellStyle name="Normal 2 18 11 2 4" xfId="24284" xr:uid="{00000000-0005-0000-0000-00002C5E0000}"/>
    <cellStyle name="Normal 2 18 11 3" xfId="24285" xr:uid="{00000000-0005-0000-0000-00002D5E0000}"/>
    <cellStyle name="Normal 2 18 11 3 2" xfId="24286" xr:uid="{00000000-0005-0000-0000-00002E5E0000}"/>
    <cellStyle name="Normal 2 18 11 3 3" xfId="24287" xr:uid="{00000000-0005-0000-0000-00002F5E0000}"/>
    <cellStyle name="Normal 2 18 11 4" xfId="24288" xr:uid="{00000000-0005-0000-0000-0000305E0000}"/>
    <cellStyle name="Normal 2 18 12" xfId="24289" xr:uid="{00000000-0005-0000-0000-0000315E0000}"/>
    <cellStyle name="Normal 2 18 12 2" xfId="24290" xr:uid="{00000000-0005-0000-0000-0000325E0000}"/>
    <cellStyle name="Normal 2 18 12 2 2" xfId="24291" xr:uid="{00000000-0005-0000-0000-0000335E0000}"/>
    <cellStyle name="Normal 2 18 12 2 2 2" xfId="24292" xr:uid="{00000000-0005-0000-0000-0000345E0000}"/>
    <cellStyle name="Normal 2 18 12 2 2 3" xfId="24293" xr:uid="{00000000-0005-0000-0000-0000355E0000}"/>
    <cellStyle name="Normal 2 18 12 2 3" xfId="24294" xr:uid="{00000000-0005-0000-0000-0000365E0000}"/>
    <cellStyle name="Normal 2 18 12 2 4" xfId="24295" xr:uid="{00000000-0005-0000-0000-0000375E0000}"/>
    <cellStyle name="Normal 2 18 12 3" xfId="24296" xr:uid="{00000000-0005-0000-0000-0000385E0000}"/>
    <cellStyle name="Normal 2 18 12 3 2" xfId="24297" xr:uid="{00000000-0005-0000-0000-0000395E0000}"/>
    <cellStyle name="Normal 2 18 12 3 3" xfId="24298" xr:uid="{00000000-0005-0000-0000-00003A5E0000}"/>
    <cellStyle name="Normal 2 18 12 4" xfId="24299" xr:uid="{00000000-0005-0000-0000-00003B5E0000}"/>
    <cellStyle name="Normal 2 18 13" xfId="24300" xr:uid="{00000000-0005-0000-0000-00003C5E0000}"/>
    <cellStyle name="Normal 2 18 13 2" xfId="24301" xr:uid="{00000000-0005-0000-0000-00003D5E0000}"/>
    <cellStyle name="Normal 2 18 13 2 2" xfId="24302" xr:uid="{00000000-0005-0000-0000-00003E5E0000}"/>
    <cellStyle name="Normal 2 18 13 2 2 2" xfId="24303" xr:uid="{00000000-0005-0000-0000-00003F5E0000}"/>
    <cellStyle name="Normal 2 18 13 2 2 3" xfId="24304" xr:uid="{00000000-0005-0000-0000-0000405E0000}"/>
    <cellStyle name="Normal 2 18 13 2 3" xfId="24305" xr:uid="{00000000-0005-0000-0000-0000415E0000}"/>
    <cellStyle name="Normal 2 18 13 2 4" xfId="24306" xr:uid="{00000000-0005-0000-0000-0000425E0000}"/>
    <cellStyle name="Normal 2 18 13 3" xfId="24307" xr:uid="{00000000-0005-0000-0000-0000435E0000}"/>
    <cellStyle name="Normal 2 18 13 3 2" xfId="24308" xr:uid="{00000000-0005-0000-0000-0000445E0000}"/>
    <cellStyle name="Normal 2 18 13 3 3" xfId="24309" xr:uid="{00000000-0005-0000-0000-0000455E0000}"/>
    <cellStyle name="Normal 2 18 13 4" xfId="24310" xr:uid="{00000000-0005-0000-0000-0000465E0000}"/>
    <cellStyle name="Normal 2 18 14" xfId="24311" xr:uid="{00000000-0005-0000-0000-0000475E0000}"/>
    <cellStyle name="Normal 2 18 14 2" xfId="24312" xr:uid="{00000000-0005-0000-0000-0000485E0000}"/>
    <cellStyle name="Normal 2 18 14 2 2" xfId="24313" xr:uid="{00000000-0005-0000-0000-0000495E0000}"/>
    <cellStyle name="Normal 2 18 14 2 2 2" xfId="24314" xr:uid="{00000000-0005-0000-0000-00004A5E0000}"/>
    <cellStyle name="Normal 2 18 14 2 2 3" xfId="24315" xr:uid="{00000000-0005-0000-0000-00004B5E0000}"/>
    <cellStyle name="Normal 2 18 14 2 3" xfId="24316" xr:uid="{00000000-0005-0000-0000-00004C5E0000}"/>
    <cellStyle name="Normal 2 18 14 2 4" xfId="24317" xr:uid="{00000000-0005-0000-0000-00004D5E0000}"/>
    <cellStyle name="Normal 2 18 14 3" xfId="24318" xr:uid="{00000000-0005-0000-0000-00004E5E0000}"/>
    <cellStyle name="Normal 2 18 14 3 2" xfId="24319" xr:uid="{00000000-0005-0000-0000-00004F5E0000}"/>
    <cellStyle name="Normal 2 18 14 3 3" xfId="24320" xr:uid="{00000000-0005-0000-0000-0000505E0000}"/>
    <cellStyle name="Normal 2 18 14 4" xfId="24321" xr:uid="{00000000-0005-0000-0000-0000515E0000}"/>
    <cellStyle name="Normal 2 18 15" xfId="24322" xr:uid="{00000000-0005-0000-0000-0000525E0000}"/>
    <cellStyle name="Normal 2 18 15 2" xfId="24323" xr:uid="{00000000-0005-0000-0000-0000535E0000}"/>
    <cellStyle name="Normal 2 18 15 2 2" xfId="24324" xr:uid="{00000000-0005-0000-0000-0000545E0000}"/>
    <cellStyle name="Normal 2 18 15 2 2 2" xfId="24325" xr:uid="{00000000-0005-0000-0000-0000555E0000}"/>
    <cellStyle name="Normal 2 18 15 2 2 3" xfId="24326" xr:uid="{00000000-0005-0000-0000-0000565E0000}"/>
    <cellStyle name="Normal 2 18 15 2 3" xfId="24327" xr:uid="{00000000-0005-0000-0000-0000575E0000}"/>
    <cellStyle name="Normal 2 18 15 2 4" xfId="24328" xr:uid="{00000000-0005-0000-0000-0000585E0000}"/>
    <cellStyle name="Normal 2 18 15 3" xfId="24329" xr:uid="{00000000-0005-0000-0000-0000595E0000}"/>
    <cellStyle name="Normal 2 18 15 3 2" xfId="24330" xr:uid="{00000000-0005-0000-0000-00005A5E0000}"/>
    <cellStyle name="Normal 2 18 15 3 3" xfId="24331" xr:uid="{00000000-0005-0000-0000-00005B5E0000}"/>
    <cellStyle name="Normal 2 18 15 4" xfId="24332" xr:uid="{00000000-0005-0000-0000-00005C5E0000}"/>
    <cellStyle name="Normal 2 18 16" xfId="24333" xr:uid="{00000000-0005-0000-0000-00005D5E0000}"/>
    <cellStyle name="Normal 2 18 16 2" xfId="24334" xr:uid="{00000000-0005-0000-0000-00005E5E0000}"/>
    <cellStyle name="Normal 2 18 16 2 2" xfId="24335" xr:uid="{00000000-0005-0000-0000-00005F5E0000}"/>
    <cellStyle name="Normal 2 18 16 2 2 2" xfId="24336" xr:uid="{00000000-0005-0000-0000-0000605E0000}"/>
    <cellStyle name="Normal 2 18 16 2 2 3" xfId="24337" xr:uid="{00000000-0005-0000-0000-0000615E0000}"/>
    <cellStyle name="Normal 2 18 16 2 3" xfId="24338" xr:uid="{00000000-0005-0000-0000-0000625E0000}"/>
    <cellStyle name="Normal 2 18 16 2 4" xfId="24339" xr:uid="{00000000-0005-0000-0000-0000635E0000}"/>
    <cellStyle name="Normal 2 18 16 3" xfId="24340" xr:uid="{00000000-0005-0000-0000-0000645E0000}"/>
    <cellStyle name="Normal 2 18 16 3 2" xfId="24341" xr:uid="{00000000-0005-0000-0000-0000655E0000}"/>
    <cellStyle name="Normal 2 18 16 3 3" xfId="24342" xr:uid="{00000000-0005-0000-0000-0000665E0000}"/>
    <cellStyle name="Normal 2 18 16 4" xfId="24343" xr:uid="{00000000-0005-0000-0000-0000675E0000}"/>
    <cellStyle name="Normal 2 18 17" xfId="24344" xr:uid="{00000000-0005-0000-0000-0000685E0000}"/>
    <cellStyle name="Normal 2 18 17 2" xfId="24345" xr:uid="{00000000-0005-0000-0000-0000695E0000}"/>
    <cellStyle name="Normal 2 18 17 2 2" xfId="24346" xr:uid="{00000000-0005-0000-0000-00006A5E0000}"/>
    <cellStyle name="Normal 2 18 17 2 2 2" xfId="24347" xr:uid="{00000000-0005-0000-0000-00006B5E0000}"/>
    <cellStyle name="Normal 2 18 17 2 2 3" xfId="24348" xr:uid="{00000000-0005-0000-0000-00006C5E0000}"/>
    <cellStyle name="Normal 2 18 17 2 3" xfId="24349" xr:uid="{00000000-0005-0000-0000-00006D5E0000}"/>
    <cellStyle name="Normal 2 18 17 2 4" xfId="24350" xr:uid="{00000000-0005-0000-0000-00006E5E0000}"/>
    <cellStyle name="Normal 2 18 17 3" xfId="24351" xr:uid="{00000000-0005-0000-0000-00006F5E0000}"/>
    <cellStyle name="Normal 2 18 17 3 2" xfId="24352" xr:uid="{00000000-0005-0000-0000-0000705E0000}"/>
    <cellStyle name="Normal 2 18 17 3 3" xfId="24353" xr:uid="{00000000-0005-0000-0000-0000715E0000}"/>
    <cellStyle name="Normal 2 18 17 4" xfId="24354" xr:uid="{00000000-0005-0000-0000-0000725E0000}"/>
    <cellStyle name="Normal 2 18 18" xfId="24355" xr:uid="{00000000-0005-0000-0000-0000735E0000}"/>
    <cellStyle name="Normal 2 18 18 2" xfId="24356" xr:uid="{00000000-0005-0000-0000-0000745E0000}"/>
    <cellStyle name="Normal 2 18 18 2 2" xfId="24357" xr:uid="{00000000-0005-0000-0000-0000755E0000}"/>
    <cellStyle name="Normal 2 18 18 2 2 2" xfId="24358" xr:uid="{00000000-0005-0000-0000-0000765E0000}"/>
    <cellStyle name="Normal 2 18 18 2 2 3" xfId="24359" xr:uid="{00000000-0005-0000-0000-0000775E0000}"/>
    <cellStyle name="Normal 2 18 18 2 3" xfId="24360" xr:uid="{00000000-0005-0000-0000-0000785E0000}"/>
    <cellStyle name="Normal 2 18 18 2 4" xfId="24361" xr:uid="{00000000-0005-0000-0000-0000795E0000}"/>
    <cellStyle name="Normal 2 18 18 3" xfId="24362" xr:uid="{00000000-0005-0000-0000-00007A5E0000}"/>
    <cellStyle name="Normal 2 18 18 3 2" xfId="24363" xr:uid="{00000000-0005-0000-0000-00007B5E0000}"/>
    <cellStyle name="Normal 2 18 18 3 3" xfId="24364" xr:uid="{00000000-0005-0000-0000-00007C5E0000}"/>
    <cellStyle name="Normal 2 18 18 4" xfId="24365" xr:uid="{00000000-0005-0000-0000-00007D5E0000}"/>
    <cellStyle name="Normal 2 18 19" xfId="24366" xr:uid="{00000000-0005-0000-0000-00007E5E0000}"/>
    <cellStyle name="Normal 2 18 19 2" xfId="24367" xr:uid="{00000000-0005-0000-0000-00007F5E0000}"/>
    <cellStyle name="Normal 2 18 19 2 2" xfId="24368" xr:uid="{00000000-0005-0000-0000-0000805E0000}"/>
    <cellStyle name="Normal 2 18 19 2 2 2" xfId="24369" xr:uid="{00000000-0005-0000-0000-0000815E0000}"/>
    <cellStyle name="Normal 2 18 19 2 2 3" xfId="24370" xr:uid="{00000000-0005-0000-0000-0000825E0000}"/>
    <cellStyle name="Normal 2 18 19 2 3" xfId="24371" xr:uid="{00000000-0005-0000-0000-0000835E0000}"/>
    <cellStyle name="Normal 2 18 19 2 4" xfId="24372" xr:uid="{00000000-0005-0000-0000-0000845E0000}"/>
    <cellStyle name="Normal 2 18 19 3" xfId="24373" xr:uid="{00000000-0005-0000-0000-0000855E0000}"/>
    <cellStyle name="Normal 2 18 19 3 2" xfId="24374" xr:uid="{00000000-0005-0000-0000-0000865E0000}"/>
    <cellStyle name="Normal 2 18 19 3 3" xfId="24375" xr:uid="{00000000-0005-0000-0000-0000875E0000}"/>
    <cellStyle name="Normal 2 18 19 4" xfId="24376" xr:uid="{00000000-0005-0000-0000-0000885E0000}"/>
    <cellStyle name="Normal 2 18 2" xfId="24377" xr:uid="{00000000-0005-0000-0000-0000895E0000}"/>
    <cellStyle name="Normal 2 18 2 2" xfId="24378" xr:uid="{00000000-0005-0000-0000-00008A5E0000}"/>
    <cellStyle name="Normal 2 18 2 2 2" xfId="24379" xr:uid="{00000000-0005-0000-0000-00008B5E0000}"/>
    <cellStyle name="Normal 2 18 2 2 2 2" xfId="24380" xr:uid="{00000000-0005-0000-0000-00008C5E0000}"/>
    <cellStyle name="Normal 2 18 2 2 2 3" xfId="24381" xr:uid="{00000000-0005-0000-0000-00008D5E0000}"/>
    <cellStyle name="Normal 2 18 2 2 3" xfId="24382" xr:uid="{00000000-0005-0000-0000-00008E5E0000}"/>
    <cellStyle name="Normal 2 18 2 2 4" xfId="24383" xr:uid="{00000000-0005-0000-0000-00008F5E0000}"/>
    <cellStyle name="Normal 2 18 2 3" xfId="24384" xr:uid="{00000000-0005-0000-0000-0000905E0000}"/>
    <cellStyle name="Normal 2 18 2 3 2" xfId="24385" xr:uid="{00000000-0005-0000-0000-0000915E0000}"/>
    <cellStyle name="Normal 2 18 2 3 3" xfId="24386" xr:uid="{00000000-0005-0000-0000-0000925E0000}"/>
    <cellStyle name="Normal 2 18 2 4" xfId="24387" xr:uid="{00000000-0005-0000-0000-0000935E0000}"/>
    <cellStyle name="Normal 2 18 20" xfId="24388" xr:uid="{00000000-0005-0000-0000-0000945E0000}"/>
    <cellStyle name="Normal 2 18 20 2" xfId="24389" xr:uid="{00000000-0005-0000-0000-0000955E0000}"/>
    <cellStyle name="Normal 2 18 20 2 2" xfId="24390" xr:uid="{00000000-0005-0000-0000-0000965E0000}"/>
    <cellStyle name="Normal 2 18 20 2 2 2" xfId="24391" xr:uid="{00000000-0005-0000-0000-0000975E0000}"/>
    <cellStyle name="Normal 2 18 20 2 2 3" xfId="24392" xr:uid="{00000000-0005-0000-0000-0000985E0000}"/>
    <cellStyle name="Normal 2 18 20 2 3" xfId="24393" xr:uid="{00000000-0005-0000-0000-0000995E0000}"/>
    <cellStyle name="Normal 2 18 20 2 4" xfId="24394" xr:uid="{00000000-0005-0000-0000-00009A5E0000}"/>
    <cellStyle name="Normal 2 18 20 3" xfId="24395" xr:uid="{00000000-0005-0000-0000-00009B5E0000}"/>
    <cellStyle name="Normal 2 18 20 3 2" xfId="24396" xr:uid="{00000000-0005-0000-0000-00009C5E0000}"/>
    <cellStyle name="Normal 2 18 20 3 3" xfId="24397" xr:uid="{00000000-0005-0000-0000-00009D5E0000}"/>
    <cellStyle name="Normal 2 18 20 4" xfId="24398" xr:uid="{00000000-0005-0000-0000-00009E5E0000}"/>
    <cellStyle name="Normal 2 18 21" xfId="24399" xr:uid="{00000000-0005-0000-0000-00009F5E0000}"/>
    <cellStyle name="Normal 2 18 21 2" xfId="24400" xr:uid="{00000000-0005-0000-0000-0000A05E0000}"/>
    <cellStyle name="Normal 2 18 21 2 2" xfId="24401" xr:uid="{00000000-0005-0000-0000-0000A15E0000}"/>
    <cellStyle name="Normal 2 18 21 2 2 2" xfId="24402" xr:uid="{00000000-0005-0000-0000-0000A25E0000}"/>
    <cellStyle name="Normal 2 18 21 2 2 3" xfId="24403" xr:uid="{00000000-0005-0000-0000-0000A35E0000}"/>
    <cellStyle name="Normal 2 18 21 2 3" xfId="24404" xr:uid="{00000000-0005-0000-0000-0000A45E0000}"/>
    <cellStyle name="Normal 2 18 21 2 4" xfId="24405" xr:uid="{00000000-0005-0000-0000-0000A55E0000}"/>
    <cellStyle name="Normal 2 18 21 3" xfId="24406" xr:uid="{00000000-0005-0000-0000-0000A65E0000}"/>
    <cellStyle name="Normal 2 18 21 3 2" xfId="24407" xr:uid="{00000000-0005-0000-0000-0000A75E0000}"/>
    <cellStyle name="Normal 2 18 21 3 3" xfId="24408" xr:uid="{00000000-0005-0000-0000-0000A85E0000}"/>
    <cellStyle name="Normal 2 18 21 4" xfId="24409" xr:uid="{00000000-0005-0000-0000-0000A95E0000}"/>
    <cellStyle name="Normal 2 18 22" xfId="24410" xr:uid="{00000000-0005-0000-0000-0000AA5E0000}"/>
    <cellStyle name="Normal 2 18 22 2" xfId="24411" xr:uid="{00000000-0005-0000-0000-0000AB5E0000}"/>
    <cellStyle name="Normal 2 18 22 2 2" xfId="24412" xr:uid="{00000000-0005-0000-0000-0000AC5E0000}"/>
    <cellStyle name="Normal 2 18 22 2 2 2" xfId="24413" xr:uid="{00000000-0005-0000-0000-0000AD5E0000}"/>
    <cellStyle name="Normal 2 18 22 2 2 3" xfId="24414" xr:uid="{00000000-0005-0000-0000-0000AE5E0000}"/>
    <cellStyle name="Normal 2 18 22 2 3" xfId="24415" xr:uid="{00000000-0005-0000-0000-0000AF5E0000}"/>
    <cellStyle name="Normal 2 18 22 2 4" xfId="24416" xr:uid="{00000000-0005-0000-0000-0000B05E0000}"/>
    <cellStyle name="Normal 2 18 22 3" xfId="24417" xr:uid="{00000000-0005-0000-0000-0000B15E0000}"/>
    <cellStyle name="Normal 2 18 22 3 2" xfId="24418" xr:uid="{00000000-0005-0000-0000-0000B25E0000}"/>
    <cellStyle name="Normal 2 18 22 3 3" xfId="24419" xr:uid="{00000000-0005-0000-0000-0000B35E0000}"/>
    <cellStyle name="Normal 2 18 22 4" xfId="24420" xr:uid="{00000000-0005-0000-0000-0000B45E0000}"/>
    <cellStyle name="Normal 2 18 23" xfId="24421" xr:uid="{00000000-0005-0000-0000-0000B55E0000}"/>
    <cellStyle name="Normal 2 18 23 2" xfId="24422" xr:uid="{00000000-0005-0000-0000-0000B65E0000}"/>
    <cellStyle name="Normal 2 18 23 2 2" xfId="24423" xr:uid="{00000000-0005-0000-0000-0000B75E0000}"/>
    <cellStyle name="Normal 2 18 23 2 2 2" xfId="24424" xr:uid="{00000000-0005-0000-0000-0000B85E0000}"/>
    <cellStyle name="Normal 2 18 23 2 2 3" xfId="24425" xr:uid="{00000000-0005-0000-0000-0000B95E0000}"/>
    <cellStyle name="Normal 2 18 23 2 3" xfId="24426" xr:uid="{00000000-0005-0000-0000-0000BA5E0000}"/>
    <cellStyle name="Normal 2 18 23 2 4" xfId="24427" xr:uid="{00000000-0005-0000-0000-0000BB5E0000}"/>
    <cellStyle name="Normal 2 18 23 3" xfId="24428" xr:uid="{00000000-0005-0000-0000-0000BC5E0000}"/>
    <cellStyle name="Normal 2 18 23 3 2" xfId="24429" xr:uid="{00000000-0005-0000-0000-0000BD5E0000}"/>
    <cellStyle name="Normal 2 18 23 3 3" xfId="24430" xr:uid="{00000000-0005-0000-0000-0000BE5E0000}"/>
    <cellStyle name="Normal 2 18 23 4" xfId="24431" xr:uid="{00000000-0005-0000-0000-0000BF5E0000}"/>
    <cellStyle name="Normal 2 18 24" xfId="24432" xr:uid="{00000000-0005-0000-0000-0000C05E0000}"/>
    <cellStyle name="Normal 2 18 24 2" xfId="24433" xr:uid="{00000000-0005-0000-0000-0000C15E0000}"/>
    <cellStyle name="Normal 2 18 24 2 2" xfId="24434" xr:uid="{00000000-0005-0000-0000-0000C25E0000}"/>
    <cellStyle name="Normal 2 18 24 2 3" xfId="24435" xr:uid="{00000000-0005-0000-0000-0000C35E0000}"/>
    <cellStyle name="Normal 2 18 24 3" xfId="24436" xr:uid="{00000000-0005-0000-0000-0000C45E0000}"/>
    <cellStyle name="Normal 2 18 24 4" xfId="24437" xr:uid="{00000000-0005-0000-0000-0000C55E0000}"/>
    <cellStyle name="Normal 2 18 25" xfId="24438" xr:uid="{00000000-0005-0000-0000-0000C65E0000}"/>
    <cellStyle name="Normal 2 18 25 2" xfId="24439" xr:uid="{00000000-0005-0000-0000-0000C75E0000}"/>
    <cellStyle name="Normal 2 18 25 3" xfId="24440" xr:uid="{00000000-0005-0000-0000-0000C85E0000}"/>
    <cellStyle name="Normal 2 18 26" xfId="24441" xr:uid="{00000000-0005-0000-0000-0000C95E0000}"/>
    <cellStyle name="Normal 2 18 3" xfId="24442" xr:uid="{00000000-0005-0000-0000-0000CA5E0000}"/>
    <cellStyle name="Normal 2 18 3 2" xfId="24443" xr:uid="{00000000-0005-0000-0000-0000CB5E0000}"/>
    <cellStyle name="Normal 2 18 3 2 2" xfId="24444" xr:uid="{00000000-0005-0000-0000-0000CC5E0000}"/>
    <cellStyle name="Normal 2 18 3 2 2 2" xfId="24445" xr:uid="{00000000-0005-0000-0000-0000CD5E0000}"/>
    <cellStyle name="Normal 2 18 3 2 2 3" xfId="24446" xr:uid="{00000000-0005-0000-0000-0000CE5E0000}"/>
    <cellStyle name="Normal 2 18 3 2 3" xfId="24447" xr:uid="{00000000-0005-0000-0000-0000CF5E0000}"/>
    <cellStyle name="Normal 2 18 3 2 4" xfId="24448" xr:uid="{00000000-0005-0000-0000-0000D05E0000}"/>
    <cellStyle name="Normal 2 18 3 3" xfId="24449" xr:uid="{00000000-0005-0000-0000-0000D15E0000}"/>
    <cellStyle name="Normal 2 18 3 3 2" xfId="24450" xr:uid="{00000000-0005-0000-0000-0000D25E0000}"/>
    <cellStyle name="Normal 2 18 3 3 3" xfId="24451" xr:uid="{00000000-0005-0000-0000-0000D35E0000}"/>
    <cellStyle name="Normal 2 18 3 4" xfId="24452" xr:uid="{00000000-0005-0000-0000-0000D45E0000}"/>
    <cellStyle name="Normal 2 18 4" xfId="24453" xr:uid="{00000000-0005-0000-0000-0000D55E0000}"/>
    <cellStyle name="Normal 2 18 4 2" xfId="24454" xr:uid="{00000000-0005-0000-0000-0000D65E0000}"/>
    <cellStyle name="Normal 2 18 4 2 2" xfId="24455" xr:uid="{00000000-0005-0000-0000-0000D75E0000}"/>
    <cellStyle name="Normal 2 18 4 2 2 2" xfId="24456" xr:uid="{00000000-0005-0000-0000-0000D85E0000}"/>
    <cellStyle name="Normal 2 18 4 2 2 3" xfId="24457" xr:uid="{00000000-0005-0000-0000-0000D95E0000}"/>
    <cellStyle name="Normal 2 18 4 2 3" xfId="24458" xr:uid="{00000000-0005-0000-0000-0000DA5E0000}"/>
    <cellStyle name="Normal 2 18 4 2 4" xfId="24459" xr:uid="{00000000-0005-0000-0000-0000DB5E0000}"/>
    <cellStyle name="Normal 2 18 4 3" xfId="24460" xr:uid="{00000000-0005-0000-0000-0000DC5E0000}"/>
    <cellStyle name="Normal 2 18 4 3 2" xfId="24461" xr:uid="{00000000-0005-0000-0000-0000DD5E0000}"/>
    <cellStyle name="Normal 2 18 4 3 3" xfId="24462" xr:uid="{00000000-0005-0000-0000-0000DE5E0000}"/>
    <cellStyle name="Normal 2 18 4 4" xfId="24463" xr:uid="{00000000-0005-0000-0000-0000DF5E0000}"/>
    <cellStyle name="Normal 2 18 5" xfId="24464" xr:uid="{00000000-0005-0000-0000-0000E05E0000}"/>
    <cellStyle name="Normal 2 18 5 2" xfId="24465" xr:uid="{00000000-0005-0000-0000-0000E15E0000}"/>
    <cellStyle name="Normal 2 18 5 2 2" xfId="24466" xr:uid="{00000000-0005-0000-0000-0000E25E0000}"/>
    <cellStyle name="Normal 2 18 5 2 2 2" xfId="24467" xr:uid="{00000000-0005-0000-0000-0000E35E0000}"/>
    <cellStyle name="Normal 2 18 5 2 2 3" xfId="24468" xr:uid="{00000000-0005-0000-0000-0000E45E0000}"/>
    <cellStyle name="Normal 2 18 5 2 3" xfId="24469" xr:uid="{00000000-0005-0000-0000-0000E55E0000}"/>
    <cellStyle name="Normal 2 18 5 2 4" xfId="24470" xr:uid="{00000000-0005-0000-0000-0000E65E0000}"/>
    <cellStyle name="Normal 2 18 5 3" xfId="24471" xr:uid="{00000000-0005-0000-0000-0000E75E0000}"/>
    <cellStyle name="Normal 2 18 5 3 2" xfId="24472" xr:uid="{00000000-0005-0000-0000-0000E85E0000}"/>
    <cellStyle name="Normal 2 18 5 3 3" xfId="24473" xr:uid="{00000000-0005-0000-0000-0000E95E0000}"/>
    <cellStyle name="Normal 2 18 5 4" xfId="24474" xr:uid="{00000000-0005-0000-0000-0000EA5E0000}"/>
    <cellStyle name="Normal 2 18 6" xfId="24475" xr:uid="{00000000-0005-0000-0000-0000EB5E0000}"/>
    <cellStyle name="Normal 2 18 6 2" xfId="24476" xr:uid="{00000000-0005-0000-0000-0000EC5E0000}"/>
    <cellStyle name="Normal 2 18 6 2 2" xfId="24477" xr:uid="{00000000-0005-0000-0000-0000ED5E0000}"/>
    <cellStyle name="Normal 2 18 6 2 2 2" xfId="24478" xr:uid="{00000000-0005-0000-0000-0000EE5E0000}"/>
    <cellStyle name="Normal 2 18 6 2 2 3" xfId="24479" xr:uid="{00000000-0005-0000-0000-0000EF5E0000}"/>
    <cellStyle name="Normal 2 18 6 2 3" xfId="24480" xr:uid="{00000000-0005-0000-0000-0000F05E0000}"/>
    <cellStyle name="Normal 2 18 6 2 4" xfId="24481" xr:uid="{00000000-0005-0000-0000-0000F15E0000}"/>
    <cellStyle name="Normal 2 18 6 3" xfId="24482" xr:uid="{00000000-0005-0000-0000-0000F25E0000}"/>
    <cellStyle name="Normal 2 18 6 3 2" xfId="24483" xr:uid="{00000000-0005-0000-0000-0000F35E0000}"/>
    <cellStyle name="Normal 2 18 6 3 3" xfId="24484" xr:uid="{00000000-0005-0000-0000-0000F45E0000}"/>
    <cellStyle name="Normal 2 18 6 4" xfId="24485" xr:uid="{00000000-0005-0000-0000-0000F55E0000}"/>
    <cellStyle name="Normal 2 18 7" xfId="24486" xr:uid="{00000000-0005-0000-0000-0000F65E0000}"/>
    <cellStyle name="Normal 2 18 7 2" xfId="24487" xr:uid="{00000000-0005-0000-0000-0000F75E0000}"/>
    <cellStyle name="Normal 2 18 7 2 2" xfId="24488" xr:uid="{00000000-0005-0000-0000-0000F85E0000}"/>
    <cellStyle name="Normal 2 18 7 2 2 2" xfId="24489" xr:uid="{00000000-0005-0000-0000-0000F95E0000}"/>
    <cellStyle name="Normal 2 18 7 2 2 3" xfId="24490" xr:uid="{00000000-0005-0000-0000-0000FA5E0000}"/>
    <cellStyle name="Normal 2 18 7 2 3" xfId="24491" xr:uid="{00000000-0005-0000-0000-0000FB5E0000}"/>
    <cellStyle name="Normal 2 18 7 2 4" xfId="24492" xr:uid="{00000000-0005-0000-0000-0000FC5E0000}"/>
    <cellStyle name="Normal 2 18 7 3" xfId="24493" xr:uid="{00000000-0005-0000-0000-0000FD5E0000}"/>
    <cellStyle name="Normal 2 18 7 3 2" xfId="24494" xr:uid="{00000000-0005-0000-0000-0000FE5E0000}"/>
    <cellStyle name="Normal 2 18 7 3 3" xfId="24495" xr:uid="{00000000-0005-0000-0000-0000FF5E0000}"/>
    <cellStyle name="Normal 2 18 7 4" xfId="24496" xr:uid="{00000000-0005-0000-0000-0000005F0000}"/>
    <cellStyle name="Normal 2 18 8" xfId="24497" xr:uid="{00000000-0005-0000-0000-0000015F0000}"/>
    <cellStyle name="Normal 2 18 8 2" xfId="24498" xr:uid="{00000000-0005-0000-0000-0000025F0000}"/>
    <cellStyle name="Normal 2 18 8 2 2" xfId="24499" xr:uid="{00000000-0005-0000-0000-0000035F0000}"/>
    <cellStyle name="Normal 2 18 8 2 2 2" xfId="24500" xr:uid="{00000000-0005-0000-0000-0000045F0000}"/>
    <cellStyle name="Normal 2 18 8 2 2 3" xfId="24501" xr:uid="{00000000-0005-0000-0000-0000055F0000}"/>
    <cellStyle name="Normal 2 18 8 2 3" xfId="24502" xr:uid="{00000000-0005-0000-0000-0000065F0000}"/>
    <cellStyle name="Normal 2 18 8 2 4" xfId="24503" xr:uid="{00000000-0005-0000-0000-0000075F0000}"/>
    <cellStyle name="Normal 2 18 8 3" xfId="24504" xr:uid="{00000000-0005-0000-0000-0000085F0000}"/>
    <cellStyle name="Normal 2 18 8 3 2" xfId="24505" xr:uid="{00000000-0005-0000-0000-0000095F0000}"/>
    <cellStyle name="Normal 2 18 8 3 3" xfId="24506" xr:uid="{00000000-0005-0000-0000-00000A5F0000}"/>
    <cellStyle name="Normal 2 18 8 4" xfId="24507" xr:uid="{00000000-0005-0000-0000-00000B5F0000}"/>
    <cellStyle name="Normal 2 18 9" xfId="24508" xr:uid="{00000000-0005-0000-0000-00000C5F0000}"/>
    <cellStyle name="Normal 2 18 9 2" xfId="24509" xr:uid="{00000000-0005-0000-0000-00000D5F0000}"/>
    <cellStyle name="Normal 2 18 9 2 2" xfId="24510" xr:uid="{00000000-0005-0000-0000-00000E5F0000}"/>
    <cellStyle name="Normal 2 18 9 2 2 2" xfId="24511" xr:uid="{00000000-0005-0000-0000-00000F5F0000}"/>
    <cellStyle name="Normal 2 18 9 2 2 3" xfId="24512" xr:uid="{00000000-0005-0000-0000-0000105F0000}"/>
    <cellStyle name="Normal 2 18 9 2 3" xfId="24513" xr:uid="{00000000-0005-0000-0000-0000115F0000}"/>
    <cellStyle name="Normal 2 18 9 2 4" xfId="24514" xr:uid="{00000000-0005-0000-0000-0000125F0000}"/>
    <cellStyle name="Normal 2 18 9 3" xfId="24515" xr:uid="{00000000-0005-0000-0000-0000135F0000}"/>
    <cellStyle name="Normal 2 18 9 3 2" xfId="24516" xr:uid="{00000000-0005-0000-0000-0000145F0000}"/>
    <cellStyle name="Normal 2 18 9 3 3" xfId="24517" xr:uid="{00000000-0005-0000-0000-0000155F0000}"/>
    <cellStyle name="Normal 2 18 9 4" xfId="24518" xr:uid="{00000000-0005-0000-0000-0000165F0000}"/>
    <cellStyle name="Normal 2 19" xfId="24519" xr:uid="{00000000-0005-0000-0000-0000175F0000}"/>
    <cellStyle name="Normal 2 19 10" xfId="24520" xr:uid="{00000000-0005-0000-0000-0000185F0000}"/>
    <cellStyle name="Normal 2 19 10 2" xfId="24521" xr:uid="{00000000-0005-0000-0000-0000195F0000}"/>
    <cellStyle name="Normal 2 19 10 2 2" xfId="24522" xr:uid="{00000000-0005-0000-0000-00001A5F0000}"/>
    <cellStyle name="Normal 2 19 10 2 2 2" xfId="24523" xr:uid="{00000000-0005-0000-0000-00001B5F0000}"/>
    <cellStyle name="Normal 2 19 10 2 2 3" xfId="24524" xr:uid="{00000000-0005-0000-0000-00001C5F0000}"/>
    <cellStyle name="Normal 2 19 10 2 3" xfId="24525" xr:uid="{00000000-0005-0000-0000-00001D5F0000}"/>
    <cellStyle name="Normal 2 19 10 2 4" xfId="24526" xr:uid="{00000000-0005-0000-0000-00001E5F0000}"/>
    <cellStyle name="Normal 2 19 10 3" xfId="24527" xr:uid="{00000000-0005-0000-0000-00001F5F0000}"/>
    <cellStyle name="Normal 2 19 10 3 2" xfId="24528" xr:uid="{00000000-0005-0000-0000-0000205F0000}"/>
    <cellStyle name="Normal 2 19 10 3 3" xfId="24529" xr:uid="{00000000-0005-0000-0000-0000215F0000}"/>
    <cellStyle name="Normal 2 19 10 4" xfId="24530" xr:uid="{00000000-0005-0000-0000-0000225F0000}"/>
    <cellStyle name="Normal 2 19 11" xfId="24531" xr:uid="{00000000-0005-0000-0000-0000235F0000}"/>
    <cellStyle name="Normal 2 19 11 2" xfId="24532" xr:uid="{00000000-0005-0000-0000-0000245F0000}"/>
    <cellStyle name="Normal 2 19 11 2 2" xfId="24533" xr:uid="{00000000-0005-0000-0000-0000255F0000}"/>
    <cellStyle name="Normal 2 19 11 2 2 2" xfId="24534" xr:uid="{00000000-0005-0000-0000-0000265F0000}"/>
    <cellStyle name="Normal 2 19 11 2 2 3" xfId="24535" xr:uid="{00000000-0005-0000-0000-0000275F0000}"/>
    <cellStyle name="Normal 2 19 11 2 3" xfId="24536" xr:uid="{00000000-0005-0000-0000-0000285F0000}"/>
    <cellStyle name="Normal 2 19 11 2 4" xfId="24537" xr:uid="{00000000-0005-0000-0000-0000295F0000}"/>
    <cellStyle name="Normal 2 19 11 3" xfId="24538" xr:uid="{00000000-0005-0000-0000-00002A5F0000}"/>
    <cellStyle name="Normal 2 19 11 3 2" xfId="24539" xr:uid="{00000000-0005-0000-0000-00002B5F0000}"/>
    <cellStyle name="Normal 2 19 11 3 3" xfId="24540" xr:uid="{00000000-0005-0000-0000-00002C5F0000}"/>
    <cellStyle name="Normal 2 19 11 4" xfId="24541" xr:uid="{00000000-0005-0000-0000-00002D5F0000}"/>
    <cellStyle name="Normal 2 19 12" xfId="24542" xr:uid="{00000000-0005-0000-0000-00002E5F0000}"/>
    <cellStyle name="Normal 2 19 12 2" xfId="24543" xr:uid="{00000000-0005-0000-0000-00002F5F0000}"/>
    <cellStyle name="Normal 2 19 12 2 2" xfId="24544" xr:uid="{00000000-0005-0000-0000-0000305F0000}"/>
    <cellStyle name="Normal 2 19 12 2 2 2" xfId="24545" xr:uid="{00000000-0005-0000-0000-0000315F0000}"/>
    <cellStyle name="Normal 2 19 12 2 2 3" xfId="24546" xr:uid="{00000000-0005-0000-0000-0000325F0000}"/>
    <cellStyle name="Normal 2 19 12 2 3" xfId="24547" xr:uid="{00000000-0005-0000-0000-0000335F0000}"/>
    <cellStyle name="Normal 2 19 12 2 4" xfId="24548" xr:uid="{00000000-0005-0000-0000-0000345F0000}"/>
    <cellStyle name="Normal 2 19 12 3" xfId="24549" xr:uid="{00000000-0005-0000-0000-0000355F0000}"/>
    <cellStyle name="Normal 2 19 12 3 2" xfId="24550" xr:uid="{00000000-0005-0000-0000-0000365F0000}"/>
    <cellStyle name="Normal 2 19 12 3 3" xfId="24551" xr:uid="{00000000-0005-0000-0000-0000375F0000}"/>
    <cellStyle name="Normal 2 19 12 4" xfId="24552" xr:uid="{00000000-0005-0000-0000-0000385F0000}"/>
    <cellStyle name="Normal 2 19 13" xfId="24553" xr:uid="{00000000-0005-0000-0000-0000395F0000}"/>
    <cellStyle name="Normal 2 19 13 2" xfId="24554" xr:uid="{00000000-0005-0000-0000-00003A5F0000}"/>
    <cellStyle name="Normal 2 19 13 2 2" xfId="24555" xr:uid="{00000000-0005-0000-0000-00003B5F0000}"/>
    <cellStyle name="Normal 2 19 13 2 2 2" xfId="24556" xr:uid="{00000000-0005-0000-0000-00003C5F0000}"/>
    <cellStyle name="Normal 2 19 13 2 2 3" xfId="24557" xr:uid="{00000000-0005-0000-0000-00003D5F0000}"/>
    <cellStyle name="Normal 2 19 13 2 3" xfId="24558" xr:uid="{00000000-0005-0000-0000-00003E5F0000}"/>
    <cellStyle name="Normal 2 19 13 2 4" xfId="24559" xr:uid="{00000000-0005-0000-0000-00003F5F0000}"/>
    <cellStyle name="Normal 2 19 13 3" xfId="24560" xr:uid="{00000000-0005-0000-0000-0000405F0000}"/>
    <cellStyle name="Normal 2 19 13 3 2" xfId="24561" xr:uid="{00000000-0005-0000-0000-0000415F0000}"/>
    <cellStyle name="Normal 2 19 13 3 3" xfId="24562" xr:uid="{00000000-0005-0000-0000-0000425F0000}"/>
    <cellStyle name="Normal 2 19 13 4" xfId="24563" xr:uid="{00000000-0005-0000-0000-0000435F0000}"/>
    <cellStyle name="Normal 2 19 14" xfId="24564" xr:uid="{00000000-0005-0000-0000-0000445F0000}"/>
    <cellStyle name="Normal 2 19 14 2" xfId="24565" xr:uid="{00000000-0005-0000-0000-0000455F0000}"/>
    <cellStyle name="Normal 2 19 14 2 2" xfId="24566" xr:uid="{00000000-0005-0000-0000-0000465F0000}"/>
    <cellStyle name="Normal 2 19 14 2 2 2" xfId="24567" xr:uid="{00000000-0005-0000-0000-0000475F0000}"/>
    <cellStyle name="Normal 2 19 14 2 2 3" xfId="24568" xr:uid="{00000000-0005-0000-0000-0000485F0000}"/>
    <cellStyle name="Normal 2 19 14 2 3" xfId="24569" xr:uid="{00000000-0005-0000-0000-0000495F0000}"/>
    <cellStyle name="Normal 2 19 14 2 4" xfId="24570" xr:uid="{00000000-0005-0000-0000-00004A5F0000}"/>
    <cellStyle name="Normal 2 19 14 3" xfId="24571" xr:uid="{00000000-0005-0000-0000-00004B5F0000}"/>
    <cellStyle name="Normal 2 19 14 3 2" xfId="24572" xr:uid="{00000000-0005-0000-0000-00004C5F0000}"/>
    <cellStyle name="Normal 2 19 14 3 3" xfId="24573" xr:uid="{00000000-0005-0000-0000-00004D5F0000}"/>
    <cellStyle name="Normal 2 19 14 4" xfId="24574" xr:uid="{00000000-0005-0000-0000-00004E5F0000}"/>
    <cellStyle name="Normal 2 19 15" xfId="24575" xr:uid="{00000000-0005-0000-0000-00004F5F0000}"/>
    <cellStyle name="Normal 2 19 15 2" xfId="24576" xr:uid="{00000000-0005-0000-0000-0000505F0000}"/>
    <cellStyle name="Normal 2 19 15 2 2" xfId="24577" xr:uid="{00000000-0005-0000-0000-0000515F0000}"/>
    <cellStyle name="Normal 2 19 15 2 2 2" xfId="24578" xr:uid="{00000000-0005-0000-0000-0000525F0000}"/>
    <cellStyle name="Normal 2 19 15 2 2 3" xfId="24579" xr:uid="{00000000-0005-0000-0000-0000535F0000}"/>
    <cellStyle name="Normal 2 19 15 2 3" xfId="24580" xr:uid="{00000000-0005-0000-0000-0000545F0000}"/>
    <cellStyle name="Normal 2 19 15 2 4" xfId="24581" xr:uid="{00000000-0005-0000-0000-0000555F0000}"/>
    <cellStyle name="Normal 2 19 15 3" xfId="24582" xr:uid="{00000000-0005-0000-0000-0000565F0000}"/>
    <cellStyle name="Normal 2 19 15 3 2" xfId="24583" xr:uid="{00000000-0005-0000-0000-0000575F0000}"/>
    <cellStyle name="Normal 2 19 15 3 3" xfId="24584" xr:uid="{00000000-0005-0000-0000-0000585F0000}"/>
    <cellStyle name="Normal 2 19 15 4" xfId="24585" xr:uid="{00000000-0005-0000-0000-0000595F0000}"/>
    <cellStyle name="Normal 2 19 16" xfId="24586" xr:uid="{00000000-0005-0000-0000-00005A5F0000}"/>
    <cellStyle name="Normal 2 19 16 2" xfId="24587" xr:uid="{00000000-0005-0000-0000-00005B5F0000}"/>
    <cellStyle name="Normal 2 19 16 2 2" xfId="24588" xr:uid="{00000000-0005-0000-0000-00005C5F0000}"/>
    <cellStyle name="Normal 2 19 16 2 2 2" xfId="24589" xr:uid="{00000000-0005-0000-0000-00005D5F0000}"/>
    <cellStyle name="Normal 2 19 16 2 2 3" xfId="24590" xr:uid="{00000000-0005-0000-0000-00005E5F0000}"/>
    <cellStyle name="Normal 2 19 16 2 3" xfId="24591" xr:uid="{00000000-0005-0000-0000-00005F5F0000}"/>
    <cellStyle name="Normal 2 19 16 2 4" xfId="24592" xr:uid="{00000000-0005-0000-0000-0000605F0000}"/>
    <cellStyle name="Normal 2 19 16 3" xfId="24593" xr:uid="{00000000-0005-0000-0000-0000615F0000}"/>
    <cellStyle name="Normal 2 19 16 3 2" xfId="24594" xr:uid="{00000000-0005-0000-0000-0000625F0000}"/>
    <cellStyle name="Normal 2 19 16 3 3" xfId="24595" xr:uid="{00000000-0005-0000-0000-0000635F0000}"/>
    <cellStyle name="Normal 2 19 16 4" xfId="24596" xr:uid="{00000000-0005-0000-0000-0000645F0000}"/>
    <cellStyle name="Normal 2 19 17" xfId="24597" xr:uid="{00000000-0005-0000-0000-0000655F0000}"/>
    <cellStyle name="Normal 2 19 17 2" xfId="24598" xr:uid="{00000000-0005-0000-0000-0000665F0000}"/>
    <cellStyle name="Normal 2 19 17 2 2" xfId="24599" xr:uid="{00000000-0005-0000-0000-0000675F0000}"/>
    <cellStyle name="Normal 2 19 17 2 2 2" xfId="24600" xr:uid="{00000000-0005-0000-0000-0000685F0000}"/>
    <cellStyle name="Normal 2 19 17 2 2 3" xfId="24601" xr:uid="{00000000-0005-0000-0000-0000695F0000}"/>
    <cellStyle name="Normal 2 19 17 2 3" xfId="24602" xr:uid="{00000000-0005-0000-0000-00006A5F0000}"/>
    <cellStyle name="Normal 2 19 17 2 4" xfId="24603" xr:uid="{00000000-0005-0000-0000-00006B5F0000}"/>
    <cellStyle name="Normal 2 19 17 3" xfId="24604" xr:uid="{00000000-0005-0000-0000-00006C5F0000}"/>
    <cellStyle name="Normal 2 19 17 3 2" xfId="24605" xr:uid="{00000000-0005-0000-0000-00006D5F0000}"/>
    <cellStyle name="Normal 2 19 17 3 3" xfId="24606" xr:uid="{00000000-0005-0000-0000-00006E5F0000}"/>
    <cellStyle name="Normal 2 19 17 4" xfId="24607" xr:uid="{00000000-0005-0000-0000-00006F5F0000}"/>
    <cellStyle name="Normal 2 19 18" xfId="24608" xr:uid="{00000000-0005-0000-0000-0000705F0000}"/>
    <cellStyle name="Normal 2 19 18 2" xfId="24609" xr:uid="{00000000-0005-0000-0000-0000715F0000}"/>
    <cellStyle name="Normal 2 19 18 2 2" xfId="24610" xr:uid="{00000000-0005-0000-0000-0000725F0000}"/>
    <cellStyle name="Normal 2 19 18 2 2 2" xfId="24611" xr:uid="{00000000-0005-0000-0000-0000735F0000}"/>
    <cellStyle name="Normal 2 19 18 2 2 3" xfId="24612" xr:uid="{00000000-0005-0000-0000-0000745F0000}"/>
    <cellStyle name="Normal 2 19 18 2 3" xfId="24613" xr:uid="{00000000-0005-0000-0000-0000755F0000}"/>
    <cellStyle name="Normal 2 19 18 2 4" xfId="24614" xr:uid="{00000000-0005-0000-0000-0000765F0000}"/>
    <cellStyle name="Normal 2 19 18 3" xfId="24615" xr:uid="{00000000-0005-0000-0000-0000775F0000}"/>
    <cellStyle name="Normal 2 19 18 3 2" xfId="24616" xr:uid="{00000000-0005-0000-0000-0000785F0000}"/>
    <cellStyle name="Normal 2 19 18 3 3" xfId="24617" xr:uid="{00000000-0005-0000-0000-0000795F0000}"/>
    <cellStyle name="Normal 2 19 18 4" xfId="24618" xr:uid="{00000000-0005-0000-0000-00007A5F0000}"/>
    <cellStyle name="Normal 2 19 19" xfId="24619" xr:uid="{00000000-0005-0000-0000-00007B5F0000}"/>
    <cellStyle name="Normal 2 19 19 2" xfId="24620" xr:uid="{00000000-0005-0000-0000-00007C5F0000}"/>
    <cellStyle name="Normal 2 19 19 2 2" xfId="24621" xr:uid="{00000000-0005-0000-0000-00007D5F0000}"/>
    <cellStyle name="Normal 2 19 19 2 2 2" xfId="24622" xr:uid="{00000000-0005-0000-0000-00007E5F0000}"/>
    <cellStyle name="Normal 2 19 19 2 2 3" xfId="24623" xr:uid="{00000000-0005-0000-0000-00007F5F0000}"/>
    <cellStyle name="Normal 2 19 19 2 3" xfId="24624" xr:uid="{00000000-0005-0000-0000-0000805F0000}"/>
    <cellStyle name="Normal 2 19 19 2 4" xfId="24625" xr:uid="{00000000-0005-0000-0000-0000815F0000}"/>
    <cellStyle name="Normal 2 19 19 3" xfId="24626" xr:uid="{00000000-0005-0000-0000-0000825F0000}"/>
    <cellStyle name="Normal 2 19 19 3 2" xfId="24627" xr:uid="{00000000-0005-0000-0000-0000835F0000}"/>
    <cellStyle name="Normal 2 19 19 3 3" xfId="24628" xr:uid="{00000000-0005-0000-0000-0000845F0000}"/>
    <cellStyle name="Normal 2 19 19 4" xfId="24629" xr:uid="{00000000-0005-0000-0000-0000855F0000}"/>
    <cellStyle name="Normal 2 19 2" xfId="24630" xr:uid="{00000000-0005-0000-0000-0000865F0000}"/>
    <cellStyle name="Normal 2 19 2 2" xfId="24631" xr:uid="{00000000-0005-0000-0000-0000875F0000}"/>
    <cellStyle name="Normal 2 19 2 2 2" xfId="24632" xr:uid="{00000000-0005-0000-0000-0000885F0000}"/>
    <cellStyle name="Normal 2 19 2 2 2 2" xfId="24633" xr:uid="{00000000-0005-0000-0000-0000895F0000}"/>
    <cellStyle name="Normal 2 19 2 2 2 3" xfId="24634" xr:uid="{00000000-0005-0000-0000-00008A5F0000}"/>
    <cellStyle name="Normal 2 19 2 2 3" xfId="24635" xr:uid="{00000000-0005-0000-0000-00008B5F0000}"/>
    <cellStyle name="Normal 2 19 2 2 4" xfId="24636" xr:uid="{00000000-0005-0000-0000-00008C5F0000}"/>
    <cellStyle name="Normal 2 19 2 3" xfId="24637" xr:uid="{00000000-0005-0000-0000-00008D5F0000}"/>
    <cellStyle name="Normal 2 19 2 3 2" xfId="24638" xr:uid="{00000000-0005-0000-0000-00008E5F0000}"/>
    <cellStyle name="Normal 2 19 2 3 3" xfId="24639" xr:uid="{00000000-0005-0000-0000-00008F5F0000}"/>
    <cellStyle name="Normal 2 19 2 4" xfId="24640" xr:uid="{00000000-0005-0000-0000-0000905F0000}"/>
    <cellStyle name="Normal 2 19 20" xfId="24641" xr:uid="{00000000-0005-0000-0000-0000915F0000}"/>
    <cellStyle name="Normal 2 19 20 2" xfId="24642" xr:uid="{00000000-0005-0000-0000-0000925F0000}"/>
    <cellStyle name="Normal 2 19 20 2 2" xfId="24643" xr:uid="{00000000-0005-0000-0000-0000935F0000}"/>
    <cellStyle name="Normal 2 19 20 2 2 2" xfId="24644" xr:uid="{00000000-0005-0000-0000-0000945F0000}"/>
    <cellStyle name="Normal 2 19 20 2 2 3" xfId="24645" xr:uid="{00000000-0005-0000-0000-0000955F0000}"/>
    <cellStyle name="Normal 2 19 20 2 3" xfId="24646" xr:uid="{00000000-0005-0000-0000-0000965F0000}"/>
    <cellStyle name="Normal 2 19 20 2 4" xfId="24647" xr:uid="{00000000-0005-0000-0000-0000975F0000}"/>
    <cellStyle name="Normal 2 19 20 3" xfId="24648" xr:uid="{00000000-0005-0000-0000-0000985F0000}"/>
    <cellStyle name="Normal 2 19 20 3 2" xfId="24649" xr:uid="{00000000-0005-0000-0000-0000995F0000}"/>
    <cellStyle name="Normal 2 19 20 3 3" xfId="24650" xr:uid="{00000000-0005-0000-0000-00009A5F0000}"/>
    <cellStyle name="Normal 2 19 20 4" xfId="24651" xr:uid="{00000000-0005-0000-0000-00009B5F0000}"/>
    <cellStyle name="Normal 2 19 21" xfId="24652" xr:uid="{00000000-0005-0000-0000-00009C5F0000}"/>
    <cellStyle name="Normal 2 19 21 2" xfId="24653" xr:uid="{00000000-0005-0000-0000-00009D5F0000}"/>
    <cellStyle name="Normal 2 19 21 2 2" xfId="24654" xr:uid="{00000000-0005-0000-0000-00009E5F0000}"/>
    <cellStyle name="Normal 2 19 21 2 2 2" xfId="24655" xr:uid="{00000000-0005-0000-0000-00009F5F0000}"/>
    <cellStyle name="Normal 2 19 21 2 2 3" xfId="24656" xr:uid="{00000000-0005-0000-0000-0000A05F0000}"/>
    <cellStyle name="Normal 2 19 21 2 3" xfId="24657" xr:uid="{00000000-0005-0000-0000-0000A15F0000}"/>
    <cellStyle name="Normal 2 19 21 2 4" xfId="24658" xr:uid="{00000000-0005-0000-0000-0000A25F0000}"/>
    <cellStyle name="Normal 2 19 21 3" xfId="24659" xr:uid="{00000000-0005-0000-0000-0000A35F0000}"/>
    <cellStyle name="Normal 2 19 21 3 2" xfId="24660" xr:uid="{00000000-0005-0000-0000-0000A45F0000}"/>
    <cellStyle name="Normal 2 19 21 3 3" xfId="24661" xr:uid="{00000000-0005-0000-0000-0000A55F0000}"/>
    <cellStyle name="Normal 2 19 21 4" xfId="24662" xr:uid="{00000000-0005-0000-0000-0000A65F0000}"/>
    <cellStyle name="Normal 2 19 22" xfId="24663" xr:uid="{00000000-0005-0000-0000-0000A75F0000}"/>
    <cellStyle name="Normal 2 19 22 2" xfId="24664" xr:uid="{00000000-0005-0000-0000-0000A85F0000}"/>
    <cellStyle name="Normal 2 19 22 2 2" xfId="24665" xr:uid="{00000000-0005-0000-0000-0000A95F0000}"/>
    <cellStyle name="Normal 2 19 22 2 2 2" xfId="24666" xr:uid="{00000000-0005-0000-0000-0000AA5F0000}"/>
    <cellStyle name="Normal 2 19 22 2 2 3" xfId="24667" xr:uid="{00000000-0005-0000-0000-0000AB5F0000}"/>
    <cellStyle name="Normal 2 19 22 2 3" xfId="24668" xr:uid="{00000000-0005-0000-0000-0000AC5F0000}"/>
    <cellStyle name="Normal 2 19 22 2 4" xfId="24669" xr:uid="{00000000-0005-0000-0000-0000AD5F0000}"/>
    <cellStyle name="Normal 2 19 22 3" xfId="24670" xr:uid="{00000000-0005-0000-0000-0000AE5F0000}"/>
    <cellStyle name="Normal 2 19 22 3 2" xfId="24671" xr:uid="{00000000-0005-0000-0000-0000AF5F0000}"/>
    <cellStyle name="Normal 2 19 22 3 3" xfId="24672" xr:uid="{00000000-0005-0000-0000-0000B05F0000}"/>
    <cellStyle name="Normal 2 19 22 4" xfId="24673" xr:uid="{00000000-0005-0000-0000-0000B15F0000}"/>
    <cellStyle name="Normal 2 19 23" xfId="24674" xr:uid="{00000000-0005-0000-0000-0000B25F0000}"/>
    <cellStyle name="Normal 2 19 23 2" xfId="24675" xr:uid="{00000000-0005-0000-0000-0000B35F0000}"/>
    <cellStyle name="Normal 2 19 23 2 2" xfId="24676" xr:uid="{00000000-0005-0000-0000-0000B45F0000}"/>
    <cellStyle name="Normal 2 19 23 2 2 2" xfId="24677" xr:uid="{00000000-0005-0000-0000-0000B55F0000}"/>
    <cellStyle name="Normal 2 19 23 2 2 3" xfId="24678" xr:uid="{00000000-0005-0000-0000-0000B65F0000}"/>
    <cellStyle name="Normal 2 19 23 2 3" xfId="24679" xr:uid="{00000000-0005-0000-0000-0000B75F0000}"/>
    <cellStyle name="Normal 2 19 23 2 4" xfId="24680" xr:uid="{00000000-0005-0000-0000-0000B85F0000}"/>
    <cellStyle name="Normal 2 19 23 3" xfId="24681" xr:uid="{00000000-0005-0000-0000-0000B95F0000}"/>
    <cellStyle name="Normal 2 19 23 3 2" xfId="24682" xr:uid="{00000000-0005-0000-0000-0000BA5F0000}"/>
    <cellStyle name="Normal 2 19 23 3 3" xfId="24683" xr:uid="{00000000-0005-0000-0000-0000BB5F0000}"/>
    <cellStyle name="Normal 2 19 23 4" xfId="24684" xr:uid="{00000000-0005-0000-0000-0000BC5F0000}"/>
    <cellStyle name="Normal 2 19 24" xfId="24685" xr:uid="{00000000-0005-0000-0000-0000BD5F0000}"/>
    <cellStyle name="Normal 2 19 24 2" xfId="24686" xr:uid="{00000000-0005-0000-0000-0000BE5F0000}"/>
    <cellStyle name="Normal 2 19 24 2 2" xfId="24687" xr:uid="{00000000-0005-0000-0000-0000BF5F0000}"/>
    <cellStyle name="Normal 2 19 24 2 3" xfId="24688" xr:uid="{00000000-0005-0000-0000-0000C05F0000}"/>
    <cellStyle name="Normal 2 19 24 3" xfId="24689" xr:uid="{00000000-0005-0000-0000-0000C15F0000}"/>
    <cellStyle name="Normal 2 19 24 4" xfId="24690" xr:uid="{00000000-0005-0000-0000-0000C25F0000}"/>
    <cellStyle name="Normal 2 19 25" xfId="24691" xr:uid="{00000000-0005-0000-0000-0000C35F0000}"/>
    <cellStyle name="Normal 2 19 25 2" xfId="24692" xr:uid="{00000000-0005-0000-0000-0000C45F0000}"/>
    <cellStyle name="Normal 2 19 25 3" xfId="24693" xr:uid="{00000000-0005-0000-0000-0000C55F0000}"/>
    <cellStyle name="Normal 2 19 26" xfId="24694" xr:uid="{00000000-0005-0000-0000-0000C65F0000}"/>
    <cellStyle name="Normal 2 19 3" xfId="24695" xr:uid="{00000000-0005-0000-0000-0000C75F0000}"/>
    <cellStyle name="Normal 2 19 3 2" xfId="24696" xr:uid="{00000000-0005-0000-0000-0000C85F0000}"/>
    <cellStyle name="Normal 2 19 3 2 2" xfId="24697" xr:uid="{00000000-0005-0000-0000-0000C95F0000}"/>
    <cellStyle name="Normal 2 19 3 2 2 2" xfId="24698" xr:uid="{00000000-0005-0000-0000-0000CA5F0000}"/>
    <cellStyle name="Normal 2 19 3 2 2 3" xfId="24699" xr:uid="{00000000-0005-0000-0000-0000CB5F0000}"/>
    <cellStyle name="Normal 2 19 3 2 3" xfId="24700" xr:uid="{00000000-0005-0000-0000-0000CC5F0000}"/>
    <cellStyle name="Normal 2 19 3 2 4" xfId="24701" xr:uid="{00000000-0005-0000-0000-0000CD5F0000}"/>
    <cellStyle name="Normal 2 19 3 3" xfId="24702" xr:uid="{00000000-0005-0000-0000-0000CE5F0000}"/>
    <cellStyle name="Normal 2 19 3 3 2" xfId="24703" xr:uid="{00000000-0005-0000-0000-0000CF5F0000}"/>
    <cellStyle name="Normal 2 19 3 3 3" xfId="24704" xr:uid="{00000000-0005-0000-0000-0000D05F0000}"/>
    <cellStyle name="Normal 2 19 3 4" xfId="24705" xr:uid="{00000000-0005-0000-0000-0000D15F0000}"/>
    <cellStyle name="Normal 2 19 4" xfId="24706" xr:uid="{00000000-0005-0000-0000-0000D25F0000}"/>
    <cellStyle name="Normal 2 19 4 2" xfId="24707" xr:uid="{00000000-0005-0000-0000-0000D35F0000}"/>
    <cellStyle name="Normal 2 19 4 2 2" xfId="24708" xr:uid="{00000000-0005-0000-0000-0000D45F0000}"/>
    <cellStyle name="Normal 2 19 4 2 2 2" xfId="24709" xr:uid="{00000000-0005-0000-0000-0000D55F0000}"/>
    <cellStyle name="Normal 2 19 4 2 2 3" xfId="24710" xr:uid="{00000000-0005-0000-0000-0000D65F0000}"/>
    <cellStyle name="Normal 2 19 4 2 3" xfId="24711" xr:uid="{00000000-0005-0000-0000-0000D75F0000}"/>
    <cellStyle name="Normal 2 19 4 2 4" xfId="24712" xr:uid="{00000000-0005-0000-0000-0000D85F0000}"/>
    <cellStyle name="Normal 2 19 4 3" xfId="24713" xr:uid="{00000000-0005-0000-0000-0000D95F0000}"/>
    <cellStyle name="Normal 2 19 4 3 2" xfId="24714" xr:uid="{00000000-0005-0000-0000-0000DA5F0000}"/>
    <cellStyle name="Normal 2 19 4 3 3" xfId="24715" xr:uid="{00000000-0005-0000-0000-0000DB5F0000}"/>
    <cellStyle name="Normal 2 19 4 4" xfId="24716" xr:uid="{00000000-0005-0000-0000-0000DC5F0000}"/>
    <cellStyle name="Normal 2 19 5" xfId="24717" xr:uid="{00000000-0005-0000-0000-0000DD5F0000}"/>
    <cellStyle name="Normal 2 19 5 2" xfId="24718" xr:uid="{00000000-0005-0000-0000-0000DE5F0000}"/>
    <cellStyle name="Normal 2 19 5 2 2" xfId="24719" xr:uid="{00000000-0005-0000-0000-0000DF5F0000}"/>
    <cellStyle name="Normal 2 19 5 2 2 2" xfId="24720" xr:uid="{00000000-0005-0000-0000-0000E05F0000}"/>
    <cellStyle name="Normal 2 19 5 2 2 3" xfId="24721" xr:uid="{00000000-0005-0000-0000-0000E15F0000}"/>
    <cellStyle name="Normal 2 19 5 2 3" xfId="24722" xr:uid="{00000000-0005-0000-0000-0000E25F0000}"/>
    <cellStyle name="Normal 2 19 5 2 4" xfId="24723" xr:uid="{00000000-0005-0000-0000-0000E35F0000}"/>
    <cellStyle name="Normal 2 19 5 3" xfId="24724" xr:uid="{00000000-0005-0000-0000-0000E45F0000}"/>
    <cellStyle name="Normal 2 19 5 3 2" xfId="24725" xr:uid="{00000000-0005-0000-0000-0000E55F0000}"/>
    <cellStyle name="Normal 2 19 5 3 3" xfId="24726" xr:uid="{00000000-0005-0000-0000-0000E65F0000}"/>
    <cellStyle name="Normal 2 19 5 4" xfId="24727" xr:uid="{00000000-0005-0000-0000-0000E75F0000}"/>
    <cellStyle name="Normal 2 19 6" xfId="24728" xr:uid="{00000000-0005-0000-0000-0000E85F0000}"/>
    <cellStyle name="Normal 2 19 6 2" xfId="24729" xr:uid="{00000000-0005-0000-0000-0000E95F0000}"/>
    <cellStyle name="Normal 2 19 6 2 2" xfId="24730" xr:uid="{00000000-0005-0000-0000-0000EA5F0000}"/>
    <cellStyle name="Normal 2 19 6 2 2 2" xfId="24731" xr:uid="{00000000-0005-0000-0000-0000EB5F0000}"/>
    <cellStyle name="Normal 2 19 6 2 2 3" xfId="24732" xr:uid="{00000000-0005-0000-0000-0000EC5F0000}"/>
    <cellStyle name="Normal 2 19 6 2 3" xfId="24733" xr:uid="{00000000-0005-0000-0000-0000ED5F0000}"/>
    <cellStyle name="Normal 2 19 6 2 4" xfId="24734" xr:uid="{00000000-0005-0000-0000-0000EE5F0000}"/>
    <cellStyle name="Normal 2 19 6 3" xfId="24735" xr:uid="{00000000-0005-0000-0000-0000EF5F0000}"/>
    <cellStyle name="Normal 2 19 6 3 2" xfId="24736" xr:uid="{00000000-0005-0000-0000-0000F05F0000}"/>
    <cellStyle name="Normal 2 19 6 3 3" xfId="24737" xr:uid="{00000000-0005-0000-0000-0000F15F0000}"/>
    <cellStyle name="Normal 2 19 6 4" xfId="24738" xr:uid="{00000000-0005-0000-0000-0000F25F0000}"/>
    <cellStyle name="Normal 2 19 7" xfId="24739" xr:uid="{00000000-0005-0000-0000-0000F35F0000}"/>
    <cellStyle name="Normal 2 19 7 2" xfId="24740" xr:uid="{00000000-0005-0000-0000-0000F45F0000}"/>
    <cellStyle name="Normal 2 19 7 2 2" xfId="24741" xr:uid="{00000000-0005-0000-0000-0000F55F0000}"/>
    <cellStyle name="Normal 2 19 7 2 2 2" xfId="24742" xr:uid="{00000000-0005-0000-0000-0000F65F0000}"/>
    <cellStyle name="Normal 2 19 7 2 2 3" xfId="24743" xr:uid="{00000000-0005-0000-0000-0000F75F0000}"/>
    <cellStyle name="Normal 2 19 7 2 3" xfId="24744" xr:uid="{00000000-0005-0000-0000-0000F85F0000}"/>
    <cellStyle name="Normal 2 19 7 2 4" xfId="24745" xr:uid="{00000000-0005-0000-0000-0000F95F0000}"/>
    <cellStyle name="Normal 2 19 7 3" xfId="24746" xr:uid="{00000000-0005-0000-0000-0000FA5F0000}"/>
    <cellStyle name="Normal 2 19 7 3 2" xfId="24747" xr:uid="{00000000-0005-0000-0000-0000FB5F0000}"/>
    <cellStyle name="Normal 2 19 7 3 3" xfId="24748" xr:uid="{00000000-0005-0000-0000-0000FC5F0000}"/>
    <cellStyle name="Normal 2 19 7 4" xfId="24749" xr:uid="{00000000-0005-0000-0000-0000FD5F0000}"/>
    <cellStyle name="Normal 2 19 8" xfId="24750" xr:uid="{00000000-0005-0000-0000-0000FE5F0000}"/>
    <cellStyle name="Normal 2 19 8 2" xfId="24751" xr:uid="{00000000-0005-0000-0000-0000FF5F0000}"/>
    <cellStyle name="Normal 2 19 8 2 2" xfId="24752" xr:uid="{00000000-0005-0000-0000-000000600000}"/>
    <cellStyle name="Normal 2 19 8 2 2 2" xfId="24753" xr:uid="{00000000-0005-0000-0000-000001600000}"/>
    <cellStyle name="Normal 2 19 8 2 2 3" xfId="24754" xr:uid="{00000000-0005-0000-0000-000002600000}"/>
    <cellStyle name="Normal 2 19 8 2 3" xfId="24755" xr:uid="{00000000-0005-0000-0000-000003600000}"/>
    <cellStyle name="Normal 2 19 8 2 4" xfId="24756" xr:uid="{00000000-0005-0000-0000-000004600000}"/>
    <cellStyle name="Normal 2 19 8 3" xfId="24757" xr:uid="{00000000-0005-0000-0000-000005600000}"/>
    <cellStyle name="Normal 2 19 8 3 2" xfId="24758" xr:uid="{00000000-0005-0000-0000-000006600000}"/>
    <cellStyle name="Normal 2 19 8 3 3" xfId="24759" xr:uid="{00000000-0005-0000-0000-000007600000}"/>
    <cellStyle name="Normal 2 19 8 4" xfId="24760" xr:uid="{00000000-0005-0000-0000-000008600000}"/>
    <cellStyle name="Normal 2 19 9" xfId="24761" xr:uid="{00000000-0005-0000-0000-000009600000}"/>
    <cellStyle name="Normal 2 19 9 2" xfId="24762" xr:uid="{00000000-0005-0000-0000-00000A600000}"/>
    <cellStyle name="Normal 2 19 9 2 2" xfId="24763" xr:uid="{00000000-0005-0000-0000-00000B600000}"/>
    <cellStyle name="Normal 2 19 9 2 2 2" xfId="24764" xr:uid="{00000000-0005-0000-0000-00000C600000}"/>
    <cellStyle name="Normal 2 19 9 2 2 3" xfId="24765" xr:uid="{00000000-0005-0000-0000-00000D600000}"/>
    <cellStyle name="Normal 2 19 9 2 3" xfId="24766" xr:uid="{00000000-0005-0000-0000-00000E600000}"/>
    <cellStyle name="Normal 2 19 9 2 4" xfId="24767" xr:uid="{00000000-0005-0000-0000-00000F600000}"/>
    <cellStyle name="Normal 2 19 9 3" xfId="24768" xr:uid="{00000000-0005-0000-0000-000010600000}"/>
    <cellStyle name="Normal 2 19 9 3 2" xfId="24769" xr:uid="{00000000-0005-0000-0000-000011600000}"/>
    <cellStyle name="Normal 2 19 9 3 3" xfId="24770" xr:uid="{00000000-0005-0000-0000-000012600000}"/>
    <cellStyle name="Normal 2 19 9 4" xfId="24771" xr:uid="{00000000-0005-0000-0000-000013600000}"/>
    <cellStyle name="Normal 2 2" xfId="270" xr:uid="{00000000-0005-0000-0000-000014600000}"/>
    <cellStyle name="Normal 2 2 10" xfId="24772" xr:uid="{00000000-0005-0000-0000-000015600000}"/>
    <cellStyle name="Normal 2 2 11" xfId="24773" xr:uid="{00000000-0005-0000-0000-000016600000}"/>
    <cellStyle name="Normal 2 2 12" xfId="24774" xr:uid="{00000000-0005-0000-0000-000017600000}"/>
    <cellStyle name="Normal 2 2 2" xfId="271" xr:uid="{00000000-0005-0000-0000-000018600000}"/>
    <cellStyle name="Normal 2 2 2 2" xfId="24775" xr:uid="{00000000-0005-0000-0000-000019600000}"/>
    <cellStyle name="Normal 2 2 2 2 2" xfId="24776" xr:uid="{00000000-0005-0000-0000-00001A600000}"/>
    <cellStyle name="Normal 2 2 2 2 2 2" xfId="24777" xr:uid="{00000000-0005-0000-0000-00001B600000}"/>
    <cellStyle name="Normal 2 2 2 2 3" xfId="24778" xr:uid="{00000000-0005-0000-0000-00001C600000}"/>
    <cellStyle name="Normal 2 2 2 2 3 2" xfId="24779" xr:uid="{00000000-0005-0000-0000-00001D600000}"/>
    <cellStyle name="Normal 2 2 2 2 4" xfId="24780" xr:uid="{00000000-0005-0000-0000-00001E600000}"/>
    <cellStyle name="Normal 2 2 2 2 5" xfId="24781" xr:uid="{00000000-0005-0000-0000-00001F600000}"/>
    <cellStyle name="Normal 2 2 2 2 6" xfId="24782" xr:uid="{00000000-0005-0000-0000-000020600000}"/>
    <cellStyle name="Normal 2 2 2 3" xfId="24783" xr:uid="{00000000-0005-0000-0000-000021600000}"/>
    <cellStyle name="Normal 2 2 2 3 2" xfId="24784" xr:uid="{00000000-0005-0000-0000-000022600000}"/>
    <cellStyle name="Normal 2 2 2 3 3" xfId="24785" xr:uid="{00000000-0005-0000-0000-000023600000}"/>
    <cellStyle name="Normal 2 2 2 3_Dec monthly report" xfId="24786" xr:uid="{00000000-0005-0000-0000-000024600000}"/>
    <cellStyle name="Normal 2 2 2 4" xfId="24787" xr:uid="{00000000-0005-0000-0000-000025600000}"/>
    <cellStyle name="Normal 2 2 2 4 2" xfId="24788" xr:uid="{00000000-0005-0000-0000-000026600000}"/>
    <cellStyle name="Normal 2 2 2 5" xfId="24789" xr:uid="{00000000-0005-0000-0000-000027600000}"/>
    <cellStyle name="Normal 2 2 3" xfId="24790" xr:uid="{00000000-0005-0000-0000-000028600000}"/>
    <cellStyle name="Normal 2 2 3 2" xfId="24791" xr:uid="{00000000-0005-0000-0000-000029600000}"/>
    <cellStyle name="Normal 2 2 3 2 2" xfId="24792" xr:uid="{00000000-0005-0000-0000-00002A600000}"/>
    <cellStyle name="Normal 2 2 3 3" xfId="24793" xr:uid="{00000000-0005-0000-0000-00002B600000}"/>
    <cellStyle name="Normal 2 2 3 3 2" xfId="24794" xr:uid="{00000000-0005-0000-0000-00002C600000}"/>
    <cellStyle name="Normal 2 2 3 4" xfId="24795" xr:uid="{00000000-0005-0000-0000-00002D600000}"/>
    <cellStyle name="Normal 2 2 3 5" xfId="24796" xr:uid="{00000000-0005-0000-0000-00002E600000}"/>
    <cellStyle name="Normal 2 2 3 6" xfId="24797" xr:uid="{00000000-0005-0000-0000-00002F600000}"/>
    <cellStyle name="Normal 2 2 4" xfId="24798" xr:uid="{00000000-0005-0000-0000-000030600000}"/>
    <cellStyle name="Normal 2 2 4 2" xfId="24799" xr:uid="{00000000-0005-0000-0000-000031600000}"/>
    <cellStyle name="Normal 2 2 4 2 2" xfId="24800" xr:uid="{00000000-0005-0000-0000-000032600000}"/>
    <cellStyle name="Normal 2 2 4 3" xfId="24801" xr:uid="{00000000-0005-0000-0000-000033600000}"/>
    <cellStyle name="Normal 2 2 4 4" xfId="24802" xr:uid="{00000000-0005-0000-0000-000034600000}"/>
    <cellStyle name="Normal 2 2 4_Dec monthly report" xfId="24803" xr:uid="{00000000-0005-0000-0000-000035600000}"/>
    <cellStyle name="Normal 2 2 5" xfId="24804" xr:uid="{00000000-0005-0000-0000-000036600000}"/>
    <cellStyle name="Normal 2 2 5 2" xfId="24805" xr:uid="{00000000-0005-0000-0000-000037600000}"/>
    <cellStyle name="Normal 2 2 5 2 2" xfId="24806" xr:uid="{00000000-0005-0000-0000-000038600000}"/>
    <cellStyle name="Normal 2 2 5 3" xfId="24807" xr:uid="{00000000-0005-0000-0000-000039600000}"/>
    <cellStyle name="Normal 2 2 5 4" xfId="24808" xr:uid="{00000000-0005-0000-0000-00003A600000}"/>
    <cellStyle name="Normal 2 2 6" xfId="24809" xr:uid="{00000000-0005-0000-0000-00003B600000}"/>
    <cellStyle name="Normal 2 2 6 2" xfId="24810" xr:uid="{00000000-0005-0000-0000-00003C600000}"/>
    <cellStyle name="Normal 2 2 7" xfId="24811" xr:uid="{00000000-0005-0000-0000-00003D600000}"/>
    <cellStyle name="Normal 2 2 8" xfId="24812" xr:uid="{00000000-0005-0000-0000-00003E600000}"/>
    <cellStyle name="Normal 2 2 8 2" xfId="24813" xr:uid="{00000000-0005-0000-0000-00003F600000}"/>
    <cellStyle name="Normal 2 2 9" xfId="24814" xr:uid="{00000000-0005-0000-0000-000040600000}"/>
    <cellStyle name="Normal 2 2_App b.3 Unspent_" xfId="24815" xr:uid="{00000000-0005-0000-0000-000041600000}"/>
    <cellStyle name="Normal 2 20" xfId="24816" xr:uid="{00000000-0005-0000-0000-000042600000}"/>
    <cellStyle name="Normal 2 20 10" xfId="24817" xr:uid="{00000000-0005-0000-0000-000043600000}"/>
    <cellStyle name="Normal 2 20 10 2" xfId="24818" xr:uid="{00000000-0005-0000-0000-000044600000}"/>
    <cellStyle name="Normal 2 20 10 2 2" xfId="24819" xr:uid="{00000000-0005-0000-0000-000045600000}"/>
    <cellStyle name="Normal 2 20 10 2 2 2" xfId="24820" xr:uid="{00000000-0005-0000-0000-000046600000}"/>
    <cellStyle name="Normal 2 20 10 2 2 3" xfId="24821" xr:uid="{00000000-0005-0000-0000-000047600000}"/>
    <cellStyle name="Normal 2 20 10 2 3" xfId="24822" xr:uid="{00000000-0005-0000-0000-000048600000}"/>
    <cellStyle name="Normal 2 20 10 2 4" xfId="24823" xr:uid="{00000000-0005-0000-0000-000049600000}"/>
    <cellStyle name="Normal 2 20 10 3" xfId="24824" xr:uid="{00000000-0005-0000-0000-00004A600000}"/>
    <cellStyle name="Normal 2 20 10 3 2" xfId="24825" xr:uid="{00000000-0005-0000-0000-00004B600000}"/>
    <cellStyle name="Normal 2 20 10 3 3" xfId="24826" xr:uid="{00000000-0005-0000-0000-00004C600000}"/>
    <cellStyle name="Normal 2 20 10 4" xfId="24827" xr:uid="{00000000-0005-0000-0000-00004D600000}"/>
    <cellStyle name="Normal 2 20 11" xfId="24828" xr:uid="{00000000-0005-0000-0000-00004E600000}"/>
    <cellStyle name="Normal 2 20 11 2" xfId="24829" xr:uid="{00000000-0005-0000-0000-00004F600000}"/>
    <cellStyle name="Normal 2 20 11 2 2" xfId="24830" xr:uid="{00000000-0005-0000-0000-000050600000}"/>
    <cellStyle name="Normal 2 20 11 2 2 2" xfId="24831" xr:uid="{00000000-0005-0000-0000-000051600000}"/>
    <cellStyle name="Normal 2 20 11 2 2 3" xfId="24832" xr:uid="{00000000-0005-0000-0000-000052600000}"/>
    <cellStyle name="Normal 2 20 11 2 3" xfId="24833" xr:uid="{00000000-0005-0000-0000-000053600000}"/>
    <cellStyle name="Normal 2 20 11 2 4" xfId="24834" xr:uid="{00000000-0005-0000-0000-000054600000}"/>
    <cellStyle name="Normal 2 20 11 3" xfId="24835" xr:uid="{00000000-0005-0000-0000-000055600000}"/>
    <cellStyle name="Normal 2 20 11 3 2" xfId="24836" xr:uid="{00000000-0005-0000-0000-000056600000}"/>
    <cellStyle name="Normal 2 20 11 3 3" xfId="24837" xr:uid="{00000000-0005-0000-0000-000057600000}"/>
    <cellStyle name="Normal 2 20 11 4" xfId="24838" xr:uid="{00000000-0005-0000-0000-000058600000}"/>
    <cellStyle name="Normal 2 20 12" xfId="24839" xr:uid="{00000000-0005-0000-0000-000059600000}"/>
    <cellStyle name="Normal 2 20 12 2" xfId="24840" xr:uid="{00000000-0005-0000-0000-00005A600000}"/>
    <cellStyle name="Normal 2 20 12 2 2" xfId="24841" xr:uid="{00000000-0005-0000-0000-00005B600000}"/>
    <cellStyle name="Normal 2 20 12 2 2 2" xfId="24842" xr:uid="{00000000-0005-0000-0000-00005C600000}"/>
    <cellStyle name="Normal 2 20 12 2 2 3" xfId="24843" xr:uid="{00000000-0005-0000-0000-00005D600000}"/>
    <cellStyle name="Normal 2 20 12 2 3" xfId="24844" xr:uid="{00000000-0005-0000-0000-00005E600000}"/>
    <cellStyle name="Normal 2 20 12 2 4" xfId="24845" xr:uid="{00000000-0005-0000-0000-00005F600000}"/>
    <cellStyle name="Normal 2 20 12 3" xfId="24846" xr:uid="{00000000-0005-0000-0000-000060600000}"/>
    <cellStyle name="Normal 2 20 12 3 2" xfId="24847" xr:uid="{00000000-0005-0000-0000-000061600000}"/>
    <cellStyle name="Normal 2 20 12 3 3" xfId="24848" xr:uid="{00000000-0005-0000-0000-000062600000}"/>
    <cellStyle name="Normal 2 20 12 4" xfId="24849" xr:uid="{00000000-0005-0000-0000-000063600000}"/>
    <cellStyle name="Normal 2 20 13" xfId="24850" xr:uid="{00000000-0005-0000-0000-000064600000}"/>
    <cellStyle name="Normal 2 20 13 2" xfId="24851" xr:uid="{00000000-0005-0000-0000-000065600000}"/>
    <cellStyle name="Normal 2 20 13 2 2" xfId="24852" xr:uid="{00000000-0005-0000-0000-000066600000}"/>
    <cellStyle name="Normal 2 20 13 2 2 2" xfId="24853" xr:uid="{00000000-0005-0000-0000-000067600000}"/>
    <cellStyle name="Normal 2 20 13 2 2 3" xfId="24854" xr:uid="{00000000-0005-0000-0000-000068600000}"/>
    <cellStyle name="Normal 2 20 13 2 3" xfId="24855" xr:uid="{00000000-0005-0000-0000-000069600000}"/>
    <cellStyle name="Normal 2 20 13 2 4" xfId="24856" xr:uid="{00000000-0005-0000-0000-00006A600000}"/>
    <cellStyle name="Normal 2 20 13 3" xfId="24857" xr:uid="{00000000-0005-0000-0000-00006B600000}"/>
    <cellStyle name="Normal 2 20 13 3 2" xfId="24858" xr:uid="{00000000-0005-0000-0000-00006C600000}"/>
    <cellStyle name="Normal 2 20 13 3 3" xfId="24859" xr:uid="{00000000-0005-0000-0000-00006D600000}"/>
    <cellStyle name="Normal 2 20 13 4" xfId="24860" xr:uid="{00000000-0005-0000-0000-00006E600000}"/>
    <cellStyle name="Normal 2 20 14" xfId="24861" xr:uid="{00000000-0005-0000-0000-00006F600000}"/>
    <cellStyle name="Normal 2 20 14 2" xfId="24862" xr:uid="{00000000-0005-0000-0000-000070600000}"/>
    <cellStyle name="Normal 2 20 14 2 2" xfId="24863" xr:uid="{00000000-0005-0000-0000-000071600000}"/>
    <cellStyle name="Normal 2 20 14 2 2 2" xfId="24864" xr:uid="{00000000-0005-0000-0000-000072600000}"/>
    <cellStyle name="Normal 2 20 14 2 2 3" xfId="24865" xr:uid="{00000000-0005-0000-0000-000073600000}"/>
    <cellStyle name="Normal 2 20 14 2 3" xfId="24866" xr:uid="{00000000-0005-0000-0000-000074600000}"/>
    <cellStyle name="Normal 2 20 14 2 4" xfId="24867" xr:uid="{00000000-0005-0000-0000-000075600000}"/>
    <cellStyle name="Normal 2 20 14 3" xfId="24868" xr:uid="{00000000-0005-0000-0000-000076600000}"/>
    <cellStyle name="Normal 2 20 14 3 2" xfId="24869" xr:uid="{00000000-0005-0000-0000-000077600000}"/>
    <cellStyle name="Normal 2 20 14 3 3" xfId="24870" xr:uid="{00000000-0005-0000-0000-000078600000}"/>
    <cellStyle name="Normal 2 20 14 4" xfId="24871" xr:uid="{00000000-0005-0000-0000-000079600000}"/>
    <cellStyle name="Normal 2 20 15" xfId="24872" xr:uid="{00000000-0005-0000-0000-00007A600000}"/>
    <cellStyle name="Normal 2 20 15 2" xfId="24873" xr:uid="{00000000-0005-0000-0000-00007B600000}"/>
    <cellStyle name="Normal 2 20 15 2 2" xfId="24874" xr:uid="{00000000-0005-0000-0000-00007C600000}"/>
    <cellStyle name="Normal 2 20 15 2 2 2" xfId="24875" xr:uid="{00000000-0005-0000-0000-00007D600000}"/>
    <cellStyle name="Normal 2 20 15 2 2 3" xfId="24876" xr:uid="{00000000-0005-0000-0000-00007E600000}"/>
    <cellStyle name="Normal 2 20 15 2 3" xfId="24877" xr:uid="{00000000-0005-0000-0000-00007F600000}"/>
    <cellStyle name="Normal 2 20 15 2 4" xfId="24878" xr:uid="{00000000-0005-0000-0000-000080600000}"/>
    <cellStyle name="Normal 2 20 15 3" xfId="24879" xr:uid="{00000000-0005-0000-0000-000081600000}"/>
    <cellStyle name="Normal 2 20 15 3 2" xfId="24880" xr:uid="{00000000-0005-0000-0000-000082600000}"/>
    <cellStyle name="Normal 2 20 15 3 3" xfId="24881" xr:uid="{00000000-0005-0000-0000-000083600000}"/>
    <cellStyle name="Normal 2 20 15 4" xfId="24882" xr:uid="{00000000-0005-0000-0000-000084600000}"/>
    <cellStyle name="Normal 2 20 16" xfId="24883" xr:uid="{00000000-0005-0000-0000-000085600000}"/>
    <cellStyle name="Normal 2 20 16 2" xfId="24884" xr:uid="{00000000-0005-0000-0000-000086600000}"/>
    <cellStyle name="Normal 2 20 16 2 2" xfId="24885" xr:uid="{00000000-0005-0000-0000-000087600000}"/>
    <cellStyle name="Normal 2 20 16 2 2 2" xfId="24886" xr:uid="{00000000-0005-0000-0000-000088600000}"/>
    <cellStyle name="Normal 2 20 16 2 2 3" xfId="24887" xr:uid="{00000000-0005-0000-0000-000089600000}"/>
    <cellStyle name="Normal 2 20 16 2 3" xfId="24888" xr:uid="{00000000-0005-0000-0000-00008A600000}"/>
    <cellStyle name="Normal 2 20 16 2 4" xfId="24889" xr:uid="{00000000-0005-0000-0000-00008B600000}"/>
    <cellStyle name="Normal 2 20 16 3" xfId="24890" xr:uid="{00000000-0005-0000-0000-00008C600000}"/>
    <cellStyle name="Normal 2 20 16 3 2" xfId="24891" xr:uid="{00000000-0005-0000-0000-00008D600000}"/>
    <cellStyle name="Normal 2 20 16 3 3" xfId="24892" xr:uid="{00000000-0005-0000-0000-00008E600000}"/>
    <cellStyle name="Normal 2 20 16 4" xfId="24893" xr:uid="{00000000-0005-0000-0000-00008F600000}"/>
    <cellStyle name="Normal 2 20 17" xfId="24894" xr:uid="{00000000-0005-0000-0000-000090600000}"/>
    <cellStyle name="Normal 2 20 17 2" xfId="24895" xr:uid="{00000000-0005-0000-0000-000091600000}"/>
    <cellStyle name="Normal 2 20 17 2 2" xfId="24896" xr:uid="{00000000-0005-0000-0000-000092600000}"/>
    <cellStyle name="Normal 2 20 17 2 2 2" xfId="24897" xr:uid="{00000000-0005-0000-0000-000093600000}"/>
    <cellStyle name="Normal 2 20 17 2 2 3" xfId="24898" xr:uid="{00000000-0005-0000-0000-000094600000}"/>
    <cellStyle name="Normal 2 20 17 2 3" xfId="24899" xr:uid="{00000000-0005-0000-0000-000095600000}"/>
    <cellStyle name="Normal 2 20 17 2 4" xfId="24900" xr:uid="{00000000-0005-0000-0000-000096600000}"/>
    <cellStyle name="Normal 2 20 17 3" xfId="24901" xr:uid="{00000000-0005-0000-0000-000097600000}"/>
    <cellStyle name="Normal 2 20 17 3 2" xfId="24902" xr:uid="{00000000-0005-0000-0000-000098600000}"/>
    <cellStyle name="Normal 2 20 17 3 3" xfId="24903" xr:uid="{00000000-0005-0000-0000-000099600000}"/>
    <cellStyle name="Normal 2 20 17 4" xfId="24904" xr:uid="{00000000-0005-0000-0000-00009A600000}"/>
    <cellStyle name="Normal 2 20 18" xfId="24905" xr:uid="{00000000-0005-0000-0000-00009B600000}"/>
    <cellStyle name="Normal 2 20 18 2" xfId="24906" xr:uid="{00000000-0005-0000-0000-00009C600000}"/>
    <cellStyle name="Normal 2 20 18 2 2" xfId="24907" xr:uid="{00000000-0005-0000-0000-00009D600000}"/>
    <cellStyle name="Normal 2 20 18 2 2 2" xfId="24908" xr:uid="{00000000-0005-0000-0000-00009E600000}"/>
    <cellStyle name="Normal 2 20 18 2 2 3" xfId="24909" xr:uid="{00000000-0005-0000-0000-00009F600000}"/>
    <cellStyle name="Normal 2 20 18 2 3" xfId="24910" xr:uid="{00000000-0005-0000-0000-0000A0600000}"/>
    <cellStyle name="Normal 2 20 18 2 4" xfId="24911" xr:uid="{00000000-0005-0000-0000-0000A1600000}"/>
    <cellStyle name="Normal 2 20 18 3" xfId="24912" xr:uid="{00000000-0005-0000-0000-0000A2600000}"/>
    <cellStyle name="Normal 2 20 18 3 2" xfId="24913" xr:uid="{00000000-0005-0000-0000-0000A3600000}"/>
    <cellStyle name="Normal 2 20 18 3 3" xfId="24914" xr:uid="{00000000-0005-0000-0000-0000A4600000}"/>
    <cellStyle name="Normal 2 20 18 4" xfId="24915" xr:uid="{00000000-0005-0000-0000-0000A5600000}"/>
    <cellStyle name="Normal 2 20 19" xfId="24916" xr:uid="{00000000-0005-0000-0000-0000A6600000}"/>
    <cellStyle name="Normal 2 20 19 2" xfId="24917" xr:uid="{00000000-0005-0000-0000-0000A7600000}"/>
    <cellStyle name="Normal 2 20 19 2 2" xfId="24918" xr:uid="{00000000-0005-0000-0000-0000A8600000}"/>
    <cellStyle name="Normal 2 20 19 2 2 2" xfId="24919" xr:uid="{00000000-0005-0000-0000-0000A9600000}"/>
    <cellStyle name="Normal 2 20 19 2 2 3" xfId="24920" xr:uid="{00000000-0005-0000-0000-0000AA600000}"/>
    <cellStyle name="Normal 2 20 19 2 3" xfId="24921" xr:uid="{00000000-0005-0000-0000-0000AB600000}"/>
    <cellStyle name="Normal 2 20 19 2 4" xfId="24922" xr:uid="{00000000-0005-0000-0000-0000AC600000}"/>
    <cellStyle name="Normal 2 20 19 3" xfId="24923" xr:uid="{00000000-0005-0000-0000-0000AD600000}"/>
    <cellStyle name="Normal 2 20 19 3 2" xfId="24924" xr:uid="{00000000-0005-0000-0000-0000AE600000}"/>
    <cellStyle name="Normal 2 20 19 3 3" xfId="24925" xr:uid="{00000000-0005-0000-0000-0000AF600000}"/>
    <cellStyle name="Normal 2 20 19 4" xfId="24926" xr:uid="{00000000-0005-0000-0000-0000B0600000}"/>
    <cellStyle name="Normal 2 20 2" xfId="24927" xr:uid="{00000000-0005-0000-0000-0000B1600000}"/>
    <cellStyle name="Normal 2 20 2 2" xfId="24928" xr:uid="{00000000-0005-0000-0000-0000B2600000}"/>
    <cellStyle name="Normal 2 20 2 2 2" xfId="24929" xr:uid="{00000000-0005-0000-0000-0000B3600000}"/>
    <cellStyle name="Normal 2 20 2 2 2 2" xfId="24930" xr:uid="{00000000-0005-0000-0000-0000B4600000}"/>
    <cellStyle name="Normal 2 20 2 2 2 3" xfId="24931" xr:uid="{00000000-0005-0000-0000-0000B5600000}"/>
    <cellStyle name="Normal 2 20 2 2 3" xfId="24932" xr:uid="{00000000-0005-0000-0000-0000B6600000}"/>
    <cellStyle name="Normal 2 20 2 2 4" xfId="24933" xr:uid="{00000000-0005-0000-0000-0000B7600000}"/>
    <cellStyle name="Normal 2 20 2 3" xfId="24934" xr:uid="{00000000-0005-0000-0000-0000B8600000}"/>
    <cellStyle name="Normal 2 20 2 3 2" xfId="24935" xr:uid="{00000000-0005-0000-0000-0000B9600000}"/>
    <cellStyle name="Normal 2 20 2 3 3" xfId="24936" xr:uid="{00000000-0005-0000-0000-0000BA600000}"/>
    <cellStyle name="Normal 2 20 2 4" xfId="24937" xr:uid="{00000000-0005-0000-0000-0000BB600000}"/>
    <cellStyle name="Normal 2 20 20" xfId="24938" xr:uid="{00000000-0005-0000-0000-0000BC600000}"/>
    <cellStyle name="Normal 2 20 20 2" xfId="24939" xr:uid="{00000000-0005-0000-0000-0000BD600000}"/>
    <cellStyle name="Normal 2 20 20 2 2" xfId="24940" xr:uid="{00000000-0005-0000-0000-0000BE600000}"/>
    <cellStyle name="Normal 2 20 20 2 2 2" xfId="24941" xr:uid="{00000000-0005-0000-0000-0000BF600000}"/>
    <cellStyle name="Normal 2 20 20 2 2 3" xfId="24942" xr:uid="{00000000-0005-0000-0000-0000C0600000}"/>
    <cellStyle name="Normal 2 20 20 2 3" xfId="24943" xr:uid="{00000000-0005-0000-0000-0000C1600000}"/>
    <cellStyle name="Normal 2 20 20 2 4" xfId="24944" xr:uid="{00000000-0005-0000-0000-0000C2600000}"/>
    <cellStyle name="Normal 2 20 20 3" xfId="24945" xr:uid="{00000000-0005-0000-0000-0000C3600000}"/>
    <cellStyle name="Normal 2 20 20 3 2" xfId="24946" xr:uid="{00000000-0005-0000-0000-0000C4600000}"/>
    <cellStyle name="Normal 2 20 20 3 3" xfId="24947" xr:uid="{00000000-0005-0000-0000-0000C5600000}"/>
    <cellStyle name="Normal 2 20 20 4" xfId="24948" xr:uid="{00000000-0005-0000-0000-0000C6600000}"/>
    <cellStyle name="Normal 2 20 21" xfId="24949" xr:uid="{00000000-0005-0000-0000-0000C7600000}"/>
    <cellStyle name="Normal 2 20 21 2" xfId="24950" xr:uid="{00000000-0005-0000-0000-0000C8600000}"/>
    <cellStyle name="Normal 2 20 21 2 2" xfId="24951" xr:uid="{00000000-0005-0000-0000-0000C9600000}"/>
    <cellStyle name="Normal 2 20 21 2 2 2" xfId="24952" xr:uid="{00000000-0005-0000-0000-0000CA600000}"/>
    <cellStyle name="Normal 2 20 21 2 2 3" xfId="24953" xr:uid="{00000000-0005-0000-0000-0000CB600000}"/>
    <cellStyle name="Normal 2 20 21 2 3" xfId="24954" xr:uid="{00000000-0005-0000-0000-0000CC600000}"/>
    <cellStyle name="Normal 2 20 21 2 4" xfId="24955" xr:uid="{00000000-0005-0000-0000-0000CD600000}"/>
    <cellStyle name="Normal 2 20 21 3" xfId="24956" xr:uid="{00000000-0005-0000-0000-0000CE600000}"/>
    <cellStyle name="Normal 2 20 21 3 2" xfId="24957" xr:uid="{00000000-0005-0000-0000-0000CF600000}"/>
    <cellStyle name="Normal 2 20 21 3 3" xfId="24958" xr:uid="{00000000-0005-0000-0000-0000D0600000}"/>
    <cellStyle name="Normal 2 20 21 4" xfId="24959" xr:uid="{00000000-0005-0000-0000-0000D1600000}"/>
    <cellStyle name="Normal 2 20 22" xfId="24960" xr:uid="{00000000-0005-0000-0000-0000D2600000}"/>
    <cellStyle name="Normal 2 20 22 2" xfId="24961" xr:uid="{00000000-0005-0000-0000-0000D3600000}"/>
    <cellStyle name="Normal 2 20 22 2 2" xfId="24962" xr:uid="{00000000-0005-0000-0000-0000D4600000}"/>
    <cellStyle name="Normal 2 20 22 2 2 2" xfId="24963" xr:uid="{00000000-0005-0000-0000-0000D5600000}"/>
    <cellStyle name="Normal 2 20 22 2 2 3" xfId="24964" xr:uid="{00000000-0005-0000-0000-0000D6600000}"/>
    <cellStyle name="Normal 2 20 22 2 3" xfId="24965" xr:uid="{00000000-0005-0000-0000-0000D7600000}"/>
    <cellStyle name="Normal 2 20 22 2 4" xfId="24966" xr:uid="{00000000-0005-0000-0000-0000D8600000}"/>
    <cellStyle name="Normal 2 20 22 3" xfId="24967" xr:uid="{00000000-0005-0000-0000-0000D9600000}"/>
    <cellStyle name="Normal 2 20 22 3 2" xfId="24968" xr:uid="{00000000-0005-0000-0000-0000DA600000}"/>
    <cellStyle name="Normal 2 20 22 3 3" xfId="24969" xr:uid="{00000000-0005-0000-0000-0000DB600000}"/>
    <cellStyle name="Normal 2 20 22 4" xfId="24970" xr:uid="{00000000-0005-0000-0000-0000DC600000}"/>
    <cellStyle name="Normal 2 20 23" xfId="24971" xr:uid="{00000000-0005-0000-0000-0000DD600000}"/>
    <cellStyle name="Normal 2 20 23 2" xfId="24972" xr:uid="{00000000-0005-0000-0000-0000DE600000}"/>
    <cellStyle name="Normal 2 20 23 2 2" xfId="24973" xr:uid="{00000000-0005-0000-0000-0000DF600000}"/>
    <cellStyle name="Normal 2 20 23 2 2 2" xfId="24974" xr:uid="{00000000-0005-0000-0000-0000E0600000}"/>
    <cellStyle name="Normal 2 20 23 2 2 3" xfId="24975" xr:uid="{00000000-0005-0000-0000-0000E1600000}"/>
    <cellStyle name="Normal 2 20 23 2 3" xfId="24976" xr:uid="{00000000-0005-0000-0000-0000E2600000}"/>
    <cellStyle name="Normal 2 20 23 2 4" xfId="24977" xr:uid="{00000000-0005-0000-0000-0000E3600000}"/>
    <cellStyle name="Normal 2 20 23 3" xfId="24978" xr:uid="{00000000-0005-0000-0000-0000E4600000}"/>
    <cellStyle name="Normal 2 20 23 3 2" xfId="24979" xr:uid="{00000000-0005-0000-0000-0000E5600000}"/>
    <cellStyle name="Normal 2 20 23 3 3" xfId="24980" xr:uid="{00000000-0005-0000-0000-0000E6600000}"/>
    <cellStyle name="Normal 2 20 23 4" xfId="24981" xr:uid="{00000000-0005-0000-0000-0000E7600000}"/>
    <cellStyle name="Normal 2 20 24" xfId="24982" xr:uid="{00000000-0005-0000-0000-0000E8600000}"/>
    <cellStyle name="Normal 2 20 24 2" xfId="24983" xr:uid="{00000000-0005-0000-0000-0000E9600000}"/>
    <cellStyle name="Normal 2 20 24 2 2" xfId="24984" xr:uid="{00000000-0005-0000-0000-0000EA600000}"/>
    <cellStyle name="Normal 2 20 24 2 3" xfId="24985" xr:uid="{00000000-0005-0000-0000-0000EB600000}"/>
    <cellStyle name="Normal 2 20 24 3" xfId="24986" xr:uid="{00000000-0005-0000-0000-0000EC600000}"/>
    <cellStyle name="Normal 2 20 24 4" xfId="24987" xr:uid="{00000000-0005-0000-0000-0000ED600000}"/>
    <cellStyle name="Normal 2 20 25" xfId="24988" xr:uid="{00000000-0005-0000-0000-0000EE600000}"/>
    <cellStyle name="Normal 2 20 25 2" xfId="24989" xr:uid="{00000000-0005-0000-0000-0000EF600000}"/>
    <cellStyle name="Normal 2 20 25 3" xfId="24990" xr:uid="{00000000-0005-0000-0000-0000F0600000}"/>
    <cellStyle name="Normal 2 20 26" xfId="24991" xr:uid="{00000000-0005-0000-0000-0000F1600000}"/>
    <cellStyle name="Normal 2 20 3" xfId="24992" xr:uid="{00000000-0005-0000-0000-0000F2600000}"/>
    <cellStyle name="Normal 2 20 3 2" xfId="24993" xr:uid="{00000000-0005-0000-0000-0000F3600000}"/>
    <cellStyle name="Normal 2 20 3 2 2" xfId="24994" xr:uid="{00000000-0005-0000-0000-0000F4600000}"/>
    <cellStyle name="Normal 2 20 3 2 2 2" xfId="24995" xr:uid="{00000000-0005-0000-0000-0000F5600000}"/>
    <cellStyle name="Normal 2 20 3 2 2 3" xfId="24996" xr:uid="{00000000-0005-0000-0000-0000F6600000}"/>
    <cellStyle name="Normal 2 20 3 2 3" xfId="24997" xr:uid="{00000000-0005-0000-0000-0000F7600000}"/>
    <cellStyle name="Normal 2 20 3 2 4" xfId="24998" xr:uid="{00000000-0005-0000-0000-0000F8600000}"/>
    <cellStyle name="Normal 2 20 3 3" xfId="24999" xr:uid="{00000000-0005-0000-0000-0000F9600000}"/>
    <cellStyle name="Normal 2 20 3 3 2" xfId="25000" xr:uid="{00000000-0005-0000-0000-0000FA600000}"/>
    <cellStyle name="Normal 2 20 3 3 3" xfId="25001" xr:uid="{00000000-0005-0000-0000-0000FB600000}"/>
    <cellStyle name="Normal 2 20 3 4" xfId="25002" xr:uid="{00000000-0005-0000-0000-0000FC600000}"/>
    <cellStyle name="Normal 2 20 4" xfId="25003" xr:uid="{00000000-0005-0000-0000-0000FD600000}"/>
    <cellStyle name="Normal 2 20 4 2" xfId="25004" xr:uid="{00000000-0005-0000-0000-0000FE600000}"/>
    <cellStyle name="Normal 2 20 4 2 2" xfId="25005" xr:uid="{00000000-0005-0000-0000-0000FF600000}"/>
    <cellStyle name="Normal 2 20 4 2 2 2" xfId="25006" xr:uid="{00000000-0005-0000-0000-000000610000}"/>
    <cellStyle name="Normal 2 20 4 2 2 3" xfId="25007" xr:uid="{00000000-0005-0000-0000-000001610000}"/>
    <cellStyle name="Normal 2 20 4 2 3" xfId="25008" xr:uid="{00000000-0005-0000-0000-000002610000}"/>
    <cellStyle name="Normal 2 20 4 2 4" xfId="25009" xr:uid="{00000000-0005-0000-0000-000003610000}"/>
    <cellStyle name="Normal 2 20 4 3" xfId="25010" xr:uid="{00000000-0005-0000-0000-000004610000}"/>
    <cellStyle name="Normal 2 20 4 3 2" xfId="25011" xr:uid="{00000000-0005-0000-0000-000005610000}"/>
    <cellStyle name="Normal 2 20 4 3 3" xfId="25012" xr:uid="{00000000-0005-0000-0000-000006610000}"/>
    <cellStyle name="Normal 2 20 4 4" xfId="25013" xr:uid="{00000000-0005-0000-0000-000007610000}"/>
    <cellStyle name="Normal 2 20 5" xfId="25014" xr:uid="{00000000-0005-0000-0000-000008610000}"/>
    <cellStyle name="Normal 2 20 5 2" xfId="25015" xr:uid="{00000000-0005-0000-0000-000009610000}"/>
    <cellStyle name="Normal 2 20 5 2 2" xfId="25016" xr:uid="{00000000-0005-0000-0000-00000A610000}"/>
    <cellStyle name="Normal 2 20 5 2 2 2" xfId="25017" xr:uid="{00000000-0005-0000-0000-00000B610000}"/>
    <cellStyle name="Normal 2 20 5 2 2 3" xfId="25018" xr:uid="{00000000-0005-0000-0000-00000C610000}"/>
    <cellStyle name="Normal 2 20 5 2 3" xfId="25019" xr:uid="{00000000-0005-0000-0000-00000D610000}"/>
    <cellStyle name="Normal 2 20 5 2 4" xfId="25020" xr:uid="{00000000-0005-0000-0000-00000E610000}"/>
    <cellStyle name="Normal 2 20 5 3" xfId="25021" xr:uid="{00000000-0005-0000-0000-00000F610000}"/>
    <cellStyle name="Normal 2 20 5 3 2" xfId="25022" xr:uid="{00000000-0005-0000-0000-000010610000}"/>
    <cellStyle name="Normal 2 20 5 3 3" xfId="25023" xr:uid="{00000000-0005-0000-0000-000011610000}"/>
    <cellStyle name="Normal 2 20 5 4" xfId="25024" xr:uid="{00000000-0005-0000-0000-000012610000}"/>
    <cellStyle name="Normal 2 20 6" xfId="25025" xr:uid="{00000000-0005-0000-0000-000013610000}"/>
    <cellStyle name="Normal 2 20 6 2" xfId="25026" xr:uid="{00000000-0005-0000-0000-000014610000}"/>
    <cellStyle name="Normal 2 20 6 2 2" xfId="25027" xr:uid="{00000000-0005-0000-0000-000015610000}"/>
    <cellStyle name="Normal 2 20 6 2 2 2" xfId="25028" xr:uid="{00000000-0005-0000-0000-000016610000}"/>
    <cellStyle name="Normal 2 20 6 2 2 3" xfId="25029" xr:uid="{00000000-0005-0000-0000-000017610000}"/>
    <cellStyle name="Normal 2 20 6 2 3" xfId="25030" xr:uid="{00000000-0005-0000-0000-000018610000}"/>
    <cellStyle name="Normal 2 20 6 2 4" xfId="25031" xr:uid="{00000000-0005-0000-0000-000019610000}"/>
    <cellStyle name="Normal 2 20 6 3" xfId="25032" xr:uid="{00000000-0005-0000-0000-00001A610000}"/>
    <cellStyle name="Normal 2 20 6 3 2" xfId="25033" xr:uid="{00000000-0005-0000-0000-00001B610000}"/>
    <cellStyle name="Normal 2 20 6 3 3" xfId="25034" xr:uid="{00000000-0005-0000-0000-00001C610000}"/>
    <cellStyle name="Normal 2 20 6 4" xfId="25035" xr:uid="{00000000-0005-0000-0000-00001D610000}"/>
    <cellStyle name="Normal 2 20 7" xfId="25036" xr:uid="{00000000-0005-0000-0000-00001E610000}"/>
    <cellStyle name="Normal 2 20 7 2" xfId="25037" xr:uid="{00000000-0005-0000-0000-00001F610000}"/>
    <cellStyle name="Normal 2 20 7 2 2" xfId="25038" xr:uid="{00000000-0005-0000-0000-000020610000}"/>
    <cellStyle name="Normal 2 20 7 2 2 2" xfId="25039" xr:uid="{00000000-0005-0000-0000-000021610000}"/>
    <cellStyle name="Normal 2 20 7 2 2 3" xfId="25040" xr:uid="{00000000-0005-0000-0000-000022610000}"/>
    <cellStyle name="Normal 2 20 7 2 3" xfId="25041" xr:uid="{00000000-0005-0000-0000-000023610000}"/>
    <cellStyle name="Normal 2 20 7 2 4" xfId="25042" xr:uid="{00000000-0005-0000-0000-000024610000}"/>
    <cellStyle name="Normal 2 20 7 3" xfId="25043" xr:uid="{00000000-0005-0000-0000-000025610000}"/>
    <cellStyle name="Normal 2 20 7 3 2" xfId="25044" xr:uid="{00000000-0005-0000-0000-000026610000}"/>
    <cellStyle name="Normal 2 20 7 3 3" xfId="25045" xr:uid="{00000000-0005-0000-0000-000027610000}"/>
    <cellStyle name="Normal 2 20 7 4" xfId="25046" xr:uid="{00000000-0005-0000-0000-000028610000}"/>
    <cellStyle name="Normal 2 20 8" xfId="25047" xr:uid="{00000000-0005-0000-0000-000029610000}"/>
    <cellStyle name="Normal 2 20 8 2" xfId="25048" xr:uid="{00000000-0005-0000-0000-00002A610000}"/>
    <cellStyle name="Normal 2 20 8 2 2" xfId="25049" xr:uid="{00000000-0005-0000-0000-00002B610000}"/>
    <cellStyle name="Normal 2 20 8 2 2 2" xfId="25050" xr:uid="{00000000-0005-0000-0000-00002C610000}"/>
    <cellStyle name="Normal 2 20 8 2 2 3" xfId="25051" xr:uid="{00000000-0005-0000-0000-00002D610000}"/>
    <cellStyle name="Normal 2 20 8 2 3" xfId="25052" xr:uid="{00000000-0005-0000-0000-00002E610000}"/>
    <cellStyle name="Normal 2 20 8 2 4" xfId="25053" xr:uid="{00000000-0005-0000-0000-00002F610000}"/>
    <cellStyle name="Normal 2 20 8 3" xfId="25054" xr:uid="{00000000-0005-0000-0000-000030610000}"/>
    <cellStyle name="Normal 2 20 8 3 2" xfId="25055" xr:uid="{00000000-0005-0000-0000-000031610000}"/>
    <cellStyle name="Normal 2 20 8 3 3" xfId="25056" xr:uid="{00000000-0005-0000-0000-000032610000}"/>
    <cellStyle name="Normal 2 20 8 4" xfId="25057" xr:uid="{00000000-0005-0000-0000-000033610000}"/>
    <cellStyle name="Normal 2 20 9" xfId="25058" xr:uid="{00000000-0005-0000-0000-000034610000}"/>
    <cellStyle name="Normal 2 20 9 2" xfId="25059" xr:uid="{00000000-0005-0000-0000-000035610000}"/>
    <cellStyle name="Normal 2 20 9 2 2" xfId="25060" xr:uid="{00000000-0005-0000-0000-000036610000}"/>
    <cellStyle name="Normal 2 20 9 2 2 2" xfId="25061" xr:uid="{00000000-0005-0000-0000-000037610000}"/>
    <cellStyle name="Normal 2 20 9 2 2 3" xfId="25062" xr:uid="{00000000-0005-0000-0000-000038610000}"/>
    <cellStyle name="Normal 2 20 9 2 3" xfId="25063" xr:uid="{00000000-0005-0000-0000-000039610000}"/>
    <cellStyle name="Normal 2 20 9 2 4" xfId="25064" xr:uid="{00000000-0005-0000-0000-00003A610000}"/>
    <cellStyle name="Normal 2 20 9 3" xfId="25065" xr:uid="{00000000-0005-0000-0000-00003B610000}"/>
    <cellStyle name="Normal 2 20 9 3 2" xfId="25066" xr:uid="{00000000-0005-0000-0000-00003C610000}"/>
    <cellStyle name="Normal 2 20 9 3 3" xfId="25067" xr:uid="{00000000-0005-0000-0000-00003D610000}"/>
    <cellStyle name="Normal 2 20 9 4" xfId="25068" xr:uid="{00000000-0005-0000-0000-00003E610000}"/>
    <cellStyle name="Normal 2 21" xfId="25069" xr:uid="{00000000-0005-0000-0000-00003F610000}"/>
    <cellStyle name="Normal 2 21 10" xfId="25070" xr:uid="{00000000-0005-0000-0000-000040610000}"/>
    <cellStyle name="Normal 2 21 10 2" xfId="25071" xr:uid="{00000000-0005-0000-0000-000041610000}"/>
    <cellStyle name="Normal 2 21 10 2 2" xfId="25072" xr:uid="{00000000-0005-0000-0000-000042610000}"/>
    <cellStyle name="Normal 2 21 10 2 2 2" xfId="25073" xr:uid="{00000000-0005-0000-0000-000043610000}"/>
    <cellStyle name="Normal 2 21 10 2 2 3" xfId="25074" xr:uid="{00000000-0005-0000-0000-000044610000}"/>
    <cellStyle name="Normal 2 21 10 2 3" xfId="25075" xr:uid="{00000000-0005-0000-0000-000045610000}"/>
    <cellStyle name="Normal 2 21 10 2 4" xfId="25076" xr:uid="{00000000-0005-0000-0000-000046610000}"/>
    <cellStyle name="Normal 2 21 10 3" xfId="25077" xr:uid="{00000000-0005-0000-0000-000047610000}"/>
    <cellStyle name="Normal 2 21 10 3 2" xfId="25078" xr:uid="{00000000-0005-0000-0000-000048610000}"/>
    <cellStyle name="Normal 2 21 10 3 3" xfId="25079" xr:uid="{00000000-0005-0000-0000-000049610000}"/>
    <cellStyle name="Normal 2 21 10 4" xfId="25080" xr:uid="{00000000-0005-0000-0000-00004A610000}"/>
    <cellStyle name="Normal 2 21 11" xfId="25081" xr:uid="{00000000-0005-0000-0000-00004B610000}"/>
    <cellStyle name="Normal 2 21 11 2" xfId="25082" xr:uid="{00000000-0005-0000-0000-00004C610000}"/>
    <cellStyle name="Normal 2 21 11 2 2" xfId="25083" xr:uid="{00000000-0005-0000-0000-00004D610000}"/>
    <cellStyle name="Normal 2 21 11 2 2 2" xfId="25084" xr:uid="{00000000-0005-0000-0000-00004E610000}"/>
    <cellStyle name="Normal 2 21 11 2 2 3" xfId="25085" xr:uid="{00000000-0005-0000-0000-00004F610000}"/>
    <cellStyle name="Normal 2 21 11 2 3" xfId="25086" xr:uid="{00000000-0005-0000-0000-000050610000}"/>
    <cellStyle name="Normal 2 21 11 2 4" xfId="25087" xr:uid="{00000000-0005-0000-0000-000051610000}"/>
    <cellStyle name="Normal 2 21 11 3" xfId="25088" xr:uid="{00000000-0005-0000-0000-000052610000}"/>
    <cellStyle name="Normal 2 21 11 3 2" xfId="25089" xr:uid="{00000000-0005-0000-0000-000053610000}"/>
    <cellStyle name="Normal 2 21 11 3 3" xfId="25090" xr:uid="{00000000-0005-0000-0000-000054610000}"/>
    <cellStyle name="Normal 2 21 11 4" xfId="25091" xr:uid="{00000000-0005-0000-0000-000055610000}"/>
    <cellStyle name="Normal 2 21 12" xfId="25092" xr:uid="{00000000-0005-0000-0000-000056610000}"/>
    <cellStyle name="Normal 2 21 12 2" xfId="25093" xr:uid="{00000000-0005-0000-0000-000057610000}"/>
    <cellStyle name="Normal 2 21 12 2 2" xfId="25094" xr:uid="{00000000-0005-0000-0000-000058610000}"/>
    <cellStyle name="Normal 2 21 12 2 2 2" xfId="25095" xr:uid="{00000000-0005-0000-0000-000059610000}"/>
    <cellStyle name="Normal 2 21 12 2 2 3" xfId="25096" xr:uid="{00000000-0005-0000-0000-00005A610000}"/>
    <cellStyle name="Normal 2 21 12 2 3" xfId="25097" xr:uid="{00000000-0005-0000-0000-00005B610000}"/>
    <cellStyle name="Normal 2 21 12 2 4" xfId="25098" xr:uid="{00000000-0005-0000-0000-00005C610000}"/>
    <cellStyle name="Normal 2 21 12 3" xfId="25099" xr:uid="{00000000-0005-0000-0000-00005D610000}"/>
    <cellStyle name="Normal 2 21 12 3 2" xfId="25100" xr:uid="{00000000-0005-0000-0000-00005E610000}"/>
    <cellStyle name="Normal 2 21 12 3 3" xfId="25101" xr:uid="{00000000-0005-0000-0000-00005F610000}"/>
    <cellStyle name="Normal 2 21 12 4" xfId="25102" xr:uid="{00000000-0005-0000-0000-000060610000}"/>
    <cellStyle name="Normal 2 21 13" xfId="25103" xr:uid="{00000000-0005-0000-0000-000061610000}"/>
    <cellStyle name="Normal 2 21 13 2" xfId="25104" xr:uid="{00000000-0005-0000-0000-000062610000}"/>
    <cellStyle name="Normal 2 21 13 2 2" xfId="25105" xr:uid="{00000000-0005-0000-0000-000063610000}"/>
    <cellStyle name="Normal 2 21 13 2 2 2" xfId="25106" xr:uid="{00000000-0005-0000-0000-000064610000}"/>
    <cellStyle name="Normal 2 21 13 2 2 3" xfId="25107" xr:uid="{00000000-0005-0000-0000-000065610000}"/>
    <cellStyle name="Normal 2 21 13 2 3" xfId="25108" xr:uid="{00000000-0005-0000-0000-000066610000}"/>
    <cellStyle name="Normal 2 21 13 2 4" xfId="25109" xr:uid="{00000000-0005-0000-0000-000067610000}"/>
    <cellStyle name="Normal 2 21 13 3" xfId="25110" xr:uid="{00000000-0005-0000-0000-000068610000}"/>
    <cellStyle name="Normal 2 21 13 3 2" xfId="25111" xr:uid="{00000000-0005-0000-0000-000069610000}"/>
    <cellStyle name="Normal 2 21 13 3 3" xfId="25112" xr:uid="{00000000-0005-0000-0000-00006A610000}"/>
    <cellStyle name="Normal 2 21 13 4" xfId="25113" xr:uid="{00000000-0005-0000-0000-00006B610000}"/>
    <cellStyle name="Normal 2 21 14" xfId="25114" xr:uid="{00000000-0005-0000-0000-00006C610000}"/>
    <cellStyle name="Normal 2 21 14 2" xfId="25115" xr:uid="{00000000-0005-0000-0000-00006D610000}"/>
    <cellStyle name="Normal 2 21 14 2 2" xfId="25116" xr:uid="{00000000-0005-0000-0000-00006E610000}"/>
    <cellStyle name="Normal 2 21 14 2 2 2" xfId="25117" xr:uid="{00000000-0005-0000-0000-00006F610000}"/>
    <cellStyle name="Normal 2 21 14 2 2 3" xfId="25118" xr:uid="{00000000-0005-0000-0000-000070610000}"/>
    <cellStyle name="Normal 2 21 14 2 3" xfId="25119" xr:uid="{00000000-0005-0000-0000-000071610000}"/>
    <cellStyle name="Normal 2 21 14 2 4" xfId="25120" xr:uid="{00000000-0005-0000-0000-000072610000}"/>
    <cellStyle name="Normal 2 21 14 3" xfId="25121" xr:uid="{00000000-0005-0000-0000-000073610000}"/>
    <cellStyle name="Normal 2 21 14 3 2" xfId="25122" xr:uid="{00000000-0005-0000-0000-000074610000}"/>
    <cellStyle name="Normal 2 21 14 3 3" xfId="25123" xr:uid="{00000000-0005-0000-0000-000075610000}"/>
    <cellStyle name="Normal 2 21 14 4" xfId="25124" xr:uid="{00000000-0005-0000-0000-000076610000}"/>
    <cellStyle name="Normal 2 21 15" xfId="25125" xr:uid="{00000000-0005-0000-0000-000077610000}"/>
    <cellStyle name="Normal 2 21 15 2" xfId="25126" xr:uid="{00000000-0005-0000-0000-000078610000}"/>
    <cellStyle name="Normal 2 21 15 2 2" xfId="25127" xr:uid="{00000000-0005-0000-0000-000079610000}"/>
    <cellStyle name="Normal 2 21 15 2 2 2" xfId="25128" xr:uid="{00000000-0005-0000-0000-00007A610000}"/>
    <cellStyle name="Normal 2 21 15 2 2 3" xfId="25129" xr:uid="{00000000-0005-0000-0000-00007B610000}"/>
    <cellStyle name="Normal 2 21 15 2 3" xfId="25130" xr:uid="{00000000-0005-0000-0000-00007C610000}"/>
    <cellStyle name="Normal 2 21 15 2 4" xfId="25131" xr:uid="{00000000-0005-0000-0000-00007D610000}"/>
    <cellStyle name="Normal 2 21 15 3" xfId="25132" xr:uid="{00000000-0005-0000-0000-00007E610000}"/>
    <cellStyle name="Normal 2 21 15 3 2" xfId="25133" xr:uid="{00000000-0005-0000-0000-00007F610000}"/>
    <cellStyle name="Normal 2 21 15 3 3" xfId="25134" xr:uid="{00000000-0005-0000-0000-000080610000}"/>
    <cellStyle name="Normal 2 21 15 4" xfId="25135" xr:uid="{00000000-0005-0000-0000-000081610000}"/>
    <cellStyle name="Normal 2 21 16" xfId="25136" xr:uid="{00000000-0005-0000-0000-000082610000}"/>
    <cellStyle name="Normal 2 21 16 2" xfId="25137" xr:uid="{00000000-0005-0000-0000-000083610000}"/>
    <cellStyle name="Normal 2 21 16 2 2" xfId="25138" xr:uid="{00000000-0005-0000-0000-000084610000}"/>
    <cellStyle name="Normal 2 21 16 2 2 2" xfId="25139" xr:uid="{00000000-0005-0000-0000-000085610000}"/>
    <cellStyle name="Normal 2 21 16 2 2 3" xfId="25140" xr:uid="{00000000-0005-0000-0000-000086610000}"/>
    <cellStyle name="Normal 2 21 16 2 3" xfId="25141" xr:uid="{00000000-0005-0000-0000-000087610000}"/>
    <cellStyle name="Normal 2 21 16 2 4" xfId="25142" xr:uid="{00000000-0005-0000-0000-000088610000}"/>
    <cellStyle name="Normal 2 21 16 3" xfId="25143" xr:uid="{00000000-0005-0000-0000-000089610000}"/>
    <cellStyle name="Normal 2 21 16 3 2" xfId="25144" xr:uid="{00000000-0005-0000-0000-00008A610000}"/>
    <cellStyle name="Normal 2 21 16 3 3" xfId="25145" xr:uid="{00000000-0005-0000-0000-00008B610000}"/>
    <cellStyle name="Normal 2 21 16 4" xfId="25146" xr:uid="{00000000-0005-0000-0000-00008C610000}"/>
    <cellStyle name="Normal 2 21 17" xfId="25147" xr:uid="{00000000-0005-0000-0000-00008D610000}"/>
    <cellStyle name="Normal 2 21 17 2" xfId="25148" xr:uid="{00000000-0005-0000-0000-00008E610000}"/>
    <cellStyle name="Normal 2 21 17 2 2" xfId="25149" xr:uid="{00000000-0005-0000-0000-00008F610000}"/>
    <cellStyle name="Normal 2 21 17 2 2 2" xfId="25150" xr:uid="{00000000-0005-0000-0000-000090610000}"/>
    <cellStyle name="Normal 2 21 17 2 2 3" xfId="25151" xr:uid="{00000000-0005-0000-0000-000091610000}"/>
    <cellStyle name="Normal 2 21 17 2 3" xfId="25152" xr:uid="{00000000-0005-0000-0000-000092610000}"/>
    <cellStyle name="Normal 2 21 17 2 4" xfId="25153" xr:uid="{00000000-0005-0000-0000-000093610000}"/>
    <cellStyle name="Normal 2 21 17 3" xfId="25154" xr:uid="{00000000-0005-0000-0000-000094610000}"/>
    <cellStyle name="Normal 2 21 17 3 2" xfId="25155" xr:uid="{00000000-0005-0000-0000-000095610000}"/>
    <cellStyle name="Normal 2 21 17 3 3" xfId="25156" xr:uid="{00000000-0005-0000-0000-000096610000}"/>
    <cellStyle name="Normal 2 21 17 4" xfId="25157" xr:uid="{00000000-0005-0000-0000-000097610000}"/>
    <cellStyle name="Normal 2 21 18" xfId="25158" xr:uid="{00000000-0005-0000-0000-000098610000}"/>
    <cellStyle name="Normal 2 21 18 2" xfId="25159" xr:uid="{00000000-0005-0000-0000-000099610000}"/>
    <cellStyle name="Normal 2 21 18 2 2" xfId="25160" xr:uid="{00000000-0005-0000-0000-00009A610000}"/>
    <cellStyle name="Normal 2 21 18 2 2 2" xfId="25161" xr:uid="{00000000-0005-0000-0000-00009B610000}"/>
    <cellStyle name="Normal 2 21 18 2 2 3" xfId="25162" xr:uid="{00000000-0005-0000-0000-00009C610000}"/>
    <cellStyle name="Normal 2 21 18 2 3" xfId="25163" xr:uid="{00000000-0005-0000-0000-00009D610000}"/>
    <cellStyle name="Normal 2 21 18 2 4" xfId="25164" xr:uid="{00000000-0005-0000-0000-00009E610000}"/>
    <cellStyle name="Normal 2 21 18 3" xfId="25165" xr:uid="{00000000-0005-0000-0000-00009F610000}"/>
    <cellStyle name="Normal 2 21 18 3 2" xfId="25166" xr:uid="{00000000-0005-0000-0000-0000A0610000}"/>
    <cellStyle name="Normal 2 21 18 3 3" xfId="25167" xr:uid="{00000000-0005-0000-0000-0000A1610000}"/>
    <cellStyle name="Normal 2 21 18 4" xfId="25168" xr:uid="{00000000-0005-0000-0000-0000A2610000}"/>
    <cellStyle name="Normal 2 21 19" xfId="25169" xr:uid="{00000000-0005-0000-0000-0000A3610000}"/>
    <cellStyle name="Normal 2 21 19 2" xfId="25170" xr:uid="{00000000-0005-0000-0000-0000A4610000}"/>
    <cellStyle name="Normal 2 21 19 2 2" xfId="25171" xr:uid="{00000000-0005-0000-0000-0000A5610000}"/>
    <cellStyle name="Normal 2 21 19 2 2 2" xfId="25172" xr:uid="{00000000-0005-0000-0000-0000A6610000}"/>
    <cellStyle name="Normal 2 21 19 2 2 3" xfId="25173" xr:uid="{00000000-0005-0000-0000-0000A7610000}"/>
    <cellStyle name="Normal 2 21 19 2 3" xfId="25174" xr:uid="{00000000-0005-0000-0000-0000A8610000}"/>
    <cellStyle name="Normal 2 21 19 2 4" xfId="25175" xr:uid="{00000000-0005-0000-0000-0000A9610000}"/>
    <cellStyle name="Normal 2 21 19 3" xfId="25176" xr:uid="{00000000-0005-0000-0000-0000AA610000}"/>
    <cellStyle name="Normal 2 21 19 3 2" xfId="25177" xr:uid="{00000000-0005-0000-0000-0000AB610000}"/>
    <cellStyle name="Normal 2 21 19 3 3" xfId="25178" xr:uid="{00000000-0005-0000-0000-0000AC610000}"/>
    <cellStyle name="Normal 2 21 19 4" xfId="25179" xr:uid="{00000000-0005-0000-0000-0000AD610000}"/>
    <cellStyle name="Normal 2 21 2" xfId="25180" xr:uid="{00000000-0005-0000-0000-0000AE610000}"/>
    <cellStyle name="Normal 2 21 2 2" xfId="25181" xr:uid="{00000000-0005-0000-0000-0000AF610000}"/>
    <cellStyle name="Normal 2 21 2 2 2" xfId="25182" xr:uid="{00000000-0005-0000-0000-0000B0610000}"/>
    <cellStyle name="Normal 2 21 2 2 2 2" xfId="25183" xr:uid="{00000000-0005-0000-0000-0000B1610000}"/>
    <cellStyle name="Normal 2 21 2 2 2 3" xfId="25184" xr:uid="{00000000-0005-0000-0000-0000B2610000}"/>
    <cellStyle name="Normal 2 21 2 2 3" xfId="25185" xr:uid="{00000000-0005-0000-0000-0000B3610000}"/>
    <cellStyle name="Normal 2 21 2 2 4" xfId="25186" xr:uid="{00000000-0005-0000-0000-0000B4610000}"/>
    <cellStyle name="Normal 2 21 2 3" xfId="25187" xr:uid="{00000000-0005-0000-0000-0000B5610000}"/>
    <cellStyle name="Normal 2 21 2 3 2" xfId="25188" xr:uid="{00000000-0005-0000-0000-0000B6610000}"/>
    <cellStyle name="Normal 2 21 2 3 3" xfId="25189" xr:uid="{00000000-0005-0000-0000-0000B7610000}"/>
    <cellStyle name="Normal 2 21 2 4" xfId="25190" xr:uid="{00000000-0005-0000-0000-0000B8610000}"/>
    <cellStyle name="Normal 2 21 20" xfId="25191" xr:uid="{00000000-0005-0000-0000-0000B9610000}"/>
    <cellStyle name="Normal 2 21 20 2" xfId="25192" xr:uid="{00000000-0005-0000-0000-0000BA610000}"/>
    <cellStyle name="Normal 2 21 20 2 2" xfId="25193" xr:uid="{00000000-0005-0000-0000-0000BB610000}"/>
    <cellStyle name="Normal 2 21 20 2 2 2" xfId="25194" xr:uid="{00000000-0005-0000-0000-0000BC610000}"/>
    <cellStyle name="Normal 2 21 20 2 2 3" xfId="25195" xr:uid="{00000000-0005-0000-0000-0000BD610000}"/>
    <cellStyle name="Normal 2 21 20 2 3" xfId="25196" xr:uid="{00000000-0005-0000-0000-0000BE610000}"/>
    <cellStyle name="Normal 2 21 20 2 4" xfId="25197" xr:uid="{00000000-0005-0000-0000-0000BF610000}"/>
    <cellStyle name="Normal 2 21 20 3" xfId="25198" xr:uid="{00000000-0005-0000-0000-0000C0610000}"/>
    <cellStyle name="Normal 2 21 20 3 2" xfId="25199" xr:uid="{00000000-0005-0000-0000-0000C1610000}"/>
    <cellStyle name="Normal 2 21 20 3 3" xfId="25200" xr:uid="{00000000-0005-0000-0000-0000C2610000}"/>
    <cellStyle name="Normal 2 21 20 4" xfId="25201" xr:uid="{00000000-0005-0000-0000-0000C3610000}"/>
    <cellStyle name="Normal 2 21 21" xfId="25202" xr:uid="{00000000-0005-0000-0000-0000C4610000}"/>
    <cellStyle name="Normal 2 21 21 2" xfId="25203" xr:uid="{00000000-0005-0000-0000-0000C5610000}"/>
    <cellStyle name="Normal 2 21 21 2 2" xfId="25204" xr:uid="{00000000-0005-0000-0000-0000C6610000}"/>
    <cellStyle name="Normal 2 21 21 2 2 2" xfId="25205" xr:uid="{00000000-0005-0000-0000-0000C7610000}"/>
    <cellStyle name="Normal 2 21 21 2 2 3" xfId="25206" xr:uid="{00000000-0005-0000-0000-0000C8610000}"/>
    <cellStyle name="Normal 2 21 21 2 3" xfId="25207" xr:uid="{00000000-0005-0000-0000-0000C9610000}"/>
    <cellStyle name="Normal 2 21 21 2 4" xfId="25208" xr:uid="{00000000-0005-0000-0000-0000CA610000}"/>
    <cellStyle name="Normal 2 21 21 3" xfId="25209" xr:uid="{00000000-0005-0000-0000-0000CB610000}"/>
    <cellStyle name="Normal 2 21 21 3 2" xfId="25210" xr:uid="{00000000-0005-0000-0000-0000CC610000}"/>
    <cellStyle name="Normal 2 21 21 3 3" xfId="25211" xr:uid="{00000000-0005-0000-0000-0000CD610000}"/>
    <cellStyle name="Normal 2 21 21 4" xfId="25212" xr:uid="{00000000-0005-0000-0000-0000CE610000}"/>
    <cellStyle name="Normal 2 21 22" xfId="25213" xr:uid="{00000000-0005-0000-0000-0000CF610000}"/>
    <cellStyle name="Normal 2 21 22 2" xfId="25214" xr:uid="{00000000-0005-0000-0000-0000D0610000}"/>
    <cellStyle name="Normal 2 21 22 2 2" xfId="25215" xr:uid="{00000000-0005-0000-0000-0000D1610000}"/>
    <cellStyle name="Normal 2 21 22 2 2 2" xfId="25216" xr:uid="{00000000-0005-0000-0000-0000D2610000}"/>
    <cellStyle name="Normal 2 21 22 2 2 3" xfId="25217" xr:uid="{00000000-0005-0000-0000-0000D3610000}"/>
    <cellStyle name="Normal 2 21 22 2 3" xfId="25218" xr:uid="{00000000-0005-0000-0000-0000D4610000}"/>
    <cellStyle name="Normal 2 21 22 2 4" xfId="25219" xr:uid="{00000000-0005-0000-0000-0000D5610000}"/>
    <cellStyle name="Normal 2 21 22 3" xfId="25220" xr:uid="{00000000-0005-0000-0000-0000D6610000}"/>
    <cellStyle name="Normal 2 21 22 3 2" xfId="25221" xr:uid="{00000000-0005-0000-0000-0000D7610000}"/>
    <cellStyle name="Normal 2 21 22 3 3" xfId="25222" xr:uid="{00000000-0005-0000-0000-0000D8610000}"/>
    <cellStyle name="Normal 2 21 22 4" xfId="25223" xr:uid="{00000000-0005-0000-0000-0000D9610000}"/>
    <cellStyle name="Normal 2 21 23" xfId="25224" xr:uid="{00000000-0005-0000-0000-0000DA610000}"/>
    <cellStyle name="Normal 2 21 23 2" xfId="25225" xr:uid="{00000000-0005-0000-0000-0000DB610000}"/>
    <cellStyle name="Normal 2 21 23 2 2" xfId="25226" xr:uid="{00000000-0005-0000-0000-0000DC610000}"/>
    <cellStyle name="Normal 2 21 23 2 2 2" xfId="25227" xr:uid="{00000000-0005-0000-0000-0000DD610000}"/>
    <cellStyle name="Normal 2 21 23 2 2 3" xfId="25228" xr:uid="{00000000-0005-0000-0000-0000DE610000}"/>
    <cellStyle name="Normal 2 21 23 2 3" xfId="25229" xr:uid="{00000000-0005-0000-0000-0000DF610000}"/>
    <cellStyle name="Normal 2 21 23 2 4" xfId="25230" xr:uid="{00000000-0005-0000-0000-0000E0610000}"/>
    <cellStyle name="Normal 2 21 23 3" xfId="25231" xr:uid="{00000000-0005-0000-0000-0000E1610000}"/>
    <cellStyle name="Normal 2 21 23 3 2" xfId="25232" xr:uid="{00000000-0005-0000-0000-0000E2610000}"/>
    <cellStyle name="Normal 2 21 23 3 3" xfId="25233" xr:uid="{00000000-0005-0000-0000-0000E3610000}"/>
    <cellStyle name="Normal 2 21 23 4" xfId="25234" xr:uid="{00000000-0005-0000-0000-0000E4610000}"/>
    <cellStyle name="Normal 2 21 24" xfId="25235" xr:uid="{00000000-0005-0000-0000-0000E5610000}"/>
    <cellStyle name="Normal 2 21 24 2" xfId="25236" xr:uid="{00000000-0005-0000-0000-0000E6610000}"/>
    <cellStyle name="Normal 2 21 24 2 2" xfId="25237" xr:uid="{00000000-0005-0000-0000-0000E7610000}"/>
    <cellStyle name="Normal 2 21 24 2 3" xfId="25238" xr:uid="{00000000-0005-0000-0000-0000E8610000}"/>
    <cellStyle name="Normal 2 21 24 3" xfId="25239" xr:uid="{00000000-0005-0000-0000-0000E9610000}"/>
    <cellStyle name="Normal 2 21 24 4" xfId="25240" xr:uid="{00000000-0005-0000-0000-0000EA610000}"/>
    <cellStyle name="Normal 2 21 25" xfId="25241" xr:uid="{00000000-0005-0000-0000-0000EB610000}"/>
    <cellStyle name="Normal 2 21 25 2" xfId="25242" xr:uid="{00000000-0005-0000-0000-0000EC610000}"/>
    <cellStyle name="Normal 2 21 25 3" xfId="25243" xr:uid="{00000000-0005-0000-0000-0000ED610000}"/>
    <cellStyle name="Normal 2 21 26" xfId="25244" xr:uid="{00000000-0005-0000-0000-0000EE610000}"/>
    <cellStyle name="Normal 2 21 3" xfId="25245" xr:uid="{00000000-0005-0000-0000-0000EF610000}"/>
    <cellStyle name="Normal 2 21 3 2" xfId="25246" xr:uid="{00000000-0005-0000-0000-0000F0610000}"/>
    <cellStyle name="Normal 2 21 3 2 2" xfId="25247" xr:uid="{00000000-0005-0000-0000-0000F1610000}"/>
    <cellStyle name="Normal 2 21 3 2 2 2" xfId="25248" xr:uid="{00000000-0005-0000-0000-0000F2610000}"/>
    <cellStyle name="Normal 2 21 3 2 2 3" xfId="25249" xr:uid="{00000000-0005-0000-0000-0000F3610000}"/>
    <cellStyle name="Normal 2 21 3 2 3" xfId="25250" xr:uid="{00000000-0005-0000-0000-0000F4610000}"/>
    <cellStyle name="Normal 2 21 3 2 4" xfId="25251" xr:uid="{00000000-0005-0000-0000-0000F5610000}"/>
    <cellStyle name="Normal 2 21 3 3" xfId="25252" xr:uid="{00000000-0005-0000-0000-0000F6610000}"/>
    <cellStyle name="Normal 2 21 3 3 2" xfId="25253" xr:uid="{00000000-0005-0000-0000-0000F7610000}"/>
    <cellStyle name="Normal 2 21 3 3 3" xfId="25254" xr:uid="{00000000-0005-0000-0000-0000F8610000}"/>
    <cellStyle name="Normal 2 21 3 4" xfId="25255" xr:uid="{00000000-0005-0000-0000-0000F9610000}"/>
    <cellStyle name="Normal 2 21 4" xfId="25256" xr:uid="{00000000-0005-0000-0000-0000FA610000}"/>
    <cellStyle name="Normal 2 21 4 2" xfId="25257" xr:uid="{00000000-0005-0000-0000-0000FB610000}"/>
    <cellStyle name="Normal 2 21 4 2 2" xfId="25258" xr:uid="{00000000-0005-0000-0000-0000FC610000}"/>
    <cellStyle name="Normal 2 21 4 2 2 2" xfId="25259" xr:uid="{00000000-0005-0000-0000-0000FD610000}"/>
    <cellStyle name="Normal 2 21 4 2 2 3" xfId="25260" xr:uid="{00000000-0005-0000-0000-0000FE610000}"/>
    <cellStyle name="Normal 2 21 4 2 3" xfId="25261" xr:uid="{00000000-0005-0000-0000-0000FF610000}"/>
    <cellStyle name="Normal 2 21 4 2 4" xfId="25262" xr:uid="{00000000-0005-0000-0000-000000620000}"/>
    <cellStyle name="Normal 2 21 4 3" xfId="25263" xr:uid="{00000000-0005-0000-0000-000001620000}"/>
    <cellStyle name="Normal 2 21 4 3 2" xfId="25264" xr:uid="{00000000-0005-0000-0000-000002620000}"/>
    <cellStyle name="Normal 2 21 4 3 3" xfId="25265" xr:uid="{00000000-0005-0000-0000-000003620000}"/>
    <cellStyle name="Normal 2 21 4 4" xfId="25266" xr:uid="{00000000-0005-0000-0000-000004620000}"/>
    <cellStyle name="Normal 2 21 5" xfId="25267" xr:uid="{00000000-0005-0000-0000-000005620000}"/>
    <cellStyle name="Normal 2 21 5 2" xfId="25268" xr:uid="{00000000-0005-0000-0000-000006620000}"/>
    <cellStyle name="Normal 2 21 5 2 2" xfId="25269" xr:uid="{00000000-0005-0000-0000-000007620000}"/>
    <cellStyle name="Normal 2 21 5 2 2 2" xfId="25270" xr:uid="{00000000-0005-0000-0000-000008620000}"/>
    <cellStyle name="Normal 2 21 5 2 2 3" xfId="25271" xr:uid="{00000000-0005-0000-0000-000009620000}"/>
    <cellStyle name="Normal 2 21 5 2 3" xfId="25272" xr:uid="{00000000-0005-0000-0000-00000A620000}"/>
    <cellStyle name="Normal 2 21 5 2 4" xfId="25273" xr:uid="{00000000-0005-0000-0000-00000B620000}"/>
    <cellStyle name="Normal 2 21 5 3" xfId="25274" xr:uid="{00000000-0005-0000-0000-00000C620000}"/>
    <cellStyle name="Normal 2 21 5 3 2" xfId="25275" xr:uid="{00000000-0005-0000-0000-00000D620000}"/>
    <cellStyle name="Normal 2 21 5 3 3" xfId="25276" xr:uid="{00000000-0005-0000-0000-00000E620000}"/>
    <cellStyle name="Normal 2 21 5 4" xfId="25277" xr:uid="{00000000-0005-0000-0000-00000F620000}"/>
    <cellStyle name="Normal 2 21 6" xfId="25278" xr:uid="{00000000-0005-0000-0000-000010620000}"/>
    <cellStyle name="Normal 2 21 6 2" xfId="25279" xr:uid="{00000000-0005-0000-0000-000011620000}"/>
    <cellStyle name="Normal 2 21 6 2 2" xfId="25280" xr:uid="{00000000-0005-0000-0000-000012620000}"/>
    <cellStyle name="Normal 2 21 6 2 2 2" xfId="25281" xr:uid="{00000000-0005-0000-0000-000013620000}"/>
    <cellStyle name="Normal 2 21 6 2 2 3" xfId="25282" xr:uid="{00000000-0005-0000-0000-000014620000}"/>
    <cellStyle name="Normal 2 21 6 2 3" xfId="25283" xr:uid="{00000000-0005-0000-0000-000015620000}"/>
    <cellStyle name="Normal 2 21 6 2 4" xfId="25284" xr:uid="{00000000-0005-0000-0000-000016620000}"/>
    <cellStyle name="Normal 2 21 6 3" xfId="25285" xr:uid="{00000000-0005-0000-0000-000017620000}"/>
    <cellStyle name="Normal 2 21 6 3 2" xfId="25286" xr:uid="{00000000-0005-0000-0000-000018620000}"/>
    <cellStyle name="Normal 2 21 6 3 3" xfId="25287" xr:uid="{00000000-0005-0000-0000-000019620000}"/>
    <cellStyle name="Normal 2 21 6 4" xfId="25288" xr:uid="{00000000-0005-0000-0000-00001A620000}"/>
    <cellStyle name="Normal 2 21 7" xfId="25289" xr:uid="{00000000-0005-0000-0000-00001B620000}"/>
    <cellStyle name="Normal 2 21 7 2" xfId="25290" xr:uid="{00000000-0005-0000-0000-00001C620000}"/>
    <cellStyle name="Normal 2 21 7 2 2" xfId="25291" xr:uid="{00000000-0005-0000-0000-00001D620000}"/>
    <cellStyle name="Normal 2 21 7 2 2 2" xfId="25292" xr:uid="{00000000-0005-0000-0000-00001E620000}"/>
    <cellStyle name="Normal 2 21 7 2 2 3" xfId="25293" xr:uid="{00000000-0005-0000-0000-00001F620000}"/>
    <cellStyle name="Normal 2 21 7 2 3" xfId="25294" xr:uid="{00000000-0005-0000-0000-000020620000}"/>
    <cellStyle name="Normal 2 21 7 2 4" xfId="25295" xr:uid="{00000000-0005-0000-0000-000021620000}"/>
    <cellStyle name="Normal 2 21 7 3" xfId="25296" xr:uid="{00000000-0005-0000-0000-000022620000}"/>
    <cellStyle name="Normal 2 21 7 3 2" xfId="25297" xr:uid="{00000000-0005-0000-0000-000023620000}"/>
    <cellStyle name="Normal 2 21 7 3 3" xfId="25298" xr:uid="{00000000-0005-0000-0000-000024620000}"/>
    <cellStyle name="Normal 2 21 7 4" xfId="25299" xr:uid="{00000000-0005-0000-0000-000025620000}"/>
    <cellStyle name="Normal 2 21 8" xfId="25300" xr:uid="{00000000-0005-0000-0000-000026620000}"/>
    <cellStyle name="Normal 2 21 8 2" xfId="25301" xr:uid="{00000000-0005-0000-0000-000027620000}"/>
    <cellStyle name="Normal 2 21 8 2 2" xfId="25302" xr:uid="{00000000-0005-0000-0000-000028620000}"/>
    <cellStyle name="Normal 2 21 8 2 2 2" xfId="25303" xr:uid="{00000000-0005-0000-0000-000029620000}"/>
    <cellStyle name="Normal 2 21 8 2 2 3" xfId="25304" xr:uid="{00000000-0005-0000-0000-00002A620000}"/>
    <cellStyle name="Normal 2 21 8 2 3" xfId="25305" xr:uid="{00000000-0005-0000-0000-00002B620000}"/>
    <cellStyle name="Normal 2 21 8 2 4" xfId="25306" xr:uid="{00000000-0005-0000-0000-00002C620000}"/>
    <cellStyle name="Normal 2 21 8 3" xfId="25307" xr:uid="{00000000-0005-0000-0000-00002D620000}"/>
    <cellStyle name="Normal 2 21 8 3 2" xfId="25308" xr:uid="{00000000-0005-0000-0000-00002E620000}"/>
    <cellStyle name="Normal 2 21 8 3 3" xfId="25309" xr:uid="{00000000-0005-0000-0000-00002F620000}"/>
    <cellStyle name="Normal 2 21 8 4" xfId="25310" xr:uid="{00000000-0005-0000-0000-000030620000}"/>
    <cellStyle name="Normal 2 21 9" xfId="25311" xr:uid="{00000000-0005-0000-0000-000031620000}"/>
    <cellStyle name="Normal 2 21 9 2" xfId="25312" xr:uid="{00000000-0005-0000-0000-000032620000}"/>
    <cellStyle name="Normal 2 21 9 2 2" xfId="25313" xr:uid="{00000000-0005-0000-0000-000033620000}"/>
    <cellStyle name="Normal 2 21 9 2 2 2" xfId="25314" xr:uid="{00000000-0005-0000-0000-000034620000}"/>
    <cellStyle name="Normal 2 21 9 2 2 3" xfId="25315" xr:uid="{00000000-0005-0000-0000-000035620000}"/>
    <cellStyle name="Normal 2 21 9 2 3" xfId="25316" xr:uid="{00000000-0005-0000-0000-000036620000}"/>
    <cellStyle name="Normal 2 21 9 2 4" xfId="25317" xr:uid="{00000000-0005-0000-0000-000037620000}"/>
    <cellStyle name="Normal 2 21 9 3" xfId="25318" xr:uid="{00000000-0005-0000-0000-000038620000}"/>
    <cellStyle name="Normal 2 21 9 3 2" xfId="25319" xr:uid="{00000000-0005-0000-0000-000039620000}"/>
    <cellStyle name="Normal 2 21 9 3 3" xfId="25320" xr:uid="{00000000-0005-0000-0000-00003A620000}"/>
    <cellStyle name="Normal 2 21 9 4" xfId="25321" xr:uid="{00000000-0005-0000-0000-00003B620000}"/>
    <cellStyle name="Normal 2 22" xfId="25322" xr:uid="{00000000-0005-0000-0000-00003C620000}"/>
    <cellStyle name="Normal 2 22 10" xfId="25323" xr:uid="{00000000-0005-0000-0000-00003D620000}"/>
    <cellStyle name="Normal 2 22 10 2" xfId="25324" xr:uid="{00000000-0005-0000-0000-00003E620000}"/>
    <cellStyle name="Normal 2 22 10 2 2" xfId="25325" xr:uid="{00000000-0005-0000-0000-00003F620000}"/>
    <cellStyle name="Normal 2 22 10 2 2 2" xfId="25326" xr:uid="{00000000-0005-0000-0000-000040620000}"/>
    <cellStyle name="Normal 2 22 10 2 2 3" xfId="25327" xr:uid="{00000000-0005-0000-0000-000041620000}"/>
    <cellStyle name="Normal 2 22 10 2 3" xfId="25328" xr:uid="{00000000-0005-0000-0000-000042620000}"/>
    <cellStyle name="Normal 2 22 10 2 4" xfId="25329" xr:uid="{00000000-0005-0000-0000-000043620000}"/>
    <cellStyle name="Normal 2 22 10 3" xfId="25330" xr:uid="{00000000-0005-0000-0000-000044620000}"/>
    <cellStyle name="Normal 2 22 10 3 2" xfId="25331" xr:uid="{00000000-0005-0000-0000-000045620000}"/>
    <cellStyle name="Normal 2 22 10 3 3" xfId="25332" xr:uid="{00000000-0005-0000-0000-000046620000}"/>
    <cellStyle name="Normal 2 22 10 4" xfId="25333" xr:uid="{00000000-0005-0000-0000-000047620000}"/>
    <cellStyle name="Normal 2 22 11" xfId="25334" xr:uid="{00000000-0005-0000-0000-000048620000}"/>
    <cellStyle name="Normal 2 22 11 2" xfId="25335" xr:uid="{00000000-0005-0000-0000-000049620000}"/>
    <cellStyle name="Normal 2 22 11 2 2" xfId="25336" xr:uid="{00000000-0005-0000-0000-00004A620000}"/>
    <cellStyle name="Normal 2 22 11 2 2 2" xfId="25337" xr:uid="{00000000-0005-0000-0000-00004B620000}"/>
    <cellStyle name="Normal 2 22 11 2 2 3" xfId="25338" xr:uid="{00000000-0005-0000-0000-00004C620000}"/>
    <cellStyle name="Normal 2 22 11 2 3" xfId="25339" xr:uid="{00000000-0005-0000-0000-00004D620000}"/>
    <cellStyle name="Normal 2 22 11 2 4" xfId="25340" xr:uid="{00000000-0005-0000-0000-00004E620000}"/>
    <cellStyle name="Normal 2 22 11 3" xfId="25341" xr:uid="{00000000-0005-0000-0000-00004F620000}"/>
    <cellStyle name="Normal 2 22 11 3 2" xfId="25342" xr:uid="{00000000-0005-0000-0000-000050620000}"/>
    <cellStyle name="Normal 2 22 11 3 3" xfId="25343" xr:uid="{00000000-0005-0000-0000-000051620000}"/>
    <cellStyle name="Normal 2 22 11 4" xfId="25344" xr:uid="{00000000-0005-0000-0000-000052620000}"/>
    <cellStyle name="Normal 2 22 12" xfId="25345" xr:uid="{00000000-0005-0000-0000-000053620000}"/>
    <cellStyle name="Normal 2 22 12 2" xfId="25346" xr:uid="{00000000-0005-0000-0000-000054620000}"/>
    <cellStyle name="Normal 2 22 12 2 2" xfId="25347" xr:uid="{00000000-0005-0000-0000-000055620000}"/>
    <cellStyle name="Normal 2 22 12 2 2 2" xfId="25348" xr:uid="{00000000-0005-0000-0000-000056620000}"/>
    <cellStyle name="Normal 2 22 12 2 2 3" xfId="25349" xr:uid="{00000000-0005-0000-0000-000057620000}"/>
    <cellStyle name="Normal 2 22 12 2 3" xfId="25350" xr:uid="{00000000-0005-0000-0000-000058620000}"/>
    <cellStyle name="Normal 2 22 12 2 4" xfId="25351" xr:uid="{00000000-0005-0000-0000-000059620000}"/>
    <cellStyle name="Normal 2 22 12 3" xfId="25352" xr:uid="{00000000-0005-0000-0000-00005A620000}"/>
    <cellStyle name="Normal 2 22 12 3 2" xfId="25353" xr:uid="{00000000-0005-0000-0000-00005B620000}"/>
    <cellStyle name="Normal 2 22 12 3 3" xfId="25354" xr:uid="{00000000-0005-0000-0000-00005C620000}"/>
    <cellStyle name="Normal 2 22 12 4" xfId="25355" xr:uid="{00000000-0005-0000-0000-00005D620000}"/>
    <cellStyle name="Normal 2 22 13" xfId="25356" xr:uid="{00000000-0005-0000-0000-00005E620000}"/>
    <cellStyle name="Normal 2 22 13 2" xfId="25357" xr:uid="{00000000-0005-0000-0000-00005F620000}"/>
    <cellStyle name="Normal 2 22 13 2 2" xfId="25358" xr:uid="{00000000-0005-0000-0000-000060620000}"/>
    <cellStyle name="Normal 2 22 13 2 2 2" xfId="25359" xr:uid="{00000000-0005-0000-0000-000061620000}"/>
    <cellStyle name="Normal 2 22 13 2 2 3" xfId="25360" xr:uid="{00000000-0005-0000-0000-000062620000}"/>
    <cellStyle name="Normal 2 22 13 2 3" xfId="25361" xr:uid="{00000000-0005-0000-0000-000063620000}"/>
    <cellStyle name="Normal 2 22 13 2 4" xfId="25362" xr:uid="{00000000-0005-0000-0000-000064620000}"/>
    <cellStyle name="Normal 2 22 13 3" xfId="25363" xr:uid="{00000000-0005-0000-0000-000065620000}"/>
    <cellStyle name="Normal 2 22 13 3 2" xfId="25364" xr:uid="{00000000-0005-0000-0000-000066620000}"/>
    <cellStyle name="Normal 2 22 13 3 3" xfId="25365" xr:uid="{00000000-0005-0000-0000-000067620000}"/>
    <cellStyle name="Normal 2 22 13 4" xfId="25366" xr:uid="{00000000-0005-0000-0000-000068620000}"/>
    <cellStyle name="Normal 2 22 14" xfId="25367" xr:uid="{00000000-0005-0000-0000-000069620000}"/>
    <cellStyle name="Normal 2 22 14 2" xfId="25368" xr:uid="{00000000-0005-0000-0000-00006A620000}"/>
    <cellStyle name="Normal 2 22 14 2 2" xfId="25369" xr:uid="{00000000-0005-0000-0000-00006B620000}"/>
    <cellStyle name="Normal 2 22 14 2 2 2" xfId="25370" xr:uid="{00000000-0005-0000-0000-00006C620000}"/>
    <cellStyle name="Normal 2 22 14 2 2 3" xfId="25371" xr:uid="{00000000-0005-0000-0000-00006D620000}"/>
    <cellStyle name="Normal 2 22 14 2 3" xfId="25372" xr:uid="{00000000-0005-0000-0000-00006E620000}"/>
    <cellStyle name="Normal 2 22 14 2 4" xfId="25373" xr:uid="{00000000-0005-0000-0000-00006F620000}"/>
    <cellStyle name="Normal 2 22 14 3" xfId="25374" xr:uid="{00000000-0005-0000-0000-000070620000}"/>
    <cellStyle name="Normal 2 22 14 3 2" xfId="25375" xr:uid="{00000000-0005-0000-0000-000071620000}"/>
    <cellStyle name="Normal 2 22 14 3 3" xfId="25376" xr:uid="{00000000-0005-0000-0000-000072620000}"/>
    <cellStyle name="Normal 2 22 14 4" xfId="25377" xr:uid="{00000000-0005-0000-0000-000073620000}"/>
    <cellStyle name="Normal 2 22 15" xfId="25378" xr:uid="{00000000-0005-0000-0000-000074620000}"/>
    <cellStyle name="Normal 2 22 15 2" xfId="25379" xr:uid="{00000000-0005-0000-0000-000075620000}"/>
    <cellStyle name="Normal 2 22 15 2 2" xfId="25380" xr:uid="{00000000-0005-0000-0000-000076620000}"/>
    <cellStyle name="Normal 2 22 15 2 2 2" xfId="25381" xr:uid="{00000000-0005-0000-0000-000077620000}"/>
    <cellStyle name="Normal 2 22 15 2 2 3" xfId="25382" xr:uid="{00000000-0005-0000-0000-000078620000}"/>
    <cellStyle name="Normal 2 22 15 2 3" xfId="25383" xr:uid="{00000000-0005-0000-0000-000079620000}"/>
    <cellStyle name="Normal 2 22 15 2 4" xfId="25384" xr:uid="{00000000-0005-0000-0000-00007A620000}"/>
    <cellStyle name="Normal 2 22 15 3" xfId="25385" xr:uid="{00000000-0005-0000-0000-00007B620000}"/>
    <cellStyle name="Normal 2 22 15 3 2" xfId="25386" xr:uid="{00000000-0005-0000-0000-00007C620000}"/>
    <cellStyle name="Normal 2 22 15 3 3" xfId="25387" xr:uid="{00000000-0005-0000-0000-00007D620000}"/>
    <cellStyle name="Normal 2 22 15 4" xfId="25388" xr:uid="{00000000-0005-0000-0000-00007E620000}"/>
    <cellStyle name="Normal 2 22 16" xfId="25389" xr:uid="{00000000-0005-0000-0000-00007F620000}"/>
    <cellStyle name="Normal 2 22 16 2" xfId="25390" xr:uid="{00000000-0005-0000-0000-000080620000}"/>
    <cellStyle name="Normal 2 22 16 2 2" xfId="25391" xr:uid="{00000000-0005-0000-0000-000081620000}"/>
    <cellStyle name="Normal 2 22 16 2 2 2" xfId="25392" xr:uid="{00000000-0005-0000-0000-000082620000}"/>
    <cellStyle name="Normal 2 22 16 2 2 3" xfId="25393" xr:uid="{00000000-0005-0000-0000-000083620000}"/>
    <cellStyle name="Normal 2 22 16 2 3" xfId="25394" xr:uid="{00000000-0005-0000-0000-000084620000}"/>
    <cellStyle name="Normal 2 22 16 2 4" xfId="25395" xr:uid="{00000000-0005-0000-0000-000085620000}"/>
    <cellStyle name="Normal 2 22 16 3" xfId="25396" xr:uid="{00000000-0005-0000-0000-000086620000}"/>
    <cellStyle name="Normal 2 22 16 3 2" xfId="25397" xr:uid="{00000000-0005-0000-0000-000087620000}"/>
    <cellStyle name="Normal 2 22 16 3 3" xfId="25398" xr:uid="{00000000-0005-0000-0000-000088620000}"/>
    <cellStyle name="Normal 2 22 16 4" xfId="25399" xr:uid="{00000000-0005-0000-0000-000089620000}"/>
    <cellStyle name="Normal 2 22 17" xfId="25400" xr:uid="{00000000-0005-0000-0000-00008A620000}"/>
    <cellStyle name="Normal 2 22 17 2" xfId="25401" xr:uid="{00000000-0005-0000-0000-00008B620000}"/>
    <cellStyle name="Normal 2 22 17 2 2" xfId="25402" xr:uid="{00000000-0005-0000-0000-00008C620000}"/>
    <cellStyle name="Normal 2 22 17 2 2 2" xfId="25403" xr:uid="{00000000-0005-0000-0000-00008D620000}"/>
    <cellStyle name="Normal 2 22 17 2 2 3" xfId="25404" xr:uid="{00000000-0005-0000-0000-00008E620000}"/>
    <cellStyle name="Normal 2 22 17 2 3" xfId="25405" xr:uid="{00000000-0005-0000-0000-00008F620000}"/>
    <cellStyle name="Normal 2 22 17 2 4" xfId="25406" xr:uid="{00000000-0005-0000-0000-000090620000}"/>
    <cellStyle name="Normal 2 22 17 3" xfId="25407" xr:uid="{00000000-0005-0000-0000-000091620000}"/>
    <cellStyle name="Normal 2 22 17 3 2" xfId="25408" xr:uid="{00000000-0005-0000-0000-000092620000}"/>
    <cellStyle name="Normal 2 22 17 3 3" xfId="25409" xr:uid="{00000000-0005-0000-0000-000093620000}"/>
    <cellStyle name="Normal 2 22 17 4" xfId="25410" xr:uid="{00000000-0005-0000-0000-000094620000}"/>
    <cellStyle name="Normal 2 22 18" xfId="25411" xr:uid="{00000000-0005-0000-0000-000095620000}"/>
    <cellStyle name="Normal 2 22 18 2" xfId="25412" xr:uid="{00000000-0005-0000-0000-000096620000}"/>
    <cellStyle name="Normal 2 22 18 2 2" xfId="25413" xr:uid="{00000000-0005-0000-0000-000097620000}"/>
    <cellStyle name="Normal 2 22 18 2 2 2" xfId="25414" xr:uid="{00000000-0005-0000-0000-000098620000}"/>
    <cellStyle name="Normal 2 22 18 2 2 3" xfId="25415" xr:uid="{00000000-0005-0000-0000-000099620000}"/>
    <cellStyle name="Normal 2 22 18 2 3" xfId="25416" xr:uid="{00000000-0005-0000-0000-00009A620000}"/>
    <cellStyle name="Normal 2 22 18 2 4" xfId="25417" xr:uid="{00000000-0005-0000-0000-00009B620000}"/>
    <cellStyle name="Normal 2 22 18 3" xfId="25418" xr:uid="{00000000-0005-0000-0000-00009C620000}"/>
    <cellStyle name="Normal 2 22 18 3 2" xfId="25419" xr:uid="{00000000-0005-0000-0000-00009D620000}"/>
    <cellStyle name="Normal 2 22 18 3 3" xfId="25420" xr:uid="{00000000-0005-0000-0000-00009E620000}"/>
    <cellStyle name="Normal 2 22 18 4" xfId="25421" xr:uid="{00000000-0005-0000-0000-00009F620000}"/>
    <cellStyle name="Normal 2 22 19" xfId="25422" xr:uid="{00000000-0005-0000-0000-0000A0620000}"/>
    <cellStyle name="Normal 2 22 19 2" xfId="25423" xr:uid="{00000000-0005-0000-0000-0000A1620000}"/>
    <cellStyle name="Normal 2 22 19 2 2" xfId="25424" xr:uid="{00000000-0005-0000-0000-0000A2620000}"/>
    <cellStyle name="Normal 2 22 19 2 2 2" xfId="25425" xr:uid="{00000000-0005-0000-0000-0000A3620000}"/>
    <cellStyle name="Normal 2 22 19 2 2 3" xfId="25426" xr:uid="{00000000-0005-0000-0000-0000A4620000}"/>
    <cellStyle name="Normal 2 22 19 2 3" xfId="25427" xr:uid="{00000000-0005-0000-0000-0000A5620000}"/>
    <cellStyle name="Normal 2 22 19 2 4" xfId="25428" xr:uid="{00000000-0005-0000-0000-0000A6620000}"/>
    <cellStyle name="Normal 2 22 19 3" xfId="25429" xr:uid="{00000000-0005-0000-0000-0000A7620000}"/>
    <cellStyle name="Normal 2 22 19 3 2" xfId="25430" xr:uid="{00000000-0005-0000-0000-0000A8620000}"/>
    <cellStyle name="Normal 2 22 19 3 3" xfId="25431" xr:uid="{00000000-0005-0000-0000-0000A9620000}"/>
    <cellStyle name="Normal 2 22 19 4" xfId="25432" xr:uid="{00000000-0005-0000-0000-0000AA620000}"/>
    <cellStyle name="Normal 2 22 2" xfId="25433" xr:uid="{00000000-0005-0000-0000-0000AB620000}"/>
    <cellStyle name="Normal 2 22 2 2" xfId="25434" xr:uid="{00000000-0005-0000-0000-0000AC620000}"/>
    <cellStyle name="Normal 2 22 2 2 2" xfId="25435" xr:uid="{00000000-0005-0000-0000-0000AD620000}"/>
    <cellStyle name="Normal 2 22 2 2 2 2" xfId="25436" xr:uid="{00000000-0005-0000-0000-0000AE620000}"/>
    <cellStyle name="Normal 2 22 2 2 2 3" xfId="25437" xr:uid="{00000000-0005-0000-0000-0000AF620000}"/>
    <cellStyle name="Normal 2 22 2 2 3" xfId="25438" xr:uid="{00000000-0005-0000-0000-0000B0620000}"/>
    <cellStyle name="Normal 2 22 2 2 4" xfId="25439" xr:uid="{00000000-0005-0000-0000-0000B1620000}"/>
    <cellStyle name="Normal 2 22 2 3" xfId="25440" xr:uid="{00000000-0005-0000-0000-0000B2620000}"/>
    <cellStyle name="Normal 2 22 2 3 2" xfId="25441" xr:uid="{00000000-0005-0000-0000-0000B3620000}"/>
    <cellStyle name="Normal 2 22 2 3 3" xfId="25442" xr:uid="{00000000-0005-0000-0000-0000B4620000}"/>
    <cellStyle name="Normal 2 22 2 4" xfId="25443" xr:uid="{00000000-0005-0000-0000-0000B5620000}"/>
    <cellStyle name="Normal 2 22 20" xfId="25444" xr:uid="{00000000-0005-0000-0000-0000B6620000}"/>
    <cellStyle name="Normal 2 22 20 2" xfId="25445" xr:uid="{00000000-0005-0000-0000-0000B7620000}"/>
    <cellStyle name="Normal 2 22 20 2 2" xfId="25446" xr:uid="{00000000-0005-0000-0000-0000B8620000}"/>
    <cellStyle name="Normal 2 22 20 2 2 2" xfId="25447" xr:uid="{00000000-0005-0000-0000-0000B9620000}"/>
    <cellStyle name="Normal 2 22 20 2 2 3" xfId="25448" xr:uid="{00000000-0005-0000-0000-0000BA620000}"/>
    <cellStyle name="Normal 2 22 20 2 3" xfId="25449" xr:uid="{00000000-0005-0000-0000-0000BB620000}"/>
    <cellStyle name="Normal 2 22 20 2 4" xfId="25450" xr:uid="{00000000-0005-0000-0000-0000BC620000}"/>
    <cellStyle name="Normal 2 22 20 3" xfId="25451" xr:uid="{00000000-0005-0000-0000-0000BD620000}"/>
    <cellStyle name="Normal 2 22 20 3 2" xfId="25452" xr:uid="{00000000-0005-0000-0000-0000BE620000}"/>
    <cellStyle name="Normal 2 22 20 3 3" xfId="25453" xr:uid="{00000000-0005-0000-0000-0000BF620000}"/>
    <cellStyle name="Normal 2 22 20 4" xfId="25454" xr:uid="{00000000-0005-0000-0000-0000C0620000}"/>
    <cellStyle name="Normal 2 22 21" xfId="25455" xr:uid="{00000000-0005-0000-0000-0000C1620000}"/>
    <cellStyle name="Normal 2 22 21 2" xfId="25456" xr:uid="{00000000-0005-0000-0000-0000C2620000}"/>
    <cellStyle name="Normal 2 22 21 2 2" xfId="25457" xr:uid="{00000000-0005-0000-0000-0000C3620000}"/>
    <cellStyle name="Normal 2 22 21 2 2 2" xfId="25458" xr:uid="{00000000-0005-0000-0000-0000C4620000}"/>
    <cellStyle name="Normal 2 22 21 2 2 3" xfId="25459" xr:uid="{00000000-0005-0000-0000-0000C5620000}"/>
    <cellStyle name="Normal 2 22 21 2 3" xfId="25460" xr:uid="{00000000-0005-0000-0000-0000C6620000}"/>
    <cellStyle name="Normal 2 22 21 2 4" xfId="25461" xr:uid="{00000000-0005-0000-0000-0000C7620000}"/>
    <cellStyle name="Normal 2 22 21 3" xfId="25462" xr:uid="{00000000-0005-0000-0000-0000C8620000}"/>
    <cellStyle name="Normal 2 22 21 3 2" xfId="25463" xr:uid="{00000000-0005-0000-0000-0000C9620000}"/>
    <cellStyle name="Normal 2 22 21 3 3" xfId="25464" xr:uid="{00000000-0005-0000-0000-0000CA620000}"/>
    <cellStyle name="Normal 2 22 21 4" xfId="25465" xr:uid="{00000000-0005-0000-0000-0000CB620000}"/>
    <cellStyle name="Normal 2 22 22" xfId="25466" xr:uid="{00000000-0005-0000-0000-0000CC620000}"/>
    <cellStyle name="Normal 2 22 22 2" xfId="25467" xr:uid="{00000000-0005-0000-0000-0000CD620000}"/>
    <cellStyle name="Normal 2 22 22 2 2" xfId="25468" xr:uid="{00000000-0005-0000-0000-0000CE620000}"/>
    <cellStyle name="Normal 2 22 22 2 2 2" xfId="25469" xr:uid="{00000000-0005-0000-0000-0000CF620000}"/>
    <cellStyle name="Normal 2 22 22 2 2 3" xfId="25470" xr:uid="{00000000-0005-0000-0000-0000D0620000}"/>
    <cellStyle name="Normal 2 22 22 2 3" xfId="25471" xr:uid="{00000000-0005-0000-0000-0000D1620000}"/>
    <cellStyle name="Normal 2 22 22 2 4" xfId="25472" xr:uid="{00000000-0005-0000-0000-0000D2620000}"/>
    <cellStyle name="Normal 2 22 22 3" xfId="25473" xr:uid="{00000000-0005-0000-0000-0000D3620000}"/>
    <cellStyle name="Normal 2 22 22 3 2" xfId="25474" xr:uid="{00000000-0005-0000-0000-0000D4620000}"/>
    <cellStyle name="Normal 2 22 22 3 3" xfId="25475" xr:uid="{00000000-0005-0000-0000-0000D5620000}"/>
    <cellStyle name="Normal 2 22 22 4" xfId="25476" xr:uid="{00000000-0005-0000-0000-0000D6620000}"/>
    <cellStyle name="Normal 2 22 23" xfId="25477" xr:uid="{00000000-0005-0000-0000-0000D7620000}"/>
    <cellStyle name="Normal 2 22 23 2" xfId="25478" xr:uid="{00000000-0005-0000-0000-0000D8620000}"/>
    <cellStyle name="Normal 2 22 23 2 2" xfId="25479" xr:uid="{00000000-0005-0000-0000-0000D9620000}"/>
    <cellStyle name="Normal 2 22 23 2 2 2" xfId="25480" xr:uid="{00000000-0005-0000-0000-0000DA620000}"/>
    <cellStyle name="Normal 2 22 23 2 2 3" xfId="25481" xr:uid="{00000000-0005-0000-0000-0000DB620000}"/>
    <cellStyle name="Normal 2 22 23 2 3" xfId="25482" xr:uid="{00000000-0005-0000-0000-0000DC620000}"/>
    <cellStyle name="Normal 2 22 23 2 4" xfId="25483" xr:uid="{00000000-0005-0000-0000-0000DD620000}"/>
    <cellStyle name="Normal 2 22 23 3" xfId="25484" xr:uid="{00000000-0005-0000-0000-0000DE620000}"/>
    <cellStyle name="Normal 2 22 23 3 2" xfId="25485" xr:uid="{00000000-0005-0000-0000-0000DF620000}"/>
    <cellStyle name="Normal 2 22 23 3 3" xfId="25486" xr:uid="{00000000-0005-0000-0000-0000E0620000}"/>
    <cellStyle name="Normal 2 22 23 4" xfId="25487" xr:uid="{00000000-0005-0000-0000-0000E1620000}"/>
    <cellStyle name="Normal 2 22 24" xfId="25488" xr:uid="{00000000-0005-0000-0000-0000E2620000}"/>
    <cellStyle name="Normal 2 22 24 2" xfId="25489" xr:uid="{00000000-0005-0000-0000-0000E3620000}"/>
    <cellStyle name="Normal 2 22 24 2 2" xfId="25490" xr:uid="{00000000-0005-0000-0000-0000E4620000}"/>
    <cellStyle name="Normal 2 22 24 2 3" xfId="25491" xr:uid="{00000000-0005-0000-0000-0000E5620000}"/>
    <cellStyle name="Normal 2 22 24 3" xfId="25492" xr:uid="{00000000-0005-0000-0000-0000E6620000}"/>
    <cellStyle name="Normal 2 22 24 4" xfId="25493" xr:uid="{00000000-0005-0000-0000-0000E7620000}"/>
    <cellStyle name="Normal 2 22 25" xfId="25494" xr:uid="{00000000-0005-0000-0000-0000E8620000}"/>
    <cellStyle name="Normal 2 22 25 2" xfId="25495" xr:uid="{00000000-0005-0000-0000-0000E9620000}"/>
    <cellStyle name="Normal 2 22 25 3" xfId="25496" xr:uid="{00000000-0005-0000-0000-0000EA620000}"/>
    <cellStyle name="Normal 2 22 26" xfId="25497" xr:uid="{00000000-0005-0000-0000-0000EB620000}"/>
    <cellStyle name="Normal 2 22 3" xfId="25498" xr:uid="{00000000-0005-0000-0000-0000EC620000}"/>
    <cellStyle name="Normal 2 22 3 2" xfId="25499" xr:uid="{00000000-0005-0000-0000-0000ED620000}"/>
    <cellStyle name="Normal 2 22 3 2 2" xfId="25500" xr:uid="{00000000-0005-0000-0000-0000EE620000}"/>
    <cellStyle name="Normal 2 22 3 2 2 2" xfId="25501" xr:uid="{00000000-0005-0000-0000-0000EF620000}"/>
    <cellStyle name="Normal 2 22 3 2 2 3" xfId="25502" xr:uid="{00000000-0005-0000-0000-0000F0620000}"/>
    <cellStyle name="Normal 2 22 3 2 3" xfId="25503" xr:uid="{00000000-0005-0000-0000-0000F1620000}"/>
    <cellStyle name="Normal 2 22 3 2 4" xfId="25504" xr:uid="{00000000-0005-0000-0000-0000F2620000}"/>
    <cellStyle name="Normal 2 22 3 3" xfId="25505" xr:uid="{00000000-0005-0000-0000-0000F3620000}"/>
    <cellStyle name="Normal 2 22 3 3 2" xfId="25506" xr:uid="{00000000-0005-0000-0000-0000F4620000}"/>
    <cellStyle name="Normal 2 22 3 3 3" xfId="25507" xr:uid="{00000000-0005-0000-0000-0000F5620000}"/>
    <cellStyle name="Normal 2 22 3 4" xfId="25508" xr:uid="{00000000-0005-0000-0000-0000F6620000}"/>
    <cellStyle name="Normal 2 22 4" xfId="25509" xr:uid="{00000000-0005-0000-0000-0000F7620000}"/>
    <cellStyle name="Normal 2 22 4 2" xfId="25510" xr:uid="{00000000-0005-0000-0000-0000F8620000}"/>
    <cellStyle name="Normal 2 22 4 2 2" xfId="25511" xr:uid="{00000000-0005-0000-0000-0000F9620000}"/>
    <cellStyle name="Normal 2 22 4 2 2 2" xfId="25512" xr:uid="{00000000-0005-0000-0000-0000FA620000}"/>
    <cellStyle name="Normal 2 22 4 2 2 3" xfId="25513" xr:uid="{00000000-0005-0000-0000-0000FB620000}"/>
    <cellStyle name="Normal 2 22 4 2 3" xfId="25514" xr:uid="{00000000-0005-0000-0000-0000FC620000}"/>
    <cellStyle name="Normal 2 22 4 2 4" xfId="25515" xr:uid="{00000000-0005-0000-0000-0000FD620000}"/>
    <cellStyle name="Normal 2 22 4 3" xfId="25516" xr:uid="{00000000-0005-0000-0000-0000FE620000}"/>
    <cellStyle name="Normal 2 22 4 3 2" xfId="25517" xr:uid="{00000000-0005-0000-0000-0000FF620000}"/>
    <cellStyle name="Normal 2 22 4 3 3" xfId="25518" xr:uid="{00000000-0005-0000-0000-000000630000}"/>
    <cellStyle name="Normal 2 22 4 4" xfId="25519" xr:uid="{00000000-0005-0000-0000-000001630000}"/>
    <cellStyle name="Normal 2 22 5" xfId="25520" xr:uid="{00000000-0005-0000-0000-000002630000}"/>
    <cellStyle name="Normal 2 22 5 2" xfId="25521" xr:uid="{00000000-0005-0000-0000-000003630000}"/>
    <cellStyle name="Normal 2 22 5 2 2" xfId="25522" xr:uid="{00000000-0005-0000-0000-000004630000}"/>
    <cellStyle name="Normal 2 22 5 2 2 2" xfId="25523" xr:uid="{00000000-0005-0000-0000-000005630000}"/>
    <cellStyle name="Normal 2 22 5 2 2 3" xfId="25524" xr:uid="{00000000-0005-0000-0000-000006630000}"/>
    <cellStyle name="Normal 2 22 5 2 3" xfId="25525" xr:uid="{00000000-0005-0000-0000-000007630000}"/>
    <cellStyle name="Normal 2 22 5 2 4" xfId="25526" xr:uid="{00000000-0005-0000-0000-000008630000}"/>
    <cellStyle name="Normal 2 22 5 3" xfId="25527" xr:uid="{00000000-0005-0000-0000-000009630000}"/>
    <cellStyle name="Normal 2 22 5 3 2" xfId="25528" xr:uid="{00000000-0005-0000-0000-00000A630000}"/>
    <cellStyle name="Normal 2 22 5 3 3" xfId="25529" xr:uid="{00000000-0005-0000-0000-00000B630000}"/>
    <cellStyle name="Normal 2 22 5 4" xfId="25530" xr:uid="{00000000-0005-0000-0000-00000C630000}"/>
    <cellStyle name="Normal 2 22 6" xfId="25531" xr:uid="{00000000-0005-0000-0000-00000D630000}"/>
    <cellStyle name="Normal 2 22 6 2" xfId="25532" xr:uid="{00000000-0005-0000-0000-00000E630000}"/>
    <cellStyle name="Normal 2 22 6 2 2" xfId="25533" xr:uid="{00000000-0005-0000-0000-00000F630000}"/>
    <cellStyle name="Normal 2 22 6 2 2 2" xfId="25534" xr:uid="{00000000-0005-0000-0000-000010630000}"/>
    <cellStyle name="Normal 2 22 6 2 2 3" xfId="25535" xr:uid="{00000000-0005-0000-0000-000011630000}"/>
    <cellStyle name="Normal 2 22 6 2 3" xfId="25536" xr:uid="{00000000-0005-0000-0000-000012630000}"/>
    <cellStyle name="Normal 2 22 6 2 4" xfId="25537" xr:uid="{00000000-0005-0000-0000-000013630000}"/>
    <cellStyle name="Normal 2 22 6 3" xfId="25538" xr:uid="{00000000-0005-0000-0000-000014630000}"/>
    <cellStyle name="Normal 2 22 6 3 2" xfId="25539" xr:uid="{00000000-0005-0000-0000-000015630000}"/>
    <cellStyle name="Normal 2 22 6 3 3" xfId="25540" xr:uid="{00000000-0005-0000-0000-000016630000}"/>
    <cellStyle name="Normal 2 22 6 4" xfId="25541" xr:uid="{00000000-0005-0000-0000-000017630000}"/>
    <cellStyle name="Normal 2 22 7" xfId="25542" xr:uid="{00000000-0005-0000-0000-000018630000}"/>
    <cellStyle name="Normal 2 22 7 2" xfId="25543" xr:uid="{00000000-0005-0000-0000-000019630000}"/>
    <cellStyle name="Normal 2 22 7 2 2" xfId="25544" xr:uid="{00000000-0005-0000-0000-00001A630000}"/>
    <cellStyle name="Normal 2 22 7 2 2 2" xfId="25545" xr:uid="{00000000-0005-0000-0000-00001B630000}"/>
    <cellStyle name="Normal 2 22 7 2 2 3" xfId="25546" xr:uid="{00000000-0005-0000-0000-00001C630000}"/>
    <cellStyle name="Normal 2 22 7 2 3" xfId="25547" xr:uid="{00000000-0005-0000-0000-00001D630000}"/>
    <cellStyle name="Normal 2 22 7 2 4" xfId="25548" xr:uid="{00000000-0005-0000-0000-00001E630000}"/>
    <cellStyle name="Normal 2 22 7 3" xfId="25549" xr:uid="{00000000-0005-0000-0000-00001F630000}"/>
    <cellStyle name="Normal 2 22 7 3 2" xfId="25550" xr:uid="{00000000-0005-0000-0000-000020630000}"/>
    <cellStyle name="Normal 2 22 7 3 3" xfId="25551" xr:uid="{00000000-0005-0000-0000-000021630000}"/>
    <cellStyle name="Normal 2 22 7 4" xfId="25552" xr:uid="{00000000-0005-0000-0000-000022630000}"/>
    <cellStyle name="Normal 2 22 8" xfId="25553" xr:uid="{00000000-0005-0000-0000-000023630000}"/>
    <cellStyle name="Normal 2 22 8 2" xfId="25554" xr:uid="{00000000-0005-0000-0000-000024630000}"/>
    <cellStyle name="Normal 2 22 8 2 2" xfId="25555" xr:uid="{00000000-0005-0000-0000-000025630000}"/>
    <cellStyle name="Normal 2 22 8 2 2 2" xfId="25556" xr:uid="{00000000-0005-0000-0000-000026630000}"/>
    <cellStyle name="Normal 2 22 8 2 2 3" xfId="25557" xr:uid="{00000000-0005-0000-0000-000027630000}"/>
    <cellStyle name="Normal 2 22 8 2 3" xfId="25558" xr:uid="{00000000-0005-0000-0000-000028630000}"/>
    <cellStyle name="Normal 2 22 8 2 4" xfId="25559" xr:uid="{00000000-0005-0000-0000-000029630000}"/>
    <cellStyle name="Normal 2 22 8 3" xfId="25560" xr:uid="{00000000-0005-0000-0000-00002A630000}"/>
    <cellStyle name="Normal 2 22 8 3 2" xfId="25561" xr:uid="{00000000-0005-0000-0000-00002B630000}"/>
    <cellStyle name="Normal 2 22 8 3 3" xfId="25562" xr:uid="{00000000-0005-0000-0000-00002C630000}"/>
    <cellStyle name="Normal 2 22 8 4" xfId="25563" xr:uid="{00000000-0005-0000-0000-00002D630000}"/>
    <cellStyle name="Normal 2 22 9" xfId="25564" xr:uid="{00000000-0005-0000-0000-00002E630000}"/>
    <cellStyle name="Normal 2 22 9 2" xfId="25565" xr:uid="{00000000-0005-0000-0000-00002F630000}"/>
    <cellStyle name="Normal 2 22 9 2 2" xfId="25566" xr:uid="{00000000-0005-0000-0000-000030630000}"/>
    <cellStyle name="Normal 2 22 9 2 2 2" xfId="25567" xr:uid="{00000000-0005-0000-0000-000031630000}"/>
    <cellStyle name="Normal 2 22 9 2 2 3" xfId="25568" xr:uid="{00000000-0005-0000-0000-000032630000}"/>
    <cellStyle name="Normal 2 22 9 2 3" xfId="25569" xr:uid="{00000000-0005-0000-0000-000033630000}"/>
    <cellStyle name="Normal 2 22 9 2 4" xfId="25570" xr:uid="{00000000-0005-0000-0000-000034630000}"/>
    <cellStyle name="Normal 2 22 9 3" xfId="25571" xr:uid="{00000000-0005-0000-0000-000035630000}"/>
    <cellStyle name="Normal 2 22 9 3 2" xfId="25572" xr:uid="{00000000-0005-0000-0000-000036630000}"/>
    <cellStyle name="Normal 2 22 9 3 3" xfId="25573" xr:uid="{00000000-0005-0000-0000-000037630000}"/>
    <cellStyle name="Normal 2 22 9 4" xfId="25574" xr:uid="{00000000-0005-0000-0000-000038630000}"/>
    <cellStyle name="Normal 2 23" xfId="25575" xr:uid="{00000000-0005-0000-0000-000039630000}"/>
    <cellStyle name="Normal 2 23 10" xfId="25576" xr:uid="{00000000-0005-0000-0000-00003A630000}"/>
    <cellStyle name="Normal 2 23 10 2" xfId="25577" xr:uid="{00000000-0005-0000-0000-00003B630000}"/>
    <cellStyle name="Normal 2 23 10 2 2" xfId="25578" xr:uid="{00000000-0005-0000-0000-00003C630000}"/>
    <cellStyle name="Normal 2 23 10 2 2 2" xfId="25579" xr:uid="{00000000-0005-0000-0000-00003D630000}"/>
    <cellStyle name="Normal 2 23 10 2 2 3" xfId="25580" xr:uid="{00000000-0005-0000-0000-00003E630000}"/>
    <cellStyle name="Normal 2 23 10 2 3" xfId="25581" xr:uid="{00000000-0005-0000-0000-00003F630000}"/>
    <cellStyle name="Normal 2 23 10 2 4" xfId="25582" xr:uid="{00000000-0005-0000-0000-000040630000}"/>
    <cellStyle name="Normal 2 23 10 3" xfId="25583" xr:uid="{00000000-0005-0000-0000-000041630000}"/>
    <cellStyle name="Normal 2 23 10 3 2" xfId="25584" xr:uid="{00000000-0005-0000-0000-000042630000}"/>
    <cellStyle name="Normal 2 23 10 3 3" xfId="25585" xr:uid="{00000000-0005-0000-0000-000043630000}"/>
    <cellStyle name="Normal 2 23 10 4" xfId="25586" xr:uid="{00000000-0005-0000-0000-000044630000}"/>
    <cellStyle name="Normal 2 23 11" xfId="25587" xr:uid="{00000000-0005-0000-0000-000045630000}"/>
    <cellStyle name="Normal 2 23 11 2" xfId="25588" xr:uid="{00000000-0005-0000-0000-000046630000}"/>
    <cellStyle name="Normal 2 23 11 2 2" xfId="25589" xr:uid="{00000000-0005-0000-0000-000047630000}"/>
    <cellStyle name="Normal 2 23 11 2 2 2" xfId="25590" xr:uid="{00000000-0005-0000-0000-000048630000}"/>
    <cellStyle name="Normal 2 23 11 2 2 3" xfId="25591" xr:uid="{00000000-0005-0000-0000-000049630000}"/>
    <cellStyle name="Normal 2 23 11 2 3" xfId="25592" xr:uid="{00000000-0005-0000-0000-00004A630000}"/>
    <cellStyle name="Normal 2 23 11 2 4" xfId="25593" xr:uid="{00000000-0005-0000-0000-00004B630000}"/>
    <cellStyle name="Normal 2 23 11 3" xfId="25594" xr:uid="{00000000-0005-0000-0000-00004C630000}"/>
    <cellStyle name="Normal 2 23 11 3 2" xfId="25595" xr:uid="{00000000-0005-0000-0000-00004D630000}"/>
    <cellStyle name="Normal 2 23 11 3 3" xfId="25596" xr:uid="{00000000-0005-0000-0000-00004E630000}"/>
    <cellStyle name="Normal 2 23 11 4" xfId="25597" xr:uid="{00000000-0005-0000-0000-00004F630000}"/>
    <cellStyle name="Normal 2 23 12" xfId="25598" xr:uid="{00000000-0005-0000-0000-000050630000}"/>
    <cellStyle name="Normal 2 23 12 2" xfId="25599" xr:uid="{00000000-0005-0000-0000-000051630000}"/>
    <cellStyle name="Normal 2 23 12 2 2" xfId="25600" xr:uid="{00000000-0005-0000-0000-000052630000}"/>
    <cellStyle name="Normal 2 23 12 2 2 2" xfId="25601" xr:uid="{00000000-0005-0000-0000-000053630000}"/>
    <cellStyle name="Normal 2 23 12 2 2 3" xfId="25602" xr:uid="{00000000-0005-0000-0000-000054630000}"/>
    <cellStyle name="Normal 2 23 12 2 3" xfId="25603" xr:uid="{00000000-0005-0000-0000-000055630000}"/>
    <cellStyle name="Normal 2 23 12 2 4" xfId="25604" xr:uid="{00000000-0005-0000-0000-000056630000}"/>
    <cellStyle name="Normal 2 23 12 3" xfId="25605" xr:uid="{00000000-0005-0000-0000-000057630000}"/>
    <cellStyle name="Normal 2 23 12 3 2" xfId="25606" xr:uid="{00000000-0005-0000-0000-000058630000}"/>
    <cellStyle name="Normal 2 23 12 3 3" xfId="25607" xr:uid="{00000000-0005-0000-0000-000059630000}"/>
    <cellStyle name="Normal 2 23 12 4" xfId="25608" xr:uid="{00000000-0005-0000-0000-00005A630000}"/>
    <cellStyle name="Normal 2 23 13" xfId="25609" xr:uid="{00000000-0005-0000-0000-00005B630000}"/>
    <cellStyle name="Normal 2 23 13 2" xfId="25610" xr:uid="{00000000-0005-0000-0000-00005C630000}"/>
    <cellStyle name="Normal 2 23 13 2 2" xfId="25611" xr:uid="{00000000-0005-0000-0000-00005D630000}"/>
    <cellStyle name="Normal 2 23 13 2 2 2" xfId="25612" xr:uid="{00000000-0005-0000-0000-00005E630000}"/>
    <cellStyle name="Normal 2 23 13 2 2 3" xfId="25613" xr:uid="{00000000-0005-0000-0000-00005F630000}"/>
    <cellStyle name="Normal 2 23 13 2 3" xfId="25614" xr:uid="{00000000-0005-0000-0000-000060630000}"/>
    <cellStyle name="Normal 2 23 13 2 4" xfId="25615" xr:uid="{00000000-0005-0000-0000-000061630000}"/>
    <cellStyle name="Normal 2 23 13 3" xfId="25616" xr:uid="{00000000-0005-0000-0000-000062630000}"/>
    <cellStyle name="Normal 2 23 13 3 2" xfId="25617" xr:uid="{00000000-0005-0000-0000-000063630000}"/>
    <cellStyle name="Normal 2 23 13 3 3" xfId="25618" xr:uid="{00000000-0005-0000-0000-000064630000}"/>
    <cellStyle name="Normal 2 23 13 4" xfId="25619" xr:uid="{00000000-0005-0000-0000-000065630000}"/>
    <cellStyle name="Normal 2 23 14" xfId="25620" xr:uid="{00000000-0005-0000-0000-000066630000}"/>
    <cellStyle name="Normal 2 23 14 2" xfId="25621" xr:uid="{00000000-0005-0000-0000-000067630000}"/>
    <cellStyle name="Normal 2 23 14 2 2" xfId="25622" xr:uid="{00000000-0005-0000-0000-000068630000}"/>
    <cellStyle name="Normal 2 23 14 2 2 2" xfId="25623" xr:uid="{00000000-0005-0000-0000-000069630000}"/>
    <cellStyle name="Normal 2 23 14 2 2 3" xfId="25624" xr:uid="{00000000-0005-0000-0000-00006A630000}"/>
    <cellStyle name="Normal 2 23 14 2 3" xfId="25625" xr:uid="{00000000-0005-0000-0000-00006B630000}"/>
    <cellStyle name="Normal 2 23 14 2 4" xfId="25626" xr:uid="{00000000-0005-0000-0000-00006C630000}"/>
    <cellStyle name="Normal 2 23 14 3" xfId="25627" xr:uid="{00000000-0005-0000-0000-00006D630000}"/>
    <cellStyle name="Normal 2 23 14 3 2" xfId="25628" xr:uid="{00000000-0005-0000-0000-00006E630000}"/>
    <cellStyle name="Normal 2 23 14 3 3" xfId="25629" xr:uid="{00000000-0005-0000-0000-00006F630000}"/>
    <cellStyle name="Normal 2 23 14 4" xfId="25630" xr:uid="{00000000-0005-0000-0000-000070630000}"/>
    <cellStyle name="Normal 2 23 15" xfId="25631" xr:uid="{00000000-0005-0000-0000-000071630000}"/>
    <cellStyle name="Normal 2 23 15 2" xfId="25632" xr:uid="{00000000-0005-0000-0000-000072630000}"/>
    <cellStyle name="Normal 2 23 15 2 2" xfId="25633" xr:uid="{00000000-0005-0000-0000-000073630000}"/>
    <cellStyle name="Normal 2 23 15 2 2 2" xfId="25634" xr:uid="{00000000-0005-0000-0000-000074630000}"/>
    <cellStyle name="Normal 2 23 15 2 2 3" xfId="25635" xr:uid="{00000000-0005-0000-0000-000075630000}"/>
    <cellStyle name="Normal 2 23 15 2 3" xfId="25636" xr:uid="{00000000-0005-0000-0000-000076630000}"/>
    <cellStyle name="Normal 2 23 15 2 4" xfId="25637" xr:uid="{00000000-0005-0000-0000-000077630000}"/>
    <cellStyle name="Normal 2 23 15 3" xfId="25638" xr:uid="{00000000-0005-0000-0000-000078630000}"/>
    <cellStyle name="Normal 2 23 15 3 2" xfId="25639" xr:uid="{00000000-0005-0000-0000-000079630000}"/>
    <cellStyle name="Normal 2 23 15 3 3" xfId="25640" xr:uid="{00000000-0005-0000-0000-00007A630000}"/>
    <cellStyle name="Normal 2 23 15 4" xfId="25641" xr:uid="{00000000-0005-0000-0000-00007B630000}"/>
    <cellStyle name="Normal 2 23 16" xfId="25642" xr:uid="{00000000-0005-0000-0000-00007C630000}"/>
    <cellStyle name="Normal 2 23 16 2" xfId="25643" xr:uid="{00000000-0005-0000-0000-00007D630000}"/>
    <cellStyle name="Normal 2 23 16 2 2" xfId="25644" xr:uid="{00000000-0005-0000-0000-00007E630000}"/>
    <cellStyle name="Normal 2 23 16 2 2 2" xfId="25645" xr:uid="{00000000-0005-0000-0000-00007F630000}"/>
    <cellStyle name="Normal 2 23 16 2 2 3" xfId="25646" xr:uid="{00000000-0005-0000-0000-000080630000}"/>
    <cellStyle name="Normal 2 23 16 2 3" xfId="25647" xr:uid="{00000000-0005-0000-0000-000081630000}"/>
    <cellStyle name="Normal 2 23 16 2 4" xfId="25648" xr:uid="{00000000-0005-0000-0000-000082630000}"/>
    <cellStyle name="Normal 2 23 16 3" xfId="25649" xr:uid="{00000000-0005-0000-0000-000083630000}"/>
    <cellStyle name="Normal 2 23 16 3 2" xfId="25650" xr:uid="{00000000-0005-0000-0000-000084630000}"/>
    <cellStyle name="Normal 2 23 16 3 3" xfId="25651" xr:uid="{00000000-0005-0000-0000-000085630000}"/>
    <cellStyle name="Normal 2 23 16 4" xfId="25652" xr:uid="{00000000-0005-0000-0000-000086630000}"/>
    <cellStyle name="Normal 2 23 17" xfId="25653" xr:uid="{00000000-0005-0000-0000-000087630000}"/>
    <cellStyle name="Normal 2 23 17 2" xfId="25654" xr:uid="{00000000-0005-0000-0000-000088630000}"/>
    <cellStyle name="Normal 2 23 17 2 2" xfId="25655" xr:uid="{00000000-0005-0000-0000-000089630000}"/>
    <cellStyle name="Normal 2 23 17 2 2 2" xfId="25656" xr:uid="{00000000-0005-0000-0000-00008A630000}"/>
    <cellStyle name="Normal 2 23 17 2 2 3" xfId="25657" xr:uid="{00000000-0005-0000-0000-00008B630000}"/>
    <cellStyle name="Normal 2 23 17 2 3" xfId="25658" xr:uid="{00000000-0005-0000-0000-00008C630000}"/>
    <cellStyle name="Normal 2 23 17 2 4" xfId="25659" xr:uid="{00000000-0005-0000-0000-00008D630000}"/>
    <cellStyle name="Normal 2 23 17 3" xfId="25660" xr:uid="{00000000-0005-0000-0000-00008E630000}"/>
    <cellStyle name="Normal 2 23 17 3 2" xfId="25661" xr:uid="{00000000-0005-0000-0000-00008F630000}"/>
    <cellStyle name="Normal 2 23 17 3 3" xfId="25662" xr:uid="{00000000-0005-0000-0000-000090630000}"/>
    <cellStyle name="Normal 2 23 17 4" xfId="25663" xr:uid="{00000000-0005-0000-0000-000091630000}"/>
    <cellStyle name="Normal 2 23 18" xfId="25664" xr:uid="{00000000-0005-0000-0000-000092630000}"/>
    <cellStyle name="Normal 2 23 18 2" xfId="25665" xr:uid="{00000000-0005-0000-0000-000093630000}"/>
    <cellStyle name="Normal 2 23 18 2 2" xfId="25666" xr:uid="{00000000-0005-0000-0000-000094630000}"/>
    <cellStyle name="Normal 2 23 18 2 2 2" xfId="25667" xr:uid="{00000000-0005-0000-0000-000095630000}"/>
    <cellStyle name="Normal 2 23 18 2 2 3" xfId="25668" xr:uid="{00000000-0005-0000-0000-000096630000}"/>
    <cellStyle name="Normal 2 23 18 2 3" xfId="25669" xr:uid="{00000000-0005-0000-0000-000097630000}"/>
    <cellStyle name="Normal 2 23 18 2 4" xfId="25670" xr:uid="{00000000-0005-0000-0000-000098630000}"/>
    <cellStyle name="Normal 2 23 18 3" xfId="25671" xr:uid="{00000000-0005-0000-0000-000099630000}"/>
    <cellStyle name="Normal 2 23 18 3 2" xfId="25672" xr:uid="{00000000-0005-0000-0000-00009A630000}"/>
    <cellStyle name="Normal 2 23 18 3 3" xfId="25673" xr:uid="{00000000-0005-0000-0000-00009B630000}"/>
    <cellStyle name="Normal 2 23 18 4" xfId="25674" xr:uid="{00000000-0005-0000-0000-00009C630000}"/>
    <cellStyle name="Normal 2 23 19" xfId="25675" xr:uid="{00000000-0005-0000-0000-00009D630000}"/>
    <cellStyle name="Normal 2 23 19 2" xfId="25676" xr:uid="{00000000-0005-0000-0000-00009E630000}"/>
    <cellStyle name="Normal 2 23 19 2 2" xfId="25677" xr:uid="{00000000-0005-0000-0000-00009F630000}"/>
    <cellStyle name="Normal 2 23 19 2 2 2" xfId="25678" xr:uid="{00000000-0005-0000-0000-0000A0630000}"/>
    <cellStyle name="Normal 2 23 19 2 2 3" xfId="25679" xr:uid="{00000000-0005-0000-0000-0000A1630000}"/>
    <cellStyle name="Normal 2 23 19 2 3" xfId="25680" xr:uid="{00000000-0005-0000-0000-0000A2630000}"/>
    <cellStyle name="Normal 2 23 19 2 4" xfId="25681" xr:uid="{00000000-0005-0000-0000-0000A3630000}"/>
    <cellStyle name="Normal 2 23 19 3" xfId="25682" xr:uid="{00000000-0005-0000-0000-0000A4630000}"/>
    <cellStyle name="Normal 2 23 19 3 2" xfId="25683" xr:uid="{00000000-0005-0000-0000-0000A5630000}"/>
    <cellStyle name="Normal 2 23 19 3 3" xfId="25684" xr:uid="{00000000-0005-0000-0000-0000A6630000}"/>
    <cellStyle name="Normal 2 23 19 4" xfId="25685" xr:uid="{00000000-0005-0000-0000-0000A7630000}"/>
    <cellStyle name="Normal 2 23 2" xfId="25686" xr:uid="{00000000-0005-0000-0000-0000A8630000}"/>
    <cellStyle name="Normal 2 23 2 2" xfId="25687" xr:uid="{00000000-0005-0000-0000-0000A9630000}"/>
    <cellStyle name="Normal 2 23 2 2 2" xfId="25688" xr:uid="{00000000-0005-0000-0000-0000AA630000}"/>
    <cellStyle name="Normal 2 23 2 2 2 2" xfId="25689" xr:uid="{00000000-0005-0000-0000-0000AB630000}"/>
    <cellStyle name="Normal 2 23 2 2 2 3" xfId="25690" xr:uid="{00000000-0005-0000-0000-0000AC630000}"/>
    <cellStyle name="Normal 2 23 2 2 3" xfId="25691" xr:uid="{00000000-0005-0000-0000-0000AD630000}"/>
    <cellStyle name="Normal 2 23 2 2 4" xfId="25692" xr:uid="{00000000-0005-0000-0000-0000AE630000}"/>
    <cellStyle name="Normal 2 23 2 3" xfId="25693" xr:uid="{00000000-0005-0000-0000-0000AF630000}"/>
    <cellStyle name="Normal 2 23 2 3 2" xfId="25694" xr:uid="{00000000-0005-0000-0000-0000B0630000}"/>
    <cellStyle name="Normal 2 23 2 3 3" xfId="25695" xr:uid="{00000000-0005-0000-0000-0000B1630000}"/>
    <cellStyle name="Normal 2 23 2 4" xfId="25696" xr:uid="{00000000-0005-0000-0000-0000B2630000}"/>
    <cellStyle name="Normal 2 23 20" xfId="25697" xr:uid="{00000000-0005-0000-0000-0000B3630000}"/>
    <cellStyle name="Normal 2 23 20 2" xfId="25698" xr:uid="{00000000-0005-0000-0000-0000B4630000}"/>
    <cellStyle name="Normal 2 23 20 2 2" xfId="25699" xr:uid="{00000000-0005-0000-0000-0000B5630000}"/>
    <cellStyle name="Normal 2 23 20 2 2 2" xfId="25700" xr:uid="{00000000-0005-0000-0000-0000B6630000}"/>
    <cellStyle name="Normal 2 23 20 2 2 3" xfId="25701" xr:uid="{00000000-0005-0000-0000-0000B7630000}"/>
    <cellStyle name="Normal 2 23 20 2 3" xfId="25702" xr:uid="{00000000-0005-0000-0000-0000B8630000}"/>
    <cellStyle name="Normal 2 23 20 2 4" xfId="25703" xr:uid="{00000000-0005-0000-0000-0000B9630000}"/>
    <cellStyle name="Normal 2 23 20 3" xfId="25704" xr:uid="{00000000-0005-0000-0000-0000BA630000}"/>
    <cellStyle name="Normal 2 23 20 3 2" xfId="25705" xr:uid="{00000000-0005-0000-0000-0000BB630000}"/>
    <cellStyle name="Normal 2 23 20 3 3" xfId="25706" xr:uid="{00000000-0005-0000-0000-0000BC630000}"/>
    <cellStyle name="Normal 2 23 20 4" xfId="25707" xr:uid="{00000000-0005-0000-0000-0000BD630000}"/>
    <cellStyle name="Normal 2 23 21" xfId="25708" xr:uid="{00000000-0005-0000-0000-0000BE630000}"/>
    <cellStyle name="Normal 2 23 21 2" xfId="25709" xr:uid="{00000000-0005-0000-0000-0000BF630000}"/>
    <cellStyle name="Normal 2 23 21 2 2" xfId="25710" xr:uid="{00000000-0005-0000-0000-0000C0630000}"/>
    <cellStyle name="Normal 2 23 21 2 2 2" xfId="25711" xr:uid="{00000000-0005-0000-0000-0000C1630000}"/>
    <cellStyle name="Normal 2 23 21 2 2 3" xfId="25712" xr:uid="{00000000-0005-0000-0000-0000C2630000}"/>
    <cellStyle name="Normal 2 23 21 2 3" xfId="25713" xr:uid="{00000000-0005-0000-0000-0000C3630000}"/>
    <cellStyle name="Normal 2 23 21 2 4" xfId="25714" xr:uid="{00000000-0005-0000-0000-0000C4630000}"/>
    <cellStyle name="Normal 2 23 21 3" xfId="25715" xr:uid="{00000000-0005-0000-0000-0000C5630000}"/>
    <cellStyle name="Normal 2 23 21 3 2" xfId="25716" xr:uid="{00000000-0005-0000-0000-0000C6630000}"/>
    <cellStyle name="Normal 2 23 21 3 3" xfId="25717" xr:uid="{00000000-0005-0000-0000-0000C7630000}"/>
    <cellStyle name="Normal 2 23 21 4" xfId="25718" xr:uid="{00000000-0005-0000-0000-0000C8630000}"/>
    <cellStyle name="Normal 2 23 22" xfId="25719" xr:uid="{00000000-0005-0000-0000-0000C9630000}"/>
    <cellStyle name="Normal 2 23 22 2" xfId="25720" xr:uid="{00000000-0005-0000-0000-0000CA630000}"/>
    <cellStyle name="Normal 2 23 22 2 2" xfId="25721" xr:uid="{00000000-0005-0000-0000-0000CB630000}"/>
    <cellStyle name="Normal 2 23 22 2 2 2" xfId="25722" xr:uid="{00000000-0005-0000-0000-0000CC630000}"/>
    <cellStyle name="Normal 2 23 22 2 2 3" xfId="25723" xr:uid="{00000000-0005-0000-0000-0000CD630000}"/>
    <cellStyle name="Normal 2 23 22 2 3" xfId="25724" xr:uid="{00000000-0005-0000-0000-0000CE630000}"/>
    <cellStyle name="Normal 2 23 22 2 4" xfId="25725" xr:uid="{00000000-0005-0000-0000-0000CF630000}"/>
    <cellStyle name="Normal 2 23 22 3" xfId="25726" xr:uid="{00000000-0005-0000-0000-0000D0630000}"/>
    <cellStyle name="Normal 2 23 22 3 2" xfId="25727" xr:uid="{00000000-0005-0000-0000-0000D1630000}"/>
    <cellStyle name="Normal 2 23 22 3 3" xfId="25728" xr:uid="{00000000-0005-0000-0000-0000D2630000}"/>
    <cellStyle name="Normal 2 23 22 4" xfId="25729" xr:uid="{00000000-0005-0000-0000-0000D3630000}"/>
    <cellStyle name="Normal 2 23 23" xfId="25730" xr:uid="{00000000-0005-0000-0000-0000D4630000}"/>
    <cellStyle name="Normal 2 23 23 2" xfId="25731" xr:uid="{00000000-0005-0000-0000-0000D5630000}"/>
    <cellStyle name="Normal 2 23 23 2 2" xfId="25732" xr:uid="{00000000-0005-0000-0000-0000D6630000}"/>
    <cellStyle name="Normal 2 23 23 2 2 2" xfId="25733" xr:uid="{00000000-0005-0000-0000-0000D7630000}"/>
    <cellStyle name="Normal 2 23 23 2 2 3" xfId="25734" xr:uid="{00000000-0005-0000-0000-0000D8630000}"/>
    <cellStyle name="Normal 2 23 23 2 3" xfId="25735" xr:uid="{00000000-0005-0000-0000-0000D9630000}"/>
    <cellStyle name="Normal 2 23 23 2 4" xfId="25736" xr:uid="{00000000-0005-0000-0000-0000DA630000}"/>
    <cellStyle name="Normal 2 23 23 3" xfId="25737" xr:uid="{00000000-0005-0000-0000-0000DB630000}"/>
    <cellStyle name="Normal 2 23 23 3 2" xfId="25738" xr:uid="{00000000-0005-0000-0000-0000DC630000}"/>
    <cellStyle name="Normal 2 23 23 3 3" xfId="25739" xr:uid="{00000000-0005-0000-0000-0000DD630000}"/>
    <cellStyle name="Normal 2 23 23 4" xfId="25740" xr:uid="{00000000-0005-0000-0000-0000DE630000}"/>
    <cellStyle name="Normal 2 23 24" xfId="25741" xr:uid="{00000000-0005-0000-0000-0000DF630000}"/>
    <cellStyle name="Normal 2 23 24 2" xfId="25742" xr:uid="{00000000-0005-0000-0000-0000E0630000}"/>
    <cellStyle name="Normal 2 23 24 2 2" xfId="25743" xr:uid="{00000000-0005-0000-0000-0000E1630000}"/>
    <cellStyle name="Normal 2 23 24 2 3" xfId="25744" xr:uid="{00000000-0005-0000-0000-0000E2630000}"/>
    <cellStyle name="Normal 2 23 24 3" xfId="25745" xr:uid="{00000000-0005-0000-0000-0000E3630000}"/>
    <cellStyle name="Normal 2 23 24 4" xfId="25746" xr:uid="{00000000-0005-0000-0000-0000E4630000}"/>
    <cellStyle name="Normal 2 23 25" xfId="25747" xr:uid="{00000000-0005-0000-0000-0000E5630000}"/>
    <cellStyle name="Normal 2 23 25 2" xfId="25748" xr:uid="{00000000-0005-0000-0000-0000E6630000}"/>
    <cellStyle name="Normal 2 23 25 3" xfId="25749" xr:uid="{00000000-0005-0000-0000-0000E7630000}"/>
    <cellStyle name="Normal 2 23 26" xfId="25750" xr:uid="{00000000-0005-0000-0000-0000E8630000}"/>
    <cellStyle name="Normal 2 23 3" xfId="25751" xr:uid="{00000000-0005-0000-0000-0000E9630000}"/>
    <cellStyle name="Normal 2 23 3 2" xfId="25752" xr:uid="{00000000-0005-0000-0000-0000EA630000}"/>
    <cellStyle name="Normal 2 23 3 2 2" xfId="25753" xr:uid="{00000000-0005-0000-0000-0000EB630000}"/>
    <cellStyle name="Normal 2 23 3 2 2 2" xfId="25754" xr:uid="{00000000-0005-0000-0000-0000EC630000}"/>
    <cellStyle name="Normal 2 23 3 2 2 3" xfId="25755" xr:uid="{00000000-0005-0000-0000-0000ED630000}"/>
    <cellStyle name="Normal 2 23 3 2 3" xfId="25756" xr:uid="{00000000-0005-0000-0000-0000EE630000}"/>
    <cellStyle name="Normal 2 23 3 2 4" xfId="25757" xr:uid="{00000000-0005-0000-0000-0000EF630000}"/>
    <cellStyle name="Normal 2 23 3 3" xfId="25758" xr:uid="{00000000-0005-0000-0000-0000F0630000}"/>
    <cellStyle name="Normal 2 23 3 3 2" xfId="25759" xr:uid="{00000000-0005-0000-0000-0000F1630000}"/>
    <cellStyle name="Normal 2 23 3 3 3" xfId="25760" xr:uid="{00000000-0005-0000-0000-0000F2630000}"/>
    <cellStyle name="Normal 2 23 3 4" xfId="25761" xr:uid="{00000000-0005-0000-0000-0000F3630000}"/>
    <cellStyle name="Normal 2 23 4" xfId="25762" xr:uid="{00000000-0005-0000-0000-0000F4630000}"/>
    <cellStyle name="Normal 2 23 4 2" xfId="25763" xr:uid="{00000000-0005-0000-0000-0000F5630000}"/>
    <cellStyle name="Normal 2 23 4 2 2" xfId="25764" xr:uid="{00000000-0005-0000-0000-0000F6630000}"/>
    <cellStyle name="Normal 2 23 4 2 2 2" xfId="25765" xr:uid="{00000000-0005-0000-0000-0000F7630000}"/>
    <cellStyle name="Normal 2 23 4 2 2 3" xfId="25766" xr:uid="{00000000-0005-0000-0000-0000F8630000}"/>
    <cellStyle name="Normal 2 23 4 2 3" xfId="25767" xr:uid="{00000000-0005-0000-0000-0000F9630000}"/>
    <cellStyle name="Normal 2 23 4 2 4" xfId="25768" xr:uid="{00000000-0005-0000-0000-0000FA630000}"/>
    <cellStyle name="Normal 2 23 4 3" xfId="25769" xr:uid="{00000000-0005-0000-0000-0000FB630000}"/>
    <cellStyle name="Normal 2 23 4 3 2" xfId="25770" xr:uid="{00000000-0005-0000-0000-0000FC630000}"/>
    <cellStyle name="Normal 2 23 4 3 3" xfId="25771" xr:uid="{00000000-0005-0000-0000-0000FD630000}"/>
    <cellStyle name="Normal 2 23 4 4" xfId="25772" xr:uid="{00000000-0005-0000-0000-0000FE630000}"/>
    <cellStyle name="Normal 2 23 5" xfId="25773" xr:uid="{00000000-0005-0000-0000-0000FF630000}"/>
    <cellStyle name="Normal 2 23 5 2" xfId="25774" xr:uid="{00000000-0005-0000-0000-000000640000}"/>
    <cellStyle name="Normal 2 23 5 2 2" xfId="25775" xr:uid="{00000000-0005-0000-0000-000001640000}"/>
    <cellStyle name="Normal 2 23 5 2 2 2" xfId="25776" xr:uid="{00000000-0005-0000-0000-000002640000}"/>
    <cellStyle name="Normal 2 23 5 2 2 3" xfId="25777" xr:uid="{00000000-0005-0000-0000-000003640000}"/>
    <cellStyle name="Normal 2 23 5 2 3" xfId="25778" xr:uid="{00000000-0005-0000-0000-000004640000}"/>
    <cellStyle name="Normal 2 23 5 2 4" xfId="25779" xr:uid="{00000000-0005-0000-0000-000005640000}"/>
    <cellStyle name="Normal 2 23 5 3" xfId="25780" xr:uid="{00000000-0005-0000-0000-000006640000}"/>
    <cellStyle name="Normal 2 23 5 3 2" xfId="25781" xr:uid="{00000000-0005-0000-0000-000007640000}"/>
    <cellStyle name="Normal 2 23 5 3 3" xfId="25782" xr:uid="{00000000-0005-0000-0000-000008640000}"/>
    <cellStyle name="Normal 2 23 5 4" xfId="25783" xr:uid="{00000000-0005-0000-0000-000009640000}"/>
    <cellStyle name="Normal 2 23 6" xfId="25784" xr:uid="{00000000-0005-0000-0000-00000A640000}"/>
    <cellStyle name="Normal 2 23 6 2" xfId="25785" xr:uid="{00000000-0005-0000-0000-00000B640000}"/>
    <cellStyle name="Normal 2 23 6 2 2" xfId="25786" xr:uid="{00000000-0005-0000-0000-00000C640000}"/>
    <cellStyle name="Normal 2 23 6 2 2 2" xfId="25787" xr:uid="{00000000-0005-0000-0000-00000D640000}"/>
    <cellStyle name="Normal 2 23 6 2 2 3" xfId="25788" xr:uid="{00000000-0005-0000-0000-00000E640000}"/>
    <cellStyle name="Normal 2 23 6 2 3" xfId="25789" xr:uid="{00000000-0005-0000-0000-00000F640000}"/>
    <cellStyle name="Normal 2 23 6 2 4" xfId="25790" xr:uid="{00000000-0005-0000-0000-000010640000}"/>
    <cellStyle name="Normal 2 23 6 3" xfId="25791" xr:uid="{00000000-0005-0000-0000-000011640000}"/>
    <cellStyle name="Normal 2 23 6 3 2" xfId="25792" xr:uid="{00000000-0005-0000-0000-000012640000}"/>
    <cellStyle name="Normal 2 23 6 3 3" xfId="25793" xr:uid="{00000000-0005-0000-0000-000013640000}"/>
    <cellStyle name="Normal 2 23 6 4" xfId="25794" xr:uid="{00000000-0005-0000-0000-000014640000}"/>
    <cellStyle name="Normal 2 23 7" xfId="25795" xr:uid="{00000000-0005-0000-0000-000015640000}"/>
    <cellStyle name="Normal 2 23 7 2" xfId="25796" xr:uid="{00000000-0005-0000-0000-000016640000}"/>
    <cellStyle name="Normal 2 23 7 2 2" xfId="25797" xr:uid="{00000000-0005-0000-0000-000017640000}"/>
    <cellStyle name="Normal 2 23 7 2 2 2" xfId="25798" xr:uid="{00000000-0005-0000-0000-000018640000}"/>
    <cellStyle name="Normal 2 23 7 2 2 3" xfId="25799" xr:uid="{00000000-0005-0000-0000-000019640000}"/>
    <cellStyle name="Normal 2 23 7 2 3" xfId="25800" xr:uid="{00000000-0005-0000-0000-00001A640000}"/>
    <cellStyle name="Normal 2 23 7 2 4" xfId="25801" xr:uid="{00000000-0005-0000-0000-00001B640000}"/>
    <cellStyle name="Normal 2 23 7 3" xfId="25802" xr:uid="{00000000-0005-0000-0000-00001C640000}"/>
    <cellStyle name="Normal 2 23 7 3 2" xfId="25803" xr:uid="{00000000-0005-0000-0000-00001D640000}"/>
    <cellStyle name="Normal 2 23 7 3 3" xfId="25804" xr:uid="{00000000-0005-0000-0000-00001E640000}"/>
    <cellStyle name="Normal 2 23 7 4" xfId="25805" xr:uid="{00000000-0005-0000-0000-00001F640000}"/>
    <cellStyle name="Normal 2 23 8" xfId="25806" xr:uid="{00000000-0005-0000-0000-000020640000}"/>
    <cellStyle name="Normal 2 23 8 2" xfId="25807" xr:uid="{00000000-0005-0000-0000-000021640000}"/>
    <cellStyle name="Normal 2 23 8 2 2" xfId="25808" xr:uid="{00000000-0005-0000-0000-000022640000}"/>
    <cellStyle name="Normal 2 23 8 2 2 2" xfId="25809" xr:uid="{00000000-0005-0000-0000-000023640000}"/>
    <cellStyle name="Normal 2 23 8 2 2 3" xfId="25810" xr:uid="{00000000-0005-0000-0000-000024640000}"/>
    <cellStyle name="Normal 2 23 8 2 3" xfId="25811" xr:uid="{00000000-0005-0000-0000-000025640000}"/>
    <cellStyle name="Normal 2 23 8 2 4" xfId="25812" xr:uid="{00000000-0005-0000-0000-000026640000}"/>
    <cellStyle name="Normal 2 23 8 3" xfId="25813" xr:uid="{00000000-0005-0000-0000-000027640000}"/>
    <cellStyle name="Normal 2 23 8 3 2" xfId="25814" xr:uid="{00000000-0005-0000-0000-000028640000}"/>
    <cellStyle name="Normal 2 23 8 3 3" xfId="25815" xr:uid="{00000000-0005-0000-0000-000029640000}"/>
    <cellStyle name="Normal 2 23 8 4" xfId="25816" xr:uid="{00000000-0005-0000-0000-00002A640000}"/>
    <cellStyle name="Normal 2 23 9" xfId="25817" xr:uid="{00000000-0005-0000-0000-00002B640000}"/>
    <cellStyle name="Normal 2 23 9 2" xfId="25818" xr:uid="{00000000-0005-0000-0000-00002C640000}"/>
    <cellStyle name="Normal 2 23 9 2 2" xfId="25819" xr:uid="{00000000-0005-0000-0000-00002D640000}"/>
    <cellStyle name="Normal 2 23 9 2 2 2" xfId="25820" xr:uid="{00000000-0005-0000-0000-00002E640000}"/>
    <cellStyle name="Normal 2 23 9 2 2 3" xfId="25821" xr:uid="{00000000-0005-0000-0000-00002F640000}"/>
    <cellStyle name="Normal 2 23 9 2 3" xfId="25822" xr:uid="{00000000-0005-0000-0000-000030640000}"/>
    <cellStyle name="Normal 2 23 9 2 4" xfId="25823" xr:uid="{00000000-0005-0000-0000-000031640000}"/>
    <cellStyle name="Normal 2 23 9 3" xfId="25824" xr:uid="{00000000-0005-0000-0000-000032640000}"/>
    <cellStyle name="Normal 2 23 9 3 2" xfId="25825" xr:uid="{00000000-0005-0000-0000-000033640000}"/>
    <cellStyle name="Normal 2 23 9 3 3" xfId="25826" xr:uid="{00000000-0005-0000-0000-000034640000}"/>
    <cellStyle name="Normal 2 23 9 4" xfId="25827" xr:uid="{00000000-0005-0000-0000-000035640000}"/>
    <cellStyle name="Normal 2 24" xfId="25828" xr:uid="{00000000-0005-0000-0000-000036640000}"/>
    <cellStyle name="Normal 2 24 10" xfId="25829" xr:uid="{00000000-0005-0000-0000-000037640000}"/>
    <cellStyle name="Normal 2 24 10 2" xfId="25830" xr:uid="{00000000-0005-0000-0000-000038640000}"/>
    <cellStyle name="Normal 2 24 10 2 2" xfId="25831" xr:uid="{00000000-0005-0000-0000-000039640000}"/>
    <cellStyle name="Normal 2 24 10 2 2 2" xfId="25832" xr:uid="{00000000-0005-0000-0000-00003A640000}"/>
    <cellStyle name="Normal 2 24 10 2 2 3" xfId="25833" xr:uid="{00000000-0005-0000-0000-00003B640000}"/>
    <cellStyle name="Normal 2 24 10 2 3" xfId="25834" xr:uid="{00000000-0005-0000-0000-00003C640000}"/>
    <cellStyle name="Normal 2 24 10 2 4" xfId="25835" xr:uid="{00000000-0005-0000-0000-00003D640000}"/>
    <cellStyle name="Normal 2 24 10 3" xfId="25836" xr:uid="{00000000-0005-0000-0000-00003E640000}"/>
    <cellStyle name="Normal 2 24 10 3 2" xfId="25837" xr:uid="{00000000-0005-0000-0000-00003F640000}"/>
    <cellStyle name="Normal 2 24 10 3 3" xfId="25838" xr:uid="{00000000-0005-0000-0000-000040640000}"/>
    <cellStyle name="Normal 2 24 10 4" xfId="25839" xr:uid="{00000000-0005-0000-0000-000041640000}"/>
    <cellStyle name="Normal 2 24 11" xfId="25840" xr:uid="{00000000-0005-0000-0000-000042640000}"/>
    <cellStyle name="Normal 2 24 11 2" xfId="25841" xr:uid="{00000000-0005-0000-0000-000043640000}"/>
    <cellStyle name="Normal 2 24 11 2 2" xfId="25842" xr:uid="{00000000-0005-0000-0000-000044640000}"/>
    <cellStyle name="Normal 2 24 11 2 2 2" xfId="25843" xr:uid="{00000000-0005-0000-0000-000045640000}"/>
    <cellStyle name="Normal 2 24 11 2 2 3" xfId="25844" xr:uid="{00000000-0005-0000-0000-000046640000}"/>
    <cellStyle name="Normal 2 24 11 2 3" xfId="25845" xr:uid="{00000000-0005-0000-0000-000047640000}"/>
    <cellStyle name="Normal 2 24 11 2 4" xfId="25846" xr:uid="{00000000-0005-0000-0000-000048640000}"/>
    <cellStyle name="Normal 2 24 11 3" xfId="25847" xr:uid="{00000000-0005-0000-0000-000049640000}"/>
    <cellStyle name="Normal 2 24 11 3 2" xfId="25848" xr:uid="{00000000-0005-0000-0000-00004A640000}"/>
    <cellStyle name="Normal 2 24 11 3 3" xfId="25849" xr:uid="{00000000-0005-0000-0000-00004B640000}"/>
    <cellStyle name="Normal 2 24 11 4" xfId="25850" xr:uid="{00000000-0005-0000-0000-00004C640000}"/>
    <cellStyle name="Normal 2 24 12" xfId="25851" xr:uid="{00000000-0005-0000-0000-00004D640000}"/>
    <cellStyle name="Normal 2 24 12 2" xfId="25852" xr:uid="{00000000-0005-0000-0000-00004E640000}"/>
    <cellStyle name="Normal 2 24 12 2 2" xfId="25853" xr:uid="{00000000-0005-0000-0000-00004F640000}"/>
    <cellStyle name="Normal 2 24 12 2 2 2" xfId="25854" xr:uid="{00000000-0005-0000-0000-000050640000}"/>
    <cellStyle name="Normal 2 24 12 2 2 3" xfId="25855" xr:uid="{00000000-0005-0000-0000-000051640000}"/>
    <cellStyle name="Normal 2 24 12 2 3" xfId="25856" xr:uid="{00000000-0005-0000-0000-000052640000}"/>
    <cellStyle name="Normal 2 24 12 2 4" xfId="25857" xr:uid="{00000000-0005-0000-0000-000053640000}"/>
    <cellStyle name="Normal 2 24 12 3" xfId="25858" xr:uid="{00000000-0005-0000-0000-000054640000}"/>
    <cellStyle name="Normal 2 24 12 3 2" xfId="25859" xr:uid="{00000000-0005-0000-0000-000055640000}"/>
    <cellStyle name="Normal 2 24 12 3 3" xfId="25860" xr:uid="{00000000-0005-0000-0000-000056640000}"/>
    <cellStyle name="Normal 2 24 12 4" xfId="25861" xr:uid="{00000000-0005-0000-0000-000057640000}"/>
    <cellStyle name="Normal 2 24 13" xfId="25862" xr:uid="{00000000-0005-0000-0000-000058640000}"/>
    <cellStyle name="Normal 2 24 13 2" xfId="25863" xr:uid="{00000000-0005-0000-0000-000059640000}"/>
    <cellStyle name="Normal 2 24 13 2 2" xfId="25864" xr:uid="{00000000-0005-0000-0000-00005A640000}"/>
    <cellStyle name="Normal 2 24 13 2 2 2" xfId="25865" xr:uid="{00000000-0005-0000-0000-00005B640000}"/>
    <cellStyle name="Normal 2 24 13 2 2 3" xfId="25866" xr:uid="{00000000-0005-0000-0000-00005C640000}"/>
    <cellStyle name="Normal 2 24 13 2 3" xfId="25867" xr:uid="{00000000-0005-0000-0000-00005D640000}"/>
    <cellStyle name="Normal 2 24 13 2 4" xfId="25868" xr:uid="{00000000-0005-0000-0000-00005E640000}"/>
    <cellStyle name="Normal 2 24 13 3" xfId="25869" xr:uid="{00000000-0005-0000-0000-00005F640000}"/>
    <cellStyle name="Normal 2 24 13 3 2" xfId="25870" xr:uid="{00000000-0005-0000-0000-000060640000}"/>
    <cellStyle name="Normal 2 24 13 3 3" xfId="25871" xr:uid="{00000000-0005-0000-0000-000061640000}"/>
    <cellStyle name="Normal 2 24 13 4" xfId="25872" xr:uid="{00000000-0005-0000-0000-000062640000}"/>
    <cellStyle name="Normal 2 24 14" xfId="25873" xr:uid="{00000000-0005-0000-0000-000063640000}"/>
    <cellStyle name="Normal 2 24 14 2" xfId="25874" xr:uid="{00000000-0005-0000-0000-000064640000}"/>
    <cellStyle name="Normal 2 24 14 2 2" xfId="25875" xr:uid="{00000000-0005-0000-0000-000065640000}"/>
    <cellStyle name="Normal 2 24 14 2 2 2" xfId="25876" xr:uid="{00000000-0005-0000-0000-000066640000}"/>
    <cellStyle name="Normal 2 24 14 2 2 3" xfId="25877" xr:uid="{00000000-0005-0000-0000-000067640000}"/>
    <cellStyle name="Normal 2 24 14 2 3" xfId="25878" xr:uid="{00000000-0005-0000-0000-000068640000}"/>
    <cellStyle name="Normal 2 24 14 2 4" xfId="25879" xr:uid="{00000000-0005-0000-0000-000069640000}"/>
    <cellStyle name="Normal 2 24 14 3" xfId="25880" xr:uid="{00000000-0005-0000-0000-00006A640000}"/>
    <cellStyle name="Normal 2 24 14 3 2" xfId="25881" xr:uid="{00000000-0005-0000-0000-00006B640000}"/>
    <cellStyle name="Normal 2 24 14 3 3" xfId="25882" xr:uid="{00000000-0005-0000-0000-00006C640000}"/>
    <cellStyle name="Normal 2 24 14 4" xfId="25883" xr:uid="{00000000-0005-0000-0000-00006D640000}"/>
    <cellStyle name="Normal 2 24 15" xfId="25884" xr:uid="{00000000-0005-0000-0000-00006E640000}"/>
    <cellStyle name="Normal 2 24 15 2" xfId="25885" xr:uid="{00000000-0005-0000-0000-00006F640000}"/>
    <cellStyle name="Normal 2 24 15 2 2" xfId="25886" xr:uid="{00000000-0005-0000-0000-000070640000}"/>
    <cellStyle name="Normal 2 24 15 2 2 2" xfId="25887" xr:uid="{00000000-0005-0000-0000-000071640000}"/>
    <cellStyle name="Normal 2 24 15 2 2 3" xfId="25888" xr:uid="{00000000-0005-0000-0000-000072640000}"/>
    <cellStyle name="Normal 2 24 15 2 3" xfId="25889" xr:uid="{00000000-0005-0000-0000-000073640000}"/>
    <cellStyle name="Normal 2 24 15 2 4" xfId="25890" xr:uid="{00000000-0005-0000-0000-000074640000}"/>
    <cellStyle name="Normal 2 24 15 3" xfId="25891" xr:uid="{00000000-0005-0000-0000-000075640000}"/>
    <cellStyle name="Normal 2 24 15 3 2" xfId="25892" xr:uid="{00000000-0005-0000-0000-000076640000}"/>
    <cellStyle name="Normal 2 24 15 3 3" xfId="25893" xr:uid="{00000000-0005-0000-0000-000077640000}"/>
    <cellStyle name="Normal 2 24 15 4" xfId="25894" xr:uid="{00000000-0005-0000-0000-000078640000}"/>
    <cellStyle name="Normal 2 24 16" xfId="25895" xr:uid="{00000000-0005-0000-0000-000079640000}"/>
    <cellStyle name="Normal 2 24 16 2" xfId="25896" xr:uid="{00000000-0005-0000-0000-00007A640000}"/>
    <cellStyle name="Normal 2 24 16 2 2" xfId="25897" xr:uid="{00000000-0005-0000-0000-00007B640000}"/>
    <cellStyle name="Normal 2 24 16 2 2 2" xfId="25898" xr:uid="{00000000-0005-0000-0000-00007C640000}"/>
    <cellStyle name="Normal 2 24 16 2 2 3" xfId="25899" xr:uid="{00000000-0005-0000-0000-00007D640000}"/>
    <cellStyle name="Normal 2 24 16 2 3" xfId="25900" xr:uid="{00000000-0005-0000-0000-00007E640000}"/>
    <cellStyle name="Normal 2 24 16 2 4" xfId="25901" xr:uid="{00000000-0005-0000-0000-00007F640000}"/>
    <cellStyle name="Normal 2 24 16 3" xfId="25902" xr:uid="{00000000-0005-0000-0000-000080640000}"/>
    <cellStyle name="Normal 2 24 16 3 2" xfId="25903" xr:uid="{00000000-0005-0000-0000-000081640000}"/>
    <cellStyle name="Normal 2 24 16 3 3" xfId="25904" xr:uid="{00000000-0005-0000-0000-000082640000}"/>
    <cellStyle name="Normal 2 24 16 4" xfId="25905" xr:uid="{00000000-0005-0000-0000-000083640000}"/>
    <cellStyle name="Normal 2 24 17" xfId="25906" xr:uid="{00000000-0005-0000-0000-000084640000}"/>
    <cellStyle name="Normal 2 24 17 2" xfId="25907" xr:uid="{00000000-0005-0000-0000-000085640000}"/>
    <cellStyle name="Normal 2 24 17 2 2" xfId="25908" xr:uid="{00000000-0005-0000-0000-000086640000}"/>
    <cellStyle name="Normal 2 24 17 2 2 2" xfId="25909" xr:uid="{00000000-0005-0000-0000-000087640000}"/>
    <cellStyle name="Normal 2 24 17 2 2 3" xfId="25910" xr:uid="{00000000-0005-0000-0000-000088640000}"/>
    <cellStyle name="Normal 2 24 17 2 3" xfId="25911" xr:uid="{00000000-0005-0000-0000-000089640000}"/>
    <cellStyle name="Normal 2 24 17 2 4" xfId="25912" xr:uid="{00000000-0005-0000-0000-00008A640000}"/>
    <cellStyle name="Normal 2 24 17 3" xfId="25913" xr:uid="{00000000-0005-0000-0000-00008B640000}"/>
    <cellStyle name="Normal 2 24 17 3 2" xfId="25914" xr:uid="{00000000-0005-0000-0000-00008C640000}"/>
    <cellStyle name="Normal 2 24 17 3 3" xfId="25915" xr:uid="{00000000-0005-0000-0000-00008D640000}"/>
    <cellStyle name="Normal 2 24 17 4" xfId="25916" xr:uid="{00000000-0005-0000-0000-00008E640000}"/>
    <cellStyle name="Normal 2 24 18" xfId="25917" xr:uid="{00000000-0005-0000-0000-00008F640000}"/>
    <cellStyle name="Normal 2 24 18 2" xfId="25918" xr:uid="{00000000-0005-0000-0000-000090640000}"/>
    <cellStyle name="Normal 2 24 18 2 2" xfId="25919" xr:uid="{00000000-0005-0000-0000-000091640000}"/>
    <cellStyle name="Normal 2 24 18 2 2 2" xfId="25920" xr:uid="{00000000-0005-0000-0000-000092640000}"/>
    <cellStyle name="Normal 2 24 18 2 2 3" xfId="25921" xr:uid="{00000000-0005-0000-0000-000093640000}"/>
    <cellStyle name="Normal 2 24 18 2 3" xfId="25922" xr:uid="{00000000-0005-0000-0000-000094640000}"/>
    <cellStyle name="Normal 2 24 18 2 4" xfId="25923" xr:uid="{00000000-0005-0000-0000-000095640000}"/>
    <cellStyle name="Normal 2 24 18 3" xfId="25924" xr:uid="{00000000-0005-0000-0000-000096640000}"/>
    <cellStyle name="Normal 2 24 18 3 2" xfId="25925" xr:uid="{00000000-0005-0000-0000-000097640000}"/>
    <cellStyle name="Normal 2 24 18 3 3" xfId="25926" xr:uid="{00000000-0005-0000-0000-000098640000}"/>
    <cellStyle name="Normal 2 24 18 4" xfId="25927" xr:uid="{00000000-0005-0000-0000-000099640000}"/>
    <cellStyle name="Normal 2 24 19" xfId="25928" xr:uid="{00000000-0005-0000-0000-00009A640000}"/>
    <cellStyle name="Normal 2 24 19 2" xfId="25929" xr:uid="{00000000-0005-0000-0000-00009B640000}"/>
    <cellStyle name="Normal 2 24 19 2 2" xfId="25930" xr:uid="{00000000-0005-0000-0000-00009C640000}"/>
    <cellStyle name="Normal 2 24 19 2 2 2" xfId="25931" xr:uid="{00000000-0005-0000-0000-00009D640000}"/>
    <cellStyle name="Normal 2 24 19 2 2 3" xfId="25932" xr:uid="{00000000-0005-0000-0000-00009E640000}"/>
    <cellStyle name="Normal 2 24 19 2 3" xfId="25933" xr:uid="{00000000-0005-0000-0000-00009F640000}"/>
    <cellStyle name="Normal 2 24 19 2 4" xfId="25934" xr:uid="{00000000-0005-0000-0000-0000A0640000}"/>
    <cellStyle name="Normal 2 24 19 3" xfId="25935" xr:uid="{00000000-0005-0000-0000-0000A1640000}"/>
    <cellStyle name="Normal 2 24 19 3 2" xfId="25936" xr:uid="{00000000-0005-0000-0000-0000A2640000}"/>
    <cellStyle name="Normal 2 24 19 3 3" xfId="25937" xr:uid="{00000000-0005-0000-0000-0000A3640000}"/>
    <cellStyle name="Normal 2 24 19 4" xfId="25938" xr:uid="{00000000-0005-0000-0000-0000A4640000}"/>
    <cellStyle name="Normal 2 24 2" xfId="25939" xr:uid="{00000000-0005-0000-0000-0000A5640000}"/>
    <cellStyle name="Normal 2 24 2 2" xfId="25940" xr:uid="{00000000-0005-0000-0000-0000A6640000}"/>
    <cellStyle name="Normal 2 24 2 2 2" xfId="25941" xr:uid="{00000000-0005-0000-0000-0000A7640000}"/>
    <cellStyle name="Normal 2 24 2 2 2 2" xfId="25942" xr:uid="{00000000-0005-0000-0000-0000A8640000}"/>
    <cellStyle name="Normal 2 24 2 2 2 3" xfId="25943" xr:uid="{00000000-0005-0000-0000-0000A9640000}"/>
    <cellStyle name="Normal 2 24 2 2 3" xfId="25944" xr:uid="{00000000-0005-0000-0000-0000AA640000}"/>
    <cellStyle name="Normal 2 24 2 2 4" xfId="25945" xr:uid="{00000000-0005-0000-0000-0000AB640000}"/>
    <cellStyle name="Normal 2 24 2 3" xfId="25946" xr:uid="{00000000-0005-0000-0000-0000AC640000}"/>
    <cellStyle name="Normal 2 24 2 3 2" xfId="25947" xr:uid="{00000000-0005-0000-0000-0000AD640000}"/>
    <cellStyle name="Normal 2 24 2 3 3" xfId="25948" xr:uid="{00000000-0005-0000-0000-0000AE640000}"/>
    <cellStyle name="Normal 2 24 2 4" xfId="25949" xr:uid="{00000000-0005-0000-0000-0000AF640000}"/>
    <cellStyle name="Normal 2 24 20" xfId="25950" xr:uid="{00000000-0005-0000-0000-0000B0640000}"/>
    <cellStyle name="Normal 2 24 20 2" xfId="25951" xr:uid="{00000000-0005-0000-0000-0000B1640000}"/>
    <cellStyle name="Normal 2 24 20 2 2" xfId="25952" xr:uid="{00000000-0005-0000-0000-0000B2640000}"/>
    <cellStyle name="Normal 2 24 20 2 2 2" xfId="25953" xr:uid="{00000000-0005-0000-0000-0000B3640000}"/>
    <cellStyle name="Normal 2 24 20 2 2 3" xfId="25954" xr:uid="{00000000-0005-0000-0000-0000B4640000}"/>
    <cellStyle name="Normal 2 24 20 2 3" xfId="25955" xr:uid="{00000000-0005-0000-0000-0000B5640000}"/>
    <cellStyle name="Normal 2 24 20 2 4" xfId="25956" xr:uid="{00000000-0005-0000-0000-0000B6640000}"/>
    <cellStyle name="Normal 2 24 20 3" xfId="25957" xr:uid="{00000000-0005-0000-0000-0000B7640000}"/>
    <cellStyle name="Normal 2 24 20 3 2" xfId="25958" xr:uid="{00000000-0005-0000-0000-0000B8640000}"/>
    <cellStyle name="Normal 2 24 20 3 3" xfId="25959" xr:uid="{00000000-0005-0000-0000-0000B9640000}"/>
    <cellStyle name="Normal 2 24 20 4" xfId="25960" xr:uid="{00000000-0005-0000-0000-0000BA640000}"/>
    <cellStyle name="Normal 2 24 21" xfId="25961" xr:uid="{00000000-0005-0000-0000-0000BB640000}"/>
    <cellStyle name="Normal 2 24 21 2" xfId="25962" xr:uid="{00000000-0005-0000-0000-0000BC640000}"/>
    <cellStyle name="Normal 2 24 21 2 2" xfId="25963" xr:uid="{00000000-0005-0000-0000-0000BD640000}"/>
    <cellStyle name="Normal 2 24 21 2 2 2" xfId="25964" xr:uid="{00000000-0005-0000-0000-0000BE640000}"/>
    <cellStyle name="Normal 2 24 21 2 2 3" xfId="25965" xr:uid="{00000000-0005-0000-0000-0000BF640000}"/>
    <cellStyle name="Normal 2 24 21 2 3" xfId="25966" xr:uid="{00000000-0005-0000-0000-0000C0640000}"/>
    <cellStyle name="Normal 2 24 21 2 4" xfId="25967" xr:uid="{00000000-0005-0000-0000-0000C1640000}"/>
    <cellStyle name="Normal 2 24 21 3" xfId="25968" xr:uid="{00000000-0005-0000-0000-0000C2640000}"/>
    <cellStyle name="Normal 2 24 21 3 2" xfId="25969" xr:uid="{00000000-0005-0000-0000-0000C3640000}"/>
    <cellStyle name="Normal 2 24 21 3 3" xfId="25970" xr:uid="{00000000-0005-0000-0000-0000C4640000}"/>
    <cellStyle name="Normal 2 24 21 4" xfId="25971" xr:uid="{00000000-0005-0000-0000-0000C5640000}"/>
    <cellStyle name="Normal 2 24 22" xfId="25972" xr:uid="{00000000-0005-0000-0000-0000C6640000}"/>
    <cellStyle name="Normal 2 24 22 2" xfId="25973" xr:uid="{00000000-0005-0000-0000-0000C7640000}"/>
    <cellStyle name="Normal 2 24 22 2 2" xfId="25974" xr:uid="{00000000-0005-0000-0000-0000C8640000}"/>
    <cellStyle name="Normal 2 24 22 2 2 2" xfId="25975" xr:uid="{00000000-0005-0000-0000-0000C9640000}"/>
    <cellStyle name="Normal 2 24 22 2 2 3" xfId="25976" xr:uid="{00000000-0005-0000-0000-0000CA640000}"/>
    <cellStyle name="Normal 2 24 22 2 3" xfId="25977" xr:uid="{00000000-0005-0000-0000-0000CB640000}"/>
    <cellStyle name="Normal 2 24 22 2 4" xfId="25978" xr:uid="{00000000-0005-0000-0000-0000CC640000}"/>
    <cellStyle name="Normal 2 24 22 3" xfId="25979" xr:uid="{00000000-0005-0000-0000-0000CD640000}"/>
    <cellStyle name="Normal 2 24 22 3 2" xfId="25980" xr:uid="{00000000-0005-0000-0000-0000CE640000}"/>
    <cellStyle name="Normal 2 24 22 3 3" xfId="25981" xr:uid="{00000000-0005-0000-0000-0000CF640000}"/>
    <cellStyle name="Normal 2 24 22 4" xfId="25982" xr:uid="{00000000-0005-0000-0000-0000D0640000}"/>
    <cellStyle name="Normal 2 24 23" xfId="25983" xr:uid="{00000000-0005-0000-0000-0000D1640000}"/>
    <cellStyle name="Normal 2 24 23 2" xfId="25984" xr:uid="{00000000-0005-0000-0000-0000D2640000}"/>
    <cellStyle name="Normal 2 24 23 2 2" xfId="25985" xr:uid="{00000000-0005-0000-0000-0000D3640000}"/>
    <cellStyle name="Normal 2 24 23 2 2 2" xfId="25986" xr:uid="{00000000-0005-0000-0000-0000D4640000}"/>
    <cellStyle name="Normal 2 24 23 2 2 3" xfId="25987" xr:uid="{00000000-0005-0000-0000-0000D5640000}"/>
    <cellStyle name="Normal 2 24 23 2 3" xfId="25988" xr:uid="{00000000-0005-0000-0000-0000D6640000}"/>
    <cellStyle name="Normal 2 24 23 2 4" xfId="25989" xr:uid="{00000000-0005-0000-0000-0000D7640000}"/>
    <cellStyle name="Normal 2 24 23 3" xfId="25990" xr:uid="{00000000-0005-0000-0000-0000D8640000}"/>
    <cellStyle name="Normal 2 24 23 3 2" xfId="25991" xr:uid="{00000000-0005-0000-0000-0000D9640000}"/>
    <cellStyle name="Normal 2 24 23 3 3" xfId="25992" xr:uid="{00000000-0005-0000-0000-0000DA640000}"/>
    <cellStyle name="Normal 2 24 23 4" xfId="25993" xr:uid="{00000000-0005-0000-0000-0000DB640000}"/>
    <cellStyle name="Normal 2 24 24" xfId="25994" xr:uid="{00000000-0005-0000-0000-0000DC640000}"/>
    <cellStyle name="Normal 2 24 24 2" xfId="25995" xr:uid="{00000000-0005-0000-0000-0000DD640000}"/>
    <cellStyle name="Normal 2 24 24 2 2" xfId="25996" xr:uid="{00000000-0005-0000-0000-0000DE640000}"/>
    <cellStyle name="Normal 2 24 24 2 3" xfId="25997" xr:uid="{00000000-0005-0000-0000-0000DF640000}"/>
    <cellStyle name="Normal 2 24 24 3" xfId="25998" xr:uid="{00000000-0005-0000-0000-0000E0640000}"/>
    <cellStyle name="Normal 2 24 24 4" xfId="25999" xr:uid="{00000000-0005-0000-0000-0000E1640000}"/>
    <cellStyle name="Normal 2 24 25" xfId="26000" xr:uid="{00000000-0005-0000-0000-0000E2640000}"/>
    <cellStyle name="Normal 2 24 25 2" xfId="26001" xr:uid="{00000000-0005-0000-0000-0000E3640000}"/>
    <cellStyle name="Normal 2 24 25 3" xfId="26002" xr:uid="{00000000-0005-0000-0000-0000E4640000}"/>
    <cellStyle name="Normal 2 24 26" xfId="26003" xr:uid="{00000000-0005-0000-0000-0000E5640000}"/>
    <cellStyle name="Normal 2 24 3" xfId="26004" xr:uid="{00000000-0005-0000-0000-0000E6640000}"/>
    <cellStyle name="Normal 2 24 3 2" xfId="26005" xr:uid="{00000000-0005-0000-0000-0000E7640000}"/>
    <cellStyle name="Normal 2 24 3 2 2" xfId="26006" xr:uid="{00000000-0005-0000-0000-0000E8640000}"/>
    <cellStyle name="Normal 2 24 3 2 2 2" xfId="26007" xr:uid="{00000000-0005-0000-0000-0000E9640000}"/>
    <cellStyle name="Normal 2 24 3 2 2 3" xfId="26008" xr:uid="{00000000-0005-0000-0000-0000EA640000}"/>
    <cellStyle name="Normal 2 24 3 2 3" xfId="26009" xr:uid="{00000000-0005-0000-0000-0000EB640000}"/>
    <cellStyle name="Normal 2 24 3 2 4" xfId="26010" xr:uid="{00000000-0005-0000-0000-0000EC640000}"/>
    <cellStyle name="Normal 2 24 3 3" xfId="26011" xr:uid="{00000000-0005-0000-0000-0000ED640000}"/>
    <cellStyle name="Normal 2 24 3 3 2" xfId="26012" xr:uid="{00000000-0005-0000-0000-0000EE640000}"/>
    <cellStyle name="Normal 2 24 3 3 3" xfId="26013" xr:uid="{00000000-0005-0000-0000-0000EF640000}"/>
    <cellStyle name="Normal 2 24 3 4" xfId="26014" xr:uid="{00000000-0005-0000-0000-0000F0640000}"/>
    <cellStyle name="Normal 2 24 4" xfId="26015" xr:uid="{00000000-0005-0000-0000-0000F1640000}"/>
    <cellStyle name="Normal 2 24 4 2" xfId="26016" xr:uid="{00000000-0005-0000-0000-0000F2640000}"/>
    <cellStyle name="Normal 2 24 4 2 2" xfId="26017" xr:uid="{00000000-0005-0000-0000-0000F3640000}"/>
    <cellStyle name="Normal 2 24 4 2 2 2" xfId="26018" xr:uid="{00000000-0005-0000-0000-0000F4640000}"/>
    <cellStyle name="Normal 2 24 4 2 2 3" xfId="26019" xr:uid="{00000000-0005-0000-0000-0000F5640000}"/>
    <cellStyle name="Normal 2 24 4 2 3" xfId="26020" xr:uid="{00000000-0005-0000-0000-0000F6640000}"/>
    <cellStyle name="Normal 2 24 4 2 4" xfId="26021" xr:uid="{00000000-0005-0000-0000-0000F7640000}"/>
    <cellStyle name="Normal 2 24 4 3" xfId="26022" xr:uid="{00000000-0005-0000-0000-0000F8640000}"/>
    <cellStyle name="Normal 2 24 4 3 2" xfId="26023" xr:uid="{00000000-0005-0000-0000-0000F9640000}"/>
    <cellStyle name="Normal 2 24 4 3 3" xfId="26024" xr:uid="{00000000-0005-0000-0000-0000FA640000}"/>
    <cellStyle name="Normal 2 24 4 4" xfId="26025" xr:uid="{00000000-0005-0000-0000-0000FB640000}"/>
    <cellStyle name="Normal 2 24 5" xfId="26026" xr:uid="{00000000-0005-0000-0000-0000FC640000}"/>
    <cellStyle name="Normal 2 24 5 2" xfId="26027" xr:uid="{00000000-0005-0000-0000-0000FD640000}"/>
    <cellStyle name="Normal 2 24 5 2 2" xfId="26028" xr:uid="{00000000-0005-0000-0000-0000FE640000}"/>
    <cellStyle name="Normal 2 24 5 2 2 2" xfId="26029" xr:uid="{00000000-0005-0000-0000-0000FF640000}"/>
    <cellStyle name="Normal 2 24 5 2 2 3" xfId="26030" xr:uid="{00000000-0005-0000-0000-000000650000}"/>
    <cellStyle name="Normal 2 24 5 2 3" xfId="26031" xr:uid="{00000000-0005-0000-0000-000001650000}"/>
    <cellStyle name="Normal 2 24 5 2 4" xfId="26032" xr:uid="{00000000-0005-0000-0000-000002650000}"/>
    <cellStyle name="Normal 2 24 5 3" xfId="26033" xr:uid="{00000000-0005-0000-0000-000003650000}"/>
    <cellStyle name="Normal 2 24 5 3 2" xfId="26034" xr:uid="{00000000-0005-0000-0000-000004650000}"/>
    <cellStyle name="Normal 2 24 5 3 3" xfId="26035" xr:uid="{00000000-0005-0000-0000-000005650000}"/>
    <cellStyle name="Normal 2 24 5 4" xfId="26036" xr:uid="{00000000-0005-0000-0000-000006650000}"/>
    <cellStyle name="Normal 2 24 6" xfId="26037" xr:uid="{00000000-0005-0000-0000-000007650000}"/>
    <cellStyle name="Normal 2 24 6 2" xfId="26038" xr:uid="{00000000-0005-0000-0000-000008650000}"/>
    <cellStyle name="Normal 2 24 6 2 2" xfId="26039" xr:uid="{00000000-0005-0000-0000-000009650000}"/>
    <cellStyle name="Normal 2 24 6 2 2 2" xfId="26040" xr:uid="{00000000-0005-0000-0000-00000A650000}"/>
    <cellStyle name="Normal 2 24 6 2 2 3" xfId="26041" xr:uid="{00000000-0005-0000-0000-00000B650000}"/>
    <cellStyle name="Normal 2 24 6 2 3" xfId="26042" xr:uid="{00000000-0005-0000-0000-00000C650000}"/>
    <cellStyle name="Normal 2 24 6 2 4" xfId="26043" xr:uid="{00000000-0005-0000-0000-00000D650000}"/>
    <cellStyle name="Normal 2 24 6 3" xfId="26044" xr:uid="{00000000-0005-0000-0000-00000E650000}"/>
    <cellStyle name="Normal 2 24 6 3 2" xfId="26045" xr:uid="{00000000-0005-0000-0000-00000F650000}"/>
    <cellStyle name="Normal 2 24 6 3 3" xfId="26046" xr:uid="{00000000-0005-0000-0000-000010650000}"/>
    <cellStyle name="Normal 2 24 6 4" xfId="26047" xr:uid="{00000000-0005-0000-0000-000011650000}"/>
    <cellStyle name="Normal 2 24 7" xfId="26048" xr:uid="{00000000-0005-0000-0000-000012650000}"/>
    <cellStyle name="Normal 2 24 7 2" xfId="26049" xr:uid="{00000000-0005-0000-0000-000013650000}"/>
    <cellStyle name="Normal 2 24 7 2 2" xfId="26050" xr:uid="{00000000-0005-0000-0000-000014650000}"/>
    <cellStyle name="Normal 2 24 7 2 2 2" xfId="26051" xr:uid="{00000000-0005-0000-0000-000015650000}"/>
    <cellStyle name="Normal 2 24 7 2 2 3" xfId="26052" xr:uid="{00000000-0005-0000-0000-000016650000}"/>
    <cellStyle name="Normal 2 24 7 2 3" xfId="26053" xr:uid="{00000000-0005-0000-0000-000017650000}"/>
    <cellStyle name="Normal 2 24 7 2 4" xfId="26054" xr:uid="{00000000-0005-0000-0000-000018650000}"/>
    <cellStyle name="Normal 2 24 7 3" xfId="26055" xr:uid="{00000000-0005-0000-0000-000019650000}"/>
    <cellStyle name="Normal 2 24 7 3 2" xfId="26056" xr:uid="{00000000-0005-0000-0000-00001A650000}"/>
    <cellStyle name="Normal 2 24 7 3 3" xfId="26057" xr:uid="{00000000-0005-0000-0000-00001B650000}"/>
    <cellStyle name="Normal 2 24 7 4" xfId="26058" xr:uid="{00000000-0005-0000-0000-00001C650000}"/>
    <cellStyle name="Normal 2 24 8" xfId="26059" xr:uid="{00000000-0005-0000-0000-00001D650000}"/>
    <cellStyle name="Normal 2 24 8 2" xfId="26060" xr:uid="{00000000-0005-0000-0000-00001E650000}"/>
    <cellStyle name="Normal 2 24 8 2 2" xfId="26061" xr:uid="{00000000-0005-0000-0000-00001F650000}"/>
    <cellStyle name="Normal 2 24 8 2 2 2" xfId="26062" xr:uid="{00000000-0005-0000-0000-000020650000}"/>
    <cellStyle name="Normal 2 24 8 2 2 3" xfId="26063" xr:uid="{00000000-0005-0000-0000-000021650000}"/>
    <cellStyle name="Normal 2 24 8 2 3" xfId="26064" xr:uid="{00000000-0005-0000-0000-000022650000}"/>
    <cellStyle name="Normal 2 24 8 2 4" xfId="26065" xr:uid="{00000000-0005-0000-0000-000023650000}"/>
    <cellStyle name="Normal 2 24 8 3" xfId="26066" xr:uid="{00000000-0005-0000-0000-000024650000}"/>
    <cellStyle name="Normal 2 24 8 3 2" xfId="26067" xr:uid="{00000000-0005-0000-0000-000025650000}"/>
    <cellStyle name="Normal 2 24 8 3 3" xfId="26068" xr:uid="{00000000-0005-0000-0000-000026650000}"/>
    <cellStyle name="Normal 2 24 8 4" xfId="26069" xr:uid="{00000000-0005-0000-0000-000027650000}"/>
    <cellStyle name="Normal 2 24 9" xfId="26070" xr:uid="{00000000-0005-0000-0000-000028650000}"/>
    <cellStyle name="Normal 2 24 9 2" xfId="26071" xr:uid="{00000000-0005-0000-0000-000029650000}"/>
    <cellStyle name="Normal 2 24 9 2 2" xfId="26072" xr:uid="{00000000-0005-0000-0000-00002A650000}"/>
    <cellStyle name="Normal 2 24 9 2 2 2" xfId="26073" xr:uid="{00000000-0005-0000-0000-00002B650000}"/>
    <cellStyle name="Normal 2 24 9 2 2 3" xfId="26074" xr:uid="{00000000-0005-0000-0000-00002C650000}"/>
    <cellStyle name="Normal 2 24 9 2 3" xfId="26075" xr:uid="{00000000-0005-0000-0000-00002D650000}"/>
    <cellStyle name="Normal 2 24 9 2 4" xfId="26076" xr:uid="{00000000-0005-0000-0000-00002E650000}"/>
    <cellStyle name="Normal 2 24 9 3" xfId="26077" xr:uid="{00000000-0005-0000-0000-00002F650000}"/>
    <cellStyle name="Normal 2 24 9 3 2" xfId="26078" xr:uid="{00000000-0005-0000-0000-000030650000}"/>
    <cellStyle name="Normal 2 24 9 3 3" xfId="26079" xr:uid="{00000000-0005-0000-0000-000031650000}"/>
    <cellStyle name="Normal 2 24 9 4" xfId="26080" xr:uid="{00000000-0005-0000-0000-000032650000}"/>
    <cellStyle name="Normal 2 25" xfId="26081" xr:uid="{00000000-0005-0000-0000-000033650000}"/>
    <cellStyle name="Normal 2 25 10" xfId="26082" xr:uid="{00000000-0005-0000-0000-000034650000}"/>
    <cellStyle name="Normal 2 25 10 2" xfId="26083" xr:uid="{00000000-0005-0000-0000-000035650000}"/>
    <cellStyle name="Normal 2 25 10 2 2" xfId="26084" xr:uid="{00000000-0005-0000-0000-000036650000}"/>
    <cellStyle name="Normal 2 25 10 2 2 2" xfId="26085" xr:uid="{00000000-0005-0000-0000-000037650000}"/>
    <cellStyle name="Normal 2 25 10 2 2 3" xfId="26086" xr:uid="{00000000-0005-0000-0000-000038650000}"/>
    <cellStyle name="Normal 2 25 10 2 3" xfId="26087" xr:uid="{00000000-0005-0000-0000-000039650000}"/>
    <cellStyle name="Normal 2 25 10 2 4" xfId="26088" xr:uid="{00000000-0005-0000-0000-00003A650000}"/>
    <cellStyle name="Normal 2 25 10 3" xfId="26089" xr:uid="{00000000-0005-0000-0000-00003B650000}"/>
    <cellStyle name="Normal 2 25 10 3 2" xfId="26090" xr:uid="{00000000-0005-0000-0000-00003C650000}"/>
    <cellStyle name="Normal 2 25 10 3 3" xfId="26091" xr:uid="{00000000-0005-0000-0000-00003D650000}"/>
    <cellStyle name="Normal 2 25 10 4" xfId="26092" xr:uid="{00000000-0005-0000-0000-00003E650000}"/>
    <cellStyle name="Normal 2 25 11" xfId="26093" xr:uid="{00000000-0005-0000-0000-00003F650000}"/>
    <cellStyle name="Normal 2 25 11 2" xfId="26094" xr:uid="{00000000-0005-0000-0000-000040650000}"/>
    <cellStyle name="Normal 2 25 11 2 2" xfId="26095" xr:uid="{00000000-0005-0000-0000-000041650000}"/>
    <cellStyle name="Normal 2 25 11 2 2 2" xfId="26096" xr:uid="{00000000-0005-0000-0000-000042650000}"/>
    <cellStyle name="Normal 2 25 11 2 2 3" xfId="26097" xr:uid="{00000000-0005-0000-0000-000043650000}"/>
    <cellStyle name="Normal 2 25 11 2 3" xfId="26098" xr:uid="{00000000-0005-0000-0000-000044650000}"/>
    <cellStyle name="Normal 2 25 11 2 4" xfId="26099" xr:uid="{00000000-0005-0000-0000-000045650000}"/>
    <cellStyle name="Normal 2 25 11 3" xfId="26100" xr:uid="{00000000-0005-0000-0000-000046650000}"/>
    <cellStyle name="Normal 2 25 11 3 2" xfId="26101" xr:uid="{00000000-0005-0000-0000-000047650000}"/>
    <cellStyle name="Normal 2 25 11 3 3" xfId="26102" xr:uid="{00000000-0005-0000-0000-000048650000}"/>
    <cellStyle name="Normal 2 25 11 4" xfId="26103" xr:uid="{00000000-0005-0000-0000-000049650000}"/>
    <cellStyle name="Normal 2 25 12" xfId="26104" xr:uid="{00000000-0005-0000-0000-00004A650000}"/>
    <cellStyle name="Normal 2 25 12 2" xfId="26105" xr:uid="{00000000-0005-0000-0000-00004B650000}"/>
    <cellStyle name="Normal 2 25 12 2 2" xfId="26106" xr:uid="{00000000-0005-0000-0000-00004C650000}"/>
    <cellStyle name="Normal 2 25 12 2 2 2" xfId="26107" xr:uid="{00000000-0005-0000-0000-00004D650000}"/>
    <cellStyle name="Normal 2 25 12 2 2 3" xfId="26108" xr:uid="{00000000-0005-0000-0000-00004E650000}"/>
    <cellStyle name="Normal 2 25 12 2 3" xfId="26109" xr:uid="{00000000-0005-0000-0000-00004F650000}"/>
    <cellStyle name="Normal 2 25 12 2 4" xfId="26110" xr:uid="{00000000-0005-0000-0000-000050650000}"/>
    <cellStyle name="Normal 2 25 12 3" xfId="26111" xr:uid="{00000000-0005-0000-0000-000051650000}"/>
    <cellStyle name="Normal 2 25 12 3 2" xfId="26112" xr:uid="{00000000-0005-0000-0000-000052650000}"/>
    <cellStyle name="Normal 2 25 12 3 3" xfId="26113" xr:uid="{00000000-0005-0000-0000-000053650000}"/>
    <cellStyle name="Normal 2 25 12 4" xfId="26114" xr:uid="{00000000-0005-0000-0000-000054650000}"/>
    <cellStyle name="Normal 2 25 13" xfId="26115" xr:uid="{00000000-0005-0000-0000-000055650000}"/>
    <cellStyle name="Normal 2 25 13 2" xfId="26116" xr:uid="{00000000-0005-0000-0000-000056650000}"/>
    <cellStyle name="Normal 2 25 13 2 2" xfId="26117" xr:uid="{00000000-0005-0000-0000-000057650000}"/>
    <cellStyle name="Normal 2 25 13 2 2 2" xfId="26118" xr:uid="{00000000-0005-0000-0000-000058650000}"/>
    <cellStyle name="Normal 2 25 13 2 2 3" xfId="26119" xr:uid="{00000000-0005-0000-0000-000059650000}"/>
    <cellStyle name="Normal 2 25 13 2 3" xfId="26120" xr:uid="{00000000-0005-0000-0000-00005A650000}"/>
    <cellStyle name="Normal 2 25 13 2 4" xfId="26121" xr:uid="{00000000-0005-0000-0000-00005B650000}"/>
    <cellStyle name="Normal 2 25 13 3" xfId="26122" xr:uid="{00000000-0005-0000-0000-00005C650000}"/>
    <cellStyle name="Normal 2 25 13 3 2" xfId="26123" xr:uid="{00000000-0005-0000-0000-00005D650000}"/>
    <cellStyle name="Normal 2 25 13 3 3" xfId="26124" xr:uid="{00000000-0005-0000-0000-00005E650000}"/>
    <cellStyle name="Normal 2 25 13 4" xfId="26125" xr:uid="{00000000-0005-0000-0000-00005F650000}"/>
    <cellStyle name="Normal 2 25 14" xfId="26126" xr:uid="{00000000-0005-0000-0000-000060650000}"/>
    <cellStyle name="Normal 2 25 14 2" xfId="26127" xr:uid="{00000000-0005-0000-0000-000061650000}"/>
    <cellStyle name="Normal 2 25 14 2 2" xfId="26128" xr:uid="{00000000-0005-0000-0000-000062650000}"/>
    <cellStyle name="Normal 2 25 14 2 2 2" xfId="26129" xr:uid="{00000000-0005-0000-0000-000063650000}"/>
    <cellStyle name="Normal 2 25 14 2 2 3" xfId="26130" xr:uid="{00000000-0005-0000-0000-000064650000}"/>
    <cellStyle name="Normal 2 25 14 2 3" xfId="26131" xr:uid="{00000000-0005-0000-0000-000065650000}"/>
    <cellStyle name="Normal 2 25 14 2 4" xfId="26132" xr:uid="{00000000-0005-0000-0000-000066650000}"/>
    <cellStyle name="Normal 2 25 14 3" xfId="26133" xr:uid="{00000000-0005-0000-0000-000067650000}"/>
    <cellStyle name="Normal 2 25 14 3 2" xfId="26134" xr:uid="{00000000-0005-0000-0000-000068650000}"/>
    <cellStyle name="Normal 2 25 14 3 3" xfId="26135" xr:uid="{00000000-0005-0000-0000-000069650000}"/>
    <cellStyle name="Normal 2 25 14 4" xfId="26136" xr:uid="{00000000-0005-0000-0000-00006A650000}"/>
    <cellStyle name="Normal 2 25 15" xfId="26137" xr:uid="{00000000-0005-0000-0000-00006B650000}"/>
    <cellStyle name="Normal 2 25 15 2" xfId="26138" xr:uid="{00000000-0005-0000-0000-00006C650000}"/>
    <cellStyle name="Normal 2 25 15 2 2" xfId="26139" xr:uid="{00000000-0005-0000-0000-00006D650000}"/>
    <cellStyle name="Normal 2 25 15 2 2 2" xfId="26140" xr:uid="{00000000-0005-0000-0000-00006E650000}"/>
    <cellStyle name="Normal 2 25 15 2 2 3" xfId="26141" xr:uid="{00000000-0005-0000-0000-00006F650000}"/>
    <cellStyle name="Normal 2 25 15 2 3" xfId="26142" xr:uid="{00000000-0005-0000-0000-000070650000}"/>
    <cellStyle name="Normal 2 25 15 2 4" xfId="26143" xr:uid="{00000000-0005-0000-0000-000071650000}"/>
    <cellStyle name="Normal 2 25 15 3" xfId="26144" xr:uid="{00000000-0005-0000-0000-000072650000}"/>
    <cellStyle name="Normal 2 25 15 3 2" xfId="26145" xr:uid="{00000000-0005-0000-0000-000073650000}"/>
    <cellStyle name="Normal 2 25 15 3 3" xfId="26146" xr:uid="{00000000-0005-0000-0000-000074650000}"/>
    <cellStyle name="Normal 2 25 15 4" xfId="26147" xr:uid="{00000000-0005-0000-0000-000075650000}"/>
    <cellStyle name="Normal 2 25 16" xfId="26148" xr:uid="{00000000-0005-0000-0000-000076650000}"/>
    <cellStyle name="Normal 2 25 16 2" xfId="26149" xr:uid="{00000000-0005-0000-0000-000077650000}"/>
    <cellStyle name="Normal 2 25 16 2 2" xfId="26150" xr:uid="{00000000-0005-0000-0000-000078650000}"/>
    <cellStyle name="Normal 2 25 16 2 2 2" xfId="26151" xr:uid="{00000000-0005-0000-0000-000079650000}"/>
    <cellStyle name="Normal 2 25 16 2 2 3" xfId="26152" xr:uid="{00000000-0005-0000-0000-00007A650000}"/>
    <cellStyle name="Normal 2 25 16 2 3" xfId="26153" xr:uid="{00000000-0005-0000-0000-00007B650000}"/>
    <cellStyle name="Normal 2 25 16 2 4" xfId="26154" xr:uid="{00000000-0005-0000-0000-00007C650000}"/>
    <cellStyle name="Normal 2 25 16 3" xfId="26155" xr:uid="{00000000-0005-0000-0000-00007D650000}"/>
    <cellStyle name="Normal 2 25 16 3 2" xfId="26156" xr:uid="{00000000-0005-0000-0000-00007E650000}"/>
    <cellStyle name="Normal 2 25 16 3 3" xfId="26157" xr:uid="{00000000-0005-0000-0000-00007F650000}"/>
    <cellStyle name="Normal 2 25 16 4" xfId="26158" xr:uid="{00000000-0005-0000-0000-000080650000}"/>
    <cellStyle name="Normal 2 25 17" xfId="26159" xr:uid="{00000000-0005-0000-0000-000081650000}"/>
    <cellStyle name="Normal 2 25 17 2" xfId="26160" xr:uid="{00000000-0005-0000-0000-000082650000}"/>
    <cellStyle name="Normal 2 25 17 2 2" xfId="26161" xr:uid="{00000000-0005-0000-0000-000083650000}"/>
    <cellStyle name="Normal 2 25 17 2 2 2" xfId="26162" xr:uid="{00000000-0005-0000-0000-000084650000}"/>
    <cellStyle name="Normal 2 25 17 2 2 3" xfId="26163" xr:uid="{00000000-0005-0000-0000-000085650000}"/>
    <cellStyle name="Normal 2 25 17 2 3" xfId="26164" xr:uid="{00000000-0005-0000-0000-000086650000}"/>
    <cellStyle name="Normal 2 25 17 2 4" xfId="26165" xr:uid="{00000000-0005-0000-0000-000087650000}"/>
    <cellStyle name="Normal 2 25 17 3" xfId="26166" xr:uid="{00000000-0005-0000-0000-000088650000}"/>
    <cellStyle name="Normal 2 25 17 3 2" xfId="26167" xr:uid="{00000000-0005-0000-0000-000089650000}"/>
    <cellStyle name="Normal 2 25 17 3 3" xfId="26168" xr:uid="{00000000-0005-0000-0000-00008A650000}"/>
    <cellStyle name="Normal 2 25 17 4" xfId="26169" xr:uid="{00000000-0005-0000-0000-00008B650000}"/>
    <cellStyle name="Normal 2 25 18" xfId="26170" xr:uid="{00000000-0005-0000-0000-00008C650000}"/>
    <cellStyle name="Normal 2 25 18 2" xfId="26171" xr:uid="{00000000-0005-0000-0000-00008D650000}"/>
    <cellStyle name="Normal 2 25 18 2 2" xfId="26172" xr:uid="{00000000-0005-0000-0000-00008E650000}"/>
    <cellStyle name="Normal 2 25 18 2 2 2" xfId="26173" xr:uid="{00000000-0005-0000-0000-00008F650000}"/>
    <cellStyle name="Normal 2 25 18 2 2 3" xfId="26174" xr:uid="{00000000-0005-0000-0000-000090650000}"/>
    <cellStyle name="Normal 2 25 18 2 3" xfId="26175" xr:uid="{00000000-0005-0000-0000-000091650000}"/>
    <cellStyle name="Normal 2 25 18 2 4" xfId="26176" xr:uid="{00000000-0005-0000-0000-000092650000}"/>
    <cellStyle name="Normal 2 25 18 3" xfId="26177" xr:uid="{00000000-0005-0000-0000-000093650000}"/>
    <cellStyle name="Normal 2 25 18 3 2" xfId="26178" xr:uid="{00000000-0005-0000-0000-000094650000}"/>
    <cellStyle name="Normal 2 25 18 3 3" xfId="26179" xr:uid="{00000000-0005-0000-0000-000095650000}"/>
    <cellStyle name="Normal 2 25 18 4" xfId="26180" xr:uid="{00000000-0005-0000-0000-000096650000}"/>
    <cellStyle name="Normal 2 25 19" xfId="26181" xr:uid="{00000000-0005-0000-0000-000097650000}"/>
    <cellStyle name="Normal 2 25 19 2" xfId="26182" xr:uid="{00000000-0005-0000-0000-000098650000}"/>
    <cellStyle name="Normal 2 25 19 2 2" xfId="26183" xr:uid="{00000000-0005-0000-0000-000099650000}"/>
    <cellStyle name="Normal 2 25 19 2 2 2" xfId="26184" xr:uid="{00000000-0005-0000-0000-00009A650000}"/>
    <cellStyle name="Normal 2 25 19 2 2 3" xfId="26185" xr:uid="{00000000-0005-0000-0000-00009B650000}"/>
    <cellStyle name="Normal 2 25 19 2 3" xfId="26186" xr:uid="{00000000-0005-0000-0000-00009C650000}"/>
    <cellStyle name="Normal 2 25 19 2 4" xfId="26187" xr:uid="{00000000-0005-0000-0000-00009D650000}"/>
    <cellStyle name="Normal 2 25 19 3" xfId="26188" xr:uid="{00000000-0005-0000-0000-00009E650000}"/>
    <cellStyle name="Normal 2 25 19 3 2" xfId="26189" xr:uid="{00000000-0005-0000-0000-00009F650000}"/>
    <cellStyle name="Normal 2 25 19 3 3" xfId="26190" xr:uid="{00000000-0005-0000-0000-0000A0650000}"/>
    <cellStyle name="Normal 2 25 19 4" xfId="26191" xr:uid="{00000000-0005-0000-0000-0000A1650000}"/>
    <cellStyle name="Normal 2 25 2" xfId="26192" xr:uid="{00000000-0005-0000-0000-0000A2650000}"/>
    <cellStyle name="Normal 2 25 2 2" xfId="26193" xr:uid="{00000000-0005-0000-0000-0000A3650000}"/>
    <cellStyle name="Normal 2 25 2 2 2" xfId="26194" xr:uid="{00000000-0005-0000-0000-0000A4650000}"/>
    <cellStyle name="Normal 2 25 2 2 2 2" xfId="26195" xr:uid="{00000000-0005-0000-0000-0000A5650000}"/>
    <cellStyle name="Normal 2 25 2 2 2 3" xfId="26196" xr:uid="{00000000-0005-0000-0000-0000A6650000}"/>
    <cellStyle name="Normal 2 25 2 2 3" xfId="26197" xr:uid="{00000000-0005-0000-0000-0000A7650000}"/>
    <cellStyle name="Normal 2 25 2 2 4" xfId="26198" xr:uid="{00000000-0005-0000-0000-0000A8650000}"/>
    <cellStyle name="Normal 2 25 2 3" xfId="26199" xr:uid="{00000000-0005-0000-0000-0000A9650000}"/>
    <cellStyle name="Normal 2 25 2 3 2" xfId="26200" xr:uid="{00000000-0005-0000-0000-0000AA650000}"/>
    <cellStyle name="Normal 2 25 2 3 3" xfId="26201" xr:uid="{00000000-0005-0000-0000-0000AB650000}"/>
    <cellStyle name="Normal 2 25 2 4" xfId="26202" xr:uid="{00000000-0005-0000-0000-0000AC650000}"/>
    <cellStyle name="Normal 2 25 20" xfId="26203" xr:uid="{00000000-0005-0000-0000-0000AD650000}"/>
    <cellStyle name="Normal 2 25 20 2" xfId="26204" xr:uid="{00000000-0005-0000-0000-0000AE650000}"/>
    <cellStyle name="Normal 2 25 20 2 2" xfId="26205" xr:uid="{00000000-0005-0000-0000-0000AF650000}"/>
    <cellStyle name="Normal 2 25 20 2 2 2" xfId="26206" xr:uid="{00000000-0005-0000-0000-0000B0650000}"/>
    <cellStyle name="Normal 2 25 20 2 2 3" xfId="26207" xr:uid="{00000000-0005-0000-0000-0000B1650000}"/>
    <cellStyle name="Normal 2 25 20 2 3" xfId="26208" xr:uid="{00000000-0005-0000-0000-0000B2650000}"/>
    <cellStyle name="Normal 2 25 20 2 4" xfId="26209" xr:uid="{00000000-0005-0000-0000-0000B3650000}"/>
    <cellStyle name="Normal 2 25 20 3" xfId="26210" xr:uid="{00000000-0005-0000-0000-0000B4650000}"/>
    <cellStyle name="Normal 2 25 20 3 2" xfId="26211" xr:uid="{00000000-0005-0000-0000-0000B5650000}"/>
    <cellStyle name="Normal 2 25 20 3 3" xfId="26212" xr:uid="{00000000-0005-0000-0000-0000B6650000}"/>
    <cellStyle name="Normal 2 25 20 4" xfId="26213" xr:uid="{00000000-0005-0000-0000-0000B7650000}"/>
    <cellStyle name="Normal 2 25 21" xfId="26214" xr:uid="{00000000-0005-0000-0000-0000B8650000}"/>
    <cellStyle name="Normal 2 25 21 2" xfId="26215" xr:uid="{00000000-0005-0000-0000-0000B9650000}"/>
    <cellStyle name="Normal 2 25 21 2 2" xfId="26216" xr:uid="{00000000-0005-0000-0000-0000BA650000}"/>
    <cellStyle name="Normal 2 25 21 2 2 2" xfId="26217" xr:uid="{00000000-0005-0000-0000-0000BB650000}"/>
    <cellStyle name="Normal 2 25 21 2 2 3" xfId="26218" xr:uid="{00000000-0005-0000-0000-0000BC650000}"/>
    <cellStyle name="Normal 2 25 21 2 3" xfId="26219" xr:uid="{00000000-0005-0000-0000-0000BD650000}"/>
    <cellStyle name="Normal 2 25 21 2 4" xfId="26220" xr:uid="{00000000-0005-0000-0000-0000BE650000}"/>
    <cellStyle name="Normal 2 25 21 3" xfId="26221" xr:uid="{00000000-0005-0000-0000-0000BF650000}"/>
    <cellStyle name="Normal 2 25 21 3 2" xfId="26222" xr:uid="{00000000-0005-0000-0000-0000C0650000}"/>
    <cellStyle name="Normal 2 25 21 3 3" xfId="26223" xr:uid="{00000000-0005-0000-0000-0000C1650000}"/>
    <cellStyle name="Normal 2 25 21 4" xfId="26224" xr:uid="{00000000-0005-0000-0000-0000C2650000}"/>
    <cellStyle name="Normal 2 25 22" xfId="26225" xr:uid="{00000000-0005-0000-0000-0000C3650000}"/>
    <cellStyle name="Normal 2 25 22 2" xfId="26226" xr:uid="{00000000-0005-0000-0000-0000C4650000}"/>
    <cellStyle name="Normal 2 25 22 2 2" xfId="26227" xr:uid="{00000000-0005-0000-0000-0000C5650000}"/>
    <cellStyle name="Normal 2 25 22 2 2 2" xfId="26228" xr:uid="{00000000-0005-0000-0000-0000C6650000}"/>
    <cellStyle name="Normal 2 25 22 2 2 3" xfId="26229" xr:uid="{00000000-0005-0000-0000-0000C7650000}"/>
    <cellStyle name="Normal 2 25 22 2 3" xfId="26230" xr:uid="{00000000-0005-0000-0000-0000C8650000}"/>
    <cellStyle name="Normal 2 25 22 2 4" xfId="26231" xr:uid="{00000000-0005-0000-0000-0000C9650000}"/>
    <cellStyle name="Normal 2 25 22 3" xfId="26232" xr:uid="{00000000-0005-0000-0000-0000CA650000}"/>
    <cellStyle name="Normal 2 25 22 3 2" xfId="26233" xr:uid="{00000000-0005-0000-0000-0000CB650000}"/>
    <cellStyle name="Normal 2 25 22 3 3" xfId="26234" xr:uid="{00000000-0005-0000-0000-0000CC650000}"/>
    <cellStyle name="Normal 2 25 22 4" xfId="26235" xr:uid="{00000000-0005-0000-0000-0000CD650000}"/>
    <cellStyle name="Normal 2 25 23" xfId="26236" xr:uid="{00000000-0005-0000-0000-0000CE650000}"/>
    <cellStyle name="Normal 2 25 23 2" xfId="26237" xr:uid="{00000000-0005-0000-0000-0000CF650000}"/>
    <cellStyle name="Normal 2 25 23 2 2" xfId="26238" xr:uid="{00000000-0005-0000-0000-0000D0650000}"/>
    <cellStyle name="Normal 2 25 23 2 2 2" xfId="26239" xr:uid="{00000000-0005-0000-0000-0000D1650000}"/>
    <cellStyle name="Normal 2 25 23 2 2 3" xfId="26240" xr:uid="{00000000-0005-0000-0000-0000D2650000}"/>
    <cellStyle name="Normal 2 25 23 2 3" xfId="26241" xr:uid="{00000000-0005-0000-0000-0000D3650000}"/>
    <cellStyle name="Normal 2 25 23 2 4" xfId="26242" xr:uid="{00000000-0005-0000-0000-0000D4650000}"/>
    <cellStyle name="Normal 2 25 23 3" xfId="26243" xr:uid="{00000000-0005-0000-0000-0000D5650000}"/>
    <cellStyle name="Normal 2 25 23 3 2" xfId="26244" xr:uid="{00000000-0005-0000-0000-0000D6650000}"/>
    <cellStyle name="Normal 2 25 23 3 3" xfId="26245" xr:uid="{00000000-0005-0000-0000-0000D7650000}"/>
    <cellStyle name="Normal 2 25 23 4" xfId="26246" xr:uid="{00000000-0005-0000-0000-0000D8650000}"/>
    <cellStyle name="Normal 2 25 24" xfId="26247" xr:uid="{00000000-0005-0000-0000-0000D9650000}"/>
    <cellStyle name="Normal 2 25 24 2" xfId="26248" xr:uid="{00000000-0005-0000-0000-0000DA650000}"/>
    <cellStyle name="Normal 2 25 24 2 2" xfId="26249" xr:uid="{00000000-0005-0000-0000-0000DB650000}"/>
    <cellStyle name="Normal 2 25 24 2 3" xfId="26250" xr:uid="{00000000-0005-0000-0000-0000DC650000}"/>
    <cellStyle name="Normal 2 25 24 3" xfId="26251" xr:uid="{00000000-0005-0000-0000-0000DD650000}"/>
    <cellStyle name="Normal 2 25 24 4" xfId="26252" xr:uid="{00000000-0005-0000-0000-0000DE650000}"/>
    <cellStyle name="Normal 2 25 25" xfId="26253" xr:uid="{00000000-0005-0000-0000-0000DF650000}"/>
    <cellStyle name="Normal 2 25 25 2" xfId="26254" xr:uid="{00000000-0005-0000-0000-0000E0650000}"/>
    <cellStyle name="Normal 2 25 25 3" xfId="26255" xr:uid="{00000000-0005-0000-0000-0000E1650000}"/>
    <cellStyle name="Normal 2 25 26" xfId="26256" xr:uid="{00000000-0005-0000-0000-0000E2650000}"/>
    <cellStyle name="Normal 2 25 3" xfId="26257" xr:uid="{00000000-0005-0000-0000-0000E3650000}"/>
    <cellStyle name="Normal 2 25 3 2" xfId="26258" xr:uid="{00000000-0005-0000-0000-0000E4650000}"/>
    <cellStyle name="Normal 2 25 3 2 2" xfId="26259" xr:uid="{00000000-0005-0000-0000-0000E5650000}"/>
    <cellStyle name="Normal 2 25 3 2 2 2" xfId="26260" xr:uid="{00000000-0005-0000-0000-0000E6650000}"/>
    <cellStyle name="Normal 2 25 3 2 2 3" xfId="26261" xr:uid="{00000000-0005-0000-0000-0000E7650000}"/>
    <cellStyle name="Normal 2 25 3 2 3" xfId="26262" xr:uid="{00000000-0005-0000-0000-0000E8650000}"/>
    <cellStyle name="Normal 2 25 3 2 4" xfId="26263" xr:uid="{00000000-0005-0000-0000-0000E9650000}"/>
    <cellStyle name="Normal 2 25 3 3" xfId="26264" xr:uid="{00000000-0005-0000-0000-0000EA650000}"/>
    <cellStyle name="Normal 2 25 3 3 2" xfId="26265" xr:uid="{00000000-0005-0000-0000-0000EB650000}"/>
    <cellStyle name="Normal 2 25 3 3 3" xfId="26266" xr:uid="{00000000-0005-0000-0000-0000EC650000}"/>
    <cellStyle name="Normal 2 25 3 4" xfId="26267" xr:uid="{00000000-0005-0000-0000-0000ED650000}"/>
    <cellStyle name="Normal 2 25 4" xfId="26268" xr:uid="{00000000-0005-0000-0000-0000EE650000}"/>
    <cellStyle name="Normal 2 25 4 2" xfId="26269" xr:uid="{00000000-0005-0000-0000-0000EF650000}"/>
    <cellStyle name="Normal 2 25 4 2 2" xfId="26270" xr:uid="{00000000-0005-0000-0000-0000F0650000}"/>
    <cellStyle name="Normal 2 25 4 2 2 2" xfId="26271" xr:uid="{00000000-0005-0000-0000-0000F1650000}"/>
    <cellStyle name="Normal 2 25 4 2 2 3" xfId="26272" xr:uid="{00000000-0005-0000-0000-0000F2650000}"/>
    <cellStyle name="Normal 2 25 4 2 3" xfId="26273" xr:uid="{00000000-0005-0000-0000-0000F3650000}"/>
    <cellStyle name="Normal 2 25 4 2 4" xfId="26274" xr:uid="{00000000-0005-0000-0000-0000F4650000}"/>
    <cellStyle name="Normal 2 25 4 3" xfId="26275" xr:uid="{00000000-0005-0000-0000-0000F5650000}"/>
    <cellStyle name="Normal 2 25 4 3 2" xfId="26276" xr:uid="{00000000-0005-0000-0000-0000F6650000}"/>
    <cellStyle name="Normal 2 25 4 3 3" xfId="26277" xr:uid="{00000000-0005-0000-0000-0000F7650000}"/>
    <cellStyle name="Normal 2 25 4 4" xfId="26278" xr:uid="{00000000-0005-0000-0000-0000F8650000}"/>
    <cellStyle name="Normal 2 25 5" xfId="26279" xr:uid="{00000000-0005-0000-0000-0000F9650000}"/>
    <cellStyle name="Normal 2 25 5 2" xfId="26280" xr:uid="{00000000-0005-0000-0000-0000FA650000}"/>
    <cellStyle name="Normal 2 25 5 2 2" xfId="26281" xr:uid="{00000000-0005-0000-0000-0000FB650000}"/>
    <cellStyle name="Normal 2 25 5 2 2 2" xfId="26282" xr:uid="{00000000-0005-0000-0000-0000FC650000}"/>
    <cellStyle name="Normal 2 25 5 2 2 3" xfId="26283" xr:uid="{00000000-0005-0000-0000-0000FD650000}"/>
    <cellStyle name="Normal 2 25 5 2 3" xfId="26284" xr:uid="{00000000-0005-0000-0000-0000FE650000}"/>
    <cellStyle name="Normal 2 25 5 2 4" xfId="26285" xr:uid="{00000000-0005-0000-0000-0000FF650000}"/>
    <cellStyle name="Normal 2 25 5 3" xfId="26286" xr:uid="{00000000-0005-0000-0000-000000660000}"/>
    <cellStyle name="Normal 2 25 5 3 2" xfId="26287" xr:uid="{00000000-0005-0000-0000-000001660000}"/>
    <cellStyle name="Normal 2 25 5 3 3" xfId="26288" xr:uid="{00000000-0005-0000-0000-000002660000}"/>
    <cellStyle name="Normal 2 25 5 4" xfId="26289" xr:uid="{00000000-0005-0000-0000-000003660000}"/>
    <cellStyle name="Normal 2 25 6" xfId="26290" xr:uid="{00000000-0005-0000-0000-000004660000}"/>
    <cellStyle name="Normal 2 25 6 2" xfId="26291" xr:uid="{00000000-0005-0000-0000-000005660000}"/>
    <cellStyle name="Normal 2 25 6 2 2" xfId="26292" xr:uid="{00000000-0005-0000-0000-000006660000}"/>
    <cellStyle name="Normal 2 25 6 2 2 2" xfId="26293" xr:uid="{00000000-0005-0000-0000-000007660000}"/>
    <cellStyle name="Normal 2 25 6 2 2 3" xfId="26294" xr:uid="{00000000-0005-0000-0000-000008660000}"/>
    <cellStyle name="Normal 2 25 6 2 3" xfId="26295" xr:uid="{00000000-0005-0000-0000-000009660000}"/>
    <cellStyle name="Normal 2 25 6 2 4" xfId="26296" xr:uid="{00000000-0005-0000-0000-00000A660000}"/>
    <cellStyle name="Normal 2 25 6 3" xfId="26297" xr:uid="{00000000-0005-0000-0000-00000B660000}"/>
    <cellStyle name="Normal 2 25 6 3 2" xfId="26298" xr:uid="{00000000-0005-0000-0000-00000C660000}"/>
    <cellStyle name="Normal 2 25 6 3 3" xfId="26299" xr:uid="{00000000-0005-0000-0000-00000D660000}"/>
    <cellStyle name="Normal 2 25 6 4" xfId="26300" xr:uid="{00000000-0005-0000-0000-00000E660000}"/>
    <cellStyle name="Normal 2 25 7" xfId="26301" xr:uid="{00000000-0005-0000-0000-00000F660000}"/>
    <cellStyle name="Normal 2 25 7 2" xfId="26302" xr:uid="{00000000-0005-0000-0000-000010660000}"/>
    <cellStyle name="Normal 2 25 7 2 2" xfId="26303" xr:uid="{00000000-0005-0000-0000-000011660000}"/>
    <cellStyle name="Normal 2 25 7 2 2 2" xfId="26304" xr:uid="{00000000-0005-0000-0000-000012660000}"/>
    <cellStyle name="Normal 2 25 7 2 2 3" xfId="26305" xr:uid="{00000000-0005-0000-0000-000013660000}"/>
    <cellStyle name="Normal 2 25 7 2 3" xfId="26306" xr:uid="{00000000-0005-0000-0000-000014660000}"/>
    <cellStyle name="Normal 2 25 7 2 4" xfId="26307" xr:uid="{00000000-0005-0000-0000-000015660000}"/>
    <cellStyle name="Normal 2 25 7 3" xfId="26308" xr:uid="{00000000-0005-0000-0000-000016660000}"/>
    <cellStyle name="Normal 2 25 7 3 2" xfId="26309" xr:uid="{00000000-0005-0000-0000-000017660000}"/>
    <cellStyle name="Normal 2 25 7 3 3" xfId="26310" xr:uid="{00000000-0005-0000-0000-000018660000}"/>
    <cellStyle name="Normal 2 25 7 4" xfId="26311" xr:uid="{00000000-0005-0000-0000-000019660000}"/>
    <cellStyle name="Normal 2 25 8" xfId="26312" xr:uid="{00000000-0005-0000-0000-00001A660000}"/>
    <cellStyle name="Normal 2 25 8 2" xfId="26313" xr:uid="{00000000-0005-0000-0000-00001B660000}"/>
    <cellStyle name="Normal 2 25 8 2 2" xfId="26314" xr:uid="{00000000-0005-0000-0000-00001C660000}"/>
    <cellStyle name="Normal 2 25 8 2 2 2" xfId="26315" xr:uid="{00000000-0005-0000-0000-00001D660000}"/>
    <cellStyle name="Normal 2 25 8 2 2 3" xfId="26316" xr:uid="{00000000-0005-0000-0000-00001E660000}"/>
    <cellStyle name="Normal 2 25 8 2 3" xfId="26317" xr:uid="{00000000-0005-0000-0000-00001F660000}"/>
    <cellStyle name="Normal 2 25 8 2 4" xfId="26318" xr:uid="{00000000-0005-0000-0000-000020660000}"/>
    <cellStyle name="Normal 2 25 8 3" xfId="26319" xr:uid="{00000000-0005-0000-0000-000021660000}"/>
    <cellStyle name="Normal 2 25 8 3 2" xfId="26320" xr:uid="{00000000-0005-0000-0000-000022660000}"/>
    <cellStyle name="Normal 2 25 8 3 3" xfId="26321" xr:uid="{00000000-0005-0000-0000-000023660000}"/>
    <cellStyle name="Normal 2 25 8 4" xfId="26322" xr:uid="{00000000-0005-0000-0000-000024660000}"/>
    <cellStyle name="Normal 2 25 9" xfId="26323" xr:uid="{00000000-0005-0000-0000-000025660000}"/>
    <cellStyle name="Normal 2 25 9 2" xfId="26324" xr:uid="{00000000-0005-0000-0000-000026660000}"/>
    <cellStyle name="Normal 2 25 9 2 2" xfId="26325" xr:uid="{00000000-0005-0000-0000-000027660000}"/>
    <cellStyle name="Normal 2 25 9 2 2 2" xfId="26326" xr:uid="{00000000-0005-0000-0000-000028660000}"/>
    <cellStyle name="Normal 2 25 9 2 2 3" xfId="26327" xr:uid="{00000000-0005-0000-0000-000029660000}"/>
    <cellStyle name="Normal 2 25 9 2 3" xfId="26328" xr:uid="{00000000-0005-0000-0000-00002A660000}"/>
    <cellStyle name="Normal 2 25 9 2 4" xfId="26329" xr:uid="{00000000-0005-0000-0000-00002B660000}"/>
    <cellStyle name="Normal 2 25 9 3" xfId="26330" xr:uid="{00000000-0005-0000-0000-00002C660000}"/>
    <cellStyle name="Normal 2 25 9 3 2" xfId="26331" xr:uid="{00000000-0005-0000-0000-00002D660000}"/>
    <cellStyle name="Normal 2 25 9 3 3" xfId="26332" xr:uid="{00000000-0005-0000-0000-00002E660000}"/>
    <cellStyle name="Normal 2 25 9 4" xfId="26333" xr:uid="{00000000-0005-0000-0000-00002F660000}"/>
    <cellStyle name="Normal 2 26" xfId="26334" xr:uid="{00000000-0005-0000-0000-000030660000}"/>
    <cellStyle name="Normal 2 26 10" xfId="26335" xr:uid="{00000000-0005-0000-0000-000031660000}"/>
    <cellStyle name="Normal 2 26 10 2" xfId="26336" xr:uid="{00000000-0005-0000-0000-000032660000}"/>
    <cellStyle name="Normal 2 26 10 2 2" xfId="26337" xr:uid="{00000000-0005-0000-0000-000033660000}"/>
    <cellStyle name="Normal 2 26 10 2 2 2" xfId="26338" xr:uid="{00000000-0005-0000-0000-000034660000}"/>
    <cellStyle name="Normal 2 26 10 2 2 3" xfId="26339" xr:uid="{00000000-0005-0000-0000-000035660000}"/>
    <cellStyle name="Normal 2 26 10 2 3" xfId="26340" xr:uid="{00000000-0005-0000-0000-000036660000}"/>
    <cellStyle name="Normal 2 26 10 2 4" xfId="26341" xr:uid="{00000000-0005-0000-0000-000037660000}"/>
    <cellStyle name="Normal 2 26 10 3" xfId="26342" xr:uid="{00000000-0005-0000-0000-000038660000}"/>
    <cellStyle name="Normal 2 26 10 3 2" xfId="26343" xr:uid="{00000000-0005-0000-0000-000039660000}"/>
    <cellStyle name="Normal 2 26 10 3 3" xfId="26344" xr:uid="{00000000-0005-0000-0000-00003A660000}"/>
    <cellStyle name="Normal 2 26 10 4" xfId="26345" xr:uid="{00000000-0005-0000-0000-00003B660000}"/>
    <cellStyle name="Normal 2 26 11" xfId="26346" xr:uid="{00000000-0005-0000-0000-00003C660000}"/>
    <cellStyle name="Normal 2 26 11 2" xfId="26347" xr:uid="{00000000-0005-0000-0000-00003D660000}"/>
    <cellStyle name="Normal 2 26 11 2 2" xfId="26348" xr:uid="{00000000-0005-0000-0000-00003E660000}"/>
    <cellStyle name="Normal 2 26 11 2 2 2" xfId="26349" xr:uid="{00000000-0005-0000-0000-00003F660000}"/>
    <cellStyle name="Normal 2 26 11 2 2 3" xfId="26350" xr:uid="{00000000-0005-0000-0000-000040660000}"/>
    <cellStyle name="Normal 2 26 11 2 3" xfId="26351" xr:uid="{00000000-0005-0000-0000-000041660000}"/>
    <cellStyle name="Normal 2 26 11 2 4" xfId="26352" xr:uid="{00000000-0005-0000-0000-000042660000}"/>
    <cellStyle name="Normal 2 26 11 3" xfId="26353" xr:uid="{00000000-0005-0000-0000-000043660000}"/>
    <cellStyle name="Normal 2 26 11 3 2" xfId="26354" xr:uid="{00000000-0005-0000-0000-000044660000}"/>
    <cellStyle name="Normal 2 26 11 3 3" xfId="26355" xr:uid="{00000000-0005-0000-0000-000045660000}"/>
    <cellStyle name="Normal 2 26 11 4" xfId="26356" xr:uid="{00000000-0005-0000-0000-000046660000}"/>
    <cellStyle name="Normal 2 26 12" xfId="26357" xr:uid="{00000000-0005-0000-0000-000047660000}"/>
    <cellStyle name="Normal 2 26 12 2" xfId="26358" xr:uid="{00000000-0005-0000-0000-000048660000}"/>
    <cellStyle name="Normal 2 26 12 2 2" xfId="26359" xr:uid="{00000000-0005-0000-0000-000049660000}"/>
    <cellStyle name="Normal 2 26 12 2 2 2" xfId="26360" xr:uid="{00000000-0005-0000-0000-00004A660000}"/>
    <cellStyle name="Normal 2 26 12 2 2 3" xfId="26361" xr:uid="{00000000-0005-0000-0000-00004B660000}"/>
    <cellStyle name="Normal 2 26 12 2 3" xfId="26362" xr:uid="{00000000-0005-0000-0000-00004C660000}"/>
    <cellStyle name="Normal 2 26 12 2 4" xfId="26363" xr:uid="{00000000-0005-0000-0000-00004D660000}"/>
    <cellStyle name="Normal 2 26 12 3" xfId="26364" xr:uid="{00000000-0005-0000-0000-00004E660000}"/>
    <cellStyle name="Normal 2 26 12 3 2" xfId="26365" xr:uid="{00000000-0005-0000-0000-00004F660000}"/>
    <cellStyle name="Normal 2 26 12 3 3" xfId="26366" xr:uid="{00000000-0005-0000-0000-000050660000}"/>
    <cellStyle name="Normal 2 26 12 4" xfId="26367" xr:uid="{00000000-0005-0000-0000-000051660000}"/>
    <cellStyle name="Normal 2 26 13" xfId="26368" xr:uid="{00000000-0005-0000-0000-000052660000}"/>
    <cellStyle name="Normal 2 26 13 2" xfId="26369" xr:uid="{00000000-0005-0000-0000-000053660000}"/>
    <cellStyle name="Normal 2 26 13 2 2" xfId="26370" xr:uid="{00000000-0005-0000-0000-000054660000}"/>
    <cellStyle name="Normal 2 26 13 2 2 2" xfId="26371" xr:uid="{00000000-0005-0000-0000-000055660000}"/>
    <cellStyle name="Normal 2 26 13 2 2 3" xfId="26372" xr:uid="{00000000-0005-0000-0000-000056660000}"/>
    <cellStyle name="Normal 2 26 13 2 3" xfId="26373" xr:uid="{00000000-0005-0000-0000-000057660000}"/>
    <cellStyle name="Normal 2 26 13 2 4" xfId="26374" xr:uid="{00000000-0005-0000-0000-000058660000}"/>
    <cellStyle name="Normal 2 26 13 3" xfId="26375" xr:uid="{00000000-0005-0000-0000-000059660000}"/>
    <cellStyle name="Normal 2 26 13 3 2" xfId="26376" xr:uid="{00000000-0005-0000-0000-00005A660000}"/>
    <cellStyle name="Normal 2 26 13 3 3" xfId="26377" xr:uid="{00000000-0005-0000-0000-00005B660000}"/>
    <cellStyle name="Normal 2 26 13 4" xfId="26378" xr:uid="{00000000-0005-0000-0000-00005C660000}"/>
    <cellStyle name="Normal 2 26 14" xfId="26379" xr:uid="{00000000-0005-0000-0000-00005D660000}"/>
    <cellStyle name="Normal 2 26 14 2" xfId="26380" xr:uid="{00000000-0005-0000-0000-00005E660000}"/>
    <cellStyle name="Normal 2 26 14 2 2" xfId="26381" xr:uid="{00000000-0005-0000-0000-00005F660000}"/>
    <cellStyle name="Normal 2 26 14 2 2 2" xfId="26382" xr:uid="{00000000-0005-0000-0000-000060660000}"/>
    <cellStyle name="Normal 2 26 14 2 2 3" xfId="26383" xr:uid="{00000000-0005-0000-0000-000061660000}"/>
    <cellStyle name="Normal 2 26 14 2 3" xfId="26384" xr:uid="{00000000-0005-0000-0000-000062660000}"/>
    <cellStyle name="Normal 2 26 14 2 4" xfId="26385" xr:uid="{00000000-0005-0000-0000-000063660000}"/>
    <cellStyle name="Normal 2 26 14 3" xfId="26386" xr:uid="{00000000-0005-0000-0000-000064660000}"/>
    <cellStyle name="Normal 2 26 14 3 2" xfId="26387" xr:uid="{00000000-0005-0000-0000-000065660000}"/>
    <cellStyle name="Normal 2 26 14 3 3" xfId="26388" xr:uid="{00000000-0005-0000-0000-000066660000}"/>
    <cellStyle name="Normal 2 26 14 4" xfId="26389" xr:uid="{00000000-0005-0000-0000-000067660000}"/>
    <cellStyle name="Normal 2 26 15" xfId="26390" xr:uid="{00000000-0005-0000-0000-000068660000}"/>
    <cellStyle name="Normal 2 26 15 2" xfId="26391" xr:uid="{00000000-0005-0000-0000-000069660000}"/>
    <cellStyle name="Normal 2 26 15 2 2" xfId="26392" xr:uid="{00000000-0005-0000-0000-00006A660000}"/>
    <cellStyle name="Normal 2 26 15 2 2 2" xfId="26393" xr:uid="{00000000-0005-0000-0000-00006B660000}"/>
    <cellStyle name="Normal 2 26 15 2 2 3" xfId="26394" xr:uid="{00000000-0005-0000-0000-00006C660000}"/>
    <cellStyle name="Normal 2 26 15 2 3" xfId="26395" xr:uid="{00000000-0005-0000-0000-00006D660000}"/>
    <cellStyle name="Normal 2 26 15 2 4" xfId="26396" xr:uid="{00000000-0005-0000-0000-00006E660000}"/>
    <cellStyle name="Normal 2 26 15 3" xfId="26397" xr:uid="{00000000-0005-0000-0000-00006F660000}"/>
    <cellStyle name="Normal 2 26 15 3 2" xfId="26398" xr:uid="{00000000-0005-0000-0000-000070660000}"/>
    <cellStyle name="Normal 2 26 15 3 3" xfId="26399" xr:uid="{00000000-0005-0000-0000-000071660000}"/>
    <cellStyle name="Normal 2 26 15 4" xfId="26400" xr:uid="{00000000-0005-0000-0000-000072660000}"/>
    <cellStyle name="Normal 2 26 16" xfId="26401" xr:uid="{00000000-0005-0000-0000-000073660000}"/>
    <cellStyle name="Normal 2 26 16 2" xfId="26402" xr:uid="{00000000-0005-0000-0000-000074660000}"/>
    <cellStyle name="Normal 2 26 16 2 2" xfId="26403" xr:uid="{00000000-0005-0000-0000-000075660000}"/>
    <cellStyle name="Normal 2 26 16 2 2 2" xfId="26404" xr:uid="{00000000-0005-0000-0000-000076660000}"/>
    <cellStyle name="Normal 2 26 16 2 2 3" xfId="26405" xr:uid="{00000000-0005-0000-0000-000077660000}"/>
    <cellStyle name="Normal 2 26 16 2 3" xfId="26406" xr:uid="{00000000-0005-0000-0000-000078660000}"/>
    <cellStyle name="Normal 2 26 16 2 4" xfId="26407" xr:uid="{00000000-0005-0000-0000-000079660000}"/>
    <cellStyle name="Normal 2 26 16 3" xfId="26408" xr:uid="{00000000-0005-0000-0000-00007A660000}"/>
    <cellStyle name="Normal 2 26 16 3 2" xfId="26409" xr:uid="{00000000-0005-0000-0000-00007B660000}"/>
    <cellStyle name="Normal 2 26 16 3 3" xfId="26410" xr:uid="{00000000-0005-0000-0000-00007C660000}"/>
    <cellStyle name="Normal 2 26 16 4" xfId="26411" xr:uid="{00000000-0005-0000-0000-00007D660000}"/>
    <cellStyle name="Normal 2 26 17" xfId="26412" xr:uid="{00000000-0005-0000-0000-00007E660000}"/>
    <cellStyle name="Normal 2 26 17 2" xfId="26413" xr:uid="{00000000-0005-0000-0000-00007F660000}"/>
    <cellStyle name="Normal 2 26 17 2 2" xfId="26414" xr:uid="{00000000-0005-0000-0000-000080660000}"/>
    <cellStyle name="Normal 2 26 17 2 2 2" xfId="26415" xr:uid="{00000000-0005-0000-0000-000081660000}"/>
    <cellStyle name="Normal 2 26 17 2 2 3" xfId="26416" xr:uid="{00000000-0005-0000-0000-000082660000}"/>
    <cellStyle name="Normal 2 26 17 2 3" xfId="26417" xr:uid="{00000000-0005-0000-0000-000083660000}"/>
    <cellStyle name="Normal 2 26 17 2 4" xfId="26418" xr:uid="{00000000-0005-0000-0000-000084660000}"/>
    <cellStyle name="Normal 2 26 17 3" xfId="26419" xr:uid="{00000000-0005-0000-0000-000085660000}"/>
    <cellStyle name="Normal 2 26 17 3 2" xfId="26420" xr:uid="{00000000-0005-0000-0000-000086660000}"/>
    <cellStyle name="Normal 2 26 17 3 3" xfId="26421" xr:uid="{00000000-0005-0000-0000-000087660000}"/>
    <cellStyle name="Normal 2 26 17 4" xfId="26422" xr:uid="{00000000-0005-0000-0000-000088660000}"/>
    <cellStyle name="Normal 2 26 18" xfId="26423" xr:uid="{00000000-0005-0000-0000-000089660000}"/>
    <cellStyle name="Normal 2 26 18 2" xfId="26424" xr:uid="{00000000-0005-0000-0000-00008A660000}"/>
    <cellStyle name="Normal 2 26 18 2 2" xfId="26425" xr:uid="{00000000-0005-0000-0000-00008B660000}"/>
    <cellStyle name="Normal 2 26 18 2 2 2" xfId="26426" xr:uid="{00000000-0005-0000-0000-00008C660000}"/>
    <cellStyle name="Normal 2 26 18 2 2 3" xfId="26427" xr:uid="{00000000-0005-0000-0000-00008D660000}"/>
    <cellStyle name="Normal 2 26 18 2 3" xfId="26428" xr:uid="{00000000-0005-0000-0000-00008E660000}"/>
    <cellStyle name="Normal 2 26 18 2 4" xfId="26429" xr:uid="{00000000-0005-0000-0000-00008F660000}"/>
    <cellStyle name="Normal 2 26 18 3" xfId="26430" xr:uid="{00000000-0005-0000-0000-000090660000}"/>
    <cellStyle name="Normal 2 26 18 3 2" xfId="26431" xr:uid="{00000000-0005-0000-0000-000091660000}"/>
    <cellStyle name="Normal 2 26 18 3 3" xfId="26432" xr:uid="{00000000-0005-0000-0000-000092660000}"/>
    <cellStyle name="Normal 2 26 18 4" xfId="26433" xr:uid="{00000000-0005-0000-0000-000093660000}"/>
    <cellStyle name="Normal 2 26 19" xfId="26434" xr:uid="{00000000-0005-0000-0000-000094660000}"/>
    <cellStyle name="Normal 2 26 19 2" xfId="26435" xr:uid="{00000000-0005-0000-0000-000095660000}"/>
    <cellStyle name="Normal 2 26 19 2 2" xfId="26436" xr:uid="{00000000-0005-0000-0000-000096660000}"/>
    <cellStyle name="Normal 2 26 19 2 2 2" xfId="26437" xr:uid="{00000000-0005-0000-0000-000097660000}"/>
    <cellStyle name="Normal 2 26 19 2 2 3" xfId="26438" xr:uid="{00000000-0005-0000-0000-000098660000}"/>
    <cellStyle name="Normal 2 26 19 2 3" xfId="26439" xr:uid="{00000000-0005-0000-0000-000099660000}"/>
    <cellStyle name="Normal 2 26 19 2 4" xfId="26440" xr:uid="{00000000-0005-0000-0000-00009A660000}"/>
    <cellStyle name="Normal 2 26 19 3" xfId="26441" xr:uid="{00000000-0005-0000-0000-00009B660000}"/>
    <cellStyle name="Normal 2 26 19 3 2" xfId="26442" xr:uid="{00000000-0005-0000-0000-00009C660000}"/>
    <cellStyle name="Normal 2 26 19 3 3" xfId="26443" xr:uid="{00000000-0005-0000-0000-00009D660000}"/>
    <cellStyle name="Normal 2 26 19 4" xfId="26444" xr:uid="{00000000-0005-0000-0000-00009E660000}"/>
    <cellStyle name="Normal 2 26 2" xfId="26445" xr:uid="{00000000-0005-0000-0000-00009F660000}"/>
    <cellStyle name="Normal 2 26 2 2" xfId="26446" xr:uid="{00000000-0005-0000-0000-0000A0660000}"/>
    <cellStyle name="Normal 2 26 2 2 2" xfId="26447" xr:uid="{00000000-0005-0000-0000-0000A1660000}"/>
    <cellStyle name="Normal 2 26 2 2 2 2" xfId="26448" xr:uid="{00000000-0005-0000-0000-0000A2660000}"/>
    <cellStyle name="Normal 2 26 2 2 2 3" xfId="26449" xr:uid="{00000000-0005-0000-0000-0000A3660000}"/>
    <cellStyle name="Normal 2 26 2 2 3" xfId="26450" xr:uid="{00000000-0005-0000-0000-0000A4660000}"/>
    <cellStyle name="Normal 2 26 2 2 4" xfId="26451" xr:uid="{00000000-0005-0000-0000-0000A5660000}"/>
    <cellStyle name="Normal 2 26 2 3" xfId="26452" xr:uid="{00000000-0005-0000-0000-0000A6660000}"/>
    <cellStyle name="Normal 2 26 2 3 2" xfId="26453" xr:uid="{00000000-0005-0000-0000-0000A7660000}"/>
    <cellStyle name="Normal 2 26 2 3 3" xfId="26454" xr:uid="{00000000-0005-0000-0000-0000A8660000}"/>
    <cellStyle name="Normal 2 26 2 4" xfId="26455" xr:uid="{00000000-0005-0000-0000-0000A9660000}"/>
    <cellStyle name="Normal 2 26 20" xfId="26456" xr:uid="{00000000-0005-0000-0000-0000AA660000}"/>
    <cellStyle name="Normal 2 26 20 2" xfId="26457" xr:uid="{00000000-0005-0000-0000-0000AB660000}"/>
    <cellStyle name="Normal 2 26 20 2 2" xfId="26458" xr:uid="{00000000-0005-0000-0000-0000AC660000}"/>
    <cellStyle name="Normal 2 26 20 2 2 2" xfId="26459" xr:uid="{00000000-0005-0000-0000-0000AD660000}"/>
    <cellStyle name="Normal 2 26 20 2 2 3" xfId="26460" xr:uid="{00000000-0005-0000-0000-0000AE660000}"/>
    <cellStyle name="Normal 2 26 20 2 3" xfId="26461" xr:uid="{00000000-0005-0000-0000-0000AF660000}"/>
    <cellStyle name="Normal 2 26 20 2 4" xfId="26462" xr:uid="{00000000-0005-0000-0000-0000B0660000}"/>
    <cellStyle name="Normal 2 26 20 3" xfId="26463" xr:uid="{00000000-0005-0000-0000-0000B1660000}"/>
    <cellStyle name="Normal 2 26 20 3 2" xfId="26464" xr:uid="{00000000-0005-0000-0000-0000B2660000}"/>
    <cellStyle name="Normal 2 26 20 3 3" xfId="26465" xr:uid="{00000000-0005-0000-0000-0000B3660000}"/>
    <cellStyle name="Normal 2 26 20 4" xfId="26466" xr:uid="{00000000-0005-0000-0000-0000B4660000}"/>
    <cellStyle name="Normal 2 26 21" xfId="26467" xr:uid="{00000000-0005-0000-0000-0000B5660000}"/>
    <cellStyle name="Normal 2 26 21 2" xfId="26468" xr:uid="{00000000-0005-0000-0000-0000B6660000}"/>
    <cellStyle name="Normal 2 26 21 2 2" xfId="26469" xr:uid="{00000000-0005-0000-0000-0000B7660000}"/>
    <cellStyle name="Normal 2 26 21 2 2 2" xfId="26470" xr:uid="{00000000-0005-0000-0000-0000B8660000}"/>
    <cellStyle name="Normal 2 26 21 2 2 3" xfId="26471" xr:uid="{00000000-0005-0000-0000-0000B9660000}"/>
    <cellStyle name="Normal 2 26 21 2 3" xfId="26472" xr:uid="{00000000-0005-0000-0000-0000BA660000}"/>
    <cellStyle name="Normal 2 26 21 2 4" xfId="26473" xr:uid="{00000000-0005-0000-0000-0000BB660000}"/>
    <cellStyle name="Normal 2 26 21 3" xfId="26474" xr:uid="{00000000-0005-0000-0000-0000BC660000}"/>
    <cellStyle name="Normal 2 26 21 3 2" xfId="26475" xr:uid="{00000000-0005-0000-0000-0000BD660000}"/>
    <cellStyle name="Normal 2 26 21 3 3" xfId="26476" xr:uid="{00000000-0005-0000-0000-0000BE660000}"/>
    <cellStyle name="Normal 2 26 21 4" xfId="26477" xr:uid="{00000000-0005-0000-0000-0000BF660000}"/>
    <cellStyle name="Normal 2 26 22" xfId="26478" xr:uid="{00000000-0005-0000-0000-0000C0660000}"/>
    <cellStyle name="Normal 2 26 22 2" xfId="26479" xr:uid="{00000000-0005-0000-0000-0000C1660000}"/>
    <cellStyle name="Normal 2 26 22 2 2" xfId="26480" xr:uid="{00000000-0005-0000-0000-0000C2660000}"/>
    <cellStyle name="Normal 2 26 22 2 2 2" xfId="26481" xr:uid="{00000000-0005-0000-0000-0000C3660000}"/>
    <cellStyle name="Normal 2 26 22 2 2 3" xfId="26482" xr:uid="{00000000-0005-0000-0000-0000C4660000}"/>
    <cellStyle name="Normal 2 26 22 2 3" xfId="26483" xr:uid="{00000000-0005-0000-0000-0000C5660000}"/>
    <cellStyle name="Normal 2 26 22 2 4" xfId="26484" xr:uid="{00000000-0005-0000-0000-0000C6660000}"/>
    <cellStyle name="Normal 2 26 22 3" xfId="26485" xr:uid="{00000000-0005-0000-0000-0000C7660000}"/>
    <cellStyle name="Normal 2 26 22 3 2" xfId="26486" xr:uid="{00000000-0005-0000-0000-0000C8660000}"/>
    <cellStyle name="Normal 2 26 22 3 3" xfId="26487" xr:uid="{00000000-0005-0000-0000-0000C9660000}"/>
    <cellStyle name="Normal 2 26 22 4" xfId="26488" xr:uid="{00000000-0005-0000-0000-0000CA660000}"/>
    <cellStyle name="Normal 2 26 23" xfId="26489" xr:uid="{00000000-0005-0000-0000-0000CB660000}"/>
    <cellStyle name="Normal 2 26 23 2" xfId="26490" xr:uid="{00000000-0005-0000-0000-0000CC660000}"/>
    <cellStyle name="Normal 2 26 23 2 2" xfId="26491" xr:uid="{00000000-0005-0000-0000-0000CD660000}"/>
    <cellStyle name="Normal 2 26 23 2 2 2" xfId="26492" xr:uid="{00000000-0005-0000-0000-0000CE660000}"/>
    <cellStyle name="Normal 2 26 23 2 2 3" xfId="26493" xr:uid="{00000000-0005-0000-0000-0000CF660000}"/>
    <cellStyle name="Normal 2 26 23 2 3" xfId="26494" xr:uid="{00000000-0005-0000-0000-0000D0660000}"/>
    <cellStyle name="Normal 2 26 23 2 4" xfId="26495" xr:uid="{00000000-0005-0000-0000-0000D1660000}"/>
    <cellStyle name="Normal 2 26 23 3" xfId="26496" xr:uid="{00000000-0005-0000-0000-0000D2660000}"/>
    <cellStyle name="Normal 2 26 23 3 2" xfId="26497" xr:uid="{00000000-0005-0000-0000-0000D3660000}"/>
    <cellStyle name="Normal 2 26 23 3 3" xfId="26498" xr:uid="{00000000-0005-0000-0000-0000D4660000}"/>
    <cellStyle name="Normal 2 26 23 4" xfId="26499" xr:uid="{00000000-0005-0000-0000-0000D5660000}"/>
    <cellStyle name="Normal 2 26 24" xfId="26500" xr:uid="{00000000-0005-0000-0000-0000D6660000}"/>
    <cellStyle name="Normal 2 26 24 2" xfId="26501" xr:uid="{00000000-0005-0000-0000-0000D7660000}"/>
    <cellStyle name="Normal 2 26 24 2 2" xfId="26502" xr:uid="{00000000-0005-0000-0000-0000D8660000}"/>
    <cellStyle name="Normal 2 26 24 2 3" xfId="26503" xr:uid="{00000000-0005-0000-0000-0000D9660000}"/>
    <cellStyle name="Normal 2 26 24 3" xfId="26504" xr:uid="{00000000-0005-0000-0000-0000DA660000}"/>
    <cellStyle name="Normal 2 26 24 4" xfId="26505" xr:uid="{00000000-0005-0000-0000-0000DB660000}"/>
    <cellStyle name="Normal 2 26 25" xfId="26506" xr:uid="{00000000-0005-0000-0000-0000DC660000}"/>
    <cellStyle name="Normal 2 26 25 2" xfId="26507" xr:uid="{00000000-0005-0000-0000-0000DD660000}"/>
    <cellStyle name="Normal 2 26 25 3" xfId="26508" xr:uid="{00000000-0005-0000-0000-0000DE660000}"/>
    <cellStyle name="Normal 2 26 26" xfId="26509" xr:uid="{00000000-0005-0000-0000-0000DF660000}"/>
    <cellStyle name="Normal 2 26 3" xfId="26510" xr:uid="{00000000-0005-0000-0000-0000E0660000}"/>
    <cellStyle name="Normal 2 26 3 2" xfId="26511" xr:uid="{00000000-0005-0000-0000-0000E1660000}"/>
    <cellStyle name="Normal 2 26 3 2 2" xfId="26512" xr:uid="{00000000-0005-0000-0000-0000E2660000}"/>
    <cellStyle name="Normal 2 26 3 2 2 2" xfId="26513" xr:uid="{00000000-0005-0000-0000-0000E3660000}"/>
    <cellStyle name="Normal 2 26 3 2 2 3" xfId="26514" xr:uid="{00000000-0005-0000-0000-0000E4660000}"/>
    <cellStyle name="Normal 2 26 3 2 3" xfId="26515" xr:uid="{00000000-0005-0000-0000-0000E5660000}"/>
    <cellStyle name="Normal 2 26 3 2 4" xfId="26516" xr:uid="{00000000-0005-0000-0000-0000E6660000}"/>
    <cellStyle name="Normal 2 26 3 3" xfId="26517" xr:uid="{00000000-0005-0000-0000-0000E7660000}"/>
    <cellStyle name="Normal 2 26 3 3 2" xfId="26518" xr:uid="{00000000-0005-0000-0000-0000E8660000}"/>
    <cellStyle name="Normal 2 26 3 3 3" xfId="26519" xr:uid="{00000000-0005-0000-0000-0000E9660000}"/>
    <cellStyle name="Normal 2 26 3 4" xfId="26520" xr:uid="{00000000-0005-0000-0000-0000EA660000}"/>
    <cellStyle name="Normal 2 26 4" xfId="26521" xr:uid="{00000000-0005-0000-0000-0000EB660000}"/>
    <cellStyle name="Normal 2 26 4 2" xfId="26522" xr:uid="{00000000-0005-0000-0000-0000EC660000}"/>
    <cellStyle name="Normal 2 26 4 2 2" xfId="26523" xr:uid="{00000000-0005-0000-0000-0000ED660000}"/>
    <cellStyle name="Normal 2 26 4 2 2 2" xfId="26524" xr:uid="{00000000-0005-0000-0000-0000EE660000}"/>
    <cellStyle name="Normal 2 26 4 2 2 3" xfId="26525" xr:uid="{00000000-0005-0000-0000-0000EF660000}"/>
    <cellStyle name="Normal 2 26 4 2 3" xfId="26526" xr:uid="{00000000-0005-0000-0000-0000F0660000}"/>
    <cellStyle name="Normal 2 26 4 2 4" xfId="26527" xr:uid="{00000000-0005-0000-0000-0000F1660000}"/>
    <cellStyle name="Normal 2 26 4 3" xfId="26528" xr:uid="{00000000-0005-0000-0000-0000F2660000}"/>
    <cellStyle name="Normal 2 26 4 3 2" xfId="26529" xr:uid="{00000000-0005-0000-0000-0000F3660000}"/>
    <cellStyle name="Normal 2 26 4 3 3" xfId="26530" xr:uid="{00000000-0005-0000-0000-0000F4660000}"/>
    <cellStyle name="Normal 2 26 4 4" xfId="26531" xr:uid="{00000000-0005-0000-0000-0000F5660000}"/>
    <cellStyle name="Normal 2 26 5" xfId="26532" xr:uid="{00000000-0005-0000-0000-0000F6660000}"/>
    <cellStyle name="Normal 2 26 5 2" xfId="26533" xr:uid="{00000000-0005-0000-0000-0000F7660000}"/>
    <cellStyle name="Normal 2 26 5 2 2" xfId="26534" xr:uid="{00000000-0005-0000-0000-0000F8660000}"/>
    <cellStyle name="Normal 2 26 5 2 2 2" xfId="26535" xr:uid="{00000000-0005-0000-0000-0000F9660000}"/>
    <cellStyle name="Normal 2 26 5 2 2 3" xfId="26536" xr:uid="{00000000-0005-0000-0000-0000FA660000}"/>
    <cellStyle name="Normal 2 26 5 2 3" xfId="26537" xr:uid="{00000000-0005-0000-0000-0000FB660000}"/>
    <cellStyle name="Normal 2 26 5 2 4" xfId="26538" xr:uid="{00000000-0005-0000-0000-0000FC660000}"/>
    <cellStyle name="Normal 2 26 5 3" xfId="26539" xr:uid="{00000000-0005-0000-0000-0000FD660000}"/>
    <cellStyle name="Normal 2 26 5 3 2" xfId="26540" xr:uid="{00000000-0005-0000-0000-0000FE660000}"/>
    <cellStyle name="Normal 2 26 5 3 3" xfId="26541" xr:uid="{00000000-0005-0000-0000-0000FF660000}"/>
    <cellStyle name="Normal 2 26 5 4" xfId="26542" xr:uid="{00000000-0005-0000-0000-000000670000}"/>
    <cellStyle name="Normal 2 26 6" xfId="26543" xr:uid="{00000000-0005-0000-0000-000001670000}"/>
    <cellStyle name="Normal 2 26 6 2" xfId="26544" xr:uid="{00000000-0005-0000-0000-000002670000}"/>
    <cellStyle name="Normal 2 26 6 2 2" xfId="26545" xr:uid="{00000000-0005-0000-0000-000003670000}"/>
    <cellStyle name="Normal 2 26 6 2 2 2" xfId="26546" xr:uid="{00000000-0005-0000-0000-000004670000}"/>
    <cellStyle name="Normal 2 26 6 2 2 3" xfId="26547" xr:uid="{00000000-0005-0000-0000-000005670000}"/>
    <cellStyle name="Normal 2 26 6 2 3" xfId="26548" xr:uid="{00000000-0005-0000-0000-000006670000}"/>
    <cellStyle name="Normal 2 26 6 2 4" xfId="26549" xr:uid="{00000000-0005-0000-0000-000007670000}"/>
    <cellStyle name="Normal 2 26 6 3" xfId="26550" xr:uid="{00000000-0005-0000-0000-000008670000}"/>
    <cellStyle name="Normal 2 26 6 3 2" xfId="26551" xr:uid="{00000000-0005-0000-0000-000009670000}"/>
    <cellStyle name="Normal 2 26 6 3 3" xfId="26552" xr:uid="{00000000-0005-0000-0000-00000A670000}"/>
    <cellStyle name="Normal 2 26 6 4" xfId="26553" xr:uid="{00000000-0005-0000-0000-00000B670000}"/>
    <cellStyle name="Normal 2 26 7" xfId="26554" xr:uid="{00000000-0005-0000-0000-00000C670000}"/>
    <cellStyle name="Normal 2 26 7 2" xfId="26555" xr:uid="{00000000-0005-0000-0000-00000D670000}"/>
    <cellStyle name="Normal 2 26 7 2 2" xfId="26556" xr:uid="{00000000-0005-0000-0000-00000E670000}"/>
    <cellStyle name="Normal 2 26 7 2 2 2" xfId="26557" xr:uid="{00000000-0005-0000-0000-00000F670000}"/>
    <cellStyle name="Normal 2 26 7 2 2 3" xfId="26558" xr:uid="{00000000-0005-0000-0000-000010670000}"/>
    <cellStyle name="Normal 2 26 7 2 3" xfId="26559" xr:uid="{00000000-0005-0000-0000-000011670000}"/>
    <cellStyle name="Normal 2 26 7 2 4" xfId="26560" xr:uid="{00000000-0005-0000-0000-000012670000}"/>
    <cellStyle name="Normal 2 26 7 3" xfId="26561" xr:uid="{00000000-0005-0000-0000-000013670000}"/>
    <cellStyle name="Normal 2 26 7 3 2" xfId="26562" xr:uid="{00000000-0005-0000-0000-000014670000}"/>
    <cellStyle name="Normal 2 26 7 3 3" xfId="26563" xr:uid="{00000000-0005-0000-0000-000015670000}"/>
    <cellStyle name="Normal 2 26 7 4" xfId="26564" xr:uid="{00000000-0005-0000-0000-000016670000}"/>
    <cellStyle name="Normal 2 26 8" xfId="26565" xr:uid="{00000000-0005-0000-0000-000017670000}"/>
    <cellStyle name="Normal 2 26 8 2" xfId="26566" xr:uid="{00000000-0005-0000-0000-000018670000}"/>
    <cellStyle name="Normal 2 26 8 2 2" xfId="26567" xr:uid="{00000000-0005-0000-0000-000019670000}"/>
    <cellStyle name="Normal 2 26 8 2 2 2" xfId="26568" xr:uid="{00000000-0005-0000-0000-00001A670000}"/>
    <cellStyle name="Normal 2 26 8 2 2 3" xfId="26569" xr:uid="{00000000-0005-0000-0000-00001B670000}"/>
    <cellStyle name="Normal 2 26 8 2 3" xfId="26570" xr:uid="{00000000-0005-0000-0000-00001C670000}"/>
    <cellStyle name="Normal 2 26 8 2 4" xfId="26571" xr:uid="{00000000-0005-0000-0000-00001D670000}"/>
    <cellStyle name="Normal 2 26 8 3" xfId="26572" xr:uid="{00000000-0005-0000-0000-00001E670000}"/>
    <cellStyle name="Normal 2 26 8 3 2" xfId="26573" xr:uid="{00000000-0005-0000-0000-00001F670000}"/>
    <cellStyle name="Normal 2 26 8 3 3" xfId="26574" xr:uid="{00000000-0005-0000-0000-000020670000}"/>
    <cellStyle name="Normal 2 26 8 4" xfId="26575" xr:uid="{00000000-0005-0000-0000-000021670000}"/>
    <cellStyle name="Normal 2 26 9" xfId="26576" xr:uid="{00000000-0005-0000-0000-000022670000}"/>
    <cellStyle name="Normal 2 26 9 2" xfId="26577" xr:uid="{00000000-0005-0000-0000-000023670000}"/>
    <cellStyle name="Normal 2 26 9 2 2" xfId="26578" xr:uid="{00000000-0005-0000-0000-000024670000}"/>
    <cellStyle name="Normal 2 26 9 2 2 2" xfId="26579" xr:uid="{00000000-0005-0000-0000-000025670000}"/>
    <cellStyle name="Normal 2 26 9 2 2 3" xfId="26580" xr:uid="{00000000-0005-0000-0000-000026670000}"/>
    <cellStyle name="Normal 2 26 9 2 3" xfId="26581" xr:uid="{00000000-0005-0000-0000-000027670000}"/>
    <cellStyle name="Normal 2 26 9 2 4" xfId="26582" xr:uid="{00000000-0005-0000-0000-000028670000}"/>
    <cellStyle name="Normal 2 26 9 3" xfId="26583" xr:uid="{00000000-0005-0000-0000-000029670000}"/>
    <cellStyle name="Normal 2 26 9 3 2" xfId="26584" xr:uid="{00000000-0005-0000-0000-00002A670000}"/>
    <cellStyle name="Normal 2 26 9 3 3" xfId="26585" xr:uid="{00000000-0005-0000-0000-00002B670000}"/>
    <cellStyle name="Normal 2 26 9 4" xfId="26586" xr:uid="{00000000-0005-0000-0000-00002C670000}"/>
    <cellStyle name="Normal 2 27" xfId="26587" xr:uid="{00000000-0005-0000-0000-00002D670000}"/>
    <cellStyle name="Normal 2 27 10" xfId="26588" xr:uid="{00000000-0005-0000-0000-00002E670000}"/>
    <cellStyle name="Normal 2 27 10 2" xfId="26589" xr:uid="{00000000-0005-0000-0000-00002F670000}"/>
    <cellStyle name="Normal 2 27 10 2 2" xfId="26590" xr:uid="{00000000-0005-0000-0000-000030670000}"/>
    <cellStyle name="Normal 2 27 10 2 2 2" xfId="26591" xr:uid="{00000000-0005-0000-0000-000031670000}"/>
    <cellStyle name="Normal 2 27 10 2 2 3" xfId="26592" xr:uid="{00000000-0005-0000-0000-000032670000}"/>
    <cellStyle name="Normal 2 27 10 2 3" xfId="26593" xr:uid="{00000000-0005-0000-0000-000033670000}"/>
    <cellStyle name="Normal 2 27 10 2 4" xfId="26594" xr:uid="{00000000-0005-0000-0000-000034670000}"/>
    <cellStyle name="Normal 2 27 10 3" xfId="26595" xr:uid="{00000000-0005-0000-0000-000035670000}"/>
    <cellStyle name="Normal 2 27 10 3 2" xfId="26596" xr:uid="{00000000-0005-0000-0000-000036670000}"/>
    <cellStyle name="Normal 2 27 10 3 3" xfId="26597" xr:uid="{00000000-0005-0000-0000-000037670000}"/>
    <cellStyle name="Normal 2 27 10 4" xfId="26598" xr:uid="{00000000-0005-0000-0000-000038670000}"/>
    <cellStyle name="Normal 2 27 11" xfId="26599" xr:uid="{00000000-0005-0000-0000-000039670000}"/>
    <cellStyle name="Normal 2 27 11 2" xfId="26600" xr:uid="{00000000-0005-0000-0000-00003A670000}"/>
    <cellStyle name="Normal 2 27 11 2 2" xfId="26601" xr:uid="{00000000-0005-0000-0000-00003B670000}"/>
    <cellStyle name="Normal 2 27 11 2 2 2" xfId="26602" xr:uid="{00000000-0005-0000-0000-00003C670000}"/>
    <cellStyle name="Normal 2 27 11 2 2 3" xfId="26603" xr:uid="{00000000-0005-0000-0000-00003D670000}"/>
    <cellStyle name="Normal 2 27 11 2 3" xfId="26604" xr:uid="{00000000-0005-0000-0000-00003E670000}"/>
    <cellStyle name="Normal 2 27 11 2 4" xfId="26605" xr:uid="{00000000-0005-0000-0000-00003F670000}"/>
    <cellStyle name="Normal 2 27 11 3" xfId="26606" xr:uid="{00000000-0005-0000-0000-000040670000}"/>
    <cellStyle name="Normal 2 27 11 3 2" xfId="26607" xr:uid="{00000000-0005-0000-0000-000041670000}"/>
    <cellStyle name="Normal 2 27 11 3 3" xfId="26608" xr:uid="{00000000-0005-0000-0000-000042670000}"/>
    <cellStyle name="Normal 2 27 11 4" xfId="26609" xr:uid="{00000000-0005-0000-0000-000043670000}"/>
    <cellStyle name="Normal 2 27 12" xfId="26610" xr:uid="{00000000-0005-0000-0000-000044670000}"/>
    <cellStyle name="Normal 2 27 12 2" xfId="26611" xr:uid="{00000000-0005-0000-0000-000045670000}"/>
    <cellStyle name="Normal 2 27 12 2 2" xfId="26612" xr:uid="{00000000-0005-0000-0000-000046670000}"/>
    <cellStyle name="Normal 2 27 12 2 2 2" xfId="26613" xr:uid="{00000000-0005-0000-0000-000047670000}"/>
    <cellStyle name="Normal 2 27 12 2 2 3" xfId="26614" xr:uid="{00000000-0005-0000-0000-000048670000}"/>
    <cellStyle name="Normal 2 27 12 2 3" xfId="26615" xr:uid="{00000000-0005-0000-0000-000049670000}"/>
    <cellStyle name="Normal 2 27 12 2 4" xfId="26616" xr:uid="{00000000-0005-0000-0000-00004A670000}"/>
    <cellStyle name="Normal 2 27 12 3" xfId="26617" xr:uid="{00000000-0005-0000-0000-00004B670000}"/>
    <cellStyle name="Normal 2 27 12 3 2" xfId="26618" xr:uid="{00000000-0005-0000-0000-00004C670000}"/>
    <cellStyle name="Normal 2 27 12 3 3" xfId="26619" xr:uid="{00000000-0005-0000-0000-00004D670000}"/>
    <cellStyle name="Normal 2 27 12 4" xfId="26620" xr:uid="{00000000-0005-0000-0000-00004E670000}"/>
    <cellStyle name="Normal 2 27 13" xfId="26621" xr:uid="{00000000-0005-0000-0000-00004F670000}"/>
    <cellStyle name="Normal 2 27 13 2" xfId="26622" xr:uid="{00000000-0005-0000-0000-000050670000}"/>
    <cellStyle name="Normal 2 27 13 2 2" xfId="26623" xr:uid="{00000000-0005-0000-0000-000051670000}"/>
    <cellStyle name="Normal 2 27 13 2 2 2" xfId="26624" xr:uid="{00000000-0005-0000-0000-000052670000}"/>
    <cellStyle name="Normal 2 27 13 2 2 3" xfId="26625" xr:uid="{00000000-0005-0000-0000-000053670000}"/>
    <cellStyle name="Normal 2 27 13 2 3" xfId="26626" xr:uid="{00000000-0005-0000-0000-000054670000}"/>
    <cellStyle name="Normal 2 27 13 2 4" xfId="26627" xr:uid="{00000000-0005-0000-0000-000055670000}"/>
    <cellStyle name="Normal 2 27 13 3" xfId="26628" xr:uid="{00000000-0005-0000-0000-000056670000}"/>
    <cellStyle name="Normal 2 27 13 3 2" xfId="26629" xr:uid="{00000000-0005-0000-0000-000057670000}"/>
    <cellStyle name="Normal 2 27 13 3 3" xfId="26630" xr:uid="{00000000-0005-0000-0000-000058670000}"/>
    <cellStyle name="Normal 2 27 13 4" xfId="26631" xr:uid="{00000000-0005-0000-0000-000059670000}"/>
    <cellStyle name="Normal 2 27 14" xfId="26632" xr:uid="{00000000-0005-0000-0000-00005A670000}"/>
    <cellStyle name="Normal 2 27 14 2" xfId="26633" xr:uid="{00000000-0005-0000-0000-00005B670000}"/>
    <cellStyle name="Normal 2 27 14 2 2" xfId="26634" xr:uid="{00000000-0005-0000-0000-00005C670000}"/>
    <cellStyle name="Normal 2 27 14 2 2 2" xfId="26635" xr:uid="{00000000-0005-0000-0000-00005D670000}"/>
    <cellStyle name="Normal 2 27 14 2 2 3" xfId="26636" xr:uid="{00000000-0005-0000-0000-00005E670000}"/>
    <cellStyle name="Normal 2 27 14 2 3" xfId="26637" xr:uid="{00000000-0005-0000-0000-00005F670000}"/>
    <cellStyle name="Normal 2 27 14 2 4" xfId="26638" xr:uid="{00000000-0005-0000-0000-000060670000}"/>
    <cellStyle name="Normal 2 27 14 3" xfId="26639" xr:uid="{00000000-0005-0000-0000-000061670000}"/>
    <cellStyle name="Normal 2 27 14 3 2" xfId="26640" xr:uid="{00000000-0005-0000-0000-000062670000}"/>
    <cellStyle name="Normal 2 27 14 3 3" xfId="26641" xr:uid="{00000000-0005-0000-0000-000063670000}"/>
    <cellStyle name="Normal 2 27 14 4" xfId="26642" xr:uid="{00000000-0005-0000-0000-000064670000}"/>
    <cellStyle name="Normal 2 27 15" xfId="26643" xr:uid="{00000000-0005-0000-0000-000065670000}"/>
    <cellStyle name="Normal 2 27 15 2" xfId="26644" xr:uid="{00000000-0005-0000-0000-000066670000}"/>
    <cellStyle name="Normal 2 27 15 2 2" xfId="26645" xr:uid="{00000000-0005-0000-0000-000067670000}"/>
    <cellStyle name="Normal 2 27 15 2 2 2" xfId="26646" xr:uid="{00000000-0005-0000-0000-000068670000}"/>
    <cellStyle name="Normal 2 27 15 2 2 3" xfId="26647" xr:uid="{00000000-0005-0000-0000-000069670000}"/>
    <cellStyle name="Normal 2 27 15 2 3" xfId="26648" xr:uid="{00000000-0005-0000-0000-00006A670000}"/>
    <cellStyle name="Normal 2 27 15 2 4" xfId="26649" xr:uid="{00000000-0005-0000-0000-00006B670000}"/>
    <cellStyle name="Normal 2 27 15 3" xfId="26650" xr:uid="{00000000-0005-0000-0000-00006C670000}"/>
    <cellStyle name="Normal 2 27 15 3 2" xfId="26651" xr:uid="{00000000-0005-0000-0000-00006D670000}"/>
    <cellStyle name="Normal 2 27 15 3 3" xfId="26652" xr:uid="{00000000-0005-0000-0000-00006E670000}"/>
    <cellStyle name="Normal 2 27 15 4" xfId="26653" xr:uid="{00000000-0005-0000-0000-00006F670000}"/>
    <cellStyle name="Normal 2 27 16" xfId="26654" xr:uid="{00000000-0005-0000-0000-000070670000}"/>
    <cellStyle name="Normal 2 27 16 2" xfId="26655" xr:uid="{00000000-0005-0000-0000-000071670000}"/>
    <cellStyle name="Normal 2 27 16 2 2" xfId="26656" xr:uid="{00000000-0005-0000-0000-000072670000}"/>
    <cellStyle name="Normal 2 27 16 2 2 2" xfId="26657" xr:uid="{00000000-0005-0000-0000-000073670000}"/>
    <cellStyle name="Normal 2 27 16 2 2 3" xfId="26658" xr:uid="{00000000-0005-0000-0000-000074670000}"/>
    <cellStyle name="Normal 2 27 16 2 3" xfId="26659" xr:uid="{00000000-0005-0000-0000-000075670000}"/>
    <cellStyle name="Normal 2 27 16 2 4" xfId="26660" xr:uid="{00000000-0005-0000-0000-000076670000}"/>
    <cellStyle name="Normal 2 27 16 3" xfId="26661" xr:uid="{00000000-0005-0000-0000-000077670000}"/>
    <cellStyle name="Normal 2 27 16 3 2" xfId="26662" xr:uid="{00000000-0005-0000-0000-000078670000}"/>
    <cellStyle name="Normal 2 27 16 3 3" xfId="26663" xr:uid="{00000000-0005-0000-0000-000079670000}"/>
    <cellStyle name="Normal 2 27 16 4" xfId="26664" xr:uid="{00000000-0005-0000-0000-00007A670000}"/>
    <cellStyle name="Normal 2 27 17" xfId="26665" xr:uid="{00000000-0005-0000-0000-00007B670000}"/>
    <cellStyle name="Normal 2 27 17 2" xfId="26666" xr:uid="{00000000-0005-0000-0000-00007C670000}"/>
    <cellStyle name="Normal 2 27 17 2 2" xfId="26667" xr:uid="{00000000-0005-0000-0000-00007D670000}"/>
    <cellStyle name="Normal 2 27 17 2 2 2" xfId="26668" xr:uid="{00000000-0005-0000-0000-00007E670000}"/>
    <cellStyle name="Normal 2 27 17 2 2 3" xfId="26669" xr:uid="{00000000-0005-0000-0000-00007F670000}"/>
    <cellStyle name="Normal 2 27 17 2 3" xfId="26670" xr:uid="{00000000-0005-0000-0000-000080670000}"/>
    <cellStyle name="Normal 2 27 17 2 4" xfId="26671" xr:uid="{00000000-0005-0000-0000-000081670000}"/>
    <cellStyle name="Normal 2 27 17 3" xfId="26672" xr:uid="{00000000-0005-0000-0000-000082670000}"/>
    <cellStyle name="Normal 2 27 17 3 2" xfId="26673" xr:uid="{00000000-0005-0000-0000-000083670000}"/>
    <cellStyle name="Normal 2 27 17 3 3" xfId="26674" xr:uid="{00000000-0005-0000-0000-000084670000}"/>
    <cellStyle name="Normal 2 27 17 4" xfId="26675" xr:uid="{00000000-0005-0000-0000-000085670000}"/>
    <cellStyle name="Normal 2 27 18" xfId="26676" xr:uid="{00000000-0005-0000-0000-000086670000}"/>
    <cellStyle name="Normal 2 27 18 2" xfId="26677" xr:uid="{00000000-0005-0000-0000-000087670000}"/>
    <cellStyle name="Normal 2 27 18 2 2" xfId="26678" xr:uid="{00000000-0005-0000-0000-000088670000}"/>
    <cellStyle name="Normal 2 27 18 2 2 2" xfId="26679" xr:uid="{00000000-0005-0000-0000-000089670000}"/>
    <cellStyle name="Normal 2 27 18 2 2 3" xfId="26680" xr:uid="{00000000-0005-0000-0000-00008A670000}"/>
    <cellStyle name="Normal 2 27 18 2 3" xfId="26681" xr:uid="{00000000-0005-0000-0000-00008B670000}"/>
    <cellStyle name="Normal 2 27 18 2 4" xfId="26682" xr:uid="{00000000-0005-0000-0000-00008C670000}"/>
    <cellStyle name="Normal 2 27 18 3" xfId="26683" xr:uid="{00000000-0005-0000-0000-00008D670000}"/>
    <cellStyle name="Normal 2 27 18 3 2" xfId="26684" xr:uid="{00000000-0005-0000-0000-00008E670000}"/>
    <cellStyle name="Normal 2 27 18 3 3" xfId="26685" xr:uid="{00000000-0005-0000-0000-00008F670000}"/>
    <cellStyle name="Normal 2 27 18 4" xfId="26686" xr:uid="{00000000-0005-0000-0000-000090670000}"/>
    <cellStyle name="Normal 2 27 19" xfId="26687" xr:uid="{00000000-0005-0000-0000-000091670000}"/>
    <cellStyle name="Normal 2 27 19 2" xfId="26688" xr:uid="{00000000-0005-0000-0000-000092670000}"/>
    <cellStyle name="Normal 2 27 19 2 2" xfId="26689" xr:uid="{00000000-0005-0000-0000-000093670000}"/>
    <cellStyle name="Normal 2 27 19 2 2 2" xfId="26690" xr:uid="{00000000-0005-0000-0000-000094670000}"/>
    <cellStyle name="Normal 2 27 19 2 2 3" xfId="26691" xr:uid="{00000000-0005-0000-0000-000095670000}"/>
    <cellStyle name="Normal 2 27 19 2 3" xfId="26692" xr:uid="{00000000-0005-0000-0000-000096670000}"/>
    <cellStyle name="Normal 2 27 19 2 4" xfId="26693" xr:uid="{00000000-0005-0000-0000-000097670000}"/>
    <cellStyle name="Normal 2 27 19 3" xfId="26694" xr:uid="{00000000-0005-0000-0000-000098670000}"/>
    <cellStyle name="Normal 2 27 19 3 2" xfId="26695" xr:uid="{00000000-0005-0000-0000-000099670000}"/>
    <cellStyle name="Normal 2 27 19 3 3" xfId="26696" xr:uid="{00000000-0005-0000-0000-00009A670000}"/>
    <cellStyle name="Normal 2 27 19 4" xfId="26697" xr:uid="{00000000-0005-0000-0000-00009B670000}"/>
    <cellStyle name="Normal 2 27 2" xfId="26698" xr:uid="{00000000-0005-0000-0000-00009C670000}"/>
    <cellStyle name="Normal 2 27 2 2" xfId="26699" xr:uid="{00000000-0005-0000-0000-00009D670000}"/>
    <cellStyle name="Normal 2 27 2 2 2" xfId="26700" xr:uid="{00000000-0005-0000-0000-00009E670000}"/>
    <cellStyle name="Normal 2 27 2 2 2 2" xfId="26701" xr:uid="{00000000-0005-0000-0000-00009F670000}"/>
    <cellStyle name="Normal 2 27 2 2 2 3" xfId="26702" xr:uid="{00000000-0005-0000-0000-0000A0670000}"/>
    <cellStyle name="Normal 2 27 2 2 3" xfId="26703" xr:uid="{00000000-0005-0000-0000-0000A1670000}"/>
    <cellStyle name="Normal 2 27 2 2 4" xfId="26704" xr:uid="{00000000-0005-0000-0000-0000A2670000}"/>
    <cellStyle name="Normal 2 27 2 3" xfId="26705" xr:uid="{00000000-0005-0000-0000-0000A3670000}"/>
    <cellStyle name="Normal 2 27 2 3 2" xfId="26706" xr:uid="{00000000-0005-0000-0000-0000A4670000}"/>
    <cellStyle name="Normal 2 27 2 3 3" xfId="26707" xr:uid="{00000000-0005-0000-0000-0000A5670000}"/>
    <cellStyle name="Normal 2 27 2 4" xfId="26708" xr:uid="{00000000-0005-0000-0000-0000A6670000}"/>
    <cellStyle name="Normal 2 27 20" xfId="26709" xr:uid="{00000000-0005-0000-0000-0000A7670000}"/>
    <cellStyle name="Normal 2 27 20 2" xfId="26710" xr:uid="{00000000-0005-0000-0000-0000A8670000}"/>
    <cellStyle name="Normal 2 27 20 2 2" xfId="26711" xr:uid="{00000000-0005-0000-0000-0000A9670000}"/>
    <cellStyle name="Normal 2 27 20 2 2 2" xfId="26712" xr:uid="{00000000-0005-0000-0000-0000AA670000}"/>
    <cellStyle name="Normal 2 27 20 2 2 3" xfId="26713" xr:uid="{00000000-0005-0000-0000-0000AB670000}"/>
    <cellStyle name="Normal 2 27 20 2 3" xfId="26714" xr:uid="{00000000-0005-0000-0000-0000AC670000}"/>
    <cellStyle name="Normal 2 27 20 2 4" xfId="26715" xr:uid="{00000000-0005-0000-0000-0000AD670000}"/>
    <cellStyle name="Normal 2 27 20 3" xfId="26716" xr:uid="{00000000-0005-0000-0000-0000AE670000}"/>
    <cellStyle name="Normal 2 27 20 3 2" xfId="26717" xr:uid="{00000000-0005-0000-0000-0000AF670000}"/>
    <cellStyle name="Normal 2 27 20 3 3" xfId="26718" xr:uid="{00000000-0005-0000-0000-0000B0670000}"/>
    <cellStyle name="Normal 2 27 20 4" xfId="26719" xr:uid="{00000000-0005-0000-0000-0000B1670000}"/>
    <cellStyle name="Normal 2 27 21" xfId="26720" xr:uid="{00000000-0005-0000-0000-0000B2670000}"/>
    <cellStyle name="Normal 2 27 21 2" xfId="26721" xr:uid="{00000000-0005-0000-0000-0000B3670000}"/>
    <cellStyle name="Normal 2 27 21 2 2" xfId="26722" xr:uid="{00000000-0005-0000-0000-0000B4670000}"/>
    <cellStyle name="Normal 2 27 21 2 2 2" xfId="26723" xr:uid="{00000000-0005-0000-0000-0000B5670000}"/>
    <cellStyle name="Normal 2 27 21 2 2 3" xfId="26724" xr:uid="{00000000-0005-0000-0000-0000B6670000}"/>
    <cellStyle name="Normal 2 27 21 2 3" xfId="26725" xr:uid="{00000000-0005-0000-0000-0000B7670000}"/>
    <cellStyle name="Normal 2 27 21 2 4" xfId="26726" xr:uid="{00000000-0005-0000-0000-0000B8670000}"/>
    <cellStyle name="Normal 2 27 21 3" xfId="26727" xr:uid="{00000000-0005-0000-0000-0000B9670000}"/>
    <cellStyle name="Normal 2 27 21 3 2" xfId="26728" xr:uid="{00000000-0005-0000-0000-0000BA670000}"/>
    <cellStyle name="Normal 2 27 21 3 3" xfId="26729" xr:uid="{00000000-0005-0000-0000-0000BB670000}"/>
    <cellStyle name="Normal 2 27 21 4" xfId="26730" xr:uid="{00000000-0005-0000-0000-0000BC670000}"/>
    <cellStyle name="Normal 2 27 22" xfId="26731" xr:uid="{00000000-0005-0000-0000-0000BD670000}"/>
    <cellStyle name="Normal 2 27 22 2" xfId="26732" xr:uid="{00000000-0005-0000-0000-0000BE670000}"/>
    <cellStyle name="Normal 2 27 22 2 2" xfId="26733" xr:uid="{00000000-0005-0000-0000-0000BF670000}"/>
    <cellStyle name="Normal 2 27 22 2 2 2" xfId="26734" xr:uid="{00000000-0005-0000-0000-0000C0670000}"/>
    <cellStyle name="Normal 2 27 22 2 2 3" xfId="26735" xr:uid="{00000000-0005-0000-0000-0000C1670000}"/>
    <cellStyle name="Normal 2 27 22 2 3" xfId="26736" xr:uid="{00000000-0005-0000-0000-0000C2670000}"/>
    <cellStyle name="Normal 2 27 22 2 4" xfId="26737" xr:uid="{00000000-0005-0000-0000-0000C3670000}"/>
    <cellStyle name="Normal 2 27 22 3" xfId="26738" xr:uid="{00000000-0005-0000-0000-0000C4670000}"/>
    <cellStyle name="Normal 2 27 22 3 2" xfId="26739" xr:uid="{00000000-0005-0000-0000-0000C5670000}"/>
    <cellStyle name="Normal 2 27 22 3 3" xfId="26740" xr:uid="{00000000-0005-0000-0000-0000C6670000}"/>
    <cellStyle name="Normal 2 27 22 4" xfId="26741" xr:uid="{00000000-0005-0000-0000-0000C7670000}"/>
    <cellStyle name="Normal 2 27 23" xfId="26742" xr:uid="{00000000-0005-0000-0000-0000C8670000}"/>
    <cellStyle name="Normal 2 27 23 2" xfId="26743" xr:uid="{00000000-0005-0000-0000-0000C9670000}"/>
    <cellStyle name="Normal 2 27 23 2 2" xfId="26744" xr:uid="{00000000-0005-0000-0000-0000CA670000}"/>
    <cellStyle name="Normal 2 27 23 2 2 2" xfId="26745" xr:uid="{00000000-0005-0000-0000-0000CB670000}"/>
    <cellStyle name="Normal 2 27 23 2 2 3" xfId="26746" xr:uid="{00000000-0005-0000-0000-0000CC670000}"/>
    <cellStyle name="Normal 2 27 23 2 3" xfId="26747" xr:uid="{00000000-0005-0000-0000-0000CD670000}"/>
    <cellStyle name="Normal 2 27 23 2 4" xfId="26748" xr:uid="{00000000-0005-0000-0000-0000CE670000}"/>
    <cellStyle name="Normal 2 27 23 3" xfId="26749" xr:uid="{00000000-0005-0000-0000-0000CF670000}"/>
    <cellStyle name="Normal 2 27 23 3 2" xfId="26750" xr:uid="{00000000-0005-0000-0000-0000D0670000}"/>
    <cellStyle name="Normal 2 27 23 3 3" xfId="26751" xr:uid="{00000000-0005-0000-0000-0000D1670000}"/>
    <cellStyle name="Normal 2 27 23 4" xfId="26752" xr:uid="{00000000-0005-0000-0000-0000D2670000}"/>
    <cellStyle name="Normal 2 27 24" xfId="26753" xr:uid="{00000000-0005-0000-0000-0000D3670000}"/>
    <cellStyle name="Normal 2 27 24 2" xfId="26754" xr:uid="{00000000-0005-0000-0000-0000D4670000}"/>
    <cellStyle name="Normal 2 27 24 2 2" xfId="26755" xr:uid="{00000000-0005-0000-0000-0000D5670000}"/>
    <cellStyle name="Normal 2 27 24 2 3" xfId="26756" xr:uid="{00000000-0005-0000-0000-0000D6670000}"/>
    <cellStyle name="Normal 2 27 24 3" xfId="26757" xr:uid="{00000000-0005-0000-0000-0000D7670000}"/>
    <cellStyle name="Normal 2 27 24 4" xfId="26758" xr:uid="{00000000-0005-0000-0000-0000D8670000}"/>
    <cellStyle name="Normal 2 27 25" xfId="26759" xr:uid="{00000000-0005-0000-0000-0000D9670000}"/>
    <cellStyle name="Normal 2 27 25 2" xfId="26760" xr:uid="{00000000-0005-0000-0000-0000DA670000}"/>
    <cellStyle name="Normal 2 27 25 3" xfId="26761" xr:uid="{00000000-0005-0000-0000-0000DB670000}"/>
    <cellStyle name="Normal 2 27 26" xfId="26762" xr:uid="{00000000-0005-0000-0000-0000DC670000}"/>
    <cellStyle name="Normal 2 27 3" xfId="26763" xr:uid="{00000000-0005-0000-0000-0000DD670000}"/>
    <cellStyle name="Normal 2 27 3 2" xfId="26764" xr:uid="{00000000-0005-0000-0000-0000DE670000}"/>
    <cellStyle name="Normal 2 27 3 2 2" xfId="26765" xr:uid="{00000000-0005-0000-0000-0000DF670000}"/>
    <cellStyle name="Normal 2 27 3 2 2 2" xfId="26766" xr:uid="{00000000-0005-0000-0000-0000E0670000}"/>
    <cellStyle name="Normal 2 27 3 2 2 3" xfId="26767" xr:uid="{00000000-0005-0000-0000-0000E1670000}"/>
    <cellStyle name="Normal 2 27 3 2 3" xfId="26768" xr:uid="{00000000-0005-0000-0000-0000E2670000}"/>
    <cellStyle name="Normal 2 27 3 2 4" xfId="26769" xr:uid="{00000000-0005-0000-0000-0000E3670000}"/>
    <cellStyle name="Normal 2 27 3 3" xfId="26770" xr:uid="{00000000-0005-0000-0000-0000E4670000}"/>
    <cellStyle name="Normal 2 27 3 3 2" xfId="26771" xr:uid="{00000000-0005-0000-0000-0000E5670000}"/>
    <cellStyle name="Normal 2 27 3 3 3" xfId="26772" xr:uid="{00000000-0005-0000-0000-0000E6670000}"/>
    <cellStyle name="Normal 2 27 3 4" xfId="26773" xr:uid="{00000000-0005-0000-0000-0000E7670000}"/>
    <cellStyle name="Normal 2 27 4" xfId="26774" xr:uid="{00000000-0005-0000-0000-0000E8670000}"/>
    <cellStyle name="Normal 2 27 4 2" xfId="26775" xr:uid="{00000000-0005-0000-0000-0000E9670000}"/>
    <cellStyle name="Normal 2 27 4 2 2" xfId="26776" xr:uid="{00000000-0005-0000-0000-0000EA670000}"/>
    <cellStyle name="Normal 2 27 4 2 2 2" xfId="26777" xr:uid="{00000000-0005-0000-0000-0000EB670000}"/>
    <cellStyle name="Normal 2 27 4 2 2 3" xfId="26778" xr:uid="{00000000-0005-0000-0000-0000EC670000}"/>
    <cellStyle name="Normal 2 27 4 2 3" xfId="26779" xr:uid="{00000000-0005-0000-0000-0000ED670000}"/>
    <cellStyle name="Normal 2 27 4 2 4" xfId="26780" xr:uid="{00000000-0005-0000-0000-0000EE670000}"/>
    <cellStyle name="Normal 2 27 4 3" xfId="26781" xr:uid="{00000000-0005-0000-0000-0000EF670000}"/>
    <cellStyle name="Normal 2 27 4 3 2" xfId="26782" xr:uid="{00000000-0005-0000-0000-0000F0670000}"/>
    <cellStyle name="Normal 2 27 4 3 3" xfId="26783" xr:uid="{00000000-0005-0000-0000-0000F1670000}"/>
    <cellStyle name="Normal 2 27 4 4" xfId="26784" xr:uid="{00000000-0005-0000-0000-0000F2670000}"/>
    <cellStyle name="Normal 2 27 5" xfId="26785" xr:uid="{00000000-0005-0000-0000-0000F3670000}"/>
    <cellStyle name="Normal 2 27 5 2" xfId="26786" xr:uid="{00000000-0005-0000-0000-0000F4670000}"/>
    <cellStyle name="Normal 2 27 5 2 2" xfId="26787" xr:uid="{00000000-0005-0000-0000-0000F5670000}"/>
    <cellStyle name="Normal 2 27 5 2 2 2" xfId="26788" xr:uid="{00000000-0005-0000-0000-0000F6670000}"/>
    <cellStyle name="Normal 2 27 5 2 2 3" xfId="26789" xr:uid="{00000000-0005-0000-0000-0000F7670000}"/>
    <cellStyle name="Normal 2 27 5 2 3" xfId="26790" xr:uid="{00000000-0005-0000-0000-0000F8670000}"/>
    <cellStyle name="Normal 2 27 5 2 4" xfId="26791" xr:uid="{00000000-0005-0000-0000-0000F9670000}"/>
    <cellStyle name="Normal 2 27 5 3" xfId="26792" xr:uid="{00000000-0005-0000-0000-0000FA670000}"/>
    <cellStyle name="Normal 2 27 5 3 2" xfId="26793" xr:uid="{00000000-0005-0000-0000-0000FB670000}"/>
    <cellStyle name="Normal 2 27 5 3 3" xfId="26794" xr:uid="{00000000-0005-0000-0000-0000FC670000}"/>
    <cellStyle name="Normal 2 27 5 4" xfId="26795" xr:uid="{00000000-0005-0000-0000-0000FD670000}"/>
    <cellStyle name="Normal 2 27 6" xfId="26796" xr:uid="{00000000-0005-0000-0000-0000FE670000}"/>
    <cellStyle name="Normal 2 27 6 2" xfId="26797" xr:uid="{00000000-0005-0000-0000-0000FF670000}"/>
    <cellStyle name="Normal 2 27 6 2 2" xfId="26798" xr:uid="{00000000-0005-0000-0000-000000680000}"/>
    <cellStyle name="Normal 2 27 6 2 2 2" xfId="26799" xr:uid="{00000000-0005-0000-0000-000001680000}"/>
    <cellStyle name="Normal 2 27 6 2 2 3" xfId="26800" xr:uid="{00000000-0005-0000-0000-000002680000}"/>
    <cellStyle name="Normal 2 27 6 2 3" xfId="26801" xr:uid="{00000000-0005-0000-0000-000003680000}"/>
    <cellStyle name="Normal 2 27 6 2 4" xfId="26802" xr:uid="{00000000-0005-0000-0000-000004680000}"/>
    <cellStyle name="Normal 2 27 6 3" xfId="26803" xr:uid="{00000000-0005-0000-0000-000005680000}"/>
    <cellStyle name="Normal 2 27 6 3 2" xfId="26804" xr:uid="{00000000-0005-0000-0000-000006680000}"/>
    <cellStyle name="Normal 2 27 6 3 3" xfId="26805" xr:uid="{00000000-0005-0000-0000-000007680000}"/>
    <cellStyle name="Normal 2 27 6 4" xfId="26806" xr:uid="{00000000-0005-0000-0000-000008680000}"/>
    <cellStyle name="Normal 2 27 7" xfId="26807" xr:uid="{00000000-0005-0000-0000-000009680000}"/>
    <cellStyle name="Normal 2 27 7 2" xfId="26808" xr:uid="{00000000-0005-0000-0000-00000A680000}"/>
    <cellStyle name="Normal 2 27 7 2 2" xfId="26809" xr:uid="{00000000-0005-0000-0000-00000B680000}"/>
    <cellStyle name="Normal 2 27 7 2 2 2" xfId="26810" xr:uid="{00000000-0005-0000-0000-00000C680000}"/>
    <cellStyle name="Normal 2 27 7 2 2 3" xfId="26811" xr:uid="{00000000-0005-0000-0000-00000D680000}"/>
    <cellStyle name="Normal 2 27 7 2 3" xfId="26812" xr:uid="{00000000-0005-0000-0000-00000E680000}"/>
    <cellStyle name="Normal 2 27 7 2 4" xfId="26813" xr:uid="{00000000-0005-0000-0000-00000F680000}"/>
    <cellStyle name="Normal 2 27 7 3" xfId="26814" xr:uid="{00000000-0005-0000-0000-000010680000}"/>
    <cellStyle name="Normal 2 27 7 3 2" xfId="26815" xr:uid="{00000000-0005-0000-0000-000011680000}"/>
    <cellStyle name="Normal 2 27 7 3 3" xfId="26816" xr:uid="{00000000-0005-0000-0000-000012680000}"/>
    <cellStyle name="Normal 2 27 7 4" xfId="26817" xr:uid="{00000000-0005-0000-0000-000013680000}"/>
    <cellStyle name="Normal 2 27 8" xfId="26818" xr:uid="{00000000-0005-0000-0000-000014680000}"/>
    <cellStyle name="Normal 2 27 8 2" xfId="26819" xr:uid="{00000000-0005-0000-0000-000015680000}"/>
    <cellStyle name="Normal 2 27 8 2 2" xfId="26820" xr:uid="{00000000-0005-0000-0000-000016680000}"/>
    <cellStyle name="Normal 2 27 8 2 2 2" xfId="26821" xr:uid="{00000000-0005-0000-0000-000017680000}"/>
    <cellStyle name="Normal 2 27 8 2 2 3" xfId="26822" xr:uid="{00000000-0005-0000-0000-000018680000}"/>
    <cellStyle name="Normal 2 27 8 2 3" xfId="26823" xr:uid="{00000000-0005-0000-0000-000019680000}"/>
    <cellStyle name="Normal 2 27 8 2 4" xfId="26824" xr:uid="{00000000-0005-0000-0000-00001A680000}"/>
    <cellStyle name="Normal 2 27 8 3" xfId="26825" xr:uid="{00000000-0005-0000-0000-00001B680000}"/>
    <cellStyle name="Normal 2 27 8 3 2" xfId="26826" xr:uid="{00000000-0005-0000-0000-00001C680000}"/>
    <cellStyle name="Normal 2 27 8 3 3" xfId="26827" xr:uid="{00000000-0005-0000-0000-00001D680000}"/>
    <cellStyle name="Normal 2 27 8 4" xfId="26828" xr:uid="{00000000-0005-0000-0000-00001E680000}"/>
    <cellStyle name="Normal 2 27 9" xfId="26829" xr:uid="{00000000-0005-0000-0000-00001F680000}"/>
    <cellStyle name="Normal 2 27 9 2" xfId="26830" xr:uid="{00000000-0005-0000-0000-000020680000}"/>
    <cellStyle name="Normal 2 27 9 2 2" xfId="26831" xr:uid="{00000000-0005-0000-0000-000021680000}"/>
    <cellStyle name="Normal 2 27 9 2 2 2" xfId="26832" xr:uid="{00000000-0005-0000-0000-000022680000}"/>
    <cellStyle name="Normal 2 27 9 2 2 3" xfId="26833" xr:uid="{00000000-0005-0000-0000-000023680000}"/>
    <cellStyle name="Normal 2 27 9 2 3" xfId="26834" xr:uid="{00000000-0005-0000-0000-000024680000}"/>
    <cellStyle name="Normal 2 27 9 2 4" xfId="26835" xr:uid="{00000000-0005-0000-0000-000025680000}"/>
    <cellStyle name="Normal 2 27 9 3" xfId="26836" xr:uid="{00000000-0005-0000-0000-000026680000}"/>
    <cellStyle name="Normal 2 27 9 3 2" xfId="26837" xr:uid="{00000000-0005-0000-0000-000027680000}"/>
    <cellStyle name="Normal 2 27 9 3 3" xfId="26838" xr:uid="{00000000-0005-0000-0000-000028680000}"/>
    <cellStyle name="Normal 2 27 9 4" xfId="26839" xr:uid="{00000000-0005-0000-0000-000029680000}"/>
    <cellStyle name="Normal 2 28" xfId="26840" xr:uid="{00000000-0005-0000-0000-00002A680000}"/>
    <cellStyle name="Normal 2 28 10" xfId="26841" xr:uid="{00000000-0005-0000-0000-00002B680000}"/>
    <cellStyle name="Normal 2 28 10 2" xfId="26842" xr:uid="{00000000-0005-0000-0000-00002C680000}"/>
    <cellStyle name="Normal 2 28 10 2 2" xfId="26843" xr:uid="{00000000-0005-0000-0000-00002D680000}"/>
    <cellStyle name="Normal 2 28 10 2 2 2" xfId="26844" xr:uid="{00000000-0005-0000-0000-00002E680000}"/>
    <cellStyle name="Normal 2 28 10 2 2 3" xfId="26845" xr:uid="{00000000-0005-0000-0000-00002F680000}"/>
    <cellStyle name="Normal 2 28 10 2 3" xfId="26846" xr:uid="{00000000-0005-0000-0000-000030680000}"/>
    <cellStyle name="Normal 2 28 10 2 4" xfId="26847" xr:uid="{00000000-0005-0000-0000-000031680000}"/>
    <cellStyle name="Normal 2 28 10 3" xfId="26848" xr:uid="{00000000-0005-0000-0000-000032680000}"/>
    <cellStyle name="Normal 2 28 10 3 2" xfId="26849" xr:uid="{00000000-0005-0000-0000-000033680000}"/>
    <cellStyle name="Normal 2 28 10 3 3" xfId="26850" xr:uid="{00000000-0005-0000-0000-000034680000}"/>
    <cellStyle name="Normal 2 28 10 4" xfId="26851" xr:uid="{00000000-0005-0000-0000-000035680000}"/>
    <cellStyle name="Normal 2 28 11" xfId="26852" xr:uid="{00000000-0005-0000-0000-000036680000}"/>
    <cellStyle name="Normal 2 28 11 2" xfId="26853" xr:uid="{00000000-0005-0000-0000-000037680000}"/>
    <cellStyle name="Normal 2 28 11 2 2" xfId="26854" xr:uid="{00000000-0005-0000-0000-000038680000}"/>
    <cellStyle name="Normal 2 28 11 2 2 2" xfId="26855" xr:uid="{00000000-0005-0000-0000-000039680000}"/>
    <cellStyle name="Normal 2 28 11 2 2 3" xfId="26856" xr:uid="{00000000-0005-0000-0000-00003A680000}"/>
    <cellStyle name="Normal 2 28 11 2 3" xfId="26857" xr:uid="{00000000-0005-0000-0000-00003B680000}"/>
    <cellStyle name="Normal 2 28 11 2 4" xfId="26858" xr:uid="{00000000-0005-0000-0000-00003C680000}"/>
    <cellStyle name="Normal 2 28 11 3" xfId="26859" xr:uid="{00000000-0005-0000-0000-00003D680000}"/>
    <cellStyle name="Normal 2 28 11 3 2" xfId="26860" xr:uid="{00000000-0005-0000-0000-00003E680000}"/>
    <cellStyle name="Normal 2 28 11 3 3" xfId="26861" xr:uid="{00000000-0005-0000-0000-00003F680000}"/>
    <cellStyle name="Normal 2 28 11 4" xfId="26862" xr:uid="{00000000-0005-0000-0000-000040680000}"/>
    <cellStyle name="Normal 2 28 12" xfId="26863" xr:uid="{00000000-0005-0000-0000-000041680000}"/>
    <cellStyle name="Normal 2 28 12 2" xfId="26864" xr:uid="{00000000-0005-0000-0000-000042680000}"/>
    <cellStyle name="Normal 2 28 12 2 2" xfId="26865" xr:uid="{00000000-0005-0000-0000-000043680000}"/>
    <cellStyle name="Normal 2 28 12 2 2 2" xfId="26866" xr:uid="{00000000-0005-0000-0000-000044680000}"/>
    <cellStyle name="Normal 2 28 12 2 2 3" xfId="26867" xr:uid="{00000000-0005-0000-0000-000045680000}"/>
    <cellStyle name="Normal 2 28 12 2 3" xfId="26868" xr:uid="{00000000-0005-0000-0000-000046680000}"/>
    <cellStyle name="Normal 2 28 12 2 4" xfId="26869" xr:uid="{00000000-0005-0000-0000-000047680000}"/>
    <cellStyle name="Normal 2 28 12 3" xfId="26870" xr:uid="{00000000-0005-0000-0000-000048680000}"/>
    <cellStyle name="Normal 2 28 12 3 2" xfId="26871" xr:uid="{00000000-0005-0000-0000-000049680000}"/>
    <cellStyle name="Normal 2 28 12 3 3" xfId="26872" xr:uid="{00000000-0005-0000-0000-00004A680000}"/>
    <cellStyle name="Normal 2 28 12 4" xfId="26873" xr:uid="{00000000-0005-0000-0000-00004B680000}"/>
    <cellStyle name="Normal 2 28 13" xfId="26874" xr:uid="{00000000-0005-0000-0000-00004C680000}"/>
    <cellStyle name="Normal 2 28 13 2" xfId="26875" xr:uid="{00000000-0005-0000-0000-00004D680000}"/>
    <cellStyle name="Normal 2 28 13 2 2" xfId="26876" xr:uid="{00000000-0005-0000-0000-00004E680000}"/>
    <cellStyle name="Normal 2 28 13 2 2 2" xfId="26877" xr:uid="{00000000-0005-0000-0000-00004F680000}"/>
    <cellStyle name="Normal 2 28 13 2 2 3" xfId="26878" xr:uid="{00000000-0005-0000-0000-000050680000}"/>
    <cellStyle name="Normal 2 28 13 2 3" xfId="26879" xr:uid="{00000000-0005-0000-0000-000051680000}"/>
    <cellStyle name="Normal 2 28 13 2 4" xfId="26880" xr:uid="{00000000-0005-0000-0000-000052680000}"/>
    <cellStyle name="Normal 2 28 13 3" xfId="26881" xr:uid="{00000000-0005-0000-0000-000053680000}"/>
    <cellStyle name="Normal 2 28 13 3 2" xfId="26882" xr:uid="{00000000-0005-0000-0000-000054680000}"/>
    <cellStyle name="Normal 2 28 13 3 3" xfId="26883" xr:uid="{00000000-0005-0000-0000-000055680000}"/>
    <cellStyle name="Normal 2 28 13 4" xfId="26884" xr:uid="{00000000-0005-0000-0000-000056680000}"/>
    <cellStyle name="Normal 2 28 14" xfId="26885" xr:uid="{00000000-0005-0000-0000-000057680000}"/>
    <cellStyle name="Normal 2 28 14 2" xfId="26886" xr:uid="{00000000-0005-0000-0000-000058680000}"/>
    <cellStyle name="Normal 2 28 14 2 2" xfId="26887" xr:uid="{00000000-0005-0000-0000-000059680000}"/>
    <cellStyle name="Normal 2 28 14 2 2 2" xfId="26888" xr:uid="{00000000-0005-0000-0000-00005A680000}"/>
    <cellStyle name="Normal 2 28 14 2 2 3" xfId="26889" xr:uid="{00000000-0005-0000-0000-00005B680000}"/>
    <cellStyle name="Normal 2 28 14 2 3" xfId="26890" xr:uid="{00000000-0005-0000-0000-00005C680000}"/>
    <cellStyle name="Normal 2 28 14 2 4" xfId="26891" xr:uid="{00000000-0005-0000-0000-00005D680000}"/>
    <cellStyle name="Normal 2 28 14 3" xfId="26892" xr:uid="{00000000-0005-0000-0000-00005E680000}"/>
    <cellStyle name="Normal 2 28 14 3 2" xfId="26893" xr:uid="{00000000-0005-0000-0000-00005F680000}"/>
    <cellStyle name="Normal 2 28 14 3 3" xfId="26894" xr:uid="{00000000-0005-0000-0000-000060680000}"/>
    <cellStyle name="Normal 2 28 14 4" xfId="26895" xr:uid="{00000000-0005-0000-0000-000061680000}"/>
    <cellStyle name="Normal 2 28 15" xfId="26896" xr:uid="{00000000-0005-0000-0000-000062680000}"/>
    <cellStyle name="Normal 2 28 15 2" xfId="26897" xr:uid="{00000000-0005-0000-0000-000063680000}"/>
    <cellStyle name="Normal 2 28 15 2 2" xfId="26898" xr:uid="{00000000-0005-0000-0000-000064680000}"/>
    <cellStyle name="Normal 2 28 15 2 2 2" xfId="26899" xr:uid="{00000000-0005-0000-0000-000065680000}"/>
    <cellStyle name="Normal 2 28 15 2 2 3" xfId="26900" xr:uid="{00000000-0005-0000-0000-000066680000}"/>
    <cellStyle name="Normal 2 28 15 2 3" xfId="26901" xr:uid="{00000000-0005-0000-0000-000067680000}"/>
    <cellStyle name="Normal 2 28 15 2 4" xfId="26902" xr:uid="{00000000-0005-0000-0000-000068680000}"/>
    <cellStyle name="Normal 2 28 15 3" xfId="26903" xr:uid="{00000000-0005-0000-0000-000069680000}"/>
    <cellStyle name="Normal 2 28 15 3 2" xfId="26904" xr:uid="{00000000-0005-0000-0000-00006A680000}"/>
    <cellStyle name="Normal 2 28 15 3 3" xfId="26905" xr:uid="{00000000-0005-0000-0000-00006B680000}"/>
    <cellStyle name="Normal 2 28 15 4" xfId="26906" xr:uid="{00000000-0005-0000-0000-00006C680000}"/>
    <cellStyle name="Normal 2 28 16" xfId="26907" xr:uid="{00000000-0005-0000-0000-00006D680000}"/>
    <cellStyle name="Normal 2 28 16 2" xfId="26908" xr:uid="{00000000-0005-0000-0000-00006E680000}"/>
    <cellStyle name="Normal 2 28 16 2 2" xfId="26909" xr:uid="{00000000-0005-0000-0000-00006F680000}"/>
    <cellStyle name="Normal 2 28 16 2 2 2" xfId="26910" xr:uid="{00000000-0005-0000-0000-000070680000}"/>
    <cellStyle name="Normal 2 28 16 2 2 3" xfId="26911" xr:uid="{00000000-0005-0000-0000-000071680000}"/>
    <cellStyle name="Normal 2 28 16 2 3" xfId="26912" xr:uid="{00000000-0005-0000-0000-000072680000}"/>
    <cellStyle name="Normal 2 28 16 2 4" xfId="26913" xr:uid="{00000000-0005-0000-0000-000073680000}"/>
    <cellStyle name="Normal 2 28 16 3" xfId="26914" xr:uid="{00000000-0005-0000-0000-000074680000}"/>
    <cellStyle name="Normal 2 28 16 3 2" xfId="26915" xr:uid="{00000000-0005-0000-0000-000075680000}"/>
    <cellStyle name="Normal 2 28 16 3 3" xfId="26916" xr:uid="{00000000-0005-0000-0000-000076680000}"/>
    <cellStyle name="Normal 2 28 16 4" xfId="26917" xr:uid="{00000000-0005-0000-0000-000077680000}"/>
    <cellStyle name="Normal 2 28 17" xfId="26918" xr:uid="{00000000-0005-0000-0000-000078680000}"/>
    <cellStyle name="Normal 2 28 17 2" xfId="26919" xr:uid="{00000000-0005-0000-0000-000079680000}"/>
    <cellStyle name="Normal 2 28 17 2 2" xfId="26920" xr:uid="{00000000-0005-0000-0000-00007A680000}"/>
    <cellStyle name="Normal 2 28 17 2 2 2" xfId="26921" xr:uid="{00000000-0005-0000-0000-00007B680000}"/>
    <cellStyle name="Normal 2 28 17 2 2 3" xfId="26922" xr:uid="{00000000-0005-0000-0000-00007C680000}"/>
    <cellStyle name="Normal 2 28 17 2 3" xfId="26923" xr:uid="{00000000-0005-0000-0000-00007D680000}"/>
    <cellStyle name="Normal 2 28 17 2 4" xfId="26924" xr:uid="{00000000-0005-0000-0000-00007E680000}"/>
    <cellStyle name="Normal 2 28 17 3" xfId="26925" xr:uid="{00000000-0005-0000-0000-00007F680000}"/>
    <cellStyle name="Normal 2 28 17 3 2" xfId="26926" xr:uid="{00000000-0005-0000-0000-000080680000}"/>
    <cellStyle name="Normal 2 28 17 3 3" xfId="26927" xr:uid="{00000000-0005-0000-0000-000081680000}"/>
    <cellStyle name="Normal 2 28 17 4" xfId="26928" xr:uid="{00000000-0005-0000-0000-000082680000}"/>
    <cellStyle name="Normal 2 28 18" xfId="26929" xr:uid="{00000000-0005-0000-0000-000083680000}"/>
    <cellStyle name="Normal 2 28 18 2" xfId="26930" xr:uid="{00000000-0005-0000-0000-000084680000}"/>
    <cellStyle name="Normal 2 28 18 2 2" xfId="26931" xr:uid="{00000000-0005-0000-0000-000085680000}"/>
    <cellStyle name="Normal 2 28 18 2 2 2" xfId="26932" xr:uid="{00000000-0005-0000-0000-000086680000}"/>
    <cellStyle name="Normal 2 28 18 2 2 3" xfId="26933" xr:uid="{00000000-0005-0000-0000-000087680000}"/>
    <cellStyle name="Normal 2 28 18 2 3" xfId="26934" xr:uid="{00000000-0005-0000-0000-000088680000}"/>
    <cellStyle name="Normal 2 28 18 2 4" xfId="26935" xr:uid="{00000000-0005-0000-0000-000089680000}"/>
    <cellStyle name="Normal 2 28 18 3" xfId="26936" xr:uid="{00000000-0005-0000-0000-00008A680000}"/>
    <cellStyle name="Normal 2 28 18 3 2" xfId="26937" xr:uid="{00000000-0005-0000-0000-00008B680000}"/>
    <cellStyle name="Normal 2 28 18 3 3" xfId="26938" xr:uid="{00000000-0005-0000-0000-00008C680000}"/>
    <cellStyle name="Normal 2 28 18 4" xfId="26939" xr:uid="{00000000-0005-0000-0000-00008D680000}"/>
    <cellStyle name="Normal 2 28 19" xfId="26940" xr:uid="{00000000-0005-0000-0000-00008E680000}"/>
    <cellStyle name="Normal 2 28 19 2" xfId="26941" xr:uid="{00000000-0005-0000-0000-00008F680000}"/>
    <cellStyle name="Normal 2 28 19 2 2" xfId="26942" xr:uid="{00000000-0005-0000-0000-000090680000}"/>
    <cellStyle name="Normal 2 28 19 2 2 2" xfId="26943" xr:uid="{00000000-0005-0000-0000-000091680000}"/>
    <cellStyle name="Normal 2 28 19 2 2 3" xfId="26944" xr:uid="{00000000-0005-0000-0000-000092680000}"/>
    <cellStyle name="Normal 2 28 19 2 3" xfId="26945" xr:uid="{00000000-0005-0000-0000-000093680000}"/>
    <cellStyle name="Normal 2 28 19 2 4" xfId="26946" xr:uid="{00000000-0005-0000-0000-000094680000}"/>
    <cellStyle name="Normal 2 28 19 3" xfId="26947" xr:uid="{00000000-0005-0000-0000-000095680000}"/>
    <cellStyle name="Normal 2 28 19 3 2" xfId="26948" xr:uid="{00000000-0005-0000-0000-000096680000}"/>
    <cellStyle name="Normal 2 28 19 3 3" xfId="26949" xr:uid="{00000000-0005-0000-0000-000097680000}"/>
    <cellStyle name="Normal 2 28 19 4" xfId="26950" xr:uid="{00000000-0005-0000-0000-000098680000}"/>
    <cellStyle name="Normal 2 28 2" xfId="26951" xr:uid="{00000000-0005-0000-0000-000099680000}"/>
    <cellStyle name="Normal 2 28 2 2" xfId="26952" xr:uid="{00000000-0005-0000-0000-00009A680000}"/>
    <cellStyle name="Normal 2 28 2 2 2" xfId="26953" xr:uid="{00000000-0005-0000-0000-00009B680000}"/>
    <cellStyle name="Normal 2 28 2 2 2 2" xfId="26954" xr:uid="{00000000-0005-0000-0000-00009C680000}"/>
    <cellStyle name="Normal 2 28 2 2 2 3" xfId="26955" xr:uid="{00000000-0005-0000-0000-00009D680000}"/>
    <cellStyle name="Normal 2 28 2 2 3" xfId="26956" xr:uid="{00000000-0005-0000-0000-00009E680000}"/>
    <cellStyle name="Normal 2 28 2 2 4" xfId="26957" xr:uid="{00000000-0005-0000-0000-00009F680000}"/>
    <cellStyle name="Normal 2 28 2 3" xfId="26958" xr:uid="{00000000-0005-0000-0000-0000A0680000}"/>
    <cellStyle name="Normal 2 28 2 3 2" xfId="26959" xr:uid="{00000000-0005-0000-0000-0000A1680000}"/>
    <cellStyle name="Normal 2 28 2 3 3" xfId="26960" xr:uid="{00000000-0005-0000-0000-0000A2680000}"/>
    <cellStyle name="Normal 2 28 2 4" xfId="26961" xr:uid="{00000000-0005-0000-0000-0000A3680000}"/>
    <cellStyle name="Normal 2 28 20" xfId="26962" xr:uid="{00000000-0005-0000-0000-0000A4680000}"/>
    <cellStyle name="Normal 2 28 20 2" xfId="26963" xr:uid="{00000000-0005-0000-0000-0000A5680000}"/>
    <cellStyle name="Normal 2 28 20 2 2" xfId="26964" xr:uid="{00000000-0005-0000-0000-0000A6680000}"/>
    <cellStyle name="Normal 2 28 20 2 2 2" xfId="26965" xr:uid="{00000000-0005-0000-0000-0000A7680000}"/>
    <cellStyle name="Normal 2 28 20 2 2 3" xfId="26966" xr:uid="{00000000-0005-0000-0000-0000A8680000}"/>
    <cellStyle name="Normal 2 28 20 2 3" xfId="26967" xr:uid="{00000000-0005-0000-0000-0000A9680000}"/>
    <cellStyle name="Normal 2 28 20 2 4" xfId="26968" xr:uid="{00000000-0005-0000-0000-0000AA680000}"/>
    <cellStyle name="Normal 2 28 20 3" xfId="26969" xr:uid="{00000000-0005-0000-0000-0000AB680000}"/>
    <cellStyle name="Normal 2 28 20 3 2" xfId="26970" xr:uid="{00000000-0005-0000-0000-0000AC680000}"/>
    <cellStyle name="Normal 2 28 20 3 3" xfId="26971" xr:uid="{00000000-0005-0000-0000-0000AD680000}"/>
    <cellStyle name="Normal 2 28 20 4" xfId="26972" xr:uid="{00000000-0005-0000-0000-0000AE680000}"/>
    <cellStyle name="Normal 2 28 21" xfId="26973" xr:uid="{00000000-0005-0000-0000-0000AF680000}"/>
    <cellStyle name="Normal 2 28 21 2" xfId="26974" xr:uid="{00000000-0005-0000-0000-0000B0680000}"/>
    <cellStyle name="Normal 2 28 21 2 2" xfId="26975" xr:uid="{00000000-0005-0000-0000-0000B1680000}"/>
    <cellStyle name="Normal 2 28 21 2 2 2" xfId="26976" xr:uid="{00000000-0005-0000-0000-0000B2680000}"/>
    <cellStyle name="Normal 2 28 21 2 2 3" xfId="26977" xr:uid="{00000000-0005-0000-0000-0000B3680000}"/>
    <cellStyle name="Normal 2 28 21 2 3" xfId="26978" xr:uid="{00000000-0005-0000-0000-0000B4680000}"/>
    <cellStyle name="Normal 2 28 21 2 4" xfId="26979" xr:uid="{00000000-0005-0000-0000-0000B5680000}"/>
    <cellStyle name="Normal 2 28 21 3" xfId="26980" xr:uid="{00000000-0005-0000-0000-0000B6680000}"/>
    <cellStyle name="Normal 2 28 21 3 2" xfId="26981" xr:uid="{00000000-0005-0000-0000-0000B7680000}"/>
    <cellStyle name="Normal 2 28 21 3 3" xfId="26982" xr:uid="{00000000-0005-0000-0000-0000B8680000}"/>
    <cellStyle name="Normal 2 28 21 4" xfId="26983" xr:uid="{00000000-0005-0000-0000-0000B9680000}"/>
    <cellStyle name="Normal 2 28 22" xfId="26984" xr:uid="{00000000-0005-0000-0000-0000BA680000}"/>
    <cellStyle name="Normal 2 28 22 2" xfId="26985" xr:uid="{00000000-0005-0000-0000-0000BB680000}"/>
    <cellStyle name="Normal 2 28 22 2 2" xfId="26986" xr:uid="{00000000-0005-0000-0000-0000BC680000}"/>
    <cellStyle name="Normal 2 28 22 2 2 2" xfId="26987" xr:uid="{00000000-0005-0000-0000-0000BD680000}"/>
    <cellStyle name="Normal 2 28 22 2 2 3" xfId="26988" xr:uid="{00000000-0005-0000-0000-0000BE680000}"/>
    <cellStyle name="Normal 2 28 22 2 3" xfId="26989" xr:uid="{00000000-0005-0000-0000-0000BF680000}"/>
    <cellStyle name="Normal 2 28 22 2 4" xfId="26990" xr:uid="{00000000-0005-0000-0000-0000C0680000}"/>
    <cellStyle name="Normal 2 28 22 3" xfId="26991" xr:uid="{00000000-0005-0000-0000-0000C1680000}"/>
    <cellStyle name="Normal 2 28 22 3 2" xfId="26992" xr:uid="{00000000-0005-0000-0000-0000C2680000}"/>
    <cellStyle name="Normal 2 28 22 3 3" xfId="26993" xr:uid="{00000000-0005-0000-0000-0000C3680000}"/>
    <cellStyle name="Normal 2 28 22 4" xfId="26994" xr:uid="{00000000-0005-0000-0000-0000C4680000}"/>
    <cellStyle name="Normal 2 28 23" xfId="26995" xr:uid="{00000000-0005-0000-0000-0000C5680000}"/>
    <cellStyle name="Normal 2 28 23 2" xfId="26996" xr:uid="{00000000-0005-0000-0000-0000C6680000}"/>
    <cellStyle name="Normal 2 28 23 2 2" xfId="26997" xr:uid="{00000000-0005-0000-0000-0000C7680000}"/>
    <cellStyle name="Normal 2 28 23 2 2 2" xfId="26998" xr:uid="{00000000-0005-0000-0000-0000C8680000}"/>
    <cellStyle name="Normal 2 28 23 2 2 3" xfId="26999" xr:uid="{00000000-0005-0000-0000-0000C9680000}"/>
    <cellStyle name="Normal 2 28 23 2 3" xfId="27000" xr:uid="{00000000-0005-0000-0000-0000CA680000}"/>
    <cellStyle name="Normal 2 28 23 2 4" xfId="27001" xr:uid="{00000000-0005-0000-0000-0000CB680000}"/>
    <cellStyle name="Normal 2 28 23 3" xfId="27002" xr:uid="{00000000-0005-0000-0000-0000CC680000}"/>
    <cellStyle name="Normal 2 28 23 3 2" xfId="27003" xr:uid="{00000000-0005-0000-0000-0000CD680000}"/>
    <cellStyle name="Normal 2 28 23 3 3" xfId="27004" xr:uid="{00000000-0005-0000-0000-0000CE680000}"/>
    <cellStyle name="Normal 2 28 23 4" xfId="27005" xr:uid="{00000000-0005-0000-0000-0000CF680000}"/>
    <cellStyle name="Normal 2 28 24" xfId="27006" xr:uid="{00000000-0005-0000-0000-0000D0680000}"/>
    <cellStyle name="Normal 2 28 24 2" xfId="27007" xr:uid="{00000000-0005-0000-0000-0000D1680000}"/>
    <cellStyle name="Normal 2 28 24 2 2" xfId="27008" xr:uid="{00000000-0005-0000-0000-0000D2680000}"/>
    <cellStyle name="Normal 2 28 24 2 3" xfId="27009" xr:uid="{00000000-0005-0000-0000-0000D3680000}"/>
    <cellStyle name="Normal 2 28 24 3" xfId="27010" xr:uid="{00000000-0005-0000-0000-0000D4680000}"/>
    <cellStyle name="Normal 2 28 24 4" xfId="27011" xr:uid="{00000000-0005-0000-0000-0000D5680000}"/>
    <cellStyle name="Normal 2 28 25" xfId="27012" xr:uid="{00000000-0005-0000-0000-0000D6680000}"/>
    <cellStyle name="Normal 2 28 25 2" xfId="27013" xr:uid="{00000000-0005-0000-0000-0000D7680000}"/>
    <cellStyle name="Normal 2 28 25 3" xfId="27014" xr:uid="{00000000-0005-0000-0000-0000D8680000}"/>
    <cellStyle name="Normal 2 28 26" xfId="27015" xr:uid="{00000000-0005-0000-0000-0000D9680000}"/>
    <cellStyle name="Normal 2 28 3" xfId="27016" xr:uid="{00000000-0005-0000-0000-0000DA680000}"/>
    <cellStyle name="Normal 2 28 3 2" xfId="27017" xr:uid="{00000000-0005-0000-0000-0000DB680000}"/>
    <cellStyle name="Normal 2 28 3 2 2" xfId="27018" xr:uid="{00000000-0005-0000-0000-0000DC680000}"/>
    <cellStyle name="Normal 2 28 3 2 2 2" xfId="27019" xr:uid="{00000000-0005-0000-0000-0000DD680000}"/>
    <cellStyle name="Normal 2 28 3 2 2 3" xfId="27020" xr:uid="{00000000-0005-0000-0000-0000DE680000}"/>
    <cellStyle name="Normal 2 28 3 2 3" xfId="27021" xr:uid="{00000000-0005-0000-0000-0000DF680000}"/>
    <cellStyle name="Normal 2 28 3 2 4" xfId="27022" xr:uid="{00000000-0005-0000-0000-0000E0680000}"/>
    <cellStyle name="Normal 2 28 3 3" xfId="27023" xr:uid="{00000000-0005-0000-0000-0000E1680000}"/>
    <cellStyle name="Normal 2 28 3 3 2" xfId="27024" xr:uid="{00000000-0005-0000-0000-0000E2680000}"/>
    <cellStyle name="Normal 2 28 3 3 3" xfId="27025" xr:uid="{00000000-0005-0000-0000-0000E3680000}"/>
    <cellStyle name="Normal 2 28 3 4" xfId="27026" xr:uid="{00000000-0005-0000-0000-0000E4680000}"/>
    <cellStyle name="Normal 2 28 4" xfId="27027" xr:uid="{00000000-0005-0000-0000-0000E5680000}"/>
    <cellStyle name="Normal 2 28 4 2" xfId="27028" xr:uid="{00000000-0005-0000-0000-0000E6680000}"/>
    <cellStyle name="Normal 2 28 4 2 2" xfId="27029" xr:uid="{00000000-0005-0000-0000-0000E7680000}"/>
    <cellStyle name="Normal 2 28 4 2 2 2" xfId="27030" xr:uid="{00000000-0005-0000-0000-0000E8680000}"/>
    <cellStyle name="Normal 2 28 4 2 2 3" xfId="27031" xr:uid="{00000000-0005-0000-0000-0000E9680000}"/>
    <cellStyle name="Normal 2 28 4 2 3" xfId="27032" xr:uid="{00000000-0005-0000-0000-0000EA680000}"/>
    <cellStyle name="Normal 2 28 4 2 4" xfId="27033" xr:uid="{00000000-0005-0000-0000-0000EB680000}"/>
    <cellStyle name="Normal 2 28 4 3" xfId="27034" xr:uid="{00000000-0005-0000-0000-0000EC680000}"/>
    <cellStyle name="Normal 2 28 4 3 2" xfId="27035" xr:uid="{00000000-0005-0000-0000-0000ED680000}"/>
    <cellStyle name="Normal 2 28 4 3 3" xfId="27036" xr:uid="{00000000-0005-0000-0000-0000EE680000}"/>
    <cellStyle name="Normal 2 28 4 4" xfId="27037" xr:uid="{00000000-0005-0000-0000-0000EF680000}"/>
    <cellStyle name="Normal 2 28 5" xfId="27038" xr:uid="{00000000-0005-0000-0000-0000F0680000}"/>
    <cellStyle name="Normal 2 28 5 2" xfId="27039" xr:uid="{00000000-0005-0000-0000-0000F1680000}"/>
    <cellStyle name="Normal 2 28 5 2 2" xfId="27040" xr:uid="{00000000-0005-0000-0000-0000F2680000}"/>
    <cellStyle name="Normal 2 28 5 2 2 2" xfId="27041" xr:uid="{00000000-0005-0000-0000-0000F3680000}"/>
    <cellStyle name="Normal 2 28 5 2 2 3" xfId="27042" xr:uid="{00000000-0005-0000-0000-0000F4680000}"/>
    <cellStyle name="Normal 2 28 5 2 3" xfId="27043" xr:uid="{00000000-0005-0000-0000-0000F5680000}"/>
    <cellStyle name="Normal 2 28 5 2 4" xfId="27044" xr:uid="{00000000-0005-0000-0000-0000F6680000}"/>
    <cellStyle name="Normal 2 28 5 3" xfId="27045" xr:uid="{00000000-0005-0000-0000-0000F7680000}"/>
    <cellStyle name="Normal 2 28 5 3 2" xfId="27046" xr:uid="{00000000-0005-0000-0000-0000F8680000}"/>
    <cellStyle name="Normal 2 28 5 3 3" xfId="27047" xr:uid="{00000000-0005-0000-0000-0000F9680000}"/>
    <cellStyle name="Normal 2 28 5 4" xfId="27048" xr:uid="{00000000-0005-0000-0000-0000FA680000}"/>
    <cellStyle name="Normal 2 28 6" xfId="27049" xr:uid="{00000000-0005-0000-0000-0000FB680000}"/>
    <cellStyle name="Normal 2 28 6 2" xfId="27050" xr:uid="{00000000-0005-0000-0000-0000FC680000}"/>
    <cellStyle name="Normal 2 28 6 2 2" xfId="27051" xr:uid="{00000000-0005-0000-0000-0000FD680000}"/>
    <cellStyle name="Normal 2 28 6 2 2 2" xfId="27052" xr:uid="{00000000-0005-0000-0000-0000FE680000}"/>
    <cellStyle name="Normal 2 28 6 2 2 3" xfId="27053" xr:uid="{00000000-0005-0000-0000-0000FF680000}"/>
    <cellStyle name="Normal 2 28 6 2 3" xfId="27054" xr:uid="{00000000-0005-0000-0000-000000690000}"/>
    <cellStyle name="Normal 2 28 6 2 4" xfId="27055" xr:uid="{00000000-0005-0000-0000-000001690000}"/>
    <cellStyle name="Normal 2 28 6 3" xfId="27056" xr:uid="{00000000-0005-0000-0000-000002690000}"/>
    <cellStyle name="Normal 2 28 6 3 2" xfId="27057" xr:uid="{00000000-0005-0000-0000-000003690000}"/>
    <cellStyle name="Normal 2 28 6 3 3" xfId="27058" xr:uid="{00000000-0005-0000-0000-000004690000}"/>
    <cellStyle name="Normal 2 28 6 4" xfId="27059" xr:uid="{00000000-0005-0000-0000-000005690000}"/>
    <cellStyle name="Normal 2 28 7" xfId="27060" xr:uid="{00000000-0005-0000-0000-000006690000}"/>
    <cellStyle name="Normal 2 28 7 2" xfId="27061" xr:uid="{00000000-0005-0000-0000-000007690000}"/>
    <cellStyle name="Normal 2 28 7 2 2" xfId="27062" xr:uid="{00000000-0005-0000-0000-000008690000}"/>
    <cellStyle name="Normal 2 28 7 2 2 2" xfId="27063" xr:uid="{00000000-0005-0000-0000-000009690000}"/>
    <cellStyle name="Normal 2 28 7 2 2 3" xfId="27064" xr:uid="{00000000-0005-0000-0000-00000A690000}"/>
    <cellStyle name="Normal 2 28 7 2 3" xfId="27065" xr:uid="{00000000-0005-0000-0000-00000B690000}"/>
    <cellStyle name="Normal 2 28 7 2 4" xfId="27066" xr:uid="{00000000-0005-0000-0000-00000C690000}"/>
    <cellStyle name="Normal 2 28 7 3" xfId="27067" xr:uid="{00000000-0005-0000-0000-00000D690000}"/>
    <cellStyle name="Normal 2 28 7 3 2" xfId="27068" xr:uid="{00000000-0005-0000-0000-00000E690000}"/>
    <cellStyle name="Normal 2 28 7 3 3" xfId="27069" xr:uid="{00000000-0005-0000-0000-00000F690000}"/>
    <cellStyle name="Normal 2 28 7 4" xfId="27070" xr:uid="{00000000-0005-0000-0000-000010690000}"/>
    <cellStyle name="Normal 2 28 8" xfId="27071" xr:uid="{00000000-0005-0000-0000-000011690000}"/>
    <cellStyle name="Normal 2 28 8 2" xfId="27072" xr:uid="{00000000-0005-0000-0000-000012690000}"/>
    <cellStyle name="Normal 2 28 8 2 2" xfId="27073" xr:uid="{00000000-0005-0000-0000-000013690000}"/>
    <cellStyle name="Normal 2 28 8 2 2 2" xfId="27074" xr:uid="{00000000-0005-0000-0000-000014690000}"/>
    <cellStyle name="Normal 2 28 8 2 2 3" xfId="27075" xr:uid="{00000000-0005-0000-0000-000015690000}"/>
    <cellStyle name="Normal 2 28 8 2 3" xfId="27076" xr:uid="{00000000-0005-0000-0000-000016690000}"/>
    <cellStyle name="Normal 2 28 8 2 4" xfId="27077" xr:uid="{00000000-0005-0000-0000-000017690000}"/>
    <cellStyle name="Normal 2 28 8 3" xfId="27078" xr:uid="{00000000-0005-0000-0000-000018690000}"/>
    <cellStyle name="Normal 2 28 8 3 2" xfId="27079" xr:uid="{00000000-0005-0000-0000-000019690000}"/>
    <cellStyle name="Normal 2 28 8 3 3" xfId="27080" xr:uid="{00000000-0005-0000-0000-00001A690000}"/>
    <cellStyle name="Normal 2 28 8 4" xfId="27081" xr:uid="{00000000-0005-0000-0000-00001B690000}"/>
    <cellStyle name="Normal 2 28 9" xfId="27082" xr:uid="{00000000-0005-0000-0000-00001C690000}"/>
    <cellStyle name="Normal 2 28 9 2" xfId="27083" xr:uid="{00000000-0005-0000-0000-00001D690000}"/>
    <cellStyle name="Normal 2 28 9 2 2" xfId="27084" xr:uid="{00000000-0005-0000-0000-00001E690000}"/>
    <cellStyle name="Normal 2 28 9 2 2 2" xfId="27085" xr:uid="{00000000-0005-0000-0000-00001F690000}"/>
    <cellStyle name="Normal 2 28 9 2 2 3" xfId="27086" xr:uid="{00000000-0005-0000-0000-000020690000}"/>
    <cellStyle name="Normal 2 28 9 2 3" xfId="27087" xr:uid="{00000000-0005-0000-0000-000021690000}"/>
    <cellStyle name="Normal 2 28 9 2 4" xfId="27088" xr:uid="{00000000-0005-0000-0000-000022690000}"/>
    <cellStyle name="Normal 2 28 9 3" xfId="27089" xr:uid="{00000000-0005-0000-0000-000023690000}"/>
    <cellStyle name="Normal 2 28 9 3 2" xfId="27090" xr:uid="{00000000-0005-0000-0000-000024690000}"/>
    <cellStyle name="Normal 2 28 9 3 3" xfId="27091" xr:uid="{00000000-0005-0000-0000-000025690000}"/>
    <cellStyle name="Normal 2 28 9 4" xfId="27092" xr:uid="{00000000-0005-0000-0000-000026690000}"/>
    <cellStyle name="Normal 2 29" xfId="27093" xr:uid="{00000000-0005-0000-0000-000027690000}"/>
    <cellStyle name="Normal 2 29 10" xfId="27094" xr:uid="{00000000-0005-0000-0000-000028690000}"/>
    <cellStyle name="Normal 2 29 10 2" xfId="27095" xr:uid="{00000000-0005-0000-0000-000029690000}"/>
    <cellStyle name="Normal 2 29 10 2 2" xfId="27096" xr:uid="{00000000-0005-0000-0000-00002A690000}"/>
    <cellStyle name="Normal 2 29 10 2 2 2" xfId="27097" xr:uid="{00000000-0005-0000-0000-00002B690000}"/>
    <cellStyle name="Normal 2 29 10 2 2 3" xfId="27098" xr:uid="{00000000-0005-0000-0000-00002C690000}"/>
    <cellStyle name="Normal 2 29 10 2 3" xfId="27099" xr:uid="{00000000-0005-0000-0000-00002D690000}"/>
    <cellStyle name="Normal 2 29 10 2 4" xfId="27100" xr:uid="{00000000-0005-0000-0000-00002E690000}"/>
    <cellStyle name="Normal 2 29 10 3" xfId="27101" xr:uid="{00000000-0005-0000-0000-00002F690000}"/>
    <cellStyle name="Normal 2 29 10 3 2" xfId="27102" xr:uid="{00000000-0005-0000-0000-000030690000}"/>
    <cellStyle name="Normal 2 29 10 3 3" xfId="27103" xr:uid="{00000000-0005-0000-0000-000031690000}"/>
    <cellStyle name="Normal 2 29 10 4" xfId="27104" xr:uid="{00000000-0005-0000-0000-000032690000}"/>
    <cellStyle name="Normal 2 29 11" xfId="27105" xr:uid="{00000000-0005-0000-0000-000033690000}"/>
    <cellStyle name="Normal 2 29 11 2" xfId="27106" xr:uid="{00000000-0005-0000-0000-000034690000}"/>
    <cellStyle name="Normal 2 29 11 2 2" xfId="27107" xr:uid="{00000000-0005-0000-0000-000035690000}"/>
    <cellStyle name="Normal 2 29 11 2 2 2" xfId="27108" xr:uid="{00000000-0005-0000-0000-000036690000}"/>
    <cellStyle name="Normal 2 29 11 2 2 3" xfId="27109" xr:uid="{00000000-0005-0000-0000-000037690000}"/>
    <cellStyle name="Normal 2 29 11 2 3" xfId="27110" xr:uid="{00000000-0005-0000-0000-000038690000}"/>
    <cellStyle name="Normal 2 29 11 2 4" xfId="27111" xr:uid="{00000000-0005-0000-0000-000039690000}"/>
    <cellStyle name="Normal 2 29 11 3" xfId="27112" xr:uid="{00000000-0005-0000-0000-00003A690000}"/>
    <cellStyle name="Normal 2 29 11 3 2" xfId="27113" xr:uid="{00000000-0005-0000-0000-00003B690000}"/>
    <cellStyle name="Normal 2 29 11 3 3" xfId="27114" xr:uid="{00000000-0005-0000-0000-00003C690000}"/>
    <cellStyle name="Normal 2 29 11 4" xfId="27115" xr:uid="{00000000-0005-0000-0000-00003D690000}"/>
    <cellStyle name="Normal 2 29 12" xfId="27116" xr:uid="{00000000-0005-0000-0000-00003E690000}"/>
    <cellStyle name="Normal 2 29 12 2" xfId="27117" xr:uid="{00000000-0005-0000-0000-00003F690000}"/>
    <cellStyle name="Normal 2 29 12 2 2" xfId="27118" xr:uid="{00000000-0005-0000-0000-000040690000}"/>
    <cellStyle name="Normal 2 29 12 2 2 2" xfId="27119" xr:uid="{00000000-0005-0000-0000-000041690000}"/>
    <cellStyle name="Normal 2 29 12 2 2 3" xfId="27120" xr:uid="{00000000-0005-0000-0000-000042690000}"/>
    <cellStyle name="Normal 2 29 12 2 3" xfId="27121" xr:uid="{00000000-0005-0000-0000-000043690000}"/>
    <cellStyle name="Normal 2 29 12 2 4" xfId="27122" xr:uid="{00000000-0005-0000-0000-000044690000}"/>
    <cellStyle name="Normal 2 29 12 3" xfId="27123" xr:uid="{00000000-0005-0000-0000-000045690000}"/>
    <cellStyle name="Normal 2 29 12 3 2" xfId="27124" xr:uid="{00000000-0005-0000-0000-000046690000}"/>
    <cellStyle name="Normal 2 29 12 3 3" xfId="27125" xr:uid="{00000000-0005-0000-0000-000047690000}"/>
    <cellStyle name="Normal 2 29 12 4" xfId="27126" xr:uid="{00000000-0005-0000-0000-000048690000}"/>
    <cellStyle name="Normal 2 29 13" xfId="27127" xr:uid="{00000000-0005-0000-0000-000049690000}"/>
    <cellStyle name="Normal 2 29 13 2" xfId="27128" xr:uid="{00000000-0005-0000-0000-00004A690000}"/>
    <cellStyle name="Normal 2 29 13 2 2" xfId="27129" xr:uid="{00000000-0005-0000-0000-00004B690000}"/>
    <cellStyle name="Normal 2 29 13 2 2 2" xfId="27130" xr:uid="{00000000-0005-0000-0000-00004C690000}"/>
    <cellStyle name="Normal 2 29 13 2 2 3" xfId="27131" xr:uid="{00000000-0005-0000-0000-00004D690000}"/>
    <cellStyle name="Normal 2 29 13 2 3" xfId="27132" xr:uid="{00000000-0005-0000-0000-00004E690000}"/>
    <cellStyle name="Normal 2 29 13 2 4" xfId="27133" xr:uid="{00000000-0005-0000-0000-00004F690000}"/>
    <cellStyle name="Normal 2 29 13 3" xfId="27134" xr:uid="{00000000-0005-0000-0000-000050690000}"/>
    <cellStyle name="Normal 2 29 13 3 2" xfId="27135" xr:uid="{00000000-0005-0000-0000-000051690000}"/>
    <cellStyle name="Normal 2 29 13 3 3" xfId="27136" xr:uid="{00000000-0005-0000-0000-000052690000}"/>
    <cellStyle name="Normal 2 29 13 4" xfId="27137" xr:uid="{00000000-0005-0000-0000-000053690000}"/>
    <cellStyle name="Normal 2 29 14" xfId="27138" xr:uid="{00000000-0005-0000-0000-000054690000}"/>
    <cellStyle name="Normal 2 29 14 2" xfId="27139" xr:uid="{00000000-0005-0000-0000-000055690000}"/>
    <cellStyle name="Normal 2 29 14 2 2" xfId="27140" xr:uid="{00000000-0005-0000-0000-000056690000}"/>
    <cellStyle name="Normal 2 29 14 2 2 2" xfId="27141" xr:uid="{00000000-0005-0000-0000-000057690000}"/>
    <cellStyle name="Normal 2 29 14 2 2 3" xfId="27142" xr:uid="{00000000-0005-0000-0000-000058690000}"/>
    <cellStyle name="Normal 2 29 14 2 3" xfId="27143" xr:uid="{00000000-0005-0000-0000-000059690000}"/>
    <cellStyle name="Normal 2 29 14 2 4" xfId="27144" xr:uid="{00000000-0005-0000-0000-00005A690000}"/>
    <cellStyle name="Normal 2 29 14 3" xfId="27145" xr:uid="{00000000-0005-0000-0000-00005B690000}"/>
    <cellStyle name="Normal 2 29 14 3 2" xfId="27146" xr:uid="{00000000-0005-0000-0000-00005C690000}"/>
    <cellStyle name="Normal 2 29 14 3 3" xfId="27147" xr:uid="{00000000-0005-0000-0000-00005D690000}"/>
    <cellStyle name="Normal 2 29 14 4" xfId="27148" xr:uid="{00000000-0005-0000-0000-00005E690000}"/>
    <cellStyle name="Normal 2 29 15" xfId="27149" xr:uid="{00000000-0005-0000-0000-00005F690000}"/>
    <cellStyle name="Normal 2 29 15 2" xfId="27150" xr:uid="{00000000-0005-0000-0000-000060690000}"/>
    <cellStyle name="Normal 2 29 15 2 2" xfId="27151" xr:uid="{00000000-0005-0000-0000-000061690000}"/>
    <cellStyle name="Normal 2 29 15 2 2 2" xfId="27152" xr:uid="{00000000-0005-0000-0000-000062690000}"/>
    <cellStyle name="Normal 2 29 15 2 2 3" xfId="27153" xr:uid="{00000000-0005-0000-0000-000063690000}"/>
    <cellStyle name="Normal 2 29 15 2 3" xfId="27154" xr:uid="{00000000-0005-0000-0000-000064690000}"/>
    <cellStyle name="Normal 2 29 15 2 4" xfId="27155" xr:uid="{00000000-0005-0000-0000-000065690000}"/>
    <cellStyle name="Normal 2 29 15 3" xfId="27156" xr:uid="{00000000-0005-0000-0000-000066690000}"/>
    <cellStyle name="Normal 2 29 15 3 2" xfId="27157" xr:uid="{00000000-0005-0000-0000-000067690000}"/>
    <cellStyle name="Normal 2 29 15 3 3" xfId="27158" xr:uid="{00000000-0005-0000-0000-000068690000}"/>
    <cellStyle name="Normal 2 29 15 4" xfId="27159" xr:uid="{00000000-0005-0000-0000-000069690000}"/>
    <cellStyle name="Normal 2 29 16" xfId="27160" xr:uid="{00000000-0005-0000-0000-00006A690000}"/>
    <cellStyle name="Normal 2 29 16 2" xfId="27161" xr:uid="{00000000-0005-0000-0000-00006B690000}"/>
    <cellStyle name="Normal 2 29 16 2 2" xfId="27162" xr:uid="{00000000-0005-0000-0000-00006C690000}"/>
    <cellStyle name="Normal 2 29 16 2 2 2" xfId="27163" xr:uid="{00000000-0005-0000-0000-00006D690000}"/>
    <cellStyle name="Normal 2 29 16 2 2 3" xfId="27164" xr:uid="{00000000-0005-0000-0000-00006E690000}"/>
    <cellStyle name="Normal 2 29 16 2 3" xfId="27165" xr:uid="{00000000-0005-0000-0000-00006F690000}"/>
    <cellStyle name="Normal 2 29 16 2 4" xfId="27166" xr:uid="{00000000-0005-0000-0000-000070690000}"/>
    <cellStyle name="Normal 2 29 16 3" xfId="27167" xr:uid="{00000000-0005-0000-0000-000071690000}"/>
    <cellStyle name="Normal 2 29 16 3 2" xfId="27168" xr:uid="{00000000-0005-0000-0000-000072690000}"/>
    <cellStyle name="Normal 2 29 16 3 3" xfId="27169" xr:uid="{00000000-0005-0000-0000-000073690000}"/>
    <cellStyle name="Normal 2 29 16 4" xfId="27170" xr:uid="{00000000-0005-0000-0000-000074690000}"/>
    <cellStyle name="Normal 2 29 17" xfId="27171" xr:uid="{00000000-0005-0000-0000-000075690000}"/>
    <cellStyle name="Normal 2 29 17 2" xfId="27172" xr:uid="{00000000-0005-0000-0000-000076690000}"/>
    <cellStyle name="Normal 2 29 17 2 2" xfId="27173" xr:uid="{00000000-0005-0000-0000-000077690000}"/>
    <cellStyle name="Normal 2 29 17 2 2 2" xfId="27174" xr:uid="{00000000-0005-0000-0000-000078690000}"/>
    <cellStyle name="Normal 2 29 17 2 2 3" xfId="27175" xr:uid="{00000000-0005-0000-0000-000079690000}"/>
    <cellStyle name="Normal 2 29 17 2 3" xfId="27176" xr:uid="{00000000-0005-0000-0000-00007A690000}"/>
    <cellStyle name="Normal 2 29 17 2 4" xfId="27177" xr:uid="{00000000-0005-0000-0000-00007B690000}"/>
    <cellStyle name="Normal 2 29 17 3" xfId="27178" xr:uid="{00000000-0005-0000-0000-00007C690000}"/>
    <cellStyle name="Normal 2 29 17 3 2" xfId="27179" xr:uid="{00000000-0005-0000-0000-00007D690000}"/>
    <cellStyle name="Normal 2 29 17 3 3" xfId="27180" xr:uid="{00000000-0005-0000-0000-00007E690000}"/>
    <cellStyle name="Normal 2 29 17 4" xfId="27181" xr:uid="{00000000-0005-0000-0000-00007F690000}"/>
    <cellStyle name="Normal 2 29 18" xfId="27182" xr:uid="{00000000-0005-0000-0000-000080690000}"/>
    <cellStyle name="Normal 2 29 18 2" xfId="27183" xr:uid="{00000000-0005-0000-0000-000081690000}"/>
    <cellStyle name="Normal 2 29 18 2 2" xfId="27184" xr:uid="{00000000-0005-0000-0000-000082690000}"/>
    <cellStyle name="Normal 2 29 18 2 2 2" xfId="27185" xr:uid="{00000000-0005-0000-0000-000083690000}"/>
    <cellStyle name="Normal 2 29 18 2 2 3" xfId="27186" xr:uid="{00000000-0005-0000-0000-000084690000}"/>
    <cellStyle name="Normal 2 29 18 2 3" xfId="27187" xr:uid="{00000000-0005-0000-0000-000085690000}"/>
    <cellStyle name="Normal 2 29 18 2 4" xfId="27188" xr:uid="{00000000-0005-0000-0000-000086690000}"/>
    <cellStyle name="Normal 2 29 18 3" xfId="27189" xr:uid="{00000000-0005-0000-0000-000087690000}"/>
    <cellStyle name="Normal 2 29 18 3 2" xfId="27190" xr:uid="{00000000-0005-0000-0000-000088690000}"/>
    <cellStyle name="Normal 2 29 18 3 3" xfId="27191" xr:uid="{00000000-0005-0000-0000-000089690000}"/>
    <cellStyle name="Normal 2 29 18 4" xfId="27192" xr:uid="{00000000-0005-0000-0000-00008A690000}"/>
    <cellStyle name="Normal 2 29 19" xfId="27193" xr:uid="{00000000-0005-0000-0000-00008B690000}"/>
    <cellStyle name="Normal 2 29 19 2" xfId="27194" xr:uid="{00000000-0005-0000-0000-00008C690000}"/>
    <cellStyle name="Normal 2 29 19 2 2" xfId="27195" xr:uid="{00000000-0005-0000-0000-00008D690000}"/>
    <cellStyle name="Normal 2 29 19 2 2 2" xfId="27196" xr:uid="{00000000-0005-0000-0000-00008E690000}"/>
    <cellStyle name="Normal 2 29 19 2 2 3" xfId="27197" xr:uid="{00000000-0005-0000-0000-00008F690000}"/>
    <cellStyle name="Normal 2 29 19 2 3" xfId="27198" xr:uid="{00000000-0005-0000-0000-000090690000}"/>
    <cellStyle name="Normal 2 29 19 2 4" xfId="27199" xr:uid="{00000000-0005-0000-0000-000091690000}"/>
    <cellStyle name="Normal 2 29 19 3" xfId="27200" xr:uid="{00000000-0005-0000-0000-000092690000}"/>
    <cellStyle name="Normal 2 29 19 3 2" xfId="27201" xr:uid="{00000000-0005-0000-0000-000093690000}"/>
    <cellStyle name="Normal 2 29 19 3 3" xfId="27202" xr:uid="{00000000-0005-0000-0000-000094690000}"/>
    <cellStyle name="Normal 2 29 19 4" xfId="27203" xr:uid="{00000000-0005-0000-0000-000095690000}"/>
    <cellStyle name="Normal 2 29 2" xfId="27204" xr:uid="{00000000-0005-0000-0000-000096690000}"/>
    <cellStyle name="Normal 2 29 2 2" xfId="27205" xr:uid="{00000000-0005-0000-0000-000097690000}"/>
    <cellStyle name="Normal 2 29 2 2 2" xfId="27206" xr:uid="{00000000-0005-0000-0000-000098690000}"/>
    <cellStyle name="Normal 2 29 2 2 2 2" xfId="27207" xr:uid="{00000000-0005-0000-0000-000099690000}"/>
    <cellStyle name="Normal 2 29 2 2 2 3" xfId="27208" xr:uid="{00000000-0005-0000-0000-00009A690000}"/>
    <cellStyle name="Normal 2 29 2 2 3" xfId="27209" xr:uid="{00000000-0005-0000-0000-00009B690000}"/>
    <cellStyle name="Normal 2 29 2 2 4" xfId="27210" xr:uid="{00000000-0005-0000-0000-00009C690000}"/>
    <cellStyle name="Normal 2 29 2 3" xfId="27211" xr:uid="{00000000-0005-0000-0000-00009D690000}"/>
    <cellStyle name="Normal 2 29 2 3 2" xfId="27212" xr:uid="{00000000-0005-0000-0000-00009E690000}"/>
    <cellStyle name="Normal 2 29 2 3 3" xfId="27213" xr:uid="{00000000-0005-0000-0000-00009F690000}"/>
    <cellStyle name="Normal 2 29 2 4" xfId="27214" xr:uid="{00000000-0005-0000-0000-0000A0690000}"/>
    <cellStyle name="Normal 2 29 20" xfId="27215" xr:uid="{00000000-0005-0000-0000-0000A1690000}"/>
    <cellStyle name="Normal 2 29 20 2" xfId="27216" xr:uid="{00000000-0005-0000-0000-0000A2690000}"/>
    <cellStyle name="Normal 2 29 20 2 2" xfId="27217" xr:uid="{00000000-0005-0000-0000-0000A3690000}"/>
    <cellStyle name="Normal 2 29 20 2 2 2" xfId="27218" xr:uid="{00000000-0005-0000-0000-0000A4690000}"/>
    <cellStyle name="Normal 2 29 20 2 2 3" xfId="27219" xr:uid="{00000000-0005-0000-0000-0000A5690000}"/>
    <cellStyle name="Normal 2 29 20 2 3" xfId="27220" xr:uid="{00000000-0005-0000-0000-0000A6690000}"/>
    <cellStyle name="Normal 2 29 20 2 4" xfId="27221" xr:uid="{00000000-0005-0000-0000-0000A7690000}"/>
    <cellStyle name="Normal 2 29 20 3" xfId="27222" xr:uid="{00000000-0005-0000-0000-0000A8690000}"/>
    <cellStyle name="Normal 2 29 20 3 2" xfId="27223" xr:uid="{00000000-0005-0000-0000-0000A9690000}"/>
    <cellStyle name="Normal 2 29 20 3 3" xfId="27224" xr:uid="{00000000-0005-0000-0000-0000AA690000}"/>
    <cellStyle name="Normal 2 29 20 4" xfId="27225" xr:uid="{00000000-0005-0000-0000-0000AB690000}"/>
    <cellStyle name="Normal 2 29 21" xfId="27226" xr:uid="{00000000-0005-0000-0000-0000AC690000}"/>
    <cellStyle name="Normal 2 29 21 2" xfId="27227" xr:uid="{00000000-0005-0000-0000-0000AD690000}"/>
    <cellStyle name="Normal 2 29 21 2 2" xfId="27228" xr:uid="{00000000-0005-0000-0000-0000AE690000}"/>
    <cellStyle name="Normal 2 29 21 2 2 2" xfId="27229" xr:uid="{00000000-0005-0000-0000-0000AF690000}"/>
    <cellStyle name="Normal 2 29 21 2 2 3" xfId="27230" xr:uid="{00000000-0005-0000-0000-0000B0690000}"/>
    <cellStyle name="Normal 2 29 21 2 3" xfId="27231" xr:uid="{00000000-0005-0000-0000-0000B1690000}"/>
    <cellStyle name="Normal 2 29 21 2 4" xfId="27232" xr:uid="{00000000-0005-0000-0000-0000B2690000}"/>
    <cellStyle name="Normal 2 29 21 3" xfId="27233" xr:uid="{00000000-0005-0000-0000-0000B3690000}"/>
    <cellStyle name="Normal 2 29 21 3 2" xfId="27234" xr:uid="{00000000-0005-0000-0000-0000B4690000}"/>
    <cellStyle name="Normal 2 29 21 3 3" xfId="27235" xr:uid="{00000000-0005-0000-0000-0000B5690000}"/>
    <cellStyle name="Normal 2 29 21 4" xfId="27236" xr:uid="{00000000-0005-0000-0000-0000B6690000}"/>
    <cellStyle name="Normal 2 29 22" xfId="27237" xr:uid="{00000000-0005-0000-0000-0000B7690000}"/>
    <cellStyle name="Normal 2 29 22 2" xfId="27238" xr:uid="{00000000-0005-0000-0000-0000B8690000}"/>
    <cellStyle name="Normal 2 29 22 2 2" xfId="27239" xr:uid="{00000000-0005-0000-0000-0000B9690000}"/>
    <cellStyle name="Normal 2 29 22 2 2 2" xfId="27240" xr:uid="{00000000-0005-0000-0000-0000BA690000}"/>
    <cellStyle name="Normal 2 29 22 2 2 3" xfId="27241" xr:uid="{00000000-0005-0000-0000-0000BB690000}"/>
    <cellStyle name="Normal 2 29 22 2 3" xfId="27242" xr:uid="{00000000-0005-0000-0000-0000BC690000}"/>
    <cellStyle name="Normal 2 29 22 2 4" xfId="27243" xr:uid="{00000000-0005-0000-0000-0000BD690000}"/>
    <cellStyle name="Normal 2 29 22 3" xfId="27244" xr:uid="{00000000-0005-0000-0000-0000BE690000}"/>
    <cellStyle name="Normal 2 29 22 3 2" xfId="27245" xr:uid="{00000000-0005-0000-0000-0000BF690000}"/>
    <cellStyle name="Normal 2 29 22 3 3" xfId="27246" xr:uid="{00000000-0005-0000-0000-0000C0690000}"/>
    <cellStyle name="Normal 2 29 22 4" xfId="27247" xr:uid="{00000000-0005-0000-0000-0000C1690000}"/>
    <cellStyle name="Normal 2 29 23" xfId="27248" xr:uid="{00000000-0005-0000-0000-0000C2690000}"/>
    <cellStyle name="Normal 2 29 23 2" xfId="27249" xr:uid="{00000000-0005-0000-0000-0000C3690000}"/>
    <cellStyle name="Normal 2 29 23 2 2" xfId="27250" xr:uid="{00000000-0005-0000-0000-0000C4690000}"/>
    <cellStyle name="Normal 2 29 23 2 2 2" xfId="27251" xr:uid="{00000000-0005-0000-0000-0000C5690000}"/>
    <cellStyle name="Normal 2 29 23 2 2 3" xfId="27252" xr:uid="{00000000-0005-0000-0000-0000C6690000}"/>
    <cellStyle name="Normal 2 29 23 2 3" xfId="27253" xr:uid="{00000000-0005-0000-0000-0000C7690000}"/>
    <cellStyle name="Normal 2 29 23 2 4" xfId="27254" xr:uid="{00000000-0005-0000-0000-0000C8690000}"/>
    <cellStyle name="Normal 2 29 23 3" xfId="27255" xr:uid="{00000000-0005-0000-0000-0000C9690000}"/>
    <cellStyle name="Normal 2 29 23 3 2" xfId="27256" xr:uid="{00000000-0005-0000-0000-0000CA690000}"/>
    <cellStyle name="Normal 2 29 23 3 3" xfId="27257" xr:uid="{00000000-0005-0000-0000-0000CB690000}"/>
    <cellStyle name="Normal 2 29 23 4" xfId="27258" xr:uid="{00000000-0005-0000-0000-0000CC690000}"/>
    <cellStyle name="Normal 2 29 24" xfId="27259" xr:uid="{00000000-0005-0000-0000-0000CD690000}"/>
    <cellStyle name="Normal 2 29 24 2" xfId="27260" xr:uid="{00000000-0005-0000-0000-0000CE690000}"/>
    <cellStyle name="Normal 2 29 24 2 2" xfId="27261" xr:uid="{00000000-0005-0000-0000-0000CF690000}"/>
    <cellStyle name="Normal 2 29 24 2 3" xfId="27262" xr:uid="{00000000-0005-0000-0000-0000D0690000}"/>
    <cellStyle name="Normal 2 29 24 3" xfId="27263" xr:uid="{00000000-0005-0000-0000-0000D1690000}"/>
    <cellStyle name="Normal 2 29 24 4" xfId="27264" xr:uid="{00000000-0005-0000-0000-0000D2690000}"/>
    <cellStyle name="Normal 2 29 25" xfId="27265" xr:uid="{00000000-0005-0000-0000-0000D3690000}"/>
    <cellStyle name="Normal 2 29 25 2" xfId="27266" xr:uid="{00000000-0005-0000-0000-0000D4690000}"/>
    <cellStyle name="Normal 2 29 25 3" xfId="27267" xr:uid="{00000000-0005-0000-0000-0000D5690000}"/>
    <cellStyle name="Normal 2 29 26" xfId="27268" xr:uid="{00000000-0005-0000-0000-0000D6690000}"/>
    <cellStyle name="Normal 2 29 3" xfId="27269" xr:uid="{00000000-0005-0000-0000-0000D7690000}"/>
    <cellStyle name="Normal 2 29 3 2" xfId="27270" xr:uid="{00000000-0005-0000-0000-0000D8690000}"/>
    <cellStyle name="Normal 2 29 3 2 2" xfId="27271" xr:uid="{00000000-0005-0000-0000-0000D9690000}"/>
    <cellStyle name="Normal 2 29 3 2 2 2" xfId="27272" xr:uid="{00000000-0005-0000-0000-0000DA690000}"/>
    <cellStyle name="Normal 2 29 3 2 2 3" xfId="27273" xr:uid="{00000000-0005-0000-0000-0000DB690000}"/>
    <cellStyle name="Normal 2 29 3 2 3" xfId="27274" xr:uid="{00000000-0005-0000-0000-0000DC690000}"/>
    <cellStyle name="Normal 2 29 3 2 4" xfId="27275" xr:uid="{00000000-0005-0000-0000-0000DD690000}"/>
    <cellStyle name="Normal 2 29 3 3" xfId="27276" xr:uid="{00000000-0005-0000-0000-0000DE690000}"/>
    <cellStyle name="Normal 2 29 3 3 2" xfId="27277" xr:uid="{00000000-0005-0000-0000-0000DF690000}"/>
    <cellStyle name="Normal 2 29 3 3 3" xfId="27278" xr:uid="{00000000-0005-0000-0000-0000E0690000}"/>
    <cellStyle name="Normal 2 29 3 4" xfId="27279" xr:uid="{00000000-0005-0000-0000-0000E1690000}"/>
    <cellStyle name="Normal 2 29 4" xfId="27280" xr:uid="{00000000-0005-0000-0000-0000E2690000}"/>
    <cellStyle name="Normal 2 29 4 2" xfId="27281" xr:uid="{00000000-0005-0000-0000-0000E3690000}"/>
    <cellStyle name="Normal 2 29 4 2 2" xfId="27282" xr:uid="{00000000-0005-0000-0000-0000E4690000}"/>
    <cellStyle name="Normal 2 29 4 2 2 2" xfId="27283" xr:uid="{00000000-0005-0000-0000-0000E5690000}"/>
    <cellStyle name="Normal 2 29 4 2 2 3" xfId="27284" xr:uid="{00000000-0005-0000-0000-0000E6690000}"/>
    <cellStyle name="Normal 2 29 4 2 3" xfId="27285" xr:uid="{00000000-0005-0000-0000-0000E7690000}"/>
    <cellStyle name="Normal 2 29 4 2 4" xfId="27286" xr:uid="{00000000-0005-0000-0000-0000E8690000}"/>
    <cellStyle name="Normal 2 29 4 3" xfId="27287" xr:uid="{00000000-0005-0000-0000-0000E9690000}"/>
    <cellStyle name="Normal 2 29 4 3 2" xfId="27288" xr:uid="{00000000-0005-0000-0000-0000EA690000}"/>
    <cellStyle name="Normal 2 29 4 3 3" xfId="27289" xr:uid="{00000000-0005-0000-0000-0000EB690000}"/>
    <cellStyle name="Normal 2 29 4 4" xfId="27290" xr:uid="{00000000-0005-0000-0000-0000EC690000}"/>
    <cellStyle name="Normal 2 29 5" xfId="27291" xr:uid="{00000000-0005-0000-0000-0000ED690000}"/>
    <cellStyle name="Normal 2 29 5 2" xfId="27292" xr:uid="{00000000-0005-0000-0000-0000EE690000}"/>
    <cellStyle name="Normal 2 29 5 2 2" xfId="27293" xr:uid="{00000000-0005-0000-0000-0000EF690000}"/>
    <cellStyle name="Normal 2 29 5 2 2 2" xfId="27294" xr:uid="{00000000-0005-0000-0000-0000F0690000}"/>
    <cellStyle name="Normal 2 29 5 2 2 3" xfId="27295" xr:uid="{00000000-0005-0000-0000-0000F1690000}"/>
    <cellStyle name="Normal 2 29 5 2 3" xfId="27296" xr:uid="{00000000-0005-0000-0000-0000F2690000}"/>
    <cellStyle name="Normal 2 29 5 2 4" xfId="27297" xr:uid="{00000000-0005-0000-0000-0000F3690000}"/>
    <cellStyle name="Normal 2 29 5 3" xfId="27298" xr:uid="{00000000-0005-0000-0000-0000F4690000}"/>
    <cellStyle name="Normal 2 29 5 3 2" xfId="27299" xr:uid="{00000000-0005-0000-0000-0000F5690000}"/>
    <cellStyle name="Normal 2 29 5 3 3" xfId="27300" xr:uid="{00000000-0005-0000-0000-0000F6690000}"/>
    <cellStyle name="Normal 2 29 5 4" xfId="27301" xr:uid="{00000000-0005-0000-0000-0000F7690000}"/>
    <cellStyle name="Normal 2 29 6" xfId="27302" xr:uid="{00000000-0005-0000-0000-0000F8690000}"/>
    <cellStyle name="Normal 2 29 6 2" xfId="27303" xr:uid="{00000000-0005-0000-0000-0000F9690000}"/>
    <cellStyle name="Normal 2 29 6 2 2" xfId="27304" xr:uid="{00000000-0005-0000-0000-0000FA690000}"/>
    <cellStyle name="Normal 2 29 6 2 2 2" xfId="27305" xr:uid="{00000000-0005-0000-0000-0000FB690000}"/>
    <cellStyle name="Normal 2 29 6 2 2 3" xfId="27306" xr:uid="{00000000-0005-0000-0000-0000FC690000}"/>
    <cellStyle name="Normal 2 29 6 2 3" xfId="27307" xr:uid="{00000000-0005-0000-0000-0000FD690000}"/>
    <cellStyle name="Normal 2 29 6 2 4" xfId="27308" xr:uid="{00000000-0005-0000-0000-0000FE690000}"/>
    <cellStyle name="Normal 2 29 6 3" xfId="27309" xr:uid="{00000000-0005-0000-0000-0000FF690000}"/>
    <cellStyle name="Normal 2 29 6 3 2" xfId="27310" xr:uid="{00000000-0005-0000-0000-0000006A0000}"/>
    <cellStyle name="Normal 2 29 6 3 3" xfId="27311" xr:uid="{00000000-0005-0000-0000-0000016A0000}"/>
    <cellStyle name="Normal 2 29 6 4" xfId="27312" xr:uid="{00000000-0005-0000-0000-0000026A0000}"/>
    <cellStyle name="Normal 2 29 7" xfId="27313" xr:uid="{00000000-0005-0000-0000-0000036A0000}"/>
    <cellStyle name="Normal 2 29 7 2" xfId="27314" xr:uid="{00000000-0005-0000-0000-0000046A0000}"/>
    <cellStyle name="Normal 2 29 7 2 2" xfId="27315" xr:uid="{00000000-0005-0000-0000-0000056A0000}"/>
    <cellStyle name="Normal 2 29 7 2 2 2" xfId="27316" xr:uid="{00000000-0005-0000-0000-0000066A0000}"/>
    <cellStyle name="Normal 2 29 7 2 2 3" xfId="27317" xr:uid="{00000000-0005-0000-0000-0000076A0000}"/>
    <cellStyle name="Normal 2 29 7 2 3" xfId="27318" xr:uid="{00000000-0005-0000-0000-0000086A0000}"/>
    <cellStyle name="Normal 2 29 7 2 4" xfId="27319" xr:uid="{00000000-0005-0000-0000-0000096A0000}"/>
    <cellStyle name="Normal 2 29 7 3" xfId="27320" xr:uid="{00000000-0005-0000-0000-00000A6A0000}"/>
    <cellStyle name="Normal 2 29 7 3 2" xfId="27321" xr:uid="{00000000-0005-0000-0000-00000B6A0000}"/>
    <cellStyle name="Normal 2 29 7 3 3" xfId="27322" xr:uid="{00000000-0005-0000-0000-00000C6A0000}"/>
    <cellStyle name="Normal 2 29 7 4" xfId="27323" xr:uid="{00000000-0005-0000-0000-00000D6A0000}"/>
    <cellStyle name="Normal 2 29 8" xfId="27324" xr:uid="{00000000-0005-0000-0000-00000E6A0000}"/>
    <cellStyle name="Normal 2 29 8 2" xfId="27325" xr:uid="{00000000-0005-0000-0000-00000F6A0000}"/>
    <cellStyle name="Normal 2 29 8 2 2" xfId="27326" xr:uid="{00000000-0005-0000-0000-0000106A0000}"/>
    <cellStyle name="Normal 2 29 8 2 2 2" xfId="27327" xr:uid="{00000000-0005-0000-0000-0000116A0000}"/>
    <cellStyle name="Normal 2 29 8 2 2 3" xfId="27328" xr:uid="{00000000-0005-0000-0000-0000126A0000}"/>
    <cellStyle name="Normal 2 29 8 2 3" xfId="27329" xr:uid="{00000000-0005-0000-0000-0000136A0000}"/>
    <cellStyle name="Normal 2 29 8 2 4" xfId="27330" xr:uid="{00000000-0005-0000-0000-0000146A0000}"/>
    <cellStyle name="Normal 2 29 8 3" xfId="27331" xr:uid="{00000000-0005-0000-0000-0000156A0000}"/>
    <cellStyle name="Normal 2 29 8 3 2" xfId="27332" xr:uid="{00000000-0005-0000-0000-0000166A0000}"/>
    <cellStyle name="Normal 2 29 8 3 3" xfId="27333" xr:uid="{00000000-0005-0000-0000-0000176A0000}"/>
    <cellStyle name="Normal 2 29 8 4" xfId="27334" xr:uid="{00000000-0005-0000-0000-0000186A0000}"/>
    <cellStyle name="Normal 2 29 9" xfId="27335" xr:uid="{00000000-0005-0000-0000-0000196A0000}"/>
    <cellStyle name="Normal 2 29 9 2" xfId="27336" xr:uid="{00000000-0005-0000-0000-00001A6A0000}"/>
    <cellStyle name="Normal 2 29 9 2 2" xfId="27337" xr:uid="{00000000-0005-0000-0000-00001B6A0000}"/>
    <cellStyle name="Normal 2 29 9 2 2 2" xfId="27338" xr:uid="{00000000-0005-0000-0000-00001C6A0000}"/>
    <cellStyle name="Normal 2 29 9 2 2 3" xfId="27339" xr:uid="{00000000-0005-0000-0000-00001D6A0000}"/>
    <cellStyle name="Normal 2 29 9 2 3" xfId="27340" xr:uid="{00000000-0005-0000-0000-00001E6A0000}"/>
    <cellStyle name="Normal 2 29 9 2 4" xfId="27341" xr:uid="{00000000-0005-0000-0000-00001F6A0000}"/>
    <cellStyle name="Normal 2 29 9 3" xfId="27342" xr:uid="{00000000-0005-0000-0000-0000206A0000}"/>
    <cellStyle name="Normal 2 29 9 3 2" xfId="27343" xr:uid="{00000000-0005-0000-0000-0000216A0000}"/>
    <cellStyle name="Normal 2 29 9 3 3" xfId="27344" xr:uid="{00000000-0005-0000-0000-0000226A0000}"/>
    <cellStyle name="Normal 2 29 9 4" xfId="27345" xr:uid="{00000000-0005-0000-0000-0000236A0000}"/>
    <cellStyle name="Normal 2 3" xfId="272" xr:uid="{00000000-0005-0000-0000-0000246A0000}"/>
    <cellStyle name="Normal 2 3 2" xfId="273" xr:uid="{00000000-0005-0000-0000-0000256A0000}"/>
    <cellStyle name="Normal 2 3 2 2" xfId="27346" xr:uid="{00000000-0005-0000-0000-0000266A0000}"/>
    <cellStyle name="Normal 2 3 2 2 2" xfId="27347" xr:uid="{00000000-0005-0000-0000-0000276A0000}"/>
    <cellStyle name="Normal 2 3 2 2 3" xfId="27348" xr:uid="{00000000-0005-0000-0000-0000286A0000}"/>
    <cellStyle name="Normal 2 3 2 2 4" xfId="27349" xr:uid="{00000000-0005-0000-0000-0000296A0000}"/>
    <cellStyle name="Normal 2 3 2 3" xfId="27350" xr:uid="{00000000-0005-0000-0000-00002A6A0000}"/>
    <cellStyle name="Normal 2 3 2 4" xfId="27351" xr:uid="{00000000-0005-0000-0000-00002B6A0000}"/>
    <cellStyle name="Normal 2 3 2 5" xfId="27352" xr:uid="{00000000-0005-0000-0000-00002C6A0000}"/>
    <cellStyle name="Normal 2 3 3" xfId="27353" xr:uid="{00000000-0005-0000-0000-00002D6A0000}"/>
    <cellStyle name="Normal 2 3 3 2" xfId="27354" xr:uid="{00000000-0005-0000-0000-00002E6A0000}"/>
    <cellStyle name="Normal 2 3 3 2 2" xfId="27355" xr:uid="{00000000-0005-0000-0000-00002F6A0000}"/>
    <cellStyle name="Normal 2 3 3 2 3" xfId="27356" xr:uid="{00000000-0005-0000-0000-0000306A0000}"/>
    <cellStyle name="Normal 2 3 3 3" xfId="27357" xr:uid="{00000000-0005-0000-0000-0000316A0000}"/>
    <cellStyle name="Normal 2 3 3 4" xfId="27358" xr:uid="{00000000-0005-0000-0000-0000326A0000}"/>
    <cellStyle name="Normal 2 3 3 5" xfId="27359" xr:uid="{00000000-0005-0000-0000-0000336A0000}"/>
    <cellStyle name="Normal 2 3 4" xfId="27360" xr:uid="{00000000-0005-0000-0000-0000346A0000}"/>
    <cellStyle name="Normal 2 3 4 2" xfId="27361" xr:uid="{00000000-0005-0000-0000-0000356A0000}"/>
    <cellStyle name="Normal 2 3 4 2 2" xfId="27362" xr:uid="{00000000-0005-0000-0000-0000366A0000}"/>
    <cellStyle name="Normal 2 3 4 2 3" xfId="27363" xr:uid="{00000000-0005-0000-0000-0000376A0000}"/>
    <cellStyle name="Normal 2 3 4 3" xfId="27364" xr:uid="{00000000-0005-0000-0000-0000386A0000}"/>
    <cellStyle name="Normal 2 3 4 4" xfId="27365" xr:uid="{00000000-0005-0000-0000-0000396A0000}"/>
    <cellStyle name="Normal 2 3 5" xfId="27366" xr:uid="{00000000-0005-0000-0000-00003A6A0000}"/>
    <cellStyle name="Normal 2 3 5 2" xfId="27367" xr:uid="{00000000-0005-0000-0000-00003B6A0000}"/>
    <cellStyle name="Normal 2 3 6" xfId="27368" xr:uid="{00000000-0005-0000-0000-00003C6A0000}"/>
    <cellStyle name="Normal 2 3 7" xfId="27369" xr:uid="{00000000-0005-0000-0000-00003D6A0000}"/>
    <cellStyle name="Normal 2 3 8" xfId="27370" xr:uid="{00000000-0005-0000-0000-00003E6A0000}"/>
    <cellStyle name="Normal 2 3_2015 Annual Rpt" xfId="27371" xr:uid="{00000000-0005-0000-0000-00003F6A0000}"/>
    <cellStyle name="Normal 2 30" xfId="27372" xr:uid="{00000000-0005-0000-0000-0000406A0000}"/>
    <cellStyle name="Normal 2 30 10" xfId="27373" xr:uid="{00000000-0005-0000-0000-0000416A0000}"/>
    <cellStyle name="Normal 2 30 10 2" xfId="27374" xr:uid="{00000000-0005-0000-0000-0000426A0000}"/>
    <cellStyle name="Normal 2 30 10 2 2" xfId="27375" xr:uid="{00000000-0005-0000-0000-0000436A0000}"/>
    <cellStyle name="Normal 2 30 10 2 2 2" xfId="27376" xr:uid="{00000000-0005-0000-0000-0000446A0000}"/>
    <cellStyle name="Normal 2 30 10 2 2 3" xfId="27377" xr:uid="{00000000-0005-0000-0000-0000456A0000}"/>
    <cellStyle name="Normal 2 30 10 2 3" xfId="27378" xr:uid="{00000000-0005-0000-0000-0000466A0000}"/>
    <cellStyle name="Normal 2 30 10 2 4" xfId="27379" xr:uid="{00000000-0005-0000-0000-0000476A0000}"/>
    <cellStyle name="Normal 2 30 10 3" xfId="27380" xr:uid="{00000000-0005-0000-0000-0000486A0000}"/>
    <cellStyle name="Normal 2 30 10 3 2" xfId="27381" xr:uid="{00000000-0005-0000-0000-0000496A0000}"/>
    <cellStyle name="Normal 2 30 10 3 3" xfId="27382" xr:uid="{00000000-0005-0000-0000-00004A6A0000}"/>
    <cellStyle name="Normal 2 30 10 4" xfId="27383" xr:uid="{00000000-0005-0000-0000-00004B6A0000}"/>
    <cellStyle name="Normal 2 30 11" xfId="27384" xr:uid="{00000000-0005-0000-0000-00004C6A0000}"/>
    <cellStyle name="Normal 2 30 11 2" xfId="27385" xr:uid="{00000000-0005-0000-0000-00004D6A0000}"/>
    <cellStyle name="Normal 2 30 11 2 2" xfId="27386" xr:uid="{00000000-0005-0000-0000-00004E6A0000}"/>
    <cellStyle name="Normal 2 30 11 2 2 2" xfId="27387" xr:uid="{00000000-0005-0000-0000-00004F6A0000}"/>
    <cellStyle name="Normal 2 30 11 2 2 3" xfId="27388" xr:uid="{00000000-0005-0000-0000-0000506A0000}"/>
    <cellStyle name="Normal 2 30 11 2 3" xfId="27389" xr:uid="{00000000-0005-0000-0000-0000516A0000}"/>
    <cellStyle name="Normal 2 30 11 2 4" xfId="27390" xr:uid="{00000000-0005-0000-0000-0000526A0000}"/>
    <cellStyle name="Normal 2 30 11 3" xfId="27391" xr:uid="{00000000-0005-0000-0000-0000536A0000}"/>
    <cellStyle name="Normal 2 30 11 3 2" xfId="27392" xr:uid="{00000000-0005-0000-0000-0000546A0000}"/>
    <cellStyle name="Normal 2 30 11 3 3" xfId="27393" xr:uid="{00000000-0005-0000-0000-0000556A0000}"/>
    <cellStyle name="Normal 2 30 11 4" xfId="27394" xr:uid="{00000000-0005-0000-0000-0000566A0000}"/>
    <cellStyle name="Normal 2 30 12" xfId="27395" xr:uid="{00000000-0005-0000-0000-0000576A0000}"/>
    <cellStyle name="Normal 2 30 12 2" xfId="27396" xr:uid="{00000000-0005-0000-0000-0000586A0000}"/>
    <cellStyle name="Normal 2 30 12 2 2" xfId="27397" xr:uid="{00000000-0005-0000-0000-0000596A0000}"/>
    <cellStyle name="Normal 2 30 12 2 2 2" xfId="27398" xr:uid="{00000000-0005-0000-0000-00005A6A0000}"/>
    <cellStyle name="Normal 2 30 12 2 2 3" xfId="27399" xr:uid="{00000000-0005-0000-0000-00005B6A0000}"/>
    <cellStyle name="Normal 2 30 12 2 3" xfId="27400" xr:uid="{00000000-0005-0000-0000-00005C6A0000}"/>
    <cellStyle name="Normal 2 30 12 2 4" xfId="27401" xr:uid="{00000000-0005-0000-0000-00005D6A0000}"/>
    <cellStyle name="Normal 2 30 12 3" xfId="27402" xr:uid="{00000000-0005-0000-0000-00005E6A0000}"/>
    <cellStyle name="Normal 2 30 12 3 2" xfId="27403" xr:uid="{00000000-0005-0000-0000-00005F6A0000}"/>
    <cellStyle name="Normal 2 30 12 3 3" xfId="27404" xr:uid="{00000000-0005-0000-0000-0000606A0000}"/>
    <cellStyle name="Normal 2 30 12 4" xfId="27405" xr:uid="{00000000-0005-0000-0000-0000616A0000}"/>
    <cellStyle name="Normal 2 30 13" xfId="27406" xr:uid="{00000000-0005-0000-0000-0000626A0000}"/>
    <cellStyle name="Normal 2 30 13 2" xfId="27407" xr:uid="{00000000-0005-0000-0000-0000636A0000}"/>
    <cellStyle name="Normal 2 30 13 2 2" xfId="27408" xr:uid="{00000000-0005-0000-0000-0000646A0000}"/>
    <cellStyle name="Normal 2 30 13 2 2 2" xfId="27409" xr:uid="{00000000-0005-0000-0000-0000656A0000}"/>
    <cellStyle name="Normal 2 30 13 2 2 3" xfId="27410" xr:uid="{00000000-0005-0000-0000-0000666A0000}"/>
    <cellStyle name="Normal 2 30 13 2 3" xfId="27411" xr:uid="{00000000-0005-0000-0000-0000676A0000}"/>
    <cellStyle name="Normal 2 30 13 2 4" xfId="27412" xr:uid="{00000000-0005-0000-0000-0000686A0000}"/>
    <cellStyle name="Normal 2 30 13 3" xfId="27413" xr:uid="{00000000-0005-0000-0000-0000696A0000}"/>
    <cellStyle name="Normal 2 30 13 3 2" xfId="27414" xr:uid="{00000000-0005-0000-0000-00006A6A0000}"/>
    <cellStyle name="Normal 2 30 13 3 3" xfId="27415" xr:uid="{00000000-0005-0000-0000-00006B6A0000}"/>
    <cellStyle name="Normal 2 30 13 4" xfId="27416" xr:uid="{00000000-0005-0000-0000-00006C6A0000}"/>
    <cellStyle name="Normal 2 30 14" xfId="27417" xr:uid="{00000000-0005-0000-0000-00006D6A0000}"/>
    <cellStyle name="Normal 2 30 14 2" xfId="27418" xr:uid="{00000000-0005-0000-0000-00006E6A0000}"/>
    <cellStyle name="Normal 2 30 14 2 2" xfId="27419" xr:uid="{00000000-0005-0000-0000-00006F6A0000}"/>
    <cellStyle name="Normal 2 30 14 2 2 2" xfId="27420" xr:uid="{00000000-0005-0000-0000-0000706A0000}"/>
    <cellStyle name="Normal 2 30 14 2 2 3" xfId="27421" xr:uid="{00000000-0005-0000-0000-0000716A0000}"/>
    <cellStyle name="Normal 2 30 14 2 3" xfId="27422" xr:uid="{00000000-0005-0000-0000-0000726A0000}"/>
    <cellStyle name="Normal 2 30 14 2 4" xfId="27423" xr:uid="{00000000-0005-0000-0000-0000736A0000}"/>
    <cellStyle name="Normal 2 30 14 3" xfId="27424" xr:uid="{00000000-0005-0000-0000-0000746A0000}"/>
    <cellStyle name="Normal 2 30 14 3 2" xfId="27425" xr:uid="{00000000-0005-0000-0000-0000756A0000}"/>
    <cellStyle name="Normal 2 30 14 3 3" xfId="27426" xr:uid="{00000000-0005-0000-0000-0000766A0000}"/>
    <cellStyle name="Normal 2 30 14 4" xfId="27427" xr:uid="{00000000-0005-0000-0000-0000776A0000}"/>
    <cellStyle name="Normal 2 30 15" xfId="27428" xr:uid="{00000000-0005-0000-0000-0000786A0000}"/>
    <cellStyle name="Normal 2 30 15 2" xfId="27429" xr:uid="{00000000-0005-0000-0000-0000796A0000}"/>
    <cellStyle name="Normal 2 30 15 2 2" xfId="27430" xr:uid="{00000000-0005-0000-0000-00007A6A0000}"/>
    <cellStyle name="Normal 2 30 15 2 2 2" xfId="27431" xr:uid="{00000000-0005-0000-0000-00007B6A0000}"/>
    <cellStyle name="Normal 2 30 15 2 2 3" xfId="27432" xr:uid="{00000000-0005-0000-0000-00007C6A0000}"/>
    <cellStyle name="Normal 2 30 15 2 3" xfId="27433" xr:uid="{00000000-0005-0000-0000-00007D6A0000}"/>
    <cellStyle name="Normal 2 30 15 2 4" xfId="27434" xr:uid="{00000000-0005-0000-0000-00007E6A0000}"/>
    <cellStyle name="Normal 2 30 15 3" xfId="27435" xr:uid="{00000000-0005-0000-0000-00007F6A0000}"/>
    <cellStyle name="Normal 2 30 15 3 2" xfId="27436" xr:uid="{00000000-0005-0000-0000-0000806A0000}"/>
    <cellStyle name="Normal 2 30 15 3 3" xfId="27437" xr:uid="{00000000-0005-0000-0000-0000816A0000}"/>
    <cellStyle name="Normal 2 30 15 4" xfId="27438" xr:uid="{00000000-0005-0000-0000-0000826A0000}"/>
    <cellStyle name="Normal 2 30 16" xfId="27439" xr:uid="{00000000-0005-0000-0000-0000836A0000}"/>
    <cellStyle name="Normal 2 30 16 2" xfId="27440" xr:uid="{00000000-0005-0000-0000-0000846A0000}"/>
    <cellStyle name="Normal 2 30 16 2 2" xfId="27441" xr:uid="{00000000-0005-0000-0000-0000856A0000}"/>
    <cellStyle name="Normal 2 30 16 2 2 2" xfId="27442" xr:uid="{00000000-0005-0000-0000-0000866A0000}"/>
    <cellStyle name="Normal 2 30 16 2 2 3" xfId="27443" xr:uid="{00000000-0005-0000-0000-0000876A0000}"/>
    <cellStyle name="Normal 2 30 16 2 3" xfId="27444" xr:uid="{00000000-0005-0000-0000-0000886A0000}"/>
    <cellStyle name="Normal 2 30 16 2 4" xfId="27445" xr:uid="{00000000-0005-0000-0000-0000896A0000}"/>
    <cellStyle name="Normal 2 30 16 3" xfId="27446" xr:uid="{00000000-0005-0000-0000-00008A6A0000}"/>
    <cellStyle name="Normal 2 30 16 3 2" xfId="27447" xr:uid="{00000000-0005-0000-0000-00008B6A0000}"/>
    <cellStyle name="Normal 2 30 16 3 3" xfId="27448" xr:uid="{00000000-0005-0000-0000-00008C6A0000}"/>
    <cellStyle name="Normal 2 30 16 4" xfId="27449" xr:uid="{00000000-0005-0000-0000-00008D6A0000}"/>
    <cellStyle name="Normal 2 30 17" xfId="27450" xr:uid="{00000000-0005-0000-0000-00008E6A0000}"/>
    <cellStyle name="Normal 2 30 17 2" xfId="27451" xr:uid="{00000000-0005-0000-0000-00008F6A0000}"/>
    <cellStyle name="Normal 2 30 17 2 2" xfId="27452" xr:uid="{00000000-0005-0000-0000-0000906A0000}"/>
    <cellStyle name="Normal 2 30 17 2 2 2" xfId="27453" xr:uid="{00000000-0005-0000-0000-0000916A0000}"/>
    <cellStyle name="Normal 2 30 17 2 2 3" xfId="27454" xr:uid="{00000000-0005-0000-0000-0000926A0000}"/>
    <cellStyle name="Normal 2 30 17 2 3" xfId="27455" xr:uid="{00000000-0005-0000-0000-0000936A0000}"/>
    <cellStyle name="Normal 2 30 17 2 4" xfId="27456" xr:uid="{00000000-0005-0000-0000-0000946A0000}"/>
    <cellStyle name="Normal 2 30 17 3" xfId="27457" xr:uid="{00000000-0005-0000-0000-0000956A0000}"/>
    <cellStyle name="Normal 2 30 17 3 2" xfId="27458" xr:uid="{00000000-0005-0000-0000-0000966A0000}"/>
    <cellStyle name="Normal 2 30 17 3 3" xfId="27459" xr:uid="{00000000-0005-0000-0000-0000976A0000}"/>
    <cellStyle name="Normal 2 30 17 4" xfId="27460" xr:uid="{00000000-0005-0000-0000-0000986A0000}"/>
    <cellStyle name="Normal 2 30 18" xfId="27461" xr:uid="{00000000-0005-0000-0000-0000996A0000}"/>
    <cellStyle name="Normal 2 30 18 2" xfId="27462" xr:uid="{00000000-0005-0000-0000-00009A6A0000}"/>
    <cellStyle name="Normal 2 30 18 2 2" xfId="27463" xr:uid="{00000000-0005-0000-0000-00009B6A0000}"/>
    <cellStyle name="Normal 2 30 18 2 2 2" xfId="27464" xr:uid="{00000000-0005-0000-0000-00009C6A0000}"/>
    <cellStyle name="Normal 2 30 18 2 2 3" xfId="27465" xr:uid="{00000000-0005-0000-0000-00009D6A0000}"/>
    <cellStyle name="Normal 2 30 18 2 3" xfId="27466" xr:uid="{00000000-0005-0000-0000-00009E6A0000}"/>
    <cellStyle name="Normal 2 30 18 2 4" xfId="27467" xr:uid="{00000000-0005-0000-0000-00009F6A0000}"/>
    <cellStyle name="Normal 2 30 18 3" xfId="27468" xr:uid="{00000000-0005-0000-0000-0000A06A0000}"/>
    <cellStyle name="Normal 2 30 18 3 2" xfId="27469" xr:uid="{00000000-0005-0000-0000-0000A16A0000}"/>
    <cellStyle name="Normal 2 30 18 3 3" xfId="27470" xr:uid="{00000000-0005-0000-0000-0000A26A0000}"/>
    <cellStyle name="Normal 2 30 18 4" xfId="27471" xr:uid="{00000000-0005-0000-0000-0000A36A0000}"/>
    <cellStyle name="Normal 2 30 19" xfId="27472" xr:uid="{00000000-0005-0000-0000-0000A46A0000}"/>
    <cellStyle name="Normal 2 30 19 2" xfId="27473" xr:uid="{00000000-0005-0000-0000-0000A56A0000}"/>
    <cellStyle name="Normal 2 30 19 2 2" xfId="27474" xr:uid="{00000000-0005-0000-0000-0000A66A0000}"/>
    <cellStyle name="Normal 2 30 19 2 2 2" xfId="27475" xr:uid="{00000000-0005-0000-0000-0000A76A0000}"/>
    <cellStyle name="Normal 2 30 19 2 2 3" xfId="27476" xr:uid="{00000000-0005-0000-0000-0000A86A0000}"/>
    <cellStyle name="Normal 2 30 19 2 3" xfId="27477" xr:uid="{00000000-0005-0000-0000-0000A96A0000}"/>
    <cellStyle name="Normal 2 30 19 2 4" xfId="27478" xr:uid="{00000000-0005-0000-0000-0000AA6A0000}"/>
    <cellStyle name="Normal 2 30 19 3" xfId="27479" xr:uid="{00000000-0005-0000-0000-0000AB6A0000}"/>
    <cellStyle name="Normal 2 30 19 3 2" xfId="27480" xr:uid="{00000000-0005-0000-0000-0000AC6A0000}"/>
    <cellStyle name="Normal 2 30 19 3 3" xfId="27481" xr:uid="{00000000-0005-0000-0000-0000AD6A0000}"/>
    <cellStyle name="Normal 2 30 19 4" xfId="27482" xr:uid="{00000000-0005-0000-0000-0000AE6A0000}"/>
    <cellStyle name="Normal 2 30 2" xfId="27483" xr:uid="{00000000-0005-0000-0000-0000AF6A0000}"/>
    <cellStyle name="Normal 2 30 2 2" xfId="27484" xr:uid="{00000000-0005-0000-0000-0000B06A0000}"/>
    <cellStyle name="Normal 2 30 2 2 2" xfId="27485" xr:uid="{00000000-0005-0000-0000-0000B16A0000}"/>
    <cellStyle name="Normal 2 30 2 2 2 2" xfId="27486" xr:uid="{00000000-0005-0000-0000-0000B26A0000}"/>
    <cellStyle name="Normal 2 30 2 2 2 3" xfId="27487" xr:uid="{00000000-0005-0000-0000-0000B36A0000}"/>
    <cellStyle name="Normal 2 30 2 2 3" xfId="27488" xr:uid="{00000000-0005-0000-0000-0000B46A0000}"/>
    <cellStyle name="Normal 2 30 2 2 4" xfId="27489" xr:uid="{00000000-0005-0000-0000-0000B56A0000}"/>
    <cellStyle name="Normal 2 30 2 3" xfId="27490" xr:uid="{00000000-0005-0000-0000-0000B66A0000}"/>
    <cellStyle name="Normal 2 30 2 3 2" xfId="27491" xr:uid="{00000000-0005-0000-0000-0000B76A0000}"/>
    <cellStyle name="Normal 2 30 2 3 3" xfId="27492" xr:uid="{00000000-0005-0000-0000-0000B86A0000}"/>
    <cellStyle name="Normal 2 30 2 4" xfId="27493" xr:uid="{00000000-0005-0000-0000-0000B96A0000}"/>
    <cellStyle name="Normal 2 30 20" xfId="27494" xr:uid="{00000000-0005-0000-0000-0000BA6A0000}"/>
    <cellStyle name="Normal 2 30 20 2" xfId="27495" xr:uid="{00000000-0005-0000-0000-0000BB6A0000}"/>
    <cellStyle name="Normal 2 30 20 2 2" xfId="27496" xr:uid="{00000000-0005-0000-0000-0000BC6A0000}"/>
    <cellStyle name="Normal 2 30 20 2 2 2" xfId="27497" xr:uid="{00000000-0005-0000-0000-0000BD6A0000}"/>
    <cellStyle name="Normal 2 30 20 2 2 3" xfId="27498" xr:uid="{00000000-0005-0000-0000-0000BE6A0000}"/>
    <cellStyle name="Normal 2 30 20 2 3" xfId="27499" xr:uid="{00000000-0005-0000-0000-0000BF6A0000}"/>
    <cellStyle name="Normal 2 30 20 2 4" xfId="27500" xr:uid="{00000000-0005-0000-0000-0000C06A0000}"/>
    <cellStyle name="Normal 2 30 20 3" xfId="27501" xr:uid="{00000000-0005-0000-0000-0000C16A0000}"/>
    <cellStyle name="Normal 2 30 20 3 2" xfId="27502" xr:uid="{00000000-0005-0000-0000-0000C26A0000}"/>
    <cellStyle name="Normal 2 30 20 3 3" xfId="27503" xr:uid="{00000000-0005-0000-0000-0000C36A0000}"/>
    <cellStyle name="Normal 2 30 20 4" xfId="27504" xr:uid="{00000000-0005-0000-0000-0000C46A0000}"/>
    <cellStyle name="Normal 2 30 21" xfId="27505" xr:uid="{00000000-0005-0000-0000-0000C56A0000}"/>
    <cellStyle name="Normal 2 30 21 2" xfId="27506" xr:uid="{00000000-0005-0000-0000-0000C66A0000}"/>
    <cellStyle name="Normal 2 30 21 2 2" xfId="27507" xr:uid="{00000000-0005-0000-0000-0000C76A0000}"/>
    <cellStyle name="Normal 2 30 21 2 2 2" xfId="27508" xr:uid="{00000000-0005-0000-0000-0000C86A0000}"/>
    <cellStyle name="Normal 2 30 21 2 2 3" xfId="27509" xr:uid="{00000000-0005-0000-0000-0000C96A0000}"/>
    <cellStyle name="Normal 2 30 21 2 3" xfId="27510" xr:uid="{00000000-0005-0000-0000-0000CA6A0000}"/>
    <cellStyle name="Normal 2 30 21 2 4" xfId="27511" xr:uid="{00000000-0005-0000-0000-0000CB6A0000}"/>
    <cellStyle name="Normal 2 30 21 3" xfId="27512" xr:uid="{00000000-0005-0000-0000-0000CC6A0000}"/>
    <cellStyle name="Normal 2 30 21 3 2" xfId="27513" xr:uid="{00000000-0005-0000-0000-0000CD6A0000}"/>
    <cellStyle name="Normal 2 30 21 3 3" xfId="27514" xr:uid="{00000000-0005-0000-0000-0000CE6A0000}"/>
    <cellStyle name="Normal 2 30 21 4" xfId="27515" xr:uid="{00000000-0005-0000-0000-0000CF6A0000}"/>
    <cellStyle name="Normal 2 30 22" xfId="27516" xr:uid="{00000000-0005-0000-0000-0000D06A0000}"/>
    <cellStyle name="Normal 2 30 22 2" xfId="27517" xr:uid="{00000000-0005-0000-0000-0000D16A0000}"/>
    <cellStyle name="Normal 2 30 22 2 2" xfId="27518" xr:uid="{00000000-0005-0000-0000-0000D26A0000}"/>
    <cellStyle name="Normal 2 30 22 2 2 2" xfId="27519" xr:uid="{00000000-0005-0000-0000-0000D36A0000}"/>
    <cellStyle name="Normal 2 30 22 2 2 3" xfId="27520" xr:uid="{00000000-0005-0000-0000-0000D46A0000}"/>
    <cellStyle name="Normal 2 30 22 2 3" xfId="27521" xr:uid="{00000000-0005-0000-0000-0000D56A0000}"/>
    <cellStyle name="Normal 2 30 22 2 4" xfId="27522" xr:uid="{00000000-0005-0000-0000-0000D66A0000}"/>
    <cellStyle name="Normal 2 30 22 3" xfId="27523" xr:uid="{00000000-0005-0000-0000-0000D76A0000}"/>
    <cellStyle name="Normal 2 30 22 3 2" xfId="27524" xr:uid="{00000000-0005-0000-0000-0000D86A0000}"/>
    <cellStyle name="Normal 2 30 22 3 3" xfId="27525" xr:uid="{00000000-0005-0000-0000-0000D96A0000}"/>
    <cellStyle name="Normal 2 30 22 4" xfId="27526" xr:uid="{00000000-0005-0000-0000-0000DA6A0000}"/>
    <cellStyle name="Normal 2 30 23" xfId="27527" xr:uid="{00000000-0005-0000-0000-0000DB6A0000}"/>
    <cellStyle name="Normal 2 30 23 2" xfId="27528" xr:uid="{00000000-0005-0000-0000-0000DC6A0000}"/>
    <cellStyle name="Normal 2 30 23 2 2" xfId="27529" xr:uid="{00000000-0005-0000-0000-0000DD6A0000}"/>
    <cellStyle name="Normal 2 30 23 2 2 2" xfId="27530" xr:uid="{00000000-0005-0000-0000-0000DE6A0000}"/>
    <cellStyle name="Normal 2 30 23 2 2 3" xfId="27531" xr:uid="{00000000-0005-0000-0000-0000DF6A0000}"/>
    <cellStyle name="Normal 2 30 23 2 3" xfId="27532" xr:uid="{00000000-0005-0000-0000-0000E06A0000}"/>
    <cellStyle name="Normal 2 30 23 2 4" xfId="27533" xr:uid="{00000000-0005-0000-0000-0000E16A0000}"/>
    <cellStyle name="Normal 2 30 23 3" xfId="27534" xr:uid="{00000000-0005-0000-0000-0000E26A0000}"/>
    <cellStyle name="Normal 2 30 23 3 2" xfId="27535" xr:uid="{00000000-0005-0000-0000-0000E36A0000}"/>
    <cellStyle name="Normal 2 30 23 3 3" xfId="27536" xr:uid="{00000000-0005-0000-0000-0000E46A0000}"/>
    <cellStyle name="Normal 2 30 23 4" xfId="27537" xr:uid="{00000000-0005-0000-0000-0000E56A0000}"/>
    <cellStyle name="Normal 2 30 24" xfId="27538" xr:uid="{00000000-0005-0000-0000-0000E66A0000}"/>
    <cellStyle name="Normal 2 30 24 2" xfId="27539" xr:uid="{00000000-0005-0000-0000-0000E76A0000}"/>
    <cellStyle name="Normal 2 30 24 2 2" xfId="27540" xr:uid="{00000000-0005-0000-0000-0000E86A0000}"/>
    <cellStyle name="Normal 2 30 24 2 3" xfId="27541" xr:uid="{00000000-0005-0000-0000-0000E96A0000}"/>
    <cellStyle name="Normal 2 30 24 3" xfId="27542" xr:uid="{00000000-0005-0000-0000-0000EA6A0000}"/>
    <cellStyle name="Normal 2 30 24 4" xfId="27543" xr:uid="{00000000-0005-0000-0000-0000EB6A0000}"/>
    <cellStyle name="Normal 2 30 25" xfId="27544" xr:uid="{00000000-0005-0000-0000-0000EC6A0000}"/>
    <cellStyle name="Normal 2 30 25 2" xfId="27545" xr:uid="{00000000-0005-0000-0000-0000ED6A0000}"/>
    <cellStyle name="Normal 2 30 25 3" xfId="27546" xr:uid="{00000000-0005-0000-0000-0000EE6A0000}"/>
    <cellStyle name="Normal 2 30 26" xfId="27547" xr:uid="{00000000-0005-0000-0000-0000EF6A0000}"/>
    <cellStyle name="Normal 2 30 3" xfId="27548" xr:uid="{00000000-0005-0000-0000-0000F06A0000}"/>
    <cellStyle name="Normal 2 30 3 2" xfId="27549" xr:uid="{00000000-0005-0000-0000-0000F16A0000}"/>
    <cellStyle name="Normal 2 30 3 2 2" xfId="27550" xr:uid="{00000000-0005-0000-0000-0000F26A0000}"/>
    <cellStyle name="Normal 2 30 3 2 2 2" xfId="27551" xr:uid="{00000000-0005-0000-0000-0000F36A0000}"/>
    <cellStyle name="Normal 2 30 3 2 2 3" xfId="27552" xr:uid="{00000000-0005-0000-0000-0000F46A0000}"/>
    <cellStyle name="Normal 2 30 3 2 3" xfId="27553" xr:uid="{00000000-0005-0000-0000-0000F56A0000}"/>
    <cellStyle name="Normal 2 30 3 2 4" xfId="27554" xr:uid="{00000000-0005-0000-0000-0000F66A0000}"/>
    <cellStyle name="Normal 2 30 3 3" xfId="27555" xr:uid="{00000000-0005-0000-0000-0000F76A0000}"/>
    <cellStyle name="Normal 2 30 3 3 2" xfId="27556" xr:uid="{00000000-0005-0000-0000-0000F86A0000}"/>
    <cellStyle name="Normal 2 30 3 3 3" xfId="27557" xr:uid="{00000000-0005-0000-0000-0000F96A0000}"/>
    <cellStyle name="Normal 2 30 3 4" xfId="27558" xr:uid="{00000000-0005-0000-0000-0000FA6A0000}"/>
    <cellStyle name="Normal 2 30 4" xfId="27559" xr:uid="{00000000-0005-0000-0000-0000FB6A0000}"/>
    <cellStyle name="Normal 2 30 4 2" xfId="27560" xr:uid="{00000000-0005-0000-0000-0000FC6A0000}"/>
    <cellStyle name="Normal 2 30 4 2 2" xfId="27561" xr:uid="{00000000-0005-0000-0000-0000FD6A0000}"/>
    <cellStyle name="Normal 2 30 4 2 2 2" xfId="27562" xr:uid="{00000000-0005-0000-0000-0000FE6A0000}"/>
    <cellStyle name="Normal 2 30 4 2 2 3" xfId="27563" xr:uid="{00000000-0005-0000-0000-0000FF6A0000}"/>
    <cellStyle name="Normal 2 30 4 2 3" xfId="27564" xr:uid="{00000000-0005-0000-0000-0000006B0000}"/>
    <cellStyle name="Normal 2 30 4 2 4" xfId="27565" xr:uid="{00000000-0005-0000-0000-0000016B0000}"/>
    <cellStyle name="Normal 2 30 4 3" xfId="27566" xr:uid="{00000000-0005-0000-0000-0000026B0000}"/>
    <cellStyle name="Normal 2 30 4 3 2" xfId="27567" xr:uid="{00000000-0005-0000-0000-0000036B0000}"/>
    <cellStyle name="Normal 2 30 4 3 3" xfId="27568" xr:uid="{00000000-0005-0000-0000-0000046B0000}"/>
    <cellStyle name="Normal 2 30 4 4" xfId="27569" xr:uid="{00000000-0005-0000-0000-0000056B0000}"/>
    <cellStyle name="Normal 2 30 5" xfId="27570" xr:uid="{00000000-0005-0000-0000-0000066B0000}"/>
    <cellStyle name="Normal 2 30 5 2" xfId="27571" xr:uid="{00000000-0005-0000-0000-0000076B0000}"/>
    <cellStyle name="Normal 2 30 5 2 2" xfId="27572" xr:uid="{00000000-0005-0000-0000-0000086B0000}"/>
    <cellStyle name="Normal 2 30 5 2 2 2" xfId="27573" xr:uid="{00000000-0005-0000-0000-0000096B0000}"/>
    <cellStyle name="Normal 2 30 5 2 2 3" xfId="27574" xr:uid="{00000000-0005-0000-0000-00000A6B0000}"/>
    <cellStyle name="Normal 2 30 5 2 3" xfId="27575" xr:uid="{00000000-0005-0000-0000-00000B6B0000}"/>
    <cellStyle name="Normal 2 30 5 2 4" xfId="27576" xr:uid="{00000000-0005-0000-0000-00000C6B0000}"/>
    <cellStyle name="Normal 2 30 5 3" xfId="27577" xr:uid="{00000000-0005-0000-0000-00000D6B0000}"/>
    <cellStyle name="Normal 2 30 5 3 2" xfId="27578" xr:uid="{00000000-0005-0000-0000-00000E6B0000}"/>
    <cellStyle name="Normal 2 30 5 3 3" xfId="27579" xr:uid="{00000000-0005-0000-0000-00000F6B0000}"/>
    <cellStyle name="Normal 2 30 5 4" xfId="27580" xr:uid="{00000000-0005-0000-0000-0000106B0000}"/>
    <cellStyle name="Normal 2 30 6" xfId="27581" xr:uid="{00000000-0005-0000-0000-0000116B0000}"/>
    <cellStyle name="Normal 2 30 6 2" xfId="27582" xr:uid="{00000000-0005-0000-0000-0000126B0000}"/>
    <cellStyle name="Normal 2 30 6 2 2" xfId="27583" xr:uid="{00000000-0005-0000-0000-0000136B0000}"/>
    <cellStyle name="Normal 2 30 6 2 2 2" xfId="27584" xr:uid="{00000000-0005-0000-0000-0000146B0000}"/>
    <cellStyle name="Normal 2 30 6 2 2 3" xfId="27585" xr:uid="{00000000-0005-0000-0000-0000156B0000}"/>
    <cellStyle name="Normal 2 30 6 2 3" xfId="27586" xr:uid="{00000000-0005-0000-0000-0000166B0000}"/>
    <cellStyle name="Normal 2 30 6 2 4" xfId="27587" xr:uid="{00000000-0005-0000-0000-0000176B0000}"/>
    <cellStyle name="Normal 2 30 6 3" xfId="27588" xr:uid="{00000000-0005-0000-0000-0000186B0000}"/>
    <cellStyle name="Normal 2 30 6 3 2" xfId="27589" xr:uid="{00000000-0005-0000-0000-0000196B0000}"/>
    <cellStyle name="Normal 2 30 6 3 3" xfId="27590" xr:uid="{00000000-0005-0000-0000-00001A6B0000}"/>
    <cellStyle name="Normal 2 30 6 4" xfId="27591" xr:uid="{00000000-0005-0000-0000-00001B6B0000}"/>
    <cellStyle name="Normal 2 30 7" xfId="27592" xr:uid="{00000000-0005-0000-0000-00001C6B0000}"/>
    <cellStyle name="Normal 2 30 7 2" xfId="27593" xr:uid="{00000000-0005-0000-0000-00001D6B0000}"/>
    <cellStyle name="Normal 2 30 7 2 2" xfId="27594" xr:uid="{00000000-0005-0000-0000-00001E6B0000}"/>
    <cellStyle name="Normal 2 30 7 2 2 2" xfId="27595" xr:uid="{00000000-0005-0000-0000-00001F6B0000}"/>
    <cellStyle name="Normal 2 30 7 2 2 3" xfId="27596" xr:uid="{00000000-0005-0000-0000-0000206B0000}"/>
    <cellStyle name="Normal 2 30 7 2 3" xfId="27597" xr:uid="{00000000-0005-0000-0000-0000216B0000}"/>
    <cellStyle name="Normal 2 30 7 2 4" xfId="27598" xr:uid="{00000000-0005-0000-0000-0000226B0000}"/>
    <cellStyle name="Normal 2 30 7 3" xfId="27599" xr:uid="{00000000-0005-0000-0000-0000236B0000}"/>
    <cellStyle name="Normal 2 30 7 3 2" xfId="27600" xr:uid="{00000000-0005-0000-0000-0000246B0000}"/>
    <cellStyle name="Normal 2 30 7 3 3" xfId="27601" xr:uid="{00000000-0005-0000-0000-0000256B0000}"/>
    <cellStyle name="Normal 2 30 7 4" xfId="27602" xr:uid="{00000000-0005-0000-0000-0000266B0000}"/>
    <cellStyle name="Normal 2 30 8" xfId="27603" xr:uid="{00000000-0005-0000-0000-0000276B0000}"/>
    <cellStyle name="Normal 2 30 8 2" xfId="27604" xr:uid="{00000000-0005-0000-0000-0000286B0000}"/>
    <cellStyle name="Normal 2 30 8 2 2" xfId="27605" xr:uid="{00000000-0005-0000-0000-0000296B0000}"/>
    <cellStyle name="Normal 2 30 8 2 2 2" xfId="27606" xr:uid="{00000000-0005-0000-0000-00002A6B0000}"/>
    <cellStyle name="Normal 2 30 8 2 2 3" xfId="27607" xr:uid="{00000000-0005-0000-0000-00002B6B0000}"/>
    <cellStyle name="Normal 2 30 8 2 3" xfId="27608" xr:uid="{00000000-0005-0000-0000-00002C6B0000}"/>
    <cellStyle name="Normal 2 30 8 2 4" xfId="27609" xr:uid="{00000000-0005-0000-0000-00002D6B0000}"/>
    <cellStyle name="Normal 2 30 8 3" xfId="27610" xr:uid="{00000000-0005-0000-0000-00002E6B0000}"/>
    <cellStyle name="Normal 2 30 8 3 2" xfId="27611" xr:uid="{00000000-0005-0000-0000-00002F6B0000}"/>
    <cellStyle name="Normal 2 30 8 3 3" xfId="27612" xr:uid="{00000000-0005-0000-0000-0000306B0000}"/>
    <cellStyle name="Normal 2 30 8 4" xfId="27613" xr:uid="{00000000-0005-0000-0000-0000316B0000}"/>
    <cellStyle name="Normal 2 30 9" xfId="27614" xr:uid="{00000000-0005-0000-0000-0000326B0000}"/>
    <cellStyle name="Normal 2 30 9 2" xfId="27615" xr:uid="{00000000-0005-0000-0000-0000336B0000}"/>
    <cellStyle name="Normal 2 30 9 2 2" xfId="27616" xr:uid="{00000000-0005-0000-0000-0000346B0000}"/>
    <cellStyle name="Normal 2 30 9 2 2 2" xfId="27617" xr:uid="{00000000-0005-0000-0000-0000356B0000}"/>
    <cellStyle name="Normal 2 30 9 2 2 3" xfId="27618" xr:uid="{00000000-0005-0000-0000-0000366B0000}"/>
    <cellStyle name="Normal 2 30 9 2 3" xfId="27619" xr:uid="{00000000-0005-0000-0000-0000376B0000}"/>
    <cellStyle name="Normal 2 30 9 2 4" xfId="27620" xr:uid="{00000000-0005-0000-0000-0000386B0000}"/>
    <cellStyle name="Normal 2 30 9 3" xfId="27621" xr:uid="{00000000-0005-0000-0000-0000396B0000}"/>
    <cellStyle name="Normal 2 30 9 3 2" xfId="27622" xr:uid="{00000000-0005-0000-0000-00003A6B0000}"/>
    <cellStyle name="Normal 2 30 9 3 3" xfId="27623" xr:uid="{00000000-0005-0000-0000-00003B6B0000}"/>
    <cellStyle name="Normal 2 30 9 4" xfId="27624" xr:uid="{00000000-0005-0000-0000-00003C6B0000}"/>
    <cellStyle name="Normal 2 31" xfId="27625" xr:uid="{00000000-0005-0000-0000-00003D6B0000}"/>
    <cellStyle name="Normal 2 31 10" xfId="27626" xr:uid="{00000000-0005-0000-0000-00003E6B0000}"/>
    <cellStyle name="Normal 2 31 10 2" xfId="27627" xr:uid="{00000000-0005-0000-0000-00003F6B0000}"/>
    <cellStyle name="Normal 2 31 10 2 2" xfId="27628" xr:uid="{00000000-0005-0000-0000-0000406B0000}"/>
    <cellStyle name="Normal 2 31 10 2 2 2" xfId="27629" xr:uid="{00000000-0005-0000-0000-0000416B0000}"/>
    <cellStyle name="Normal 2 31 10 2 2 3" xfId="27630" xr:uid="{00000000-0005-0000-0000-0000426B0000}"/>
    <cellStyle name="Normal 2 31 10 2 3" xfId="27631" xr:uid="{00000000-0005-0000-0000-0000436B0000}"/>
    <cellStyle name="Normal 2 31 10 2 4" xfId="27632" xr:uid="{00000000-0005-0000-0000-0000446B0000}"/>
    <cellStyle name="Normal 2 31 10 3" xfId="27633" xr:uid="{00000000-0005-0000-0000-0000456B0000}"/>
    <cellStyle name="Normal 2 31 10 3 2" xfId="27634" xr:uid="{00000000-0005-0000-0000-0000466B0000}"/>
    <cellStyle name="Normal 2 31 10 3 3" xfId="27635" xr:uid="{00000000-0005-0000-0000-0000476B0000}"/>
    <cellStyle name="Normal 2 31 10 4" xfId="27636" xr:uid="{00000000-0005-0000-0000-0000486B0000}"/>
    <cellStyle name="Normal 2 31 11" xfId="27637" xr:uid="{00000000-0005-0000-0000-0000496B0000}"/>
    <cellStyle name="Normal 2 31 11 2" xfId="27638" xr:uid="{00000000-0005-0000-0000-00004A6B0000}"/>
    <cellStyle name="Normal 2 31 11 2 2" xfId="27639" xr:uid="{00000000-0005-0000-0000-00004B6B0000}"/>
    <cellStyle name="Normal 2 31 11 2 2 2" xfId="27640" xr:uid="{00000000-0005-0000-0000-00004C6B0000}"/>
    <cellStyle name="Normal 2 31 11 2 2 3" xfId="27641" xr:uid="{00000000-0005-0000-0000-00004D6B0000}"/>
    <cellStyle name="Normal 2 31 11 2 3" xfId="27642" xr:uid="{00000000-0005-0000-0000-00004E6B0000}"/>
    <cellStyle name="Normal 2 31 11 2 4" xfId="27643" xr:uid="{00000000-0005-0000-0000-00004F6B0000}"/>
    <cellStyle name="Normal 2 31 11 3" xfId="27644" xr:uid="{00000000-0005-0000-0000-0000506B0000}"/>
    <cellStyle name="Normal 2 31 11 3 2" xfId="27645" xr:uid="{00000000-0005-0000-0000-0000516B0000}"/>
    <cellStyle name="Normal 2 31 11 3 3" xfId="27646" xr:uid="{00000000-0005-0000-0000-0000526B0000}"/>
    <cellStyle name="Normal 2 31 11 4" xfId="27647" xr:uid="{00000000-0005-0000-0000-0000536B0000}"/>
    <cellStyle name="Normal 2 31 12" xfId="27648" xr:uid="{00000000-0005-0000-0000-0000546B0000}"/>
    <cellStyle name="Normal 2 31 12 2" xfId="27649" xr:uid="{00000000-0005-0000-0000-0000556B0000}"/>
    <cellStyle name="Normal 2 31 12 2 2" xfId="27650" xr:uid="{00000000-0005-0000-0000-0000566B0000}"/>
    <cellStyle name="Normal 2 31 12 2 2 2" xfId="27651" xr:uid="{00000000-0005-0000-0000-0000576B0000}"/>
    <cellStyle name="Normal 2 31 12 2 2 3" xfId="27652" xr:uid="{00000000-0005-0000-0000-0000586B0000}"/>
    <cellStyle name="Normal 2 31 12 2 3" xfId="27653" xr:uid="{00000000-0005-0000-0000-0000596B0000}"/>
    <cellStyle name="Normal 2 31 12 2 4" xfId="27654" xr:uid="{00000000-0005-0000-0000-00005A6B0000}"/>
    <cellStyle name="Normal 2 31 12 3" xfId="27655" xr:uid="{00000000-0005-0000-0000-00005B6B0000}"/>
    <cellStyle name="Normal 2 31 12 3 2" xfId="27656" xr:uid="{00000000-0005-0000-0000-00005C6B0000}"/>
    <cellStyle name="Normal 2 31 12 3 3" xfId="27657" xr:uid="{00000000-0005-0000-0000-00005D6B0000}"/>
    <cellStyle name="Normal 2 31 12 4" xfId="27658" xr:uid="{00000000-0005-0000-0000-00005E6B0000}"/>
    <cellStyle name="Normal 2 31 13" xfId="27659" xr:uid="{00000000-0005-0000-0000-00005F6B0000}"/>
    <cellStyle name="Normal 2 31 13 2" xfId="27660" xr:uid="{00000000-0005-0000-0000-0000606B0000}"/>
    <cellStyle name="Normal 2 31 13 2 2" xfId="27661" xr:uid="{00000000-0005-0000-0000-0000616B0000}"/>
    <cellStyle name="Normal 2 31 13 2 2 2" xfId="27662" xr:uid="{00000000-0005-0000-0000-0000626B0000}"/>
    <cellStyle name="Normal 2 31 13 2 2 3" xfId="27663" xr:uid="{00000000-0005-0000-0000-0000636B0000}"/>
    <cellStyle name="Normal 2 31 13 2 3" xfId="27664" xr:uid="{00000000-0005-0000-0000-0000646B0000}"/>
    <cellStyle name="Normal 2 31 13 2 4" xfId="27665" xr:uid="{00000000-0005-0000-0000-0000656B0000}"/>
    <cellStyle name="Normal 2 31 13 3" xfId="27666" xr:uid="{00000000-0005-0000-0000-0000666B0000}"/>
    <cellStyle name="Normal 2 31 13 3 2" xfId="27667" xr:uid="{00000000-0005-0000-0000-0000676B0000}"/>
    <cellStyle name="Normal 2 31 13 3 3" xfId="27668" xr:uid="{00000000-0005-0000-0000-0000686B0000}"/>
    <cellStyle name="Normal 2 31 13 4" xfId="27669" xr:uid="{00000000-0005-0000-0000-0000696B0000}"/>
    <cellStyle name="Normal 2 31 14" xfId="27670" xr:uid="{00000000-0005-0000-0000-00006A6B0000}"/>
    <cellStyle name="Normal 2 31 14 2" xfId="27671" xr:uid="{00000000-0005-0000-0000-00006B6B0000}"/>
    <cellStyle name="Normal 2 31 14 2 2" xfId="27672" xr:uid="{00000000-0005-0000-0000-00006C6B0000}"/>
    <cellStyle name="Normal 2 31 14 2 2 2" xfId="27673" xr:uid="{00000000-0005-0000-0000-00006D6B0000}"/>
    <cellStyle name="Normal 2 31 14 2 2 3" xfId="27674" xr:uid="{00000000-0005-0000-0000-00006E6B0000}"/>
    <cellStyle name="Normal 2 31 14 2 3" xfId="27675" xr:uid="{00000000-0005-0000-0000-00006F6B0000}"/>
    <cellStyle name="Normal 2 31 14 2 4" xfId="27676" xr:uid="{00000000-0005-0000-0000-0000706B0000}"/>
    <cellStyle name="Normal 2 31 14 3" xfId="27677" xr:uid="{00000000-0005-0000-0000-0000716B0000}"/>
    <cellStyle name="Normal 2 31 14 3 2" xfId="27678" xr:uid="{00000000-0005-0000-0000-0000726B0000}"/>
    <cellStyle name="Normal 2 31 14 3 3" xfId="27679" xr:uid="{00000000-0005-0000-0000-0000736B0000}"/>
    <cellStyle name="Normal 2 31 14 4" xfId="27680" xr:uid="{00000000-0005-0000-0000-0000746B0000}"/>
    <cellStyle name="Normal 2 31 15" xfId="27681" xr:uid="{00000000-0005-0000-0000-0000756B0000}"/>
    <cellStyle name="Normal 2 31 15 2" xfId="27682" xr:uid="{00000000-0005-0000-0000-0000766B0000}"/>
    <cellStyle name="Normal 2 31 15 2 2" xfId="27683" xr:uid="{00000000-0005-0000-0000-0000776B0000}"/>
    <cellStyle name="Normal 2 31 15 2 2 2" xfId="27684" xr:uid="{00000000-0005-0000-0000-0000786B0000}"/>
    <cellStyle name="Normal 2 31 15 2 2 3" xfId="27685" xr:uid="{00000000-0005-0000-0000-0000796B0000}"/>
    <cellStyle name="Normal 2 31 15 2 3" xfId="27686" xr:uid="{00000000-0005-0000-0000-00007A6B0000}"/>
    <cellStyle name="Normal 2 31 15 2 4" xfId="27687" xr:uid="{00000000-0005-0000-0000-00007B6B0000}"/>
    <cellStyle name="Normal 2 31 15 3" xfId="27688" xr:uid="{00000000-0005-0000-0000-00007C6B0000}"/>
    <cellStyle name="Normal 2 31 15 3 2" xfId="27689" xr:uid="{00000000-0005-0000-0000-00007D6B0000}"/>
    <cellStyle name="Normal 2 31 15 3 3" xfId="27690" xr:uid="{00000000-0005-0000-0000-00007E6B0000}"/>
    <cellStyle name="Normal 2 31 15 4" xfId="27691" xr:uid="{00000000-0005-0000-0000-00007F6B0000}"/>
    <cellStyle name="Normal 2 31 16" xfId="27692" xr:uid="{00000000-0005-0000-0000-0000806B0000}"/>
    <cellStyle name="Normal 2 31 16 2" xfId="27693" xr:uid="{00000000-0005-0000-0000-0000816B0000}"/>
    <cellStyle name="Normal 2 31 16 2 2" xfId="27694" xr:uid="{00000000-0005-0000-0000-0000826B0000}"/>
    <cellStyle name="Normal 2 31 16 2 2 2" xfId="27695" xr:uid="{00000000-0005-0000-0000-0000836B0000}"/>
    <cellStyle name="Normal 2 31 16 2 2 3" xfId="27696" xr:uid="{00000000-0005-0000-0000-0000846B0000}"/>
    <cellStyle name="Normal 2 31 16 2 3" xfId="27697" xr:uid="{00000000-0005-0000-0000-0000856B0000}"/>
    <cellStyle name="Normal 2 31 16 2 4" xfId="27698" xr:uid="{00000000-0005-0000-0000-0000866B0000}"/>
    <cellStyle name="Normal 2 31 16 3" xfId="27699" xr:uid="{00000000-0005-0000-0000-0000876B0000}"/>
    <cellStyle name="Normal 2 31 16 3 2" xfId="27700" xr:uid="{00000000-0005-0000-0000-0000886B0000}"/>
    <cellStyle name="Normal 2 31 16 3 3" xfId="27701" xr:uid="{00000000-0005-0000-0000-0000896B0000}"/>
    <cellStyle name="Normal 2 31 16 4" xfId="27702" xr:uid="{00000000-0005-0000-0000-00008A6B0000}"/>
    <cellStyle name="Normal 2 31 17" xfId="27703" xr:uid="{00000000-0005-0000-0000-00008B6B0000}"/>
    <cellStyle name="Normal 2 31 17 2" xfId="27704" xr:uid="{00000000-0005-0000-0000-00008C6B0000}"/>
    <cellStyle name="Normal 2 31 17 2 2" xfId="27705" xr:uid="{00000000-0005-0000-0000-00008D6B0000}"/>
    <cellStyle name="Normal 2 31 17 2 2 2" xfId="27706" xr:uid="{00000000-0005-0000-0000-00008E6B0000}"/>
    <cellStyle name="Normal 2 31 17 2 2 3" xfId="27707" xr:uid="{00000000-0005-0000-0000-00008F6B0000}"/>
    <cellStyle name="Normal 2 31 17 2 3" xfId="27708" xr:uid="{00000000-0005-0000-0000-0000906B0000}"/>
    <cellStyle name="Normal 2 31 17 2 4" xfId="27709" xr:uid="{00000000-0005-0000-0000-0000916B0000}"/>
    <cellStyle name="Normal 2 31 17 3" xfId="27710" xr:uid="{00000000-0005-0000-0000-0000926B0000}"/>
    <cellStyle name="Normal 2 31 17 3 2" xfId="27711" xr:uid="{00000000-0005-0000-0000-0000936B0000}"/>
    <cellStyle name="Normal 2 31 17 3 3" xfId="27712" xr:uid="{00000000-0005-0000-0000-0000946B0000}"/>
    <cellStyle name="Normal 2 31 17 4" xfId="27713" xr:uid="{00000000-0005-0000-0000-0000956B0000}"/>
    <cellStyle name="Normal 2 31 18" xfId="27714" xr:uid="{00000000-0005-0000-0000-0000966B0000}"/>
    <cellStyle name="Normal 2 31 18 2" xfId="27715" xr:uid="{00000000-0005-0000-0000-0000976B0000}"/>
    <cellStyle name="Normal 2 31 18 2 2" xfId="27716" xr:uid="{00000000-0005-0000-0000-0000986B0000}"/>
    <cellStyle name="Normal 2 31 18 2 2 2" xfId="27717" xr:uid="{00000000-0005-0000-0000-0000996B0000}"/>
    <cellStyle name="Normal 2 31 18 2 2 3" xfId="27718" xr:uid="{00000000-0005-0000-0000-00009A6B0000}"/>
    <cellStyle name="Normal 2 31 18 2 3" xfId="27719" xr:uid="{00000000-0005-0000-0000-00009B6B0000}"/>
    <cellStyle name="Normal 2 31 18 2 4" xfId="27720" xr:uid="{00000000-0005-0000-0000-00009C6B0000}"/>
    <cellStyle name="Normal 2 31 18 3" xfId="27721" xr:uid="{00000000-0005-0000-0000-00009D6B0000}"/>
    <cellStyle name="Normal 2 31 18 3 2" xfId="27722" xr:uid="{00000000-0005-0000-0000-00009E6B0000}"/>
    <cellStyle name="Normal 2 31 18 3 3" xfId="27723" xr:uid="{00000000-0005-0000-0000-00009F6B0000}"/>
    <cellStyle name="Normal 2 31 18 4" xfId="27724" xr:uid="{00000000-0005-0000-0000-0000A06B0000}"/>
    <cellStyle name="Normal 2 31 19" xfId="27725" xr:uid="{00000000-0005-0000-0000-0000A16B0000}"/>
    <cellStyle name="Normal 2 31 19 2" xfId="27726" xr:uid="{00000000-0005-0000-0000-0000A26B0000}"/>
    <cellStyle name="Normal 2 31 19 2 2" xfId="27727" xr:uid="{00000000-0005-0000-0000-0000A36B0000}"/>
    <cellStyle name="Normal 2 31 19 2 2 2" xfId="27728" xr:uid="{00000000-0005-0000-0000-0000A46B0000}"/>
    <cellStyle name="Normal 2 31 19 2 2 3" xfId="27729" xr:uid="{00000000-0005-0000-0000-0000A56B0000}"/>
    <cellStyle name="Normal 2 31 19 2 3" xfId="27730" xr:uid="{00000000-0005-0000-0000-0000A66B0000}"/>
    <cellStyle name="Normal 2 31 19 2 4" xfId="27731" xr:uid="{00000000-0005-0000-0000-0000A76B0000}"/>
    <cellStyle name="Normal 2 31 19 3" xfId="27732" xr:uid="{00000000-0005-0000-0000-0000A86B0000}"/>
    <cellStyle name="Normal 2 31 19 3 2" xfId="27733" xr:uid="{00000000-0005-0000-0000-0000A96B0000}"/>
    <cellStyle name="Normal 2 31 19 3 3" xfId="27734" xr:uid="{00000000-0005-0000-0000-0000AA6B0000}"/>
    <cellStyle name="Normal 2 31 19 4" xfId="27735" xr:uid="{00000000-0005-0000-0000-0000AB6B0000}"/>
    <cellStyle name="Normal 2 31 2" xfId="27736" xr:uid="{00000000-0005-0000-0000-0000AC6B0000}"/>
    <cellStyle name="Normal 2 31 2 2" xfId="27737" xr:uid="{00000000-0005-0000-0000-0000AD6B0000}"/>
    <cellStyle name="Normal 2 31 2 2 2" xfId="27738" xr:uid="{00000000-0005-0000-0000-0000AE6B0000}"/>
    <cellStyle name="Normal 2 31 2 2 2 2" xfId="27739" xr:uid="{00000000-0005-0000-0000-0000AF6B0000}"/>
    <cellStyle name="Normal 2 31 2 2 2 3" xfId="27740" xr:uid="{00000000-0005-0000-0000-0000B06B0000}"/>
    <cellStyle name="Normal 2 31 2 2 3" xfId="27741" xr:uid="{00000000-0005-0000-0000-0000B16B0000}"/>
    <cellStyle name="Normal 2 31 2 2 4" xfId="27742" xr:uid="{00000000-0005-0000-0000-0000B26B0000}"/>
    <cellStyle name="Normal 2 31 2 3" xfId="27743" xr:uid="{00000000-0005-0000-0000-0000B36B0000}"/>
    <cellStyle name="Normal 2 31 2 3 2" xfId="27744" xr:uid="{00000000-0005-0000-0000-0000B46B0000}"/>
    <cellStyle name="Normal 2 31 2 3 3" xfId="27745" xr:uid="{00000000-0005-0000-0000-0000B56B0000}"/>
    <cellStyle name="Normal 2 31 2 4" xfId="27746" xr:uid="{00000000-0005-0000-0000-0000B66B0000}"/>
    <cellStyle name="Normal 2 31 20" xfId="27747" xr:uid="{00000000-0005-0000-0000-0000B76B0000}"/>
    <cellStyle name="Normal 2 31 20 2" xfId="27748" xr:uid="{00000000-0005-0000-0000-0000B86B0000}"/>
    <cellStyle name="Normal 2 31 20 2 2" xfId="27749" xr:uid="{00000000-0005-0000-0000-0000B96B0000}"/>
    <cellStyle name="Normal 2 31 20 2 2 2" xfId="27750" xr:uid="{00000000-0005-0000-0000-0000BA6B0000}"/>
    <cellStyle name="Normal 2 31 20 2 2 3" xfId="27751" xr:uid="{00000000-0005-0000-0000-0000BB6B0000}"/>
    <cellStyle name="Normal 2 31 20 2 3" xfId="27752" xr:uid="{00000000-0005-0000-0000-0000BC6B0000}"/>
    <cellStyle name="Normal 2 31 20 2 4" xfId="27753" xr:uid="{00000000-0005-0000-0000-0000BD6B0000}"/>
    <cellStyle name="Normal 2 31 20 3" xfId="27754" xr:uid="{00000000-0005-0000-0000-0000BE6B0000}"/>
    <cellStyle name="Normal 2 31 20 3 2" xfId="27755" xr:uid="{00000000-0005-0000-0000-0000BF6B0000}"/>
    <cellStyle name="Normal 2 31 20 3 3" xfId="27756" xr:uid="{00000000-0005-0000-0000-0000C06B0000}"/>
    <cellStyle name="Normal 2 31 20 4" xfId="27757" xr:uid="{00000000-0005-0000-0000-0000C16B0000}"/>
    <cellStyle name="Normal 2 31 21" xfId="27758" xr:uid="{00000000-0005-0000-0000-0000C26B0000}"/>
    <cellStyle name="Normal 2 31 21 2" xfId="27759" xr:uid="{00000000-0005-0000-0000-0000C36B0000}"/>
    <cellStyle name="Normal 2 31 21 2 2" xfId="27760" xr:uid="{00000000-0005-0000-0000-0000C46B0000}"/>
    <cellStyle name="Normal 2 31 21 2 2 2" xfId="27761" xr:uid="{00000000-0005-0000-0000-0000C56B0000}"/>
    <cellStyle name="Normal 2 31 21 2 2 3" xfId="27762" xr:uid="{00000000-0005-0000-0000-0000C66B0000}"/>
    <cellStyle name="Normal 2 31 21 2 3" xfId="27763" xr:uid="{00000000-0005-0000-0000-0000C76B0000}"/>
    <cellStyle name="Normal 2 31 21 2 4" xfId="27764" xr:uid="{00000000-0005-0000-0000-0000C86B0000}"/>
    <cellStyle name="Normal 2 31 21 3" xfId="27765" xr:uid="{00000000-0005-0000-0000-0000C96B0000}"/>
    <cellStyle name="Normal 2 31 21 3 2" xfId="27766" xr:uid="{00000000-0005-0000-0000-0000CA6B0000}"/>
    <cellStyle name="Normal 2 31 21 3 3" xfId="27767" xr:uid="{00000000-0005-0000-0000-0000CB6B0000}"/>
    <cellStyle name="Normal 2 31 21 4" xfId="27768" xr:uid="{00000000-0005-0000-0000-0000CC6B0000}"/>
    <cellStyle name="Normal 2 31 22" xfId="27769" xr:uid="{00000000-0005-0000-0000-0000CD6B0000}"/>
    <cellStyle name="Normal 2 31 22 2" xfId="27770" xr:uid="{00000000-0005-0000-0000-0000CE6B0000}"/>
    <cellStyle name="Normal 2 31 22 2 2" xfId="27771" xr:uid="{00000000-0005-0000-0000-0000CF6B0000}"/>
    <cellStyle name="Normal 2 31 22 2 2 2" xfId="27772" xr:uid="{00000000-0005-0000-0000-0000D06B0000}"/>
    <cellStyle name="Normal 2 31 22 2 2 3" xfId="27773" xr:uid="{00000000-0005-0000-0000-0000D16B0000}"/>
    <cellStyle name="Normal 2 31 22 2 3" xfId="27774" xr:uid="{00000000-0005-0000-0000-0000D26B0000}"/>
    <cellStyle name="Normal 2 31 22 2 4" xfId="27775" xr:uid="{00000000-0005-0000-0000-0000D36B0000}"/>
    <cellStyle name="Normal 2 31 22 3" xfId="27776" xr:uid="{00000000-0005-0000-0000-0000D46B0000}"/>
    <cellStyle name="Normal 2 31 22 3 2" xfId="27777" xr:uid="{00000000-0005-0000-0000-0000D56B0000}"/>
    <cellStyle name="Normal 2 31 22 3 3" xfId="27778" xr:uid="{00000000-0005-0000-0000-0000D66B0000}"/>
    <cellStyle name="Normal 2 31 22 4" xfId="27779" xr:uid="{00000000-0005-0000-0000-0000D76B0000}"/>
    <cellStyle name="Normal 2 31 23" xfId="27780" xr:uid="{00000000-0005-0000-0000-0000D86B0000}"/>
    <cellStyle name="Normal 2 31 23 2" xfId="27781" xr:uid="{00000000-0005-0000-0000-0000D96B0000}"/>
    <cellStyle name="Normal 2 31 23 2 2" xfId="27782" xr:uid="{00000000-0005-0000-0000-0000DA6B0000}"/>
    <cellStyle name="Normal 2 31 23 2 2 2" xfId="27783" xr:uid="{00000000-0005-0000-0000-0000DB6B0000}"/>
    <cellStyle name="Normal 2 31 23 2 2 3" xfId="27784" xr:uid="{00000000-0005-0000-0000-0000DC6B0000}"/>
    <cellStyle name="Normal 2 31 23 2 3" xfId="27785" xr:uid="{00000000-0005-0000-0000-0000DD6B0000}"/>
    <cellStyle name="Normal 2 31 23 2 4" xfId="27786" xr:uid="{00000000-0005-0000-0000-0000DE6B0000}"/>
    <cellStyle name="Normal 2 31 23 3" xfId="27787" xr:uid="{00000000-0005-0000-0000-0000DF6B0000}"/>
    <cellStyle name="Normal 2 31 23 3 2" xfId="27788" xr:uid="{00000000-0005-0000-0000-0000E06B0000}"/>
    <cellStyle name="Normal 2 31 23 3 3" xfId="27789" xr:uid="{00000000-0005-0000-0000-0000E16B0000}"/>
    <cellStyle name="Normal 2 31 23 4" xfId="27790" xr:uid="{00000000-0005-0000-0000-0000E26B0000}"/>
    <cellStyle name="Normal 2 31 24" xfId="27791" xr:uid="{00000000-0005-0000-0000-0000E36B0000}"/>
    <cellStyle name="Normal 2 31 24 2" xfId="27792" xr:uid="{00000000-0005-0000-0000-0000E46B0000}"/>
    <cellStyle name="Normal 2 31 24 2 2" xfId="27793" xr:uid="{00000000-0005-0000-0000-0000E56B0000}"/>
    <cellStyle name="Normal 2 31 24 2 3" xfId="27794" xr:uid="{00000000-0005-0000-0000-0000E66B0000}"/>
    <cellStyle name="Normal 2 31 24 3" xfId="27795" xr:uid="{00000000-0005-0000-0000-0000E76B0000}"/>
    <cellStyle name="Normal 2 31 24 4" xfId="27796" xr:uid="{00000000-0005-0000-0000-0000E86B0000}"/>
    <cellStyle name="Normal 2 31 25" xfId="27797" xr:uid="{00000000-0005-0000-0000-0000E96B0000}"/>
    <cellStyle name="Normal 2 31 25 2" xfId="27798" xr:uid="{00000000-0005-0000-0000-0000EA6B0000}"/>
    <cellStyle name="Normal 2 31 25 3" xfId="27799" xr:uid="{00000000-0005-0000-0000-0000EB6B0000}"/>
    <cellStyle name="Normal 2 31 26" xfId="27800" xr:uid="{00000000-0005-0000-0000-0000EC6B0000}"/>
    <cellStyle name="Normal 2 31 3" xfId="27801" xr:uid="{00000000-0005-0000-0000-0000ED6B0000}"/>
    <cellStyle name="Normal 2 31 3 2" xfId="27802" xr:uid="{00000000-0005-0000-0000-0000EE6B0000}"/>
    <cellStyle name="Normal 2 31 3 2 2" xfId="27803" xr:uid="{00000000-0005-0000-0000-0000EF6B0000}"/>
    <cellStyle name="Normal 2 31 3 2 2 2" xfId="27804" xr:uid="{00000000-0005-0000-0000-0000F06B0000}"/>
    <cellStyle name="Normal 2 31 3 2 2 3" xfId="27805" xr:uid="{00000000-0005-0000-0000-0000F16B0000}"/>
    <cellStyle name="Normal 2 31 3 2 3" xfId="27806" xr:uid="{00000000-0005-0000-0000-0000F26B0000}"/>
    <cellStyle name="Normal 2 31 3 2 4" xfId="27807" xr:uid="{00000000-0005-0000-0000-0000F36B0000}"/>
    <cellStyle name="Normal 2 31 3 3" xfId="27808" xr:uid="{00000000-0005-0000-0000-0000F46B0000}"/>
    <cellStyle name="Normal 2 31 3 3 2" xfId="27809" xr:uid="{00000000-0005-0000-0000-0000F56B0000}"/>
    <cellStyle name="Normal 2 31 3 3 3" xfId="27810" xr:uid="{00000000-0005-0000-0000-0000F66B0000}"/>
    <cellStyle name="Normal 2 31 3 4" xfId="27811" xr:uid="{00000000-0005-0000-0000-0000F76B0000}"/>
    <cellStyle name="Normal 2 31 4" xfId="27812" xr:uid="{00000000-0005-0000-0000-0000F86B0000}"/>
    <cellStyle name="Normal 2 31 4 2" xfId="27813" xr:uid="{00000000-0005-0000-0000-0000F96B0000}"/>
    <cellStyle name="Normal 2 31 4 2 2" xfId="27814" xr:uid="{00000000-0005-0000-0000-0000FA6B0000}"/>
    <cellStyle name="Normal 2 31 4 2 2 2" xfId="27815" xr:uid="{00000000-0005-0000-0000-0000FB6B0000}"/>
    <cellStyle name="Normal 2 31 4 2 2 3" xfId="27816" xr:uid="{00000000-0005-0000-0000-0000FC6B0000}"/>
    <cellStyle name="Normal 2 31 4 2 3" xfId="27817" xr:uid="{00000000-0005-0000-0000-0000FD6B0000}"/>
    <cellStyle name="Normal 2 31 4 2 4" xfId="27818" xr:uid="{00000000-0005-0000-0000-0000FE6B0000}"/>
    <cellStyle name="Normal 2 31 4 3" xfId="27819" xr:uid="{00000000-0005-0000-0000-0000FF6B0000}"/>
    <cellStyle name="Normal 2 31 4 3 2" xfId="27820" xr:uid="{00000000-0005-0000-0000-0000006C0000}"/>
    <cellStyle name="Normal 2 31 4 3 3" xfId="27821" xr:uid="{00000000-0005-0000-0000-0000016C0000}"/>
    <cellStyle name="Normal 2 31 4 4" xfId="27822" xr:uid="{00000000-0005-0000-0000-0000026C0000}"/>
    <cellStyle name="Normal 2 31 5" xfId="27823" xr:uid="{00000000-0005-0000-0000-0000036C0000}"/>
    <cellStyle name="Normal 2 31 5 2" xfId="27824" xr:uid="{00000000-0005-0000-0000-0000046C0000}"/>
    <cellStyle name="Normal 2 31 5 2 2" xfId="27825" xr:uid="{00000000-0005-0000-0000-0000056C0000}"/>
    <cellStyle name="Normal 2 31 5 2 2 2" xfId="27826" xr:uid="{00000000-0005-0000-0000-0000066C0000}"/>
    <cellStyle name="Normal 2 31 5 2 2 3" xfId="27827" xr:uid="{00000000-0005-0000-0000-0000076C0000}"/>
    <cellStyle name="Normal 2 31 5 2 3" xfId="27828" xr:uid="{00000000-0005-0000-0000-0000086C0000}"/>
    <cellStyle name="Normal 2 31 5 2 4" xfId="27829" xr:uid="{00000000-0005-0000-0000-0000096C0000}"/>
    <cellStyle name="Normal 2 31 5 3" xfId="27830" xr:uid="{00000000-0005-0000-0000-00000A6C0000}"/>
    <cellStyle name="Normal 2 31 5 3 2" xfId="27831" xr:uid="{00000000-0005-0000-0000-00000B6C0000}"/>
    <cellStyle name="Normal 2 31 5 3 3" xfId="27832" xr:uid="{00000000-0005-0000-0000-00000C6C0000}"/>
    <cellStyle name="Normal 2 31 5 4" xfId="27833" xr:uid="{00000000-0005-0000-0000-00000D6C0000}"/>
    <cellStyle name="Normal 2 31 6" xfId="27834" xr:uid="{00000000-0005-0000-0000-00000E6C0000}"/>
    <cellStyle name="Normal 2 31 6 2" xfId="27835" xr:uid="{00000000-0005-0000-0000-00000F6C0000}"/>
    <cellStyle name="Normal 2 31 6 2 2" xfId="27836" xr:uid="{00000000-0005-0000-0000-0000106C0000}"/>
    <cellStyle name="Normal 2 31 6 2 2 2" xfId="27837" xr:uid="{00000000-0005-0000-0000-0000116C0000}"/>
    <cellStyle name="Normal 2 31 6 2 2 3" xfId="27838" xr:uid="{00000000-0005-0000-0000-0000126C0000}"/>
    <cellStyle name="Normal 2 31 6 2 3" xfId="27839" xr:uid="{00000000-0005-0000-0000-0000136C0000}"/>
    <cellStyle name="Normal 2 31 6 2 4" xfId="27840" xr:uid="{00000000-0005-0000-0000-0000146C0000}"/>
    <cellStyle name="Normal 2 31 6 3" xfId="27841" xr:uid="{00000000-0005-0000-0000-0000156C0000}"/>
    <cellStyle name="Normal 2 31 6 3 2" xfId="27842" xr:uid="{00000000-0005-0000-0000-0000166C0000}"/>
    <cellStyle name="Normal 2 31 6 3 3" xfId="27843" xr:uid="{00000000-0005-0000-0000-0000176C0000}"/>
    <cellStyle name="Normal 2 31 6 4" xfId="27844" xr:uid="{00000000-0005-0000-0000-0000186C0000}"/>
    <cellStyle name="Normal 2 31 7" xfId="27845" xr:uid="{00000000-0005-0000-0000-0000196C0000}"/>
    <cellStyle name="Normal 2 31 7 2" xfId="27846" xr:uid="{00000000-0005-0000-0000-00001A6C0000}"/>
    <cellStyle name="Normal 2 31 7 2 2" xfId="27847" xr:uid="{00000000-0005-0000-0000-00001B6C0000}"/>
    <cellStyle name="Normal 2 31 7 2 2 2" xfId="27848" xr:uid="{00000000-0005-0000-0000-00001C6C0000}"/>
    <cellStyle name="Normal 2 31 7 2 2 3" xfId="27849" xr:uid="{00000000-0005-0000-0000-00001D6C0000}"/>
    <cellStyle name="Normal 2 31 7 2 3" xfId="27850" xr:uid="{00000000-0005-0000-0000-00001E6C0000}"/>
    <cellStyle name="Normal 2 31 7 2 4" xfId="27851" xr:uid="{00000000-0005-0000-0000-00001F6C0000}"/>
    <cellStyle name="Normal 2 31 7 3" xfId="27852" xr:uid="{00000000-0005-0000-0000-0000206C0000}"/>
    <cellStyle name="Normal 2 31 7 3 2" xfId="27853" xr:uid="{00000000-0005-0000-0000-0000216C0000}"/>
    <cellStyle name="Normal 2 31 7 3 3" xfId="27854" xr:uid="{00000000-0005-0000-0000-0000226C0000}"/>
    <cellStyle name="Normal 2 31 7 4" xfId="27855" xr:uid="{00000000-0005-0000-0000-0000236C0000}"/>
    <cellStyle name="Normal 2 31 8" xfId="27856" xr:uid="{00000000-0005-0000-0000-0000246C0000}"/>
    <cellStyle name="Normal 2 31 8 2" xfId="27857" xr:uid="{00000000-0005-0000-0000-0000256C0000}"/>
    <cellStyle name="Normal 2 31 8 2 2" xfId="27858" xr:uid="{00000000-0005-0000-0000-0000266C0000}"/>
    <cellStyle name="Normal 2 31 8 2 2 2" xfId="27859" xr:uid="{00000000-0005-0000-0000-0000276C0000}"/>
    <cellStyle name="Normal 2 31 8 2 2 3" xfId="27860" xr:uid="{00000000-0005-0000-0000-0000286C0000}"/>
    <cellStyle name="Normal 2 31 8 2 3" xfId="27861" xr:uid="{00000000-0005-0000-0000-0000296C0000}"/>
    <cellStyle name="Normal 2 31 8 2 4" xfId="27862" xr:uid="{00000000-0005-0000-0000-00002A6C0000}"/>
    <cellStyle name="Normal 2 31 8 3" xfId="27863" xr:uid="{00000000-0005-0000-0000-00002B6C0000}"/>
    <cellStyle name="Normal 2 31 8 3 2" xfId="27864" xr:uid="{00000000-0005-0000-0000-00002C6C0000}"/>
    <cellStyle name="Normal 2 31 8 3 3" xfId="27865" xr:uid="{00000000-0005-0000-0000-00002D6C0000}"/>
    <cellStyle name="Normal 2 31 8 4" xfId="27866" xr:uid="{00000000-0005-0000-0000-00002E6C0000}"/>
    <cellStyle name="Normal 2 31 9" xfId="27867" xr:uid="{00000000-0005-0000-0000-00002F6C0000}"/>
    <cellStyle name="Normal 2 31 9 2" xfId="27868" xr:uid="{00000000-0005-0000-0000-0000306C0000}"/>
    <cellStyle name="Normal 2 31 9 2 2" xfId="27869" xr:uid="{00000000-0005-0000-0000-0000316C0000}"/>
    <cellStyle name="Normal 2 31 9 2 2 2" xfId="27870" xr:uid="{00000000-0005-0000-0000-0000326C0000}"/>
    <cellStyle name="Normal 2 31 9 2 2 3" xfId="27871" xr:uid="{00000000-0005-0000-0000-0000336C0000}"/>
    <cellStyle name="Normal 2 31 9 2 3" xfId="27872" xr:uid="{00000000-0005-0000-0000-0000346C0000}"/>
    <cellStyle name="Normal 2 31 9 2 4" xfId="27873" xr:uid="{00000000-0005-0000-0000-0000356C0000}"/>
    <cellStyle name="Normal 2 31 9 3" xfId="27874" xr:uid="{00000000-0005-0000-0000-0000366C0000}"/>
    <cellStyle name="Normal 2 31 9 3 2" xfId="27875" xr:uid="{00000000-0005-0000-0000-0000376C0000}"/>
    <cellStyle name="Normal 2 31 9 3 3" xfId="27876" xr:uid="{00000000-0005-0000-0000-0000386C0000}"/>
    <cellStyle name="Normal 2 31 9 4" xfId="27877" xr:uid="{00000000-0005-0000-0000-0000396C0000}"/>
    <cellStyle name="Normal 2 32" xfId="27878" xr:uid="{00000000-0005-0000-0000-00003A6C0000}"/>
    <cellStyle name="Normal 2 32 10" xfId="27879" xr:uid="{00000000-0005-0000-0000-00003B6C0000}"/>
    <cellStyle name="Normal 2 32 10 2" xfId="27880" xr:uid="{00000000-0005-0000-0000-00003C6C0000}"/>
    <cellStyle name="Normal 2 32 10 2 2" xfId="27881" xr:uid="{00000000-0005-0000-0000-00003D6C0000}"/>
    <cellStyle name="Normal 2 32 10 2 2 2" xfId="27882" xr:uid="{00000000-0005-0000-0000-00003E6C0000}"/>
    <cellStyle name="Normal 2 32 10 2 2 3" xfId="27883" xr:uid="{00000000-0005-0000-0000-00003F6C0000}"/>
    <cellStyle name="Normal 2 32 10 2 3" xfId="27884" xr:uid="{00000000-0005-0000-0000-0000406C0000}"/>
    <cellStyle name="Normal 2 32 10 2 4" xfId="27885" xr:uid="{00000000-0005-0000-0000-0000416C0000}"/>
    <cellStyle name="Normal 2 32 10 3" xfId="27886" xr:uid="{00000000-0005-0000-0000-0000426C0000}"/>
    <cellStyle name="Normal 2 32 10 3 2" xfId="27887" xr:uid="{00000000-0005-0000-0000-0000436C0000}"/>
    <cellStyle name="Normal 2 32 10 3 3" xfId="27888" xr:uid="{00000000-0005-0000-0000-0000446C0000}"/>
    <cellStyle name="Normal 2 32 10 4" xfId="27889" xr:uid="{00000000-0005-0000-0000-0000456C0000}"/>
    <cellStyle name="Normal 2 32 11" xfId="27890" xr:uid="{00000000-0005-0000-0000-0000466C0000}"/>
    <cellStyle name="Normal 2 32 11 2" xfId="27891" xr:uid="{00000000-0005-0000-0000-0000476C0000}"/>
    <cellStyle name="Normal 2 32 11 2 2" xfId="27892" xr:uid="{00000000-0005-0000-0000-0000486C0000}"/>
    <cellStyle name="Normal 2 32 11 2 2 2" xfId="27893" xr:uid="{00000000-0005-0000-0000-0000496C0000}"/>
    <cellStyle name="Normal 2 32 11 2 2 3" xfId="27894" xr:uid="{00000000-0005-0000-0000-00004A6C0000}"/>
    <cellStyle name="Normal 2 32 11 2 3" xfId="27895" xr:uid="{00000000-0005-0000-0000-00004B6C0000}"/>
    <cellStyle name="Normal 2 32 11 2 4" xfId="27896" xr:uid="{00000000-0005-0000-0000-00004C6C0000}"/>
    <cellStyle name="Normal 2 32 11 3" xfId="27897" xr:uid="{00000000-0005-0000-0000-00004D6C0000}"/>
    <cellStyle name="Normal 2 32 11 3 2" xfId="27898" xr:uid="{00000000-0005-0000-0000-00004E6C0000}"/>
    <cellStyle name="Normal 2 32 11 3 3" xfId="27899" xr:uid="{00000000-0005-0000-0000-00004F6C0000}"/>
    <cellStyle name="Normal 2 32 11 4" xfId="27900" xr:uid="{00000000-0005-0000-0000-0000506C0000}"/>
    <cellStyle name="Normal 2 32 12" xfId="27901" xr:uid="{00000000-0005-0000-0000-0000516C0000}"/>
    <cellStyle name="Normal 2 32 12 2" xfId="27902" xr:uid="{00000000-0005-0000-0000-0000526C0000}"/>
    <cellStyle name="Normal 2 32 12 2 2" xfId="27903" xr:uid="{00000000-0005-0000-0000-0000536C0000}"/>
    <cellStyle name="Normal 2 32 12 2 2 2" xfId="27904" xr:uid="{00000000-0005-0000-0000-0000546C0000}"/>
    <cellStyle name="Normal 2 32 12 2 2 3" xfId="27905" xr:uid="{00000000-0005-0000-0000-0000556C0000}"/>
    <cellStyle name="Normal 2 32 12 2 3" xfId="27906" xr:uid="{00000000-0005-0000-0000-0000566C0000}"/>
    <cellStyle name="Normal 2 32 12 2 4" xfId="27907" xr:uid="{00000000-0005-0000-0000-0000576C0000}"/>
    <cellStyle name="Normal 2 32 12 3" xfId="27908" xr:uid="{00000000-0005-0000-0000-0000586C0000}"/>
    <cellStyle name="Normal 2 32 12 3 2" xfId="27909" xr:uid="{00000000-0005-0000-0000-0000596C0000}"/>
    <cellStyle name="Normal 2 32 12 3 3" xfId="27910" xr:uid="{00000000-0005-0000-0000-00005A6C0000}"/>
    <cellStyle name="Normal 2 32 12 4" xfId="27911" xr:uid="{00000000-0005-0000-0000-00005B6C0000}"/>
    <cellStyle name="Normal 2 32 13" xfId="27912" xr:uid="{00000000-0005-0000-0000-00005C6C0000}"/>
    <cellStyle name="Normal 2 32 13 2" xfId="27913" xr:uid="{00000000-0005-0000-0000-00005D6C0000}"/>
    <cellStyle name="Normal 2 32 13 2 2" xfId="27914" xr:uid="{00000000-0005-0000-0000-00005E6C0000}"/>
    <cellStyle name="Normal 2 32 13 2 2 2" xfId="27915" xr:uid="{00000000-0005-0000-0000-00005F6C0000}"/>
    <cellStyle name="Normal 2 32 13 2 2 3" xfId="27916" xr:uid="{00000000-0005-0000-0000-0000606C0000}"/>
    <cellStyle name="Normal 2 32 13 2 3" xfId="27917" xr:uid="{00000000-0005-0000-0000-0000616C0000}"/>
    <cellStyle name="Normal 2 32 13 2 4" xfId="27918" xr:uid="{00000000-0005-0000-0000-0000626C0000}"/>
    <cellStyle name="Normal 2 32 13 3" xfId="27919" xr:uid="{00000000-0005-0000-0000-0000636C0000}"/>
    <cellStyle name="Normal 2 32 13 3 2" xfId="27920" xr:uid="{00000000-0005-0000-0000-0000646C0000}"/>
    <cellStyle name="Normal 2 32 13 3 3" xfId="27921" xr:uid="{00000000-0005-0000-0000-0000656C0000}"/>
    <cellStyle name="Normal 2 32 13 4" xfId="27922" xr:uid="{00000000-0005-0000-0000-0000666C0000}"/>
    <cellStyle name="Normal 2 32 14" xfId="27923" xr:uid="{00000000-0005-0000-0000-0000676C0000}"/>
    <cellStyle name="Normal 2 32 14 2" xfId="27924" xr:uid="{00000000-0005-0000-0000-0000686C0000}"/>
    <cellStyle name="Normal 2 32 14 2 2" xfId="27925" xr:uid="{00000000-0005-0000-0000-0000696C0000}"/>
    <cellStyle name="Normal 2 32 14 2 2 2" xfId="27926" xr:uid="{00000000-0005-0000-0000-00006A6C0000}"/>
    <cellStyle name="Normal 2 32 14 2 2 3" xfId="27927" xr:uid="{00000000-0005-0000-0000-00006B6C0000}"/>
    <cellStyle name="Normal 2 32 14 2 3" xfId="27928" xr:uid="{00000000-0005-0000-0000-00006C6C0000}"/>
    <cellStyle name="Normal 2 32 14 2 4" xfId="27929" xr:uid="{00000000-0005-0000-0000-00006D6C0000}"/>
    <cellStyle name="Normal 2 32 14 3" xfId="27930" xr:uid="{00000000-0005-0000-0000-00006E6C0000}"/>
    <cellStyle name="Normal 2 32 14 3 2" xfId="27931" xr:uid="{00000000-0005-0000-0000-00006F6C0000}"/>
    <cellStyle name="Normal 2 32 14 3 3" xfId="27932" xr:uid="{00000000-0005-0000-0000-0000706C0000}"/>
    <cellStyle name="Normal 2 32 14 4" xfId="27933" xr:uid="{00000000-0005-0000-0000-0000716C0000}"/>
    <cellStyle name="Normal 2 32 15" xfId="27934" xr:uid="{00000000-0005-0000-0000-0000726C0000}"/>
    <cellStyle name="Normal 2 32 15 2" xfId="27935" xr:uid="{00000000-0005-0000-0000-0000736C0000}"/>
    <cellStyle name="Normal 2 32 15 2 2" xfId="27936" xr:uid="{00000000-0005-0000-0000-0000746C0000}"/>
    <cellStyle name="Normal 2 32 15 2 2 2" xfId="27937" xr:uid="{00000000-0005-0000-0000-0000756C0000}"/>
    <cellStyle name="Normal 2 32 15 2 2 3" xfId="27938" xr:uid="{00000000-0005-0000-0000-0000766C0000}"/>
    <cellStyle name="Normal 2 32 15 2 3" xfId="27939" xr:uid="{00000000-0005-0000-0000-0000776C0000}"/>
    <cellStyle name="Normal 2 32 15 2 4" xfId="27940" xr:uid="{00000000-0005-0000-0000-0000786C0000}"/>
    <cellStyle name="Normal 2 32 15 3" xfId="27941" xr:uid="{00000000-0005-0000-0000-0000796C0000}"/>
    <cellStyle name="Normal 2 32 15 3 2" xfId="27942" xr:uid="{00000000-0005-0000-0000-00007A6C0000}"/>
    <cellStyle name="Normal 2 32 15 3 3" xfId="27943" xr:uid="{00000000-0005-0000-0000-00007B6C0000}"/>
    <cellStyle name="Normal 2 32 15 4" xfId="27944" xr:uid="{00000000-0005-0000-0000-00007C6C0000}"/>
    <cellStyle name="Normal 2 32 16" xfId="27945" xr:uid="{00000000-0005-0000-0000-00007D6C0000}"/>
    <cellStyle name="Normal 2 32 16 2" xfId="27946" xr:uid="{00000000-0005-0000-0000-00007E6C0000}"/>
    <cellStyle name="Normal 2 32 16 2 2" xfId="27947" xr:uid="{00000000-0005-0000-0000-00007F6C0000}"/>
    <cellStyle name="Normal 2 32 16 2 2 2" xfId="27948" xr:uid="{00000000-0005-0000-0000-0000806C0000}"/>
    <cellStyle name="Normal 2 32 16 2 2 3" xfId="27949" xr:uid="{00000000-0005-0000-0000-0000816C0000}"/>
    <cellStyle name="Normal 2 32 16 2 3" xfId="27950" xr:uid="{00000000-0005-0000-0000-0000826C0000}"/>
    <cellStyle name="Normal 2 32 16 2 4" xfId="27951" xr:uid="{00000000-0005-0000-0000-0000836C0000}"/>
    <cellStyle name="Normal 2 32 16 3" xfId="27952" xr:uid="{00000000-0005-0000-0000-0000846C0000}"/>
    <cellStyle name="Normal 2 32 16 3 2" xfId="27953" xr:uid="{00000000-0005-0000-0000-0000856C0000}"/>
    <cellStyle name="Normal 2 32 16 3 3" xfId="27954" xr:uid="{00000000-0005-0000-0000-0000866C0000}"/>
    <cellStyle name="Normal 2 32 16 4" xfId="27955" xr:uid="{00000000-0005-0000-0000-0000876C0000}"/>
    <cellStyle name="Normal 2 32 17" xfId="27956" xr:uid="{00000000-0005-0000-0000-0000886C0000}"/>
    <cellStyle name="Normal 2 32 17 2" xfId="27957" xr:uid="{00000000-0005-0000-0000-0000896C0000}"/>
    <cellStyle name="Normal 2 32 17 2 2" xfId="27958" xr:uid="{00000000-0005-0000-0000-00008A6C0000}"/>
    <cellStyle name="Normal 2 32 17 2 2 2" xfId="27959" xr:uid="{00000000-0005-0000-0000-00008B6C0000}"/>
    <cellStyle name="Normal 2 32 17 2 2 3" xfId="27960" xr:uid="{00000000-0005-0000-0000-00008C6C0000}"/>
    <cellStyle name="Normal 2 32 17 2 3" xfId="27961" xr:uid="{00000000-0005-0000-0000-00008D6C0000}"/>
    <cellStyle name="Normal 2 32 17 2 4" xfId="27962" xr:uid="{00000000-0005-0000-0000-00008E6C0000}"/>
    <cellStyle name="Normal 2 32 17 3" xfId="27963" xr:uid="{00000000-0005-0000-0000-00008F6C0000}"/>
    <cellStyle name="Normal 2 32 17 3 2" xfId="27964" xr:uid="{00000000-0005-0000-0000-0000906C0000}"/>
    <cellStyle name="Normal 2 32 17 3 3" xfId="27965" xr:uid="{00000000-0005-0000-0000-0000916C0000}"/>
    <cellStyle name="Normal 2 32 17 4" xfId="27966" xr:uid="{00000000-0005-0000-0000-0000926C0000}"/>
    <cellStyle name="Normal 2 32 18" xfId="27967" xr:uid="{00000000-0005-0000-0000-0000936C0000}"/>
    <cellStyle name="Normal 2 32 18 2" xfId="27968" xr:uid="{00000000-0005-0000-0000-0000946C0000}"/>
    <cellStyle name="Normal 2 32 18 2 2" xfId="27969" xr:uid="{00000000-0005-0000-0000-0000956C0000}"/>
    <cellStyle name="Normal 2 32 18 2 2 2" xfId="27970" xr:uid="{00000000-0005-0000-0000-0000966C0000}"/>
    <cellStyle name="Normal 2 32 18 2 2 3" xfId="27971" xr:uid="{00000000-0005-0000-0000-0000976C0000}"/>
    <cellStyle name="Normal 2 32 18 2 3" xfId="27972" xr:uid="{00000000-0005-0000-0000-0000986C0000}"/>
    <cellStyle name="Normal 2 32 18 2 4" xfId="27973" xr:uid="{00000000-0005-0000-0000-0000996C0000}"/>
    <cellStyle name="Normal 2 32 18 3" xfId="27974" xr:uid="{00000000-0005-0000-0000-00009A6C0000}"/>
    <cellStyle name="Normal 2 32 18 3 2" xfId="27975" xr:uid="{00000000-0005-0000-0000-00009B6C0000}"/>
    <cellStyle name="Normal 2 32 18 3 3" xfId="27976" xr:uid="{00000000-0005-0000-0000-00009C6C0000}"/>
    <cellStyle name="Normal 2 32 18 4" xfId="27977" xr:uid="{00000000-0005-0000-0000-00009D6C0000}"/>
    <cellStyle name="Normal 2 32 19" xfId="27978" xr:uid="{00000000-0005-0000-0000-00009E6C0000}"/>
    <cellStyle name="Normal 2 32 19 2" xfId="27979" xr:uid="{00000000-0005-0000-0000-00009F6C0000}"/>
    <cellStyle name="Normal 2 32 19 2 2" xfId="27980" xr:uid="{00000000-0005-0000-0000-0000A06C0000}"/>
    <cellStyle name="Normal 2 32 19 2 2 2" xfId="27981" xr:uid="{00000000-0005-0000-0000-0000A16C0000}"/>
    <cellStyle name="Normal 2 32 19 2 2 3" xfId="27982" xr:uid="{00000000-0005-0000-0000-0000A26C0000}"/>
    <cellStyle name="Normal 2 32 19 2 3" xfId="27983" xr:uid="{00000000-0005-0000-0000-0000A36C0000}"/>
    <cellStyle name="Normal 2 32 19 2 4" xfId="27984" xr:uid="{00000000-0005-0000-0000-0000A46C0000}"/>
    <cellStyle name="Normal 2 32 19 3" xfId="27985" xr:uid="{00000000-0005-0000-0000-0000A56C0000}"/>
    <cellStyle name="Normal 2 32 19 3 2" xfId="27986" xr:uid="{00000000-0005-0000-0000-0000A66C0000}"/>
    <cellStyle name="Normal 2 32 19 3 3" xfId="27987" xr:uid="{00000000-0005-0000-0000-0000A76C0000}"/>
    <cellStyle name="Normal 2 32 19 4" xfId="27988" xr:uid="{00000000-0005-0000-0000-0000A86C0000}"/>
    <cellStyle name="Normal 2 32 2" xfId="27989" xr:uid="{00000000-0005-0000-0000-0000A96C0000}"/>
    <cellStyle name="Normal 2 32 2 2" xfId="27990" xr:uid="{00000000-0005-0000-0000-0000AA6C0000}"/>
    <cellStyle name="Normal 2 32 2 2 2" xfId="27991" xr:uid="{00000000-0005-0000-0000-0000AB6C0000}"/>
    <cellStyle name="Normal 2 32 2 2 2 2" xfId="27992" xr:uid="{00000000-0005-0000-0000-0000AC6C0000}"/>
    <cellStyle name="Normal 2 32 2 2 2 3" xfId="27993" xr:uid="{00000000-0005-0000-0000-0000AD6C0000}"/>
    <cellStyle name="Normal 2 32 2 2 3" xfId="27994" xr:uid="{00000000-0005-0000-0000-0000AE6C0000}"/>
    <cellStyle name="Normal 2 32 2 2 4" xfId="27995" xr:uid="{00000000-0005-0000-0000-0000AF6C0000}"/>
    <cellStyle name="Normal 2 32 2 3" xfId="27996" xr:uid="{00000000-0005-0000-0000-0000B06C0000}"/>
    <cellStyle name="Normal 2 32 2 3 2" xfId="27997" xr:uid="{00000000-0005-0000-0000-0000B16C0000}"/>
    <cellStyle name="Normal 2 32 2 3 3" xfId="27998" xr:uid="{00000000-0005-0000-0000-0000B26C0000}"/>
    <cellStyle name="Normal 2 32 2 4" xfId="27999" xr:uid="{00000000-0005-0000-0000-0000B36C0000}"/>
    <cellStyle name="Normal 2 32 20" xfId="28000" xr:uid="{00000000-0005-0000-0000-0000B46C0000}"/>
    <cellStyle name="Normal 2 32 20 2" xfId="28001" xr:uid="{00000000-0005-0000-0000-0000B56C0000}"/>
    <cellStyle name="Normal 2 32 20 2 2" xfId="28002" xr:uid="{00000000-0005-0000-0000-0000B66C0000}"/>
    <cellStyle name="Normal 2 32 20 2 2 2" xfId="28003" xr:uid="{00000000-0005-0000-0000-0000B76C0000}"/>
    <cellStyle name="Normal 2 32 20 2 2 3" xfId="28004" xr:uid="{00000000-0005-0000-0000-0000B86C0000}"/>
    <cellStyle name="Normal 2 32 20 2 3" xfId="28005" xr:uid="{00000000-0005-0000-0000-0000B96C0000}"/>
    <cellStyle name="Normal 2 32 20 2 4" xfId="28006" xr:uid="{00000000-0005-0000-0000-0000BA6C0000}"/>
    <cellStyle name="Normal 2 32 20 3" xfId="28007" xr:uid="{00000000-0005-0000-0000-0000BB6C0000}"/>
    <cellStyle name="Normal 2 32 20 3 2" xfId="28008" xr:uid="{00000000-0005-0000-0000-0000BC6C0000}"/>
    <cellStyle name="Normal 2 32 20 3 3" xfId="28009" xr:uid="{00000000-0005-0000-0000-0000BD6C0000}"/>
    <cellStyle name="Normal 2 32 20 4" xfId="28010" xr:uid="{00000000-0005-0000-0000-0000BE6C0000}"/>
    <cellStyle name="Normal 2 32 21" xfId="28011" xr:uid="{00000000-0005-0000-0000-0000BF6C0000}"/>
    <cellStyle name="Normal 2 32 21 2" xfId="28012" xr:uid="{00000000-0005-0000-0000-0000C06C0000}"/>
    <cellStyle name="Normal 2 32 21 2 2" xfId="28013" xr:uid="{00000000-0005-0000-0000-0000C16C0000}"/>
    <cellStyle name="Normal 2 32 21 2 2 2" xfId="28014" xr:uid="{00000000-0005-0000-0000-0000C26C0000}"/>
    <cellStyle name="Normal 2 32 21 2 2 3" xfId="28015" xr:uid="{00000000-0005-0000-0000-0000C36C0000}"/>
    <cellStyle name="Normal 2 32 21 2 3" xfId="28016" xr:uid="{00000000-0005-0000-0000-0000C46C0000}"/>
    <cellStyle name="Normal 2 32 21 2 4" xfId="28017" xr:uid="{00000000-0005-0000-0000-0000C56C0000}"/>
    <cellStyle name="Normal 2 32 21 3" xfId="28018" xr:uid="{00000000-0005-0000-0000-0000C66C0000}"/>
    <cellStyle name="Normal 2 32 21 3 2" xfId="28019" xr:uid="{00000000-0005-0000-0000-0000C76C0000}"/>
    <cellStyle name="Normal 2 32 21 3 3" xfId="28020" xr:uid="{00000000-0005-0000-0000-0000C86C0000}"/>
    <cellStyle name="Normal 2 32 21 4" xfId="28021" xr:uid="{00000000-0005-0000-0000-0000C96C0000}"/>
    <cellStyle name="Normal 2 32 22" xfId="28022" xr:uid="{00000000-0005-0000-0000-0000CA6C0000}"/>
    <cellStyle name="Normal 2 32 22 2" xfId="28023" xr:uid="{00000000-0005-0000-0000-0000CB6C0000}"/>
    <cellStyle name="Normal 2 32 22 2 2" xfId="28024" xr:uid="{00000000-0005-0000-0000-0000CC6C0000}"/>
    <cellStyle name="Normal 2 32 22 2 2 2" xfId="28025" xr:uid="{00000000-0005-0000-0000-0000CD6C0000}"/>
    <cellStyle name="Normal 2 32 22 2 2 3" xfId="28026" xr:uid="{00000000-0005-0000-0000-0000CE6C0000}"/>
    <cellStyle name="Normal 2 32 22 2 3" xfId="28027" xr:uid="{00000000-0005-0000-0000-0000CF6C0000}"/>
    <cellStyle name="Normal 2 32 22 2 4" xfId="28028" xr:uid="{00000000-0005-0000-0000-0000D06C0000}"/>
    <cellStyle name="Normal 2 32 22 3" xfId="28029" xr:uid="{00000000-0005-0000-0000-0000D16C0000}"/>
    <cellStyle name="Normal 2 32 22 3 2" xfId="28030" xr:uid="{00000000-0005-0000-0000-0000D26C0000}"/>
    <cellStyle name="Normal 2 32 22 3 3" xfId="28031" xr:uid="{00000000-0005-0000-0000-0000D36C0000}"/>
    <cellStyle name="Normal 2 32 22 4" xfId="28032" xr:uid="{00000000-0005-0000-0000-0000D46C0000}"/>
    <cellStyle name="Normal 2 32 23" xfId="28033" xr:uid="{00000000-0005-0000-0000-0000D56C0000}"/>
    <cellStyle name="Normal 2 32 23 2" xfId="28034" xr:uid="{00000000-0005-0000-0000-0000D66C0000}"/>
    <cellStyle name="Normal 2 32 23 2 2" xfId="28035" xr:uid="{00000000-0005-0000-0000-0000D76C0000}"/>
    <cellStyle name="Normal 2 32 23 2 2 2" xfId="28036" xr:uid="{00000000-0005-0000-0000-0000D86C0000}"/>
    <cellStyle name="Normal 2 32 23 2 2 3" xfId="28037" xr:uid="{00000000-0005-0000-0000-0000D96C0000}"/>
    <cellStyle name="Normal 2 32 23 2 3" xfId="28038" xr:uid="{00000000-0005-0000-0000-0000DA6C0000}"/>
    <cellStyle name="Normal 2 32 23 2 4" xfId="28039" xr:uid="{00000000-0005-0000-0000-0000DB6C0000}"/>
    <cellStyle name="Normal 2 32 23 3" xfId="28040" xr:uid="{00000000-0005-0000-0000-0000DC6C0000}"/>
    <cellStyle name="Normal 2 32 23 3 2" xfId="28041" xr:uid="{00000000-0005-0000-0000-0000DD6C0000}"/>
    <cellStyle name="Normal 2 32 23 3 3" xfId="28042" xr:uid="{00000000-0005-0000-0000-0000DE6C0000}"/>
    <cellStyle name="Normal 2 32 23 4" xfId="28043" xr:uid="{00000000-0005-0000-0000-0000DF6C0000}"/>
    <cellStyle name="Normal 2 32 24" xfId="28044" xr:uid="{00000000-0005-0000-0000-0000E06C0000}"/>
    <cellStyle name="Normal 2 32 24 2" xfId="28045" xr:uid="{00000000-0005-0000-0000-0000E16C0000}"/>
    <cellStyle name="Normal 2 32 24 2 2" xfId="28046" xr:uid="{00000000-0005-0000-0000-0000E26C0000}"/>
    <cellStyle name="Normal 2 32 24 2 3" xfId="28047" xr:uid="{00000000-0005-0000-0000-0000E36C0000}"/>
    <cellStyle name="Normal 2 32 24 3" xfId="28048" xr:uid="{00000000-0005-0000-0000-0000E46C0000}"/>
    <cellStyle name="Normal 2 32 24 4" xfId="28049" xr:uid="{00000000-0005-0000-0000-0000E56C0000}"/>
    <cellStyle name="Normal 2 32 25" xfId="28050" xr:uid="{00000000-0005-0000-0000-0000E66C0000}"/>
    <cellStyle name="Normal 2 32 25 2" xfId="28051" xr:uid="{00000000-0005-0000-0000-0000E76C0000}"/>
    <cellStyle name="Normal 2 32 25 3" xfId="28052" xr:uid="{00000000-0005-0000-0000-0000E86C0000}"/>
    <cellStyle name="Normal 2 32 26" xfId="28053" xr:uid="{00000000-0005-0000-0000-0000E96C0000}"/>
    <cellStyle name="Normal 2 32 3" xfId="28054" xr:uid="{00000000-0005-0000-0000-0000EA6C0000}"/>
    <cellStyle name="Normal 2 32 3 2" xfId="28055" xr:uid="{00000000-0005-0000-0000-0000EB6C0000}"/>
    <cellStyle name="Normal 2 32 3 2 2" xfId="28056" xr:uid="{00000000-0005-0000-0000-0000EC6C0000}"/>
    <cellStyle name="Normal 2 32 3 2 2 2" xfId="28057" xr:uid="{00000000-0005-0000-0000-0000ED6C0000}"/>
    <cellStyle name="Normal 2 32 3 2 2 3" xfId="28058" xr:uid="{00000000-0005-0000-0000-0000EE6C0000}"/>
    <cellStyle name="Normal 2 32 3 2 3" xfId="28059" xr:uid="{00000000-0005-0000-0000-0000EF6C0000}"/>
    <cellStyle name="Normal 2 32 3 2 4" xfId="28060" xr:uid="{00000000-0005-0000-0000-0000F06C0000}"/>
    <cellStyle name="Normal 2 32 3 3" xfId="28061" xr:uid="{00000000-0005-0000-0000-0000F16C0000}"/>
    <cellStyle name="Normal 2 32 3 3 2" xfId="28062" xr:uid="{00000000-0005-0000-0000-0000F26C0000}"/>
    <cellStyle name="Normal 2 32 3 3 3" xfId="28063" xr:uid="{00000000-0005-0000-0000-0000F36C0000}"/>
    <cellStyle name="Normal 2 32 3 4" xfId="28064" xr:uid="{00000000-0005-0000-0000-0000F46C0000}"/>
    <cellStyle name="Normal 2 32 4" xfId="28065" xr:uid="{00000000-0005-0000-0000-0000F56C0000}"/>
    <cellStyle name="Normal 2 32 4 2" xfId="28066" xr:uid="{00000000-0005-0000-0000-0000F66C0000}"/>
    <cellStyle name="Normal 2 32 4 2 2" xfId="28067" xr:uid="{00000000-0005-0000-0000-0000F76C0000}"/>
    <cellStyle name="Normal 2 32 4 2 2 2" xfId="28068" xr:uid="{00000000-0005-0000-0000-0000F86C0000}"/>
    <cellStyle name="Normal 2 32 4 2 2 3" xfId="28069" xr:uid="{00000000-0005-0000-0000-0000F96C0000}"/>
    <cellStyle name="Normal 2 32 4 2 3" xfId="28070" xr:uid="{00000000-0005-0000-0000-0000FA6C0000}"/>
    <cellStyle name="Normal 2 32 4 2 4" xfId="28071" xr:uid="{00000000-0005-0000-0000-0000FB6C0000}"/>
    <cellStyle name="Normal 2 32 4 3" xfId="28072" xr:uid="{00000000-0005-0000-0000-0000FC6C0000}"/>
    <cellStyle name="Normal 2 32 4 3 2" xfId="28073" xr:uid="{00000000-0005-0000-0000-0000FD6C0000}"/>
    <cellStyle name="Normal 2 32 4 3 3" xfId="28074" xr:uid="{00000000-0005-0000-0000-0000FE6C0000}"/>
    <cellStyle name="Normal 2 32 4 4" xfId="28075" xr:uid="{00000000-0005-0000-0000-0000FF6C0000}"/>
    <cellStyle name="Normal 2 32 5" xfId="28076" xr:uid="{00000000-0005-0000-0000-0000006D0000}"/>
    <cellStyle name="Normal 2 32 5 2" xfId="28077" xr:uid="{00000000-0005-0000-0000-0000016D0000}"/>
    <cellStyle name="Normal 2 32 5 2 2" xfId="28078" xr:uid="{00000000-0005-0000-0000-0000026D0000}"/>
    <cellStyle name="Normal 2 32 5 2 2 2" xfId="28079" xr:uid="{00000000-0005-0000-0000-0000036D0000}"/>
    <cellStyle name="Normal 2 32 5 2 2 3" xfId="28080" xr:uid="{00000000-0005-0000-0000-0000046D0000}"/>
    <cellStyle name="Normal 2 32 5 2 3" xfId="28081" xr:uid="{00000000-0005-0000-0000-0000056D0000}"/>
    <cellStyle name="Normal 2 32 5 2 4" xfId="28082" xr:uid="{00000000-0005-0000-0000-0000066D0000}"/>
    <cellStyle name="Normal 2 32 5 3" xfId="28083" xr:uid="{00000000-0005-0000-0000-0000076D0000}"/>
    <cellStyle name="Normal 2 32 5 3 2" xfId="28084" xr:uid="{00000000-0005-0000-0000-0000086D0000}"/>
    <cellStyle name="Normal 2 32 5 3 3" xfId="28085" xr:uid="{00000000-0005-0000-0000-0000096D0000}"/>
    <cellStyle name="Normal 2 32 5 4" xfId="28086" xr:uid="{00000000-0005-0000-0000-00000A6D0000}"/>
    <cellStyle name="Normal 2 32 6" xfId="28087" xr:uid="{00000000-0005-0000-0000-00000B6D0000}"/>
    <cellStyle name="Normal 2 32 6 2" xfId="28088" xr:uid="{00000000-0005-0000-0000-00000C6D0000}"/>
    <cellStyle name="Normal 2 32 6 2 2" xfId="28089" xr:uid="{00000000-0005-0000-0000-00000D6D0000}"/>
    <cellStyle name="Normal 2 32 6 2 2 2" xfId="28090" xr:uid="{00000000-0005-0000-0000-00000E6D0000}"/>
    <cellStyle name="Normal 2 32 6 2 2 3" xfId="28091" xr:uid="{00000000-0005-0000-0000-00000F6D0000}"/>
    <cellStyle name="Normal 2 32 6 2 3" xfId="28092" xr:uid="{00000000-0005-0000-0000-0000106D0000}"/>
    <cellStyle name="Normal 2 32 6 2 4" xfId="28093" xr:uid="{00000000-0005-0000-0000-0000116D0000}"/>
    <cellStyle name="Normal 2 32 6 3" xfId="28094" xr:uid="{00000000-0005-0000-0000-0000126D0000}"/>
    <cellStyle name="Normal 2 32 6 3 2" xfId="28095" xr:uid="{00000000-0005-0000-0000-0000136D0000}"/>
    <cellStyle name="Normal 2 32 6 3 3" xfId="28096" xr:uid="{00000000-0005-0000-0000-0000146D0000}"/>
    <cellStyle name="Normal 2 32 6 4" xfId="28097" xr:uid="{00000000-0005-0000-0000-0000156D0000}"/>
    <cellStyle name="Normal 2 32 7" xfId="28098" xr:uid="{00000000-0005-0000-0000-0000166D0000}"/>
    <cellStyle name="Normal 2 32 7 2" xfId="28099" xr:uid="{00000000-0005-0000-0000-0000176D0000}"/>
    <cellStyle name="Normal 2 32 7 2 2" xfId="28100" xr:uid="{00000000-0005-0000-0000-0000186D0000}"/>
    <cellStyle name="Normal 2 32 7 2 2 2" xfId="28101" xr:uid="{00000000-0005-0000-0000-0000196D0000}"/>
    <cellStyle name="Normal 2 32 7 2 2 3" xfId="28102" xr:uid="{00000000-0005-0000-0000-00001A6D0000}"/>
    <cellStyle name="Normal 2 32 7 2 3" xfId="28103" xr:uid="{00000000-0005-0000-0000-00001B6D0000}"/>
    <cellStyle name="Normal 2 32 7 2 4" xfId="28104" xr:uid="{00000000-0005-0000-0000-00001C6D0000}"/>
    <cellStyle name="Normal 2 32 7 3" xfId="28105" xr:uid="{00000000-0005-0000-0000-00001D6D0000}"/>
    <cellStyle name="Normal 2 32 7 3 2" xfId="28106" xr:uid="{00000000-0005-0000-0000-00001E6D0000}"/>
    <cellStyle name="Normal 2 32 7 3 3" xfId="28107" xr:uid="{00000000-0005-0000-0000-00001F6D0000}"/>
    <cellStyle name="Normal 2 32 7 4" xfId="28108" xr:uid="{00000000-0005-0000-0000-0000206D0000}"/>
    <cellStyle name="Normal 2 32 8" xfId="28109" xr:uid="{00000000-0005-0000-0000-0000216D0000}"/>
    <cellStyle name="Normal 2 32 8 2" xfId="28110" xr:uid="{00000000-0005-0000-0000-0000226D0000}"/>
    <cellStyle name="Normal 2 32 8 2 2" xfId="28111" xr:uid="{00000000-0005-0000-0000-0000236D0000}"/>
    <cellStyle name="Normal 2 32 8 2 2 2" xfId="28112" xr:uid="{00000000-0005-0000-0000-0000246D0000}"/>
    <cellStyle name="Normal 2 32 8 2 2 3" xfId="28113" xr:uid="{00000000-0005-0000-0000-0000256D0000}"/>
    <cellStyle name="Normal 2 32 8 2 3" xfId="28114" xr:uid="{00000000-0005-0000-0000-0000266D0000}"/>
    <cellStyle name="Normal 2 32 8 2 4" xfId="28115" xr:uid="{00000000-0005-0000-0000-0000276D0000}"/>
    <cellStyle name="Normal 2 32 8 3" xfId="28116" xr:uid="{00000000-0005-0000-0000-0000286D0000}"/>
    <cellStyle name="Normal 2 32 8 3 2" xfId="28117" xr:uid="{00000000-0005-0000-0000-0000296D0000}"/>
    <cellStyle name="Normal 2 32 8 3 3" xfId="28118" xr:uid="{00000000-0005-0000-0000-00002A6D0000}"/>
    <cellStyle name="Normal 2 32 8 4" xfId="28119" xr:uid="{00000000-0005-0000-0000-00002B6D0000}"/>
    <cellStyle name="Normal 2 32 9" xfId="28120" xr:uid="{00000000-0005-0000-0000-00002C6D0000}"/>
    <cellStyle name="Normal 2 32 9 2" xfId="28121" xr:uid="{00000000-0005-0000-0000-00002D6D0000}"/>
    <cellStyle name="Normal 2 32 9 2 2" xfId="28122" xr:uid="{00000000-0005-0000-0000-00002E6D0000}"/>
    <cellStyle name="Normal 2 32 9 2 2 2" xfId="28123" xr:uid="{00000000-0005-0000-0000-00002F6D0000}"/>
    <cellStyle name="Normal 2 32 9 2 2 3" xfId="28124" xr:uid="{00000000-0005-0000-0000-0000306D0000}"/>
    <cellStyle name="Normal 2 32 9 2 3" xfId="28125" xr:uid="{00000000-0005-0000-0000-0000316D0000}"/>
    <cellStyle name="Normal 2 32 9 2 4" xfId="28126" xr:uid="{00000000-0005-0000-0000-0000326D0000}"/>
    <cellStyle name="Normal 2 32 9 3" xfId="28127" xr:uid="{00000000-0005-0000-0000-0000336D0000}"/>
    <cellStyle name="Normal 2 32 9 3 2" xfId="28128" xr:uid="{00000000-0005-0000-0000-0000346D0000}"/>
    <cellStyle name="Normal 2 32 9 3 3" xfId="28129" xr:uid="{00000000-0005-0000-0000-0000356D0000}"/>
    <cellStyle name="Normal 2 32 9 4" xfId="28130" xr:uid="{00000000-0005-0000-0000-0000366D0000}"/>
    <cellStyle name="Normal 2 33" xfId="28131" xr:uid="{00000000-0005-0000-0000-0000376D0000}"/>
    <cellStyle name="Normal 2 33 10" xfId="28132" xr:uid="{00000000-0005-0000-0000-0000386D0000}"/>
    <cellStyle name="Normal 2 33 10 2" xfId="28133" xr:uid="{00000000-0005-0000-0000-0000396D0000}"/>
    <cellStyle name="Normal 2 33 10 2 2" xfId="28134" xr:uid="{00000000-0005-0000-0000-00003A6D0000}"/>
    <cellStyle name="Normal 2 33 10 2 2 2" xfId="28135" xr:uid="{00000000-0005-0000-0000-00003B6D0000}"/>
    <cellStyle name="Normal 2 33 10 2 2 3" xfId="28136" xr:uid="{00000000-0005-0000-0000-00003C6D0000}"/>
    <cellStyle name="Normal 2 33 10 2 3" xfId="28137" xr:uid="{00000000-0005-0000-0000-00003D6D0000}"/>
    <cellStyle name="Normal 2 33 10 2 4" xfId="28138" xr:uid="{00000000-0005-0000-0000-00003E6D0000}"/>
    <cellStyle name="Normal 2 33 10 3" xfId="28139" xr:uid="{00000000-0005-0000-0000-00003F6D0000}"/>
    <cellStyle name="Normal 2 33 10 3 2" xfId="28140" xr:uid="{00000000-0005-0000-0000-0000406D0000}"/>
    <cellStyle name="Normal 2 33 10 3 3" xfId="28141" xr:uid="{00000000-0005-0000-0000-0000416D0000}"/>
    <cellStyle name="Normal 2 33 10 4" xfId="28142" xr:uid="{00000000-0005-0000-0000-0000426D0000}"/>
    <cellStyle name="Normal 2 33 11" xfId="28143" xr:uid="{00000000-0005-0000-0000-0000436D0000}"/>
    <cellStyle name="Normal 2 33 11 2" xfId="28144" xr:uid="{00000000-0005-0000-0000-0000446D0000}"/>
    <cellStyle name="Normal 2 33 11 2 2" xfId="28145" xr:uid="{00000000-0005-0000-0000-0000456D0000}"/>
    <cellStyle name="Normal 2 33 11 2 2 2" xfId="28146" xr:uid="{00000000-0005-0000-0000-0000466D0000}"/>
    <cellStyle name="Normal 2 33 11 2 2 3" xfId="28147" xr:uid="{00000000-0005-0000-0000-0000476D0000}"/>
    <cellStyle name="Normal 2 33 11 2 3" xfId="28148" xr:uid="{00000000-0005-0000-0000-0000486D0000}"/>
    <cellStyle name="Normal 2 33 11 2 4" xfId="28149" xr:uid="{00000000-0005-0000-0000-0000496D0000}"/>
    <cellStyle name="Normal 2 33 11 3" xfId="28150" xr:uid="{00000000-0005-0000-0000-00004A6D0000}"/>
    <cellStyle name="Normal 2 33 11 3 2" xfId="28151" xr:uid="{00000000-0005-0000-0000-00004B6D0000}"/>
    <cellStyle name="Normal 2 33 11 3 3" xfId="28152" xr:uid="{00000000-0005-0000-0000-00004C6D0000}"/>
    <cellStyle name="Normal 2 33 11 4" xfId="28153" xr:uid="{00000000-0005-0000-0000-00004D6D0000}"/>
    <cellStyle name="Normal 2 33 12" xfId="28154" xr:uid="{00000000-0005-0000-0000-00004E6D0000}"/>
    <cellStyle name="Normal 2 33 12 2" xfId="28155" xr:uid="{00000000-0005-0000-0000-00004F6D0000}"/>
    <cellStyle name="Normal 2 33 12 2 2" xfId="28156" xr:uid="{00000000-0005-0000-0000-0000506D0000}"/>
    <cellStyle name="Normal 2 33 12 2 2 2" xfId="28157" xr:uid="{00000000-0005-0000-0000-0000516D0000}"/>
    <cellStyle name="Normal 2 33 12 2 2 3" xfId="28158" xr:uid="{00000000-0005-0000-0000-0000526D0000}"/>
    <cellStyle name="Normal 2 33 12 2 3" xfId="28159" xr:uid="{00000000-0005-0000-0000-0000536D0000}"/>
    <cellStyle name="Normal 2 33 12 2 4" xfId="28160" xr:uid="{00000000-0005-0000-0000-0000546D0000}"/>
    <cellStyle name="Normal 2 33 12 3" xfId="28161" xr:uid="{00000000-0005-0000-0000-0000556D0000}"/>
    <cellStyle name="Normal 2 33 12 3 2" xfId="28162" xr:uid="{00000000-0005-0000-0000-0000566D0000}"/>
    <cellStyle name="Normal 2 33 12 3 3" xfId="28163" xr:uid="{00000000-0005-0000-0000-0000576D0000}"/>
    <cellStyle name="Normal 2 33 12 4" xfId="28164" xr:uid="{00000000-0005-0000-0000-0000586D0000}"/>
    <cellStyle name="Normal 2 33 13" xfId="28165" xr:uid="{00000000-0005-0000-0000-0000596D0000}"/>
    <cellStyle name="Normal 2 33 13 2" xfId="28166" xr:uid="{00000000-0005-0000-0000-00005A6D0000}"/>
    <cellStyle name="Normal 2 33 13 2 2" xfId="28167" xr:uid="{00000000-0005-0000-0000-00005B6D0000}"/>
    <cellStyle name="Normal 2 33 13 2 2 2" xfId="28168" xr:uid="{00000000-0005-0000-0000-00005C6D0000}"/>
    <cellStyle name="Normal 2 33 13 2 2 3" xfId="28169" xr:uid="{00000000-0005-0000-0000-00005D6D0000}"/>
    <cellStyle name="Normal 2 33 13 2 3" xfId="28170" xr:uid="{00000000-0005-0000-0000-00005E6D0000}"/>
    <cellStyle name="Normal 2 33 13 2 4" xfId="28171" xr:uid="{00000000-0005-0000-0000-00005F6D0000}"/>
    <cellStyle name="Normal 2 33 13 3" xfId="28172" xr:uid="{00000000-0005-0000-0000-0000606D0000}"/>
    <cellStyle name="Normal 2 33 13 3 2" xfId="28173" xr:uid="{00000000-0005-0000-0000-0000616D0000}"/>
    <cellStyle name="Normal 2 33 13 3 3" xfId="28174" xr:uid="{00000000-0005-0000-0000-0000626D0000}"/>
    <cellStyle name="Normal 2 33 13 4" xfId="28175" xr:uid="{00000000-0005-0000-0000-0000636D0000}"/>
    <cellStyle name="Normal 2 33 14" xfId="28176" xr:uid="{00000000-0005-0000-0000-0000646D0000}"/>
    <cellStyle name="Normal 2 33 14 2" xfId="28177" xr:uid="{00000000-0005-0000-0000-0000656D0000}"/>
    <cellStyle name="Normal 2 33 14 2 2" xfId="28178" xr:uid="{00000000-0005-0000-0000-0000666D0000}"/>
    <cellStyle name="Normal 2 33 14 2 2 2" xfId="28179" xr:uid="{00000000-0005-0000-0000-0000676D0000}"/>
    <cellStyle name="Normal 2 33 14 2 2 3" xfId="28180" xr:uid="{00000000-0005-0000-0000-0000686D0000}"/>
    <cellStyle name="Normal 2 33 14 2 3" xfId="28181" xr:uid="{00000000-0005-0000-0000-0000696D0000}"/>
    <cellStyle name="Normal 2 33 14 2 4" xfId="28182" xr:uid="{00000000-0005-0000-0000-00006A6D0000}"/>
    <cellStyle name="Normal 2 33 14 3" xfId="28183" xr:uid="{00000000-0005-0000-0000-00006B6D0000}"/>
    <cellStyle name="Normal 2 33 14 3 2" xfId="28184" xr:uid="{00000000-0005-0000-0000-00006C6D0000}"/>
    <cellStyle name="Normal 2 33 14 3 3" xfId="28185" xr:uid="{00000000-0005-0000-0000-00006D6D0000}"/>
    <cellStyle name="Normal 2 33 14 4" xfId="28186" xr:uid="{00000000-0005-0000-0000-00006E6D0000}"/>
    <cellStyle name="Normal 2 33 15" xfId="28187" xr:uid="{00000000-0005-0000-0000-00006F6D0000}"/>
    <cellStyle name="Normal 2 33 15 2" xfId="28188" xr:uid="{00000000-0005-0000-0000-0000706D0000}"/>
    <cellStyle name="Normal 2 33 15 2 2" xfId="28189" xr:uid="{00000000-0005-0000-0000-0000716D0000}"/>
    <cellStyle name="Normal 2 33 15 2 2 2" xfId="28190" xr:uid="{00000000-0005-0000-0000-0000726D0000}"/>
    <cellStyle name="Normal 2 33 15 2 2 3" xfId="28191" xr:uid="{00000000-0005-0000-0000-0000736D0000}"/>
    <cellStyle name="Normal 2 33 15 2 3" xfId="28192" xr:uid="{00000000-0005-0000-0000-0000746D0000}"/>
    <cellStyle name="Normal 2 33 15 2 4" xfId="28193" xr:uid="{00000000-0005-0000-0000-0000756D0000}"/>
    <cellStyle name="Normal 2 33 15 3" xfId="28194" xr:uid="{00000000-0005-0000-0000-0000766D0000}"/>
    <cellStyle name="Normal 2 33 15 3 2" xfId="28195" xr:uid="{00000000-0005-0000-0000-0000776D0000}"/>
    <cellStyle name="Normal 2 33 15 3 3" xfId="28196" xr:uid="{00000000-0005-0000-0000-0000786D0000}"/>
    <cellStyle name="Normal 2 33 15 4" xfId="28197" xr:uid="{00000000-0005-0000-0000-0000796D0000}"/>
    <cellStyle name="Normal 2 33 16" xfId="28198" xr:uid="{00000000-0005-0000-0000-00007A6D0000}"/>
    <cellStyle name="Normal 2 33 16 2" xfId="28199" xr:uid="{00000000-0005-0000-0000-00007B6D0000}"/>
    <cellStyle name="Normal 2 33 16 2 2" xfId="28200" xr:uid="{00000000-0005-0000-0000-00007C6D0000}"/>
    <cellStyle name="Normal 2 33 16 2 2 2" xfId="28201" xr:uid="{00000000-0005-0000-0000-00007D6D0000}"/>
    <cellStyle name="Normal 2 33 16 2 2 3" xfId="28202" xr:uid="{00000000-0005-0000-0000-00007E6D0000}"/>
    <cellStyle name="Normal 2 33 16 2 3" xfId="28203" xr:uid="{00000000-0005-0000-0000-00007F6D0000}"/>
    <cellStyle name="Normal 2 33 16 2 4" xfId="28204" xr:uid="{00000000-0005-0000-0000-0000806D0000}"/>
    <cellStyle name="Normal 2 33 16 3" xfId="28205" xr:uid="{00000000-0005-0000-0000-0000816D0000}"/>
    <cellStyle name="Normal 2 33 16 3 2" xfId="28206" xr:uid="{00000000-0005-0000-0000-0000826D0000}"/>
    <cellStyle name="Normal 2 33 16 3 3" xfId="28207" xr:uid="{00000000-0005-0000-0000-0000836D0000}"/>
    <cellStyle name="Normal 2 33 16 4" xfId="28208" xr:uid="{00000000-0005-0000-0000-0000846D0000}"/>
    <cellStyle name="Normal 2 33 17" xfId="28209" xr:uid="{00000000-0005-0000-0000-0000856D0000}"/>
    <cellStyle name="Normal 2 33 17 2" xfId="28210" xr:uid="{00000000-0005-0000-0000-0000866D0000}"/>
    <cellStyle name="Normal 2 33 17 2 2" xfId="28211" xr:uid="{00000000-0005-0000-0000-0000876D0000}"/>
    <cellStyle name="Normal 2 33 17 2 2 2" xfId="28212" xr:uid="{00000000-0005-0000-0000-0000886D0000}"/>
    <cellStyle name="Normal 2 33 17 2 2 3" xfId="28213" xr:uid="{00000000-0005-0000-0000-0000896D0000}"/>
    <cellStyle name="Normal 2 33 17 2 3" xfId="28214" xr:uid="{00000000-0005-0000-0000-00008A6D0000}"/>
    <cellStyle name="Normal 2 33 17 2 4" xfId="28215" xr:uid="{00000000-0005-0000-0000-00008B6D0000}"/>
    <cellStyle name="Normal 2 33 17 3" xfId="28216" xr:uid="{00000000-0005-0000-0000-00008C6D0000}"/>
    <cellStyle name="Normal 2 33 17 3 2" xfId="28217" xr:uid="{00000000-0005-0000-0000-00008D6D0000}"/>
    <cellStyle name="Normal 2 33 17 3 3" xfId="28218" xr:uid="{00000000-0005-0000-0000-00008E6D0000}"/>
    <cellStyle name="Normal 2 33 17 4" xfId="28219" xr:uid="{00000000-0005-0000-0000-00008F6D0000}"/>
    <cellStyle name="Normal 2 33 18" xfId="28220" xr:uid="{00000000-0005-0000-0000-0000906D0000}"/>
    <cellStyle name="Normal 2 33 18 2" xfId="28221" xr:uid="{00000000-0005-0000-0000-0000916D0000}"/>
    <cellStyle name="Normal 2 33 18 2 2" xfId="28222" xr:uid="{00000000-0005-0000-0000-0000926D0000}"/>
    <cellStyle name="Normal 2 33 18 2 2 2" xfId="28223" xr:uid="{00000000-0005-0000-0000-0000936D0000}"/>
    <cellStyle name="Normal 2 33 18 2 2 3" xfId="28224" xr:uid="{00000000-0005-0000-0000-0000946D0000}"/>
    <cellStyle name="Normal 2 33 18 2 3" xfId="28225" xr:uid="{00000000-0005-0000-0000-0000956D0000}"/>
    <cellStyle name="Normal 2 33 18 2 4" xfId="28226" xr:uid="{00000000-0005-0000-0000-0000966D0000}"/>
    <cellStyle name="Normal 2 33 18 3" xfId="28227" xr:uid="{00000000-0005-0000-0000-0000976D0000}"/>
    <cellStyle name="Normal 2 33 18 3 2" xfId="28228" xr:uid="{00000000-0005-0000-0000-0000986D0000}"/>
    <cellStyle name="Normal 2 33 18 3 3" xfId="28229" xr:uid="{00000000-0005-0000-0000-0000996D0000}"/>
    <cellStyle name="Normal 2 33 18 4" xfId="28230" xr:uid="{00000000-0005-0000-0000-00009A6D0000}"/>
    <cellStyle name="Normal 2 33 19" xfId="28231" xr:uid="{00000000-0005-0000-0000-00009B6D0000}"/>
    <cellStyle name="Normal 2 33 19 2" xfId="28232" xr:uid="{00000000-0005-0000-0000-00009C6D0000}"/>
    <cellStyle name="Normal 2 33 19 2 2" xfId="28233" xr:uid="{00000000-0005-0000-0000-00009D6D0000}"/>
    <cellStyle name="Normal 2 33 19 2 2 2" xfId="28234" xr:uid="{00000000-0005-0000-0000-00009E6D0000}"/>
    <cellStyle name="Normal 2 33 19 2 2 3" xfId="28235" xr:uid="{00000000-0005-0000-0000-00009F6D0000}"/>
    <cellStyle name="Normal 2 33 19 2 3" xfId="28236" xr:uid="{00000000-0005-0000-0000-0000A06D0000}"/>
    <cellStyle name="Normal 2 33 19 2 4" xfId="28237" xr:uid="{00000000-0005-0000-0000-0000A16D0000}"/>
    <cellStyle name="Normal 2 33 19 3" xfId="28238" xr:uid="{00000000-0005-0000-0000-0000A26D0000}"/>
    <cellStyle name="Normal 2 33 19 3 2" xfId="28239" xr:uid="{00000000-0005-0000-0000-0000A36D0000}"/>
    <cellStyle name="Normal 2 33 19 3 3" xfId="28240" xr:uid="{00000000-0005-0000-0000-0000A46D0000}"/>
    <cellStyle name="Normal 2 33 19 4" xfId="28241" xr:uid="{00000000-0005-0000-0000-0000A56D0000}"/>
    <cellStyle name="Normal 2 33 2" xfId="28242" xr:uid="{00000000-0005-0000-0000-0000A66D0000}"/>
    <cellStyle name="Normal 2 33 2 2" xfId="28243" xr:uid="{00000000-0005-0000-0000-0000A76D0000}"/>
    <cellStyle name="Normal 2 33 2 2 2" xfId="28244" xr:uid="{00000000-0005-0000-0000-0000A86D0000}"/>
    <cellStyle name="Normal 2 33 2 2 2 2" xfId="28245" xr:uid="{00000000-0005-0000-0000-0000A96D0000}"/>
    <cellStyle name="Normal 2 33 2 2 2 3" xfId="28246" xr:uid="{00000000-0005-0000-0000-0000AA6D0000}"/>
    <cellStyle name="Normal 2 33 2 2 3" xfId="28247" xr:uid="{00000000-0005-0000-0000-0000AB6D0000}"/>
    <cellStyle name="Normal 2 33 2 2 4" xfId="28248" xr:uid="{00000000-0005-0000-0000-0000AC6D0000}"/>
    <cellStyle name="Normal 2 33 2 3" xfId="28249" xr:uid="{00000000-0005-0000-0000-0000AD6D0000}"/>
    <cellStyle name="Normal 2 33 2 3 2" xfId="28250" xr:uid="{00000000-0005-0000-0000-0000AE6D0000}"/>
    <cellStyle name="Normal 2 33 2 3 3" xfId="28251" xr:uid="{00000000-0005-0000-0000-0000AF6D0000}"/>
    <cellStyle name="Normal 2 33 2 4" xfId="28252" xr:uid="{00000000-0005-0000-0000-0000B06D0000}"/>
    <cellStyle name="Normal 2 33 20" xfId="28253" xr:uid="{00000000-0005-0000-0000-0000B16D0000}"/>
    <cellStyle name="Normal 2 33 20 2" xfId="28254" xr:uid="{00000000-0005-0000-0000-0000B26D0000}"/>
    <cellStyle name="Normal 2 33 20 2 2" xfId="28255" xr:uid="{00000000-0005-0000-0000-0000B36D0000}"/>
    <cellStyle name="Normal 2 33 20 2 2 2" xfId="28256" xr:uid="{00000000-0005-0000-0000-0000B46D0000}"/>
    <cellStyle name="Normal 2 33 20 2 2 3" xfId="28257" xr:uid="{00000000-0005-0000-0000-0000B56D0000}"/>
    <cellStyle name="Normal 2 33 20 2 3" xfId="28258" xr:uid="{00000000-0005-0000-0000-0000B66D0000}"/>
    <cellStyle name="Normal 2 33 20 2 4" xfId="28259" xr:uid="{00000000-0005-0000-0000-0000B76D0000}"/>
    <cellStyle name="Normal 2 33 20 3" xfId="28260" xr:uid="{00000000-0005-0000-0000-0000B86D0000}"/>
    <cellStyle name="Normal 2 33 20 3 2" xfId="28261" xr:uid="{00000000-0005-0000-0000-0000B96D0000}"/>
    <cellStyle name="Normal 2 33 20 3 3" xfId="28262" xr:uid="{00000000-0005-0000-0000-0000BA6D0000}"/>
    <cellStyle name="Normal 2 33 20 4" xfId="28263" xr:uid="{00000000-0005-0000-0000-0000BB6D0000}"/>
    <cellStyle name="Normal 2 33 21" xfId="28264" xr:uid="{00000000-0005-0000-0000-0000BC6D0000}"/>
    <cellStyle name="Normal 2 33 21 2" xfId="28265" xr:uid="{00000000-0005-0000-0000-0000BD6D0000}"/>
    <cellStyle name="Normal 2 33 21 2 2" xfId="28266" xr:uid="{00000000-0005-0000-0000-0000BE6D0000}"/>
    <cellStyle name="Normal 2 33 21 2 2 2" xfId="28267" xr:uid="{00000000-0005-0000-0000-0000BF6D0000}"/>
    <cellStyle name="Normal 2 33 21 2 2 3" xfId="28268" xr:uid="{00000000-0005-0000-0000-0000C06D0000}"/>
    <cellStyle name="Normal 2 33 21 2 3" xfId="28269" xr:uid="{00000000-0005-0000-0000-0000C16D0000}"/>
    <cellStyle name="Normal 2 33 21 2 4" xfId="28270" xr:uid="{00000000-0005-0000-0000-0000C26D0000}"/>
    <cellStyle name="Normal 2 33 21 3" xfId="28271" xr:uid="{00000000-0005-0000-0000-0000C36D0000}"/>
    <cellStyle name="Normal 2 33 21 3 2" xfId="28272" xr:uid="{00000000-0005-0000-0000-0000C46D0000}"/>
    <cellStyle name="Normal 2 33 21 3 3" xfId="28273" xr:uid="{00000000-0005-0000-0000-0000C56D0000}"/>
    <cellStyle name="Normal 2 33 21 4" xfId="28274" xr:uid="{00000000-0005-0000-0000-0000C66D0000}"/>
    <cellStyle name="Normal 2 33 22" xfId="28275" xr:uid="{00000000-0005-0000-0000-0000C76D0000}"/>
    <cellStyle name="Normal 2 33 22 2" xfId="28276" xr:uid="{00000000-0005-0000-0000-0000C86D0000}"/>
    <cellStyle name="Normal 2 33 22 2 2" xfId="28277" xr:uid="{00000000-0005-0000-0000-0000C96D0000}"/>
    <cellStyle name="Normal 2 33 22 2 2 2" xfId="28278" xr:uid="{00000000-0005-0000-0000-0000CA6D0000}"/>
    <cellStyle name="Normal 2 33 22 2 2 3" xfId="28279" xr:uid="{00000000-0005-0000-0000-0000CB6D0000}"/>
    <cellStyle name="Normal 2 33 22 2 3" xfId="28280" xr:uid="{00000000-0005-0000-0000-0000CC6D0000}"/>
    <cellStyle name="Normal 2 33 22 2 4" xfId="28281" xr:uid="{00000000-0005-0000-0000-0000CD6D0000}"/>
    <cellStyle name="Normal 2 33 22 3" xfId="28282" xr:uid="{00000000-0005-0000-0000-0000CE6D0000}"/>
    <cellStyle name="Normal 2 33 22 3 2" xfId="28283" xr:uid="{00000000-0005-0000-0000-0000CF6D0000}"/>
    <cellStyle name="Normal 2 33 22 3 3" xfId="28284" xr:uid="{00000000-0005-0000-0000-0000D06D0000}"/>
    <cellStyle name="Normal 2 33 22 4" xfId="28285" xr:uid="{00000000-0005-0000-0000-0000D16D0000}"/>
    <cellStyle name="Normal 2 33 23" xfId="28286" xr:uid="{00000000-0005-0000-0000-0000D26D0000}"/>
    <cellStyle name="Normal 2 33 23 2" xfId="28287" xr:uid="{00000000-0005-0000-0000-0000D36D0000}"/>
    <cellStyle name="Normal 2 33 23 2 2" xfId="28288" xr:uid="{00000000-0005-0000-0000-0000D46D0000}"/>
    <cellStyle name="Normal 2 33 23 2 2 2" xfId="28289" xr:uid="{00000000-0005-0000-0000-0000D56D0000}"/>
    <cellStyle name="Normal 2 33 23 2 2 3" xfId="28290" xr:uid="{00000000-0005-0000-0000-0000D66D0000}"/>
    <cellStyle name="Normal 2 33 23 2 3" xfId="28291" xr:uid="{00000000-0005-0000-0000-0000D76D0000}"/>
    <cellStyle name="Normal 2 33 23 2 4" xfId="28292" xr:uid="{00000000-0005-0000-0000-0000D86D0000}"/>
    <cellStyle name="Normal 2 33 23 3" xfId="28293" xr:uid="{00000000-0005-0000-0000-0000D96D0000}"/>
    <cellStyle name="Normal 2 33 23 3 2" xfId="28294" xr:uid="{00000000-0005-0000-0000-0000DA6D0000}"/>
    <cellStyle name="Normal 2 33 23 3 3" xfId="28295" xr:uid="{00000000-0005-0000-0000-0000DB6D0000}"/>
    <cellStyle name="Normal 2 33 23 4" xfId="28296" xr:uid="{00000000-0005-0000-0000-0000DC6D0000}"/>
    <cellStyle name="Normal 2 33 24" xfId="28297" xr:uid="{00000000-0005-0000-0000-0000DD6D0000}"/>
    <cellStyle name="Normal 2 33 24 2" xfId="28298" xr:uid="{00000000-0005-0000-0000-0000DE6D0000}"/>
    <cellStyle name="Normal 2 33 24 2 2" xfId="28299" xr:uid="{00000000-0005-0000-0000-0000DF6D0000}"/>
    <cellStyle name="Normal 2 33 24 2 3" xfId="28300" xr:uid="{00000000-0005-0000-0000-0000E06D0000}"/>
    <cellStyle name="Normal 2 33 24 3" xfId="28301" xr:uid="{00000000-0005-0000-0000-0000E16D0000}"/>
    <cellStyle name="Normal 2 33 24 4" xfId="28302" xr:uid="{00000000-0005-0000-0000-0000E26D0000}"/>
    <cellStyle name="Normal 2 33 25" xfId="28303" xr:uid="{00000000-0005-0000-0000-0000E36D0000}"/>
    <cellStyle name="Normal 2 33 25 2" xfId="28304" xr:uid="{00000000-0005-0000-0000-0000E46D0000}"/>
    <cellStyle name="Normal 2 33 25 3" xfId="28305" xr:uid="{00000000-0005-0000-0000-0000E56D0000}"/>
    <cellStyle name="Normal 2 33 26" xfId="28306" xr:uid="{00000000-0005-0000-0000-0000E66D0000}"/>
    <cellStyle name="Normal 2 33 3" xfId="28307" xr:uid="{00000000-0005-0000-0000-0000E76D0000}"/>
    <cellStyle name="Normal 2 33 3 2" xfId="28308" xr:uid="{00000000-0005-0000-0000-0000E86D0000}"/>
    <cellStyle name="Normal 2 33 3 2 2" xfId="28309" xr:uid="{00000000-0005-0000-0000-0000E96D0000}"/>
    <cellStyle name="Normal 2 33 3 2 2 2" xfId="28310" xr:uid="{00000000-0005-0000-0000-0000EA6D0000}"/>
    <cellStyle name="Normal 2 33 3 2 2 3" xfId="28311" xr:uid="{00000000-0005-0000-0000-0000EB6D0000}"/>
    <cellStyle name="Normal 2 33 3 2 3" xfId="28312" xr:uid="{00000000-0005-0000-0000-0000EC6D0000}"/>
    <cellStyle name="Normal 2 33 3 2 4" xfId="28313" xr:uid="{00000000-0005-0000-0000-0000ED6D0000}"/>
    <cellStyle name="Normal 2 33 3 3" xfId="28314" xr:uid="{00000000-0005-0000-0000-0000EE6D0000}"/>
    <cellStyle name="Normal 2 33 3 3 2" xfId="28315" xr:uid="{00000000-0005-0000-0000-0000EF6D0000}"/>
    <cellStyle name="Normal 2 33 3 3 3" xfId="28316" xr:uid="{00000000-0005-0000-0000-0000F06D0000}"/>
    <cellStyle name="Normal 2 33 3 4" xfId="28317" xr:uid="{00000000-0005-0000-0000-0000F16D0000}"/>
    <cellStyle name="Normal 2 33 4" xfId="28318" xr:uid="{00000000-0005-0000-0000-0000F26D0000}"/>
    <cellStyle name="Normal 2 33 4 2" xfId="28319" xr:uid="{00000000-0005-0000-0000-0000F36D0000}"/>
    <cellStyle name="Normal 2 33 4 2 2" xfId="28320" xr:uid="{00000000-0005-0000-0000-0000F46D0000}"/>
    <cellStyle name="Normal 2 33 4 2 2 2" xfId="28321" xr:uid="{00000000-0005-0000-0000-0000F56D0000}"/>
    <cellStyle name="Normal 2 33 4 2 2 3" xfId="28322" xr:uid="{00000000-0005-0000-0000-0000F66D0000}"/>
    <cellStyle name="Normal 2 33 4 2 3" xfId="28323" xr:uid="{00000000-0005-0000-0000-0000F76D0000}"/>
    <cellStyle name="Normal 2 33 4 2 4" xfId="28324" xr:uid="{00000000-0005-0000-0000-0000F86D0000}"/>
    <cellStyle name="Normal 2 33 4 3" xfId="28325" xr:uid="{00000000-0005-0000-0000-0000F96D0000}"/>
    <cellStyle name="Normal 2 33 4 3 2" xfId="28326" xr:uid="{00000000-0005-0000-0000-0000FA6D0000}"/>
    <cellStyle name="Normal 2 33 4 3 3" xfId="28327" xr:uid="{00000000-0005-0000-0000-0000FB6D0000}"/>
    <cellStyle name="Normal 2 33 4 4" xfId="28328" xr:uid="{00000000-0005-0000-0000-0000FC6D0000}"/>
    <cellStyle name="Normal 2 33 5" xfId="28329" xr:uid="{00000000-0005-0000-0000-0000FD6D0000}"/>
    <cellStyle name="Normal 2 33 5 2" xfId="28330" xr:uid="{00000000-0005-0000-0000-0000FE6D0000}"/>
    <cellStyle name="Normal 2 33 5 2 2" xfId="28331" xr:uid="{00000000-0005-0000-0000-0000FF6D0000}"/>
    <cellStyle name="Normal 2 33 5 2 2 2" xfId="28332" xr:uid="{00000000-0005-0000-0000-0000006E0000}"/>
    <cellStyle name="Normal 2 33 5 2 2 3" xfId="28333" xr:uid="{00000000-0005-0000-0000-0000016E0000}"/>
    <cellStyle name="Normal 2 33 5 2 3" xfId="28334" xr:uid="{00000000-0005-0000-0000-0000026E0000}"/>
    <cellStyle name="Normal 2 33 5 2 4" xfId="28335" xr:uid="{00000000-0005-0000-0000-0000036E0000}"/>
    <cellStyle name="Normal 2 33 5 3" xfId="28336" xr:uid="{00000000-0005-0000-0000-0000046E0000}"/>
    <cellStyle name="Normal 2 33 5 3 2" xfId="28337" xr:uid="{00000000-0005-0000-0000-0000056E0000}"/>
    <cellStyle name="Normal 2 33 5 3 3" xfId="28338" xr:uid="{00000000-0005-0000-0000-0000066E0000}"/>
    <cellStyle name="Normal 2 33 5 4" xfId="28339" xr:uid="{00000000-0005-0000-0000-0000076E0000}"/>
    <cellStyle name="Normal 2 33 6" xfId="28340" xr:uid="{00000000-0005-0000-0000-0000086E0000}"/>
    <cellStyle name="Normal 2 33 6 2" xfId="28341" xr:uid="{00000000-0005-0000-0000-0000096E0000}"/>
    <cellStyle name="Normal 2 33 6 2 2" xfId="28342" xr:uid="{00000000-0005-0000-0000-00000A6E0000}"/>
    <cellStyle name="Normal 2 33 6 2 2 2" xfId="28343" xr:uid="{00000000-0005-0000-0000-00000B6E0000}"/>
    <cellStyle name="Normal 2 33 6 2 2 3" xfId="28344" xr:uid="{00000000-0005-0000-0000-00000C6E0000}"/>
    <cellStyle name="Normal 2 33 6 2 3" xfId="28345" xr:uid="{00000000-0005-0000-0000-00000D6E0000}"/>
    <cellStyle name="Normal 2 33 6 2 4" xfId="28346" xr:uid="{00000000-0005-0000-0000-00000E6E0000}"/>
    <cellStyle name="Normal 2 33 6 3" xfId="28347" xr:uid="{00000000-0005-0000-0000-00000F6E0000}"/>
    <cellStyle name="Normal 2 33 6 3 2" xfId="28348" xr:uid="{00000000-0005-0000-0000-0000106E0000}"/>
    <cellStyle name="Normal 2 33 6 3 3" xfId="28349" xr:uid="{00000000-0005-0000-0000-0000116E0000}"/>
    <cellStyle name="Normal 2 33 6 4" xfId="28350" xr:uid="{00000000-0005-0000-0000-0000126E0000}"/>
    <cellStyle name="Normal 2 33 7" xfId="28351" xr:uid="{00000000-0005-0000-0000-0000136E0000}"/>
    <cellStyle name="Normal 2 33 7 2" xfId="28352" xr:uid="{00000000-0005-0000-0000-0000146E0000}"/>
    <cellStyle name="Normal 2 33 7 2 2" xfId="28353" xr:uid="{00000000-0005-0000-0000-0000156E0000}"/>
    <cellStyle name="Normal 2 33 7 2 2 2" xfId="28354" xr:uid="{00000000-0005-0000-0000-0000166E0000}"/>
    <cellStyle name="Normal 2 33 7 2 2 3" xfId="28355" xr:uid="{00000000-0005-0000-0000-0000176E0000}"/>
    <cellStyle name="Normal 2 33 7 2 3" xfId="28356" xr:uid="{00000000-0005-0000-0000-0000186E0000}"/>
    <cellStyle name="Normal 2 33 7 2 4" xfId="28357" xr:uid="{00000000-0005-0000-0000-0000196E0000}"/>
    <cellStyle name="Normal 2 33 7 3" xfId="28358" xr:uid="{00000000-0005-0000-0000-00001A6E0000}"/>
    <cellStyle name="Normal 2 33 7 3 2" xfId="28359" xr:uid="{00000000-0005-0000-0000-00001B6E0000}"/>
    <cellStyle name="Normal 2 33 7 3 3" xfId="28360" xr:uid="{00000000-0005-0000-0000-00001C6E0000}"/>
    <cellStyle name="Normal 2 33 7 4" xfId="28361" xr:uid="{00000000-0005-0000-0000-00001D6E0000}"/>
    <cellStyle name="Normal 2 33 8" xfId="28362" xr:uid="{00000000-0005-0000-0000-00001E6E0000}"/>
    <cellStyle name="Normal 2 33 8 2" xfId="28363" xr:uid="{00000000-0005-0000-0000-00001F6E0000}"/>
    <cellStyle name="Normal 2 33 8 2 2" xfId="28364" xr:uid="{00000000-0005-0000-0000-0000206E0000}"/>
    <cellStyle name="Normal 2 33 8 2 2 2" xfId="28365" xr:uid="{00000000-0005-0000-0000-0000216E0000}"/>
    <cellStyle name="Normal 2 33 8 2 2 3" xfId="28366" xr:uid="{00000000-0005-0000-0000-0000226E0000}"/>
    <cellStyle name="Normal 2 33 8 2 3" xfId="28367" xr:uid="{00000000-0005-0000-0000-0000236E0000}"/>
    <cellStyle name="Normal 2 33 8 2 4" xfId="28368" xr:uid="{00000000-0005-0000-0000-0000246E0000}"/>
    <cellStyle name="Normal 2 33 8 3" xfId="28369" xr:uid="{00000000-0005-0000-0000-0000256E0000}"/>
    <cellStyle name="Normal 2 33 8 3 2" xfId="28370" xr:uid="{00000000-0005-0000-0000-0000266E0000}"/>
    <cellStyle name="Normal 2 33 8 3 3" xfId="28371" xr:uid="{00000000-0005-0000-0000-0000276E0000}"/>
    <cellStyle name="Normal 2 33 8 4" xfId="28372" xr:uid="{00000000-0005-0000-0000-0000286E0000}"/>
    <cellStyle name="Normal 2 33 9" xfId="28373" xr:uid="{00000000-0005-0000-0000-0000296E0000}"/>
    <cellStyle name="Normal 2 33 9 2" xfId="28374" xr:uid="{00000000-0005-0000-0000-00002A6E0000}"/>
    <cellStyle name="Normal 2 33 9 2 2" xfId="28375" xr:uid="{00000000-0005-0000-0000-00002B6E0000}"/>
    <cellStyle name="Normal 2 33 9 2 2 2" xfId="28376" xr:uid="{00000000-0005-0000-0000-00002C6E0000}"/>
    <cellStyle name="Normal 2 33 9 2 2 3" xfId="28377" xr:uid="{00000000-0005-0000-0000-00002D6E0000}"/>
    <cellStyle name="Normal 2 33 9 2 3" xfId="28378" xr:uid="{00000000-0005-0000-0000-00002E6E0000}"/>
    <cellStyle name="Normal 2 33 9 2 4" xfId="28379" xr:uid="{00000000-0005-0000-0000-00002F6E0000}"/>
    <cellStyle name="Normal 2 33 9 3" xfId="28380" xr:uid="{00000000-0005-0000-0000-0000306E0000}"/>
    <cellStyle name="Normal 2 33 9 3 2" xfId="28381" xr:uid="{00000000-0005-0000-0000-0000316E0000}"/>
    <cellStyle name="Normal 2 33 9 3 3" xfId="28382" xr:uid="{00000000-0005-0000-0000-0000326E0000}"/>
    <cellStyle name="Normal 2 33 9 4" xfId="28383" xr:uid="{00000000-0005-0000-0000-0000336E0000}"/>
    <cellStyle name="Normal 2 34" xfId="28384" xr:uid="{00000000-0005-0000-0000-0000346E0000}"/>
    <cellStyle name="Normal 2 34 10" xfId="28385" xr:uid="{00000000-0005-0000-0000-0000356E0000}"/>
    <cellStyle name="Normal 2 34 10 2" xfId="28386" xr:uid="{00000000-0005-0000-0000-0000366E0000}"/>
    <cellStyle name="Normal 2 34 10 2 2" xfId="28387" xr:uid="{00000000-0005-0000-0000-0000376E0000}"/>
    <cellStyle name="Normal 2 34 10 2 2 2" xfId="28388" xr:uid="{00000000-0005-0000-0000-0000386E0000}"/>
    <cellStyle name="Normal 2 34 10 2 2 3" xfId="28389" xr:uid="{00000000-0005-0000-0000-0000396E0000}"/>
    <cellStyle name="Normal 2 34 10 2 3" xfId="28390" xr:uid="{00000000-0005-0000-0000-00003A6E0000}"/>
    <cellStyle name="Normal 2 34 10 2 4" xfId="28391" xr:uid="{00000000-0005-0000-0000-00003B6E0000}"/>
    <cellStyle name="Normal 2 34 10 3" xfId="28392" xr:uid="{00000000-0005-0000-0000-00003C6E0000}"/>
    <cellStyle name="Normal 2 34 10 3 2" xfId="28393" xr:uid="{00000000-0005-0000-0000-00003D6E0000}"/>
    <cellStyle name="Normal 2 34 10 3 3" xfId="28394" xr:uid="{00000000-0005-0000-0000-00003E6E0000}"/>
    <cellStyle name="Normal 2 34 10 4" xfId="28395" xr:uid="{00000000-0005-0000-0000-00003F6E0000}"/>
    <cellStyle name="Normal 2 34 11" xfId="28396" xr:uid="{00000000-0005-0000-0000-0000406E0000}"/>
    <cellStyle name="Normal 2 34 11 2" xfId="28397" xr:uid="{00000000-0005-0000-0000-0000416E0000}"/>
    <cellStyle name="Normal 2 34 11 2 2" xfId="28398" xr:uid="{00000000-0005-0000-0000-0000426E0000}"/>
    <cellStyle name="Normal 2 34 11 2 2 2" xfId="28399" xr:uid="{00000000-0005-0000-0000-0000436E0000}"/>
    <cellStyle name="Normal 2 34 11 2 2 3" xfId="28400" xr:uid="{00000000-0005-0000-0000-0000446E0000}"/>
    <cellStyle name="Normal 2 34 11 2 3" xfId="28401" xr:uid="{00000000-0005-0000-0000-0000456E0000}"/>
    <cellStyle name="Normal 2 34 11 2 4" xfId="28402" xr:uid="{00000000-0005-0000-0000-0000466E0000}"/>
    <cellStyle name="Normal 2 34 11 3" xfId="28403" xr:uid="{00000000-0005-0000-0000-0000476E0000}"/>
    <cellStyle name="Normal 2 34 11 3 2" xfId="28404" xr:uid="{00000000-0005-0000-0000-0000486E0000}"/>
    <cellStyle name="Normal 2 34 11 3 3" xfId="28405" xr:uid="{00000000-0005-0000-0000-0000496E0000}"/>
    <cellStyle name="Normal 2 34 11 4" xfId="28406" xr:uid="{00000000-0005-0000-0000-00004A6E0000}"/>
    <cellStyle name="Normal 2 34 12" xfId="28407" xr:uid="{00000000-0005-0000-0000-00004B6E0000}"/>
    <cellStyle name="Normal 2 34 12 2" xfId="28408" xr:uid="{00000000-0005-0000-0000-00004C6E0000}"/>
    <cellStyle name="Normal 2 34 12 2 2" xfId="28409" xr:uid="{00000000-0005-0000-0000-00004D6E0000}"/>
    <cellStyle name="Normal 2 34 12 2 2 2" xfId="28410" xr:uid="{00000000-0005-0000-0000-00004E6E0000}"/>
    <cellStyle name="Normal 2 34 12 2 2 3" xfId="28411" xr:uid="{00000000-0005-0000-0000-00004F6E0000}"/>
    <cellStyle name="Normal 2 34 12 2 3" xfId="28412" xr:uid="{00000000-0005-0000-0000-0000506E0000}"/>
    <cellStyle name="Normal 2 34 12 2 4" xfId="28413" xr:uid="{00000000-0005-0000-0000-0000516E0000}"/>
    <cellStyle name="Normal 2 34 12 3" xfId="28414" xr:uid="{00000000-0005-0000-0000-0000526E0000}"/>
    <cellStyle name="Normal 2 34 12 3 2" xfId="28415" xr:uid="{00000000-0005-0000-0000-0000536E0000}"/>
    <cellStyle name="Normal 2 34 12 3 3" xfId="28416" xr:uid="{00000000-0005-0000-0000-0000546E0000}"/>
    <cellStyle name="Normal 2 34 12 4" xfId="28417" xr:uid="{00000000-0005-0000-0000-0000556E0000}"/>
    <cellStyle name="Normal 2 34 13" xfId="28418" xr:uid="{00000000-0005-0000-0000-0000566E0000}"/>
    <cellStyle name="Normal 2 34 13 2" xfId="28419" xr:uid="{00000000-0005-0000-0000-0000576E0000}"/>
    <cellStyle name="Normal 2 34 13 2 2" xfId="28420" xr:uid="{00000000-0005-0000-0000-0000586E0000}"/>
    <cellStyle name="Normal 2 34 13 2 2 2" xfId="28421" xr:uid="{00000000-0005-0000-0000-0000596E0000}"/>
    <cellStyle name="Normal 2 34 13 2 2 3" xfId="28422" xr:uid="{00000000-0005-0000-0000-00005A6E0000}"/>
    <cellStyle name="Normal 2 34 13 2 3" xfId="28423" xr:uid="{00000000-0005-0000-0000-00005B6E0000}"/>
    <cellStyle name="Normal 2 34 13 2 4" xfId="28424" xr:uid="{00000000-0005-0000-0000-00005C6E0000}"/>
    <cellStyle name="Normal 2 34 13 3" xfId="28425" xr:uid="{00000000-0005-0000-0000-00005D6E0000}"/>
    <cellStyle name="Normal 2 34 13 3 2" xfId="28426" xr:uid="{00000000-0005-0000-0000-00005E6E0000}"/>
    <cellStyle name="Normal 2 34 13 3 3" xfId="28427" xr:uid="{00000000-0005-0000-0000-00005F6E0000}"/>
    <cellStyle name="Normal 2 34 13 4" xfId="28428" xr:uid="{00000000-0005-0000-0000-0000606E0000}"/>
    <cellStyle name="Normal 2 34 14" xfId="28429" xr:uid="{00000000-0005-0000-0000-0000616E0000}"/>
    <cellStyle name="Normal 2 34 14 2" xfId="28430" xr:uid="{00000000-0005-0000-0000-0000626E0000}"/>
    <cellStyle name="Normal 2 34 14 2 2" xfId="28431" xr:uid="{00000000-0005-0000-0000-0000636E0000}"/>
    <cellStyle name="Normal 2 34 14 2 2 2" xfId="28432" xr:uid="{00000000-0005-0000-0000-0000646E0000}"/>
    <cellStyle name="Normal 2 34 14 2 2 3" xfId="28433" xr:uid="{00000000-0005-0000-0000-0000656E0000}"/>
    <cellStyle name="Normal 2 34 14 2 3" xfId="28434" xr:uid="{00000000-0005-0000-0000-0000666E0000}"/>
    <cellStyle name="Normal 2 34 14 2 4" xfId="28435" xr:uid="{00000000-0005-0000-0000-0000676E0000}"/>
    <cellStyle name="Normal 2 34 14 3" xfId="28436" xr:uid="{00000000-0005-0000-0000-0000686E0000}"/>
    <cellStyle name="Normal 2 34 14 3 2" xfId="28437" xr:uid="{00000000-0005-0000-0000-0000696E0000}"/>
    <cellStyle name="Normal 2 34 14 3 3" xfId="28438" xr:uid="{00000000-0005-0000-0000-00006A6E0000}"/>
    <cellStyle name="Normal 2 34 14 4" xfId="28439" xr:uid="{00000000-0005-0000-0000-00006B6E0000}"/>
    <cellStyle name="Normal 2 34 15" xfId="28440" xr:uid="{00000000-0005-0000-0000-00006C6E0000}"/>
    <cellStyle name="Normal 2 34 15 2" xfId="28441" xr:uid="{00000000-0005-0000-0000-00006D6E0000}"/>
    <cellStyle name="Normal 2 34 15 2 2" xfId="28442" xr:uid="{00000000-0005-0000-0000-00006E6E0000}"/>
    <cellStyle name="Normal 2 34 15 2 2 2" xfId="28443" xr:uid="{00000000-0005-0000-0000-00006F6E0000}"/>
    <cellStyle name="Normal 2 34 15 2 2 3" xfId="28444" xr:uid="{00000000-0005-0000-0000-0000706E0000}"/>
    <cellStyle name="Normal 2 34 15 2 3" xfId="28445" xr:uid="{00000000-0005-0000-0000-0000716E0000}"/>
    <cellStyle name="Normal 2 34 15 2 4" xfId="28446" xr:uid="{00000000-0005-0000-0000-0000726E0000}"/>
    <cellStyle name="Normal 2 34 15 3" xfId="28447" xr:uid="{00000000-0005-0000-0000-0000736E0000}"/>
    <cellStyle name="Normal 2 34 15 3 2" xfId="28448" xr:uid="{00000000-0005-0000-0000-0000746E0000}"/>
    <cellStyle name="Normal 2 34 15 3 3" xfId="28449" xr:uid="{00000000-0005-0000-0000-0000756E0000}"/>
    <cellStyle name="Normal 2 34 15 4" xfId="28450" xr:uid="{00000000-0005-0000-0000-0000766E0000}"/>
    <cellStyle name="Normal 2 34 16" xfId="28451" xr:uid="{00000000-0005-0000-0000-0000776E0000}"/>
    <cellStyle name="Normal 2 34 16 2" xfId="28452" xr:uid="{00000000-0005-0000-0000-0000786E0000}"/>
    <cellStyle name="Normal 2 34 16 2 2" xfId="28453" xr:uid="{00000000-0005-0000-0000-0000796E0000}"/>
    <cellStyle name="Normal 2 34 16 2 2 2" xfId="28454" xr:uid="{00000000-0005-0000-0000-00007A6E0000}"/>
    <cellStyle name="Normal 2 34 16 2 2 3" xfId="28455" xr:uid="{00000000-0005-0000-0000-00007B6E0000}"/>
    <cellStyle name="Normal 2 34 16 2 3" xfId="28456" xr:uid="{00000000-0005-0000-0000-00007C6E0000}"/>
    <cellStyle name="Normal 2 34 16 2 4" xfId="28457" xr:uid="{00000000-0005-0000-0000-00007D6E0000}"/>
    <cellStyle name="Normal 2 34 16 3" xfId="28458" xr:uid="{00000000-0005-0000-0000-00007E6E0000}"/>
    <cellStyle name="Normal 2 34 16 3 2" xfId="28459" xr:uid="{00000000-0005-0000-0000-00007F6E0000}"/>
    <cellStyle name="Normal 2 34 16 3 3" xfId="28460" xr:uid="{00000000-0005-0000-0000-0000806E0000}"/>
    <cellStyle name="Normal 2 34 16 4" xfId="28461" xr:uid="{00000000-0005-0000-0000-0000816E0000}"/>
    <cellStyle name="Normal 2 34 17" xfId="28462" xr:uid="{00000000-0005-0000-0000-0000826E0000}"/>
    <cellStyle name="Normal 2 34 17 2" xfId="28463" xr:uid="{00000000-0005-0000-0000-0000836E0000}"/>
    <cellStyle name="Normal 2 34 17 2 2" xfId="28464" xr:uid="{00000000-0005-0000-0000-0000846E0000}"/>
    <cellStyle name="Normal 2 34 17 2 2 2" xfId="28465" xr:uid="{00000000-0005-0000-0000-0000856E0000}"/>
    <cellStyle name="Normal 2 34 17 2 2 3" xfId="28466" xr:uid="{00000000-0005-0000-0000-0000866E0000}"/>
    <cellStyle name="Normal 2 34 17 2 3" xfId="28467" xr:uid="{00000000-0005-0000-0000-0000876E0000}"/>
    <cellStyle name="Normal 2 34 17 2 4" xfId="28468" xr:uid="{00000000-0005-0000-0000-0000886E0000}"/>
    <cellStyle name="Normal 2 34 17 3" xfId="28469" xr:uid="{00000000-0005-0000-0000-0000896E0000}"/>
    <cellStyle name="Normal 2 34 17 3 2" xfId="28470" xr:uid="{00000000-0005-0000-0000-00008A6E0000}"/>
    <cellStyle name="Normal 2 34 17 3 3" xfId="28471" xr:uid="{00000000-0005-0000-0000-00008B6E0000}"/>
    <cellStyle name="Normal 2 34 17 4" xfId="28472" xr:uid="{00000000-0005-0000-0000-00008C6E0000}"/>
    <cellStyle name="Normal 2 34 18" xfId="28473" xr:uid="{00000000-0005-0000-0000-00008D6E0000}"/>
    <cellStyle name="Normal 2 34 18 2" xfId="28474" xr:uid="{00000000-0005-0000-0000-00008E6E0000}"/>
    <cellStyle name="Normal 2 34 18 2 2" xfId="28475" xr:uid="{00000000-0005-0000-0000-00008F6E0000}"/>
    <cellStyle name="Normal 2 34 18 2 2 2" xfId="28476" xr:uid="{00000000-0005-0000-0000-0000906E0000}"/>
    <cellStyle name="Normal 2 34 18 2 2 3" xfId="28477" xr:uid="{00000000-0005-0000-0000-0000916E0000}"/>
    <cellStyle name="Normal 2 34 18 2 3" xfId="28478" xr:uid="{00000000-0005-0000-0000-0000926E0000}"/>
    <cellStyle name="Normal 2 34 18 2 4" xfId="28479" xr:uid="{00000000-0005-0000-0000-0000936E0000}"/>
    <cellStyle name="Normal 2 34 18 3" xfId="28480" xr:uid="{00000000-0005-0000-0000-0000946E0000}"/>
    <cellStyle name="Normal 2 34 18 3 2" xfId="28481" xr:uid="{00000000-0005-0000-0000-0000956E0000}"/>
    <cellStyle name="Normal 2 34 18 3 3" xfId="28482" xr:uid="{00000000-0005-0000-0000-0000966E0000}"/>
    <cellStyle name="Normal 2 34 18 4" xfId="28483" xr:uid="{00000000-0005-0000-0000-0000976E0000}"/>
    <cellStyle name="Normal 2 34 19" xfId="28484" xr:uid="{00000000-0005-0000-0000-0000986E0000}"/>
    <cellStyle name="Normal 2 34 19 2" xfId="28485" xr:uid="{00000000-0005-0000-0000-0000996E0000}"/>
    <cellStyle name="Normal 2 34 19 2 2" xfId="28486" xr:uid="{00000000-0005-0000-0000-00009A6E0000}"/>
    <cellStyle name="Normal 2 34 19 2 2 2" xfId="28487" xr:uid="{00000000-0005-0000-0000-00009B6E0000}"/>
    <cellStyle name="Normal 2 34 19 2 2 3" xfId="28488" xr:uid="{00000000-0005-0000-0000-00009C6E0000}"/>
    <cellStyle name="Normal 2 34 19 2 3" xfId="28489" xr:uid="{00000000-0005-0000-0000-00009D6E0000}"/>
    <cellStyle name="Normal 2 34 19 2 4" xfId="28490" xr:uid="{00000000-0005-0000-0000-00009E6E0000}"/>
    <cellStyle name="Normal 2 34 19 3" xfId="28491" xr:uid="{00000000-0005-0000-0000-00009F6E0000}"/>
    <cellStyle name="Normal 2 34 19 3 2" xfId="28492" xr:uid="{00000000-0005-0000-0000-0000A06E0000}"/>
    <cellStyle name="Normal 2 34 19 3 3" xfId="28493" xr:uid="{00000000-0005-0000-0000-0000A16E0000}"/>
    <cellStyle name="Normal 2 34 19 4" xfId="28494" xr:uid="{00000000-0005-0000-0000-0000A26E0000}"/>
    <cellStyle name="Normal 2 34 2" xfId="28495" xr:uid="{00000000-0005-0000-0000-0000A36E0000}"/>
    <cellStyle name="Normal 2 34 2 2" xfId="28496" xr:uid="{00000000-0005-0000-0000-0000A46E0000}"/>
    <cellStyle name="Normal 2 34 2 2 2" xfId="28497" xr:uid="{00000000-0005-0000-0000-0000A56E0000}"/>
    <cellStyle name="Normal 2 34 2 2 2 2" xfId="28498" xr:uid="{00000000-0005-0000-0000-0000A66E0000}"/>
    <cellStyle name="Normal 2 34 2 2 2 3" xfId="28499" xr:uid="{00000000-0005-0000-0000-0000A76E0000}"/>
    <cellStyle name="Normal 2 34 2 2 3" xfId="28500" xr:uid="{00000000-0005-0000-0000-0000A86E0000}"/>
    <cellStyle name="Normal 2 34 2 2 4" xfId="28501" xr:uid="{00000000-0005-0000-0000-0000A96E0000}"/>
    <cellStyle name="Normal 2 34 2 3" xfId="28502" xr:uid="{00000000-0005-0000-0000-0000AA6E0000}"/>
    <cellStyle name="Normal 2 34 2 3 2" xfId="28503" xr:uid="{00000000-0005-0000-0000-0000AB6E0000}"/>
    <cellStyle name="Normal 2 34 2 3 3" xfId="28504" xr:uid="{00000000-0005-0000-0000-0000AC6E0000}"/>
    <cellStyle name="Normal 2 34 2 4" xfId="28505" xr:uid="{00000000-0005-0000-0000-0000AD6E0000}"/>
    <cellStyle name="Normal 2 34 20" xfId="28506" xr:uid="{00000000-0005-0000-0000-0000AE6E0000}"/>
    <cellStyle name="Normal 2 34 20 2" xfId="28507" xr:uid="{00000000-0005-0000-0000-0000AF6E0000}"/>
    <cellStyle name="Normal 2 34 20 2 2" xfId="28508" xr:uid="{00000000-0005-0000-0000-0000B06E0000}"/>
    <cellStyle name="Normal 2 34 20 2 2 2" xfId="28509" xr:uid="{00000000-0005-0000-0000-0000B16E0000}"/>
    <cellStyle name="Normal 2 34 20 2 2 3" xfId="28510" xr:uid="{00000000-0005-0000-0000-0000B26E0000}"/>
    <cellStyle name="Normal 2 34 20 2 3" xfId="28511" xr:uid="{00000000-0005-0000-0000-0000B36E0000}"/>
    <cellStyle name="Normal 2 34 20 2 4" xfId="28512" xr:uid="{00000000-0005-0000-0000-0000B46E0000}"/>
    <cellStyle name="Normal 2 34 20 3" xfId="28513" xr:uid="{00000000-0005-0000-0000-0000B56E0000}"/>
    <cellStyle name="Normal 2 34 20 3 2" xfId="28514" xr:uid="{00000000-0005-0000-0000-0000B66E0000}"/>
    <cellStyle name="Normal 2 34 20 3 3" xfId="28515" xr:uid="{00000000-0005-0000-0000-0000B76E0000}"/>
    <cellStyle name="Normal 2 34 20 4" xfId="28516" xr:uid="{00000000-0005-0000-0000-0000B86E0000}"/>
    <cellStyle name="Normal 2 34 21" xfId="28517" xr:uid="{00000000-0005-0000-0000-0000B96E0000}"/>
    <cellStyle name="Normal 2 34 21 2" xfId="28518" xr:uid="{00000000-0005-0000-0000-0000BA6E0000}"/>
    <cellStyle name="Normal 2 34 21 2 2" xfId="28519" xr:uid="{00000000-0005-0000-0000-0000BB6E0000}"/>
    <cellStyle name="Normal 2 34 21 2 2 2" xfId="28520" xr:uid="{00000000-0005-0000-0000-0000BC6E0000}"/>
    <cellStyle name="Normal 2 34 21 2 2 3" xfId="28521" xr:uid="{00000000-0005-0000-0000-0000BD6E0000}"/>
    <cellStyle name="Normal 2 34 21 2 3" xfId="28522" xr:uid="{00000000-0005-0000-0000-0000BE6E0000}"/>
    <cellStyle name="Normal 2 34 21 2 4" xfId="28523" xr:uid="{00000000-0005-0000-0000-0000BF6E0000}"/>
    <cellStyle name="Normal 2 34 21 3" xfId="28524" xr:uid="{00000000-0005-0000-0000-0000C06E0000}"/>
    <cellStyle name="Normal 2 34 21 3 2" xfId="28525" xr:uid="{00000000-0005-0000-0000-0000C16E0000}"/>
    <cellStyle name="Normal 2 34 21 3 3" xfId="28526" xr:uid="{00000000-0005-0000-0000-0000C26E0000}"/>
    <cellStyle name="Normal 2 34 21 4" xfId="28527" xr:uid="{00000000-0005-0000-0000-0000C36E0000}"/>
    <cellStyle name="Normal 2 34 22" xfId="28528" xr:uid="{00000000-0005-0000-0000-0000C46E0000}"/>
    <cellStyle name="Normal 2 34 22 2" xfId="28529" xr:uid="{00000000-0005-0000-0000-0000C56E0000}"/>
    <cellStyle name="Normal 2 34 22 2 2" xfId="28530" xr:uid="{00000000-0005-0000-0000-0000C66E0000}"/>
    <cellStyle name="Normal 2 34 22 2 2 2" xfId="28531" xr:uid="{00000000-0005-0000-0000-0000C76E0000}"/>
    <cellStyle name="Normal 2 34 22 2 2 3" xfId="28532" xr:uid="{00000000-0005-0000-0000-0000C86E0000}"/>
    <cellStyle name="Normal 2 34 22 2 3" xfId="28533" xr:uid="{00000000-0005-0000-0000-0000C96E0000}"/>
    <cellStyle name="Normal 2 34 22 2 4" xfId="28534" xr:uid="{00000000-0005-0000-0000-0000CA6E0000}"/>
    <cellStyle name="Normal 2 34 22 3" xfId="28535" xr:uid="{00000000-0005-0000-0000-0000CB6E0000}"/>
    <cellStyle name="Normal 2 34 22 3 2" xfId="28536" xr:uid="{00000000-0005-0000-0000-0000CC6E0000}"/>
    <cellStyle name="Normal 2 34 22 3 3" xfId="28537" xr:uid="{00000000-0005-0000-0000-0000CD6E0000}"/>
    <cellStyle name="Normal 2 34 22 4" xfId="28538" xr:uid="{00000000-0005-0000-0000-0000CE6E0000}"/>
    <cellStyle name="Normal 2 34 23" xfId="28539" xr:uid="{00000000-0005-0000-0000-0000CF6E0000}"/>
    <cellStyle name="Normal 2 34 23 2" xfId="28540" xr:uid="{00000000-0005-0000-0000-0000D06E0000}"/>
    <cellStyle name="Normal 2 34 23 2 2" xfId="28541" xr:uid="{00000000-0005-0000-0000-0000D16E0000}"/>
    <cellStyle name="Normal 2 34 23 2 2 2" xfId="28542" xr:uid="{00000000-0005-0000-0000-0000D26E0000}"/>
    <cellStyle name="Normal 2 34 23 2 2 3" xfId="28543" xr:uid="{00000000-0005-0000-0000-0000D36E0000}"/>
    <cellStyle name="Normal 2 34 23 2 3" xfId="28544" xr:uid="{00000000-0005-0000-0000-0000D46E0000}"/>
    <cellStyle name="Normal 2 34 23 2 4" xfId="28545" xr:uid="{00000000-0005-0000-0000-0000D56E0000}"/>
    <cellStyle name="Normal 2 34 23 3" xfId="28546" xr:uid="{00000000-0005-0000-0000-0000D66E0000}"/>
    <cellStyle name="Normal 2 34 23 3 2" xfId="28547" xr:uid="{00000000-0005-0000-0000-0000D76E0000}"/>
    <cellStyle name="Normal 2 34 23 3 3" xfId="28548" xr:uid="{00000000-0005-0000-0000-0000D86E0000}"/>
    <cellStyle name="Normal 2 34 23 4" xfId="28549" xr:uid="{00000000-0005-0000-0000-0000D96E0000}"/>
    <cellStyle name="Normal 2 34 24" xfId="28550" xr:uid="{00000000-0005-0000-0000-0000DA6E0000}"/>
    <cellStyle name="Normal 2 34 24 2" xfId="28551" xr:uid="{00000000-0005-0000-0000-0000DB6E0000}"/>
    <cellStyle name="Normal 2 34 24 2 2" xfId="28552" xr:uid="{00000000-0005-0000-0000-0000DC6E0000}"/>
    <cellStyle name="Normal 2 34 24 2 3" xfId="28553" xr:uid="{00000000-0005-0000-0000-0000DD6E0000}"/>
    <cellStyle name="Normal 2 34 24 3" xfId="28554" xr:uid="{00000000-0005-0000-0000-0000DE6E0000}"/>
    <cellStyle name="Normal 2 34 24 4" xfId="28555" xr:uid="{00000000-0005-0000-0000-0000DF6E0000}"/>
    <cellStyle name="Normal 2 34 25" xfId="28556" xr:uid="{00000000-0005-0000-0000-0000E06E0000}"/>
    <cellStyle name="Normal 2 34 25 2" xfId="28557" xr:uid="{00000000-0005-0000-0000-0000E16E0000}"/>
    <cellStyle name="Normal 2 34 25 3" xfId="28558" xr:uid="{00000000-0005-0000-0000-0000E26E0000}"/>
    <cellStyle name="Normal 2 34 26" xfId="28559" xr:uid="{00000000-0005-0000-0000-0000E36E0000}"/>
    <cellStyle name="Normal 2 34 3" xfId="28560" xr:uid="{00000000-0005-0000-0000-0000E46E0000}"/>
    <cellStyle name="Normal 2 34 3 2" xfId="28561" xr:uid="{00000000-0005-0000-0000-0000E56E0000}"/>
    <cellStyle name="Normal 2 34 3 2 2" xfId="28562" xr:uid="{00000000-0005-0000-0000-0000E66E0000}"/>
    <cellStyle name="Normal 2 34 3 2 2 2" xfId="28563" xr:uid="{00000000-0005-0000-0000-0000E76E0000}"/>
    <cellStyle name="Normal 2 34 3 2 2 3" xfId="28564" xr:uid="{00000000-0005-0000-0000-0000E86E0000}"/>
    <cellStyle name="Normal 2 34 3 2 3" xfId="28565" xr:uid="{00000000-0005-0000-0000-0000E96E0000}"/>
    <cellStyle name="Normal 2 34 3 2 4" xfId="28566" xr:uid="{00000000-0005-0000-0000-0000EA6E0000}"/>
    <cellStyle name="Normal 2 34 3 3" xfId="28567" xr:uid="{00000000-0005-0000-0000-0000EB6E0000}"/>
    <cellStyle name="Normal 2 34 3 3 2" xfId="28568" xr:uid="{00000000-0005-0000-0000-0000EC6E0000}"/>
    <cellStyle name="Normal 2 34 3 3 3" xfId="28569" xr:uid="{00000000-0005-0000-0000-0000ED6E0000}"/>
    <cellStyle name="Normal 2 34 3 4" xfId="28570" xr:uid="{00000000-0005-0000-0000-0000EE6E0000}"/>
    <cellStyle name="Normal 2 34 4" xfId="28571" xr:uid="{00000000-0005-0000-0000-0000EF6E0000}"/>
    <cellStyle name="Normal 2 34 4 2" xfId="28572" xr:uid="{00000000-0005-0000-0000-0000F06E0000}"/>
    <cellStyle name="Normal 2 34 4 2 2" xfId="28573" xr:uid="{00000000-0005-0000-0000-0000F16E0000}"/>
    <cellStyle name="Normal 2 34 4 2 2 2" xfId="28574" xr:uid="{00000000-0005-0000-0000-0000F26E0000}"/>
    <cellStyle name="Normal 2 34 4 2 2 3" xfId="28575" xr:uid="{00000000-0005-0000-0000-0000F36E0000}"/>
    <cellStyle name="Normal 2 34 4 2 3" xfId="28576" xr:uid="{00000000-0005-0000-0000-0000F46E0000}"/>
    <cellStyle name="Normal 2 34 4 2 4" xfId="28577" xr:uid="{00000000-0005-0000-0000-0000F56E0000}"/>
    <cellStyle name="Normal 2 34 4 3" xfId="28578" xr:uid="{00000000-0005-0000-0000-0000F66E0000}"/>
    <cellStyle name="Normal 2 34 4 3 2" xfId="28579" xr:uid="{00000000-0005-0000-0000-0000F76E0000}"/>
    <cellStyle name="Normal 2 34 4 3 3" xfId="28580" xr:uid="{00000000-0005-0000-0000-0000F86E0000}"/>
    <cellStyle name="Normal 2 34 4 4" xfId="28581" xr:uid="{00000000-0005-0000-0000-0000F96E0000}"/>
    <cellStyle name="Normal 2 34 5" xfId="28582" xr:uid="{00000000-0005-0000-0000-0000FA6E0000}"/>
    <cellStyle name="Normal 2 34 5 2" xfId="28583" xr:uid="{00000000-0005-0000-0000-0000FB6E0000}"/>
    <cellStyle name="Normal 2 34 5 2 2" xfId="28584" xr:uid="{00000000-0005-0000-0000-0000FC6E0000}"/>
    <cellStyle name="Normal 2 34 5 2 2 2" xfId="28585" xr:uid="{00000000-0005-0000-0000-0000FD6E0000}"/>
    <cellStyle name="Normal 2 34 5 2 2 3" xfId="28586" xr:uid="{00000000-0005-0000-0000-0000FE6E0000}"/>
    <cellStyle name="Normal 2 34 5 2 3" xfId="28587" xr:uid="{00000000-0005-0000-0000-0000FF6E0000}"/>
    <cellStyle name="Normal 2 34 5 2 4" xfId="28588" xr:uid="{00000000-0005-0000-0000-0000006F0000}"/>
    <cellStyle name="Normal 2 34 5 3" xfId="28589" xr:uid="{00000000-0005-0000-0000-0000016F0000}"/>
    <cellStyle name="Normal 2 34 5 3 2" xfId="28590" xr:uid="{00000000-0005-0000-0000-0000026F0000}"/>
    <cellStyle name="Normal 2 34 5 3 3" xfId="28591" xr:uid="{00000000-0005-0000-0000-0000036F0000}"/>
    <cellStyle name="Normal 2 34 5 4" xfId="28592" xr:uid="{00000000-0005-0000-0000-0000046F0000}"/>
    <cellStyle name="Normal 2 34 6" xfId="28593" xr:uid="{00000000-0005-0000-0000-0000056F0000}"/>
    <cellStyle name="Normal 2 34 6 2" xfId="28594" xr:uid="{00000000-0005-0000-0000-0000066F0000}"/>
    <cellStyle name="Normal 2 34 6 2 2" xfId="28595" xr:uid="{00000000-0005-0000-0000-0000076F0000}"/>
    <cellStyle name="Normal 2 34 6 2 2 2" xfId="28596" xr:uid="{00000000-0005-0000-0000-0000086F0000}"/>
    <cellStyle name="Normal 2 34 6 2 2 3" xfId="28597" xr:uid="{00000000-0005-0000-0000-0000096F0000}"/>
    <cellStyle name="Normal 2 34 6 2 3" xfId="28598" xr:uid="{00000000-0005-0000-0000-00000A6F0000}"/>
    <cellStyle name="Normal 2 34 6 2 4" xfId="28599" xr:uid="{00000000-0005-0000-0000-00000B6F0000}"/>
    <cellStyle name="Normal 2 34 6 3" xfId="28600" xr:uid="{00000000-0005-0000-0000-00000C6F0000}"/>
    <cellStyle name="Normal 2 34 6 3 2" xfId="28601" xr:uid="{00000000-0005-0000-0000-00000D6F0000}"/>
    <cellStyle name="Normal 2 34 6 3 3" xfId="28602" xr:uid="{00000000-0005-0000-0000-00000E6F0000}"/>
    <cellStyle name="Normal 2 34 6 4" xfId="28603" xr:uid="{00000000-0005-0000-0000-00000F6F0000}"/>
    <cellStyle name="Normal 2 34 7" xfId="28604" xr:uid="{00000000-0005-0000-0000-0000106F0000}"/>
    <cellStyle name="Normal 2 34 7 2" xfId="28605" xr:uid="{00000000-0005-0000-0000-0000116F0000}"/>
    <cellStyle name="Normal 2 34 7 2 2" xfId="28606" xr:uid="{00000000-0005-0000-0000-0000126F0000}"/>
    <cellStyle name="Normal 2 34 7 2 2 2" xfId="28607" xr:uid="{00000000-0005-0000-0000-0000136F0000}"/>
    <cellStyle name="Normal 2 34 7 2 2 3" xfId="28608" xr:uid="{00000000-0005-0000-0000-0000146F0000}"/>
    <cellStyle name="Normal 2 34 7 2 3" xfId="28609" xr:uid="{00000000-0005-0000-0000-0000156F0000}"/>
    <cellStyle name="Normal 2 34 7 2 4" xfId="28610" xr:uid="{00000000-0005-0000-0000-0000166F0000}"/>
    <cellStyle name="Normal 2 34 7 3" xfId="28611" xr:uid="{00000000-0005-0000-0000-0000176F0000}"/>
    <cellStyle name="Normal 2 34 7 3 2" xfId="28612" xr:uid="{00000000-0005-0000-0000-0000186F0000}"/>
    <cellStyle name="Normal 2 34 7 3 3" xfId="28613" xr:uid="{00000000-0005-0000-0000-0000196F0000}"/>
    <cellStyle name="Normal 2 34 7 4" xfId="28614" xr:uid="{00000000-0005-0000-0000-00001A6F0000}"/>
    <cellStyle name="Normal 2 34 8" xfId="28615" xr:uid="{00000000-0005-0000-0000-00001B6F0000}"/>
    <cellStyle name="Normal 2 34 8 2" xfId="28616" xr:uid="{00000000-0005-0000-0000-00001C6F0000}"/>
    <cellStyle name="Normal 2 34 8 2 2" xfId="28617" xr:uid="{00000000-0005-0000-0000-00001D6F0000}"/>
    <cellStyle name="Normal 2 34 8 2 2 2" xfId="28618" xr:uid="{00000000-0005-0000-0000-00001E6F0000}"/>
    <cellStyle name="Normal 2 34 8 2 2 3" xfId="28619" xr:uid="{00000000-0005-0000-0000-00001F6F0000}"/>
    <cellStyle name="Normal 2 34 8 2 3" xfId="28620" xr:uid="{00000000-0005-0000-0000-0000206F0000}"/>
    <cellStyle name="Normal 2 34 8 2 4" xfId="28621" xr:uid="{00000000-0005-0000-0000-0000216F0000}"/>
    <cellStyle name="Normal 2 34 8 3" xfId="28622" xr:uid="{00000000-0005-0000-0000-0000226F0000}"/>
    <cellStyle name="Normal 2 34 8 3 2" xfId="28623" xr:uid="{00000000-0005-0000-0000-0000236F0000}"/>
    <cellStyle name="Normal 2 34 8 3 3" xfId="28624" xr:uid="{00000000-0005-0000-0000-0000246F0000}"/>
    <cellStyle name="Normal 2 34 8 4" xfId="28625" xr:uid="{00000000-0005-0000-0000-0000256F0000}"/>
    <cellStyle name="Normal 2 34 9" xfId="28626" xr:uid="{00000000-0005-0000-0000-0000266F0000}"/>
    <cellStyle name="Normal 2 34 9 2" xfId="28627" xr:uid="{00000000-0005-0000-0000-0000276F0000}"/>
    <cellStyle name="Normal 2 34 9 2 2" xfId="28628" xr:uid="{00000000-0005-0000-0000-0000286F0000}"/>
    <cellStyle name="Normal 2 34 9 2 2 2" xfId="28629" xr:uid="{00000000-0005-0000-0000-0000296F0000}"/>
    <cellStyle name="Normal 2 34 9 2 2 3" xfId="28630" xr:uid="{00000000-0005-0000-0000-00002A6F0000}"/>
    <cellStyle name="Normal 2 34 9 2 3" xfId="28631" xr:uid="{00000000-0005-0000-0000-00002B6F0000}"/>
    <cellStyle name="Normal 2 34 9 2 4" xfId="28632" xr:uid="{00000000-0005-0000-0000-00002C6F0000}"/>
    <cellStyle name="Normal 2 34 9 3" xfId="28633" xr:uid="{00000000-0005-0000-0000-00002D6F0000}"/>
    <cellStyle name="Normal 2 34 9 3 2" xfId="28634" xr:uid="{00000000-0005-0000-0000-00002E6F0000}"/>
    <cellStyle name="Normal 2 34 9 3 3" xfId="28635" xr:uid="{00000000-0005-0000-0000-00002F6F0000}"/>
    <cellStyle name="Normal 2 34 9 4" xfId="28636" xr:uid="{00000000-0005-0000-0000-0000306F0000}"/>
    <cellStyle name="Normal 2 35" xfId="28637" xr:uid="{00000000-0005-0000-0000-0000316F0000}"/>
    <cellStyle name="Normal 2 35 10" xfId="28638" xr:uid="{00000000-0005-0000-0000-0000326F0000}"/>
    <cellStyle name="Normal 2 35 10 2" xfId="28639" xr:uid="{00000000-0005-0000-0000-0000336F0000}"/>
    <cellStyle name="Normal 2 35 10 2 2" xfId="28640" xr:uid="{00000000-0005-0000-0000-0000346F0000}"/>
    <cellStyle name="Normal 2 35 10 2 2 2" xfId="28641" xr:uid="{00000000-0005-0000-0000-0000356F0000}"/>
    <cellStyle name="Normal 2 35 10 2 2 3" xfId="28642" xr:uid="{00000000-0005-0000-0000-0000366F0000}"/>
    <cellStyle name="Normal 2 35 10 2 3" xfId="28643" xr:uid="{00000000-0005-0000-0000-0000376F0000}"/>
    <cellStyle name="Normal 2 35 10 2 4" xfId="28644" xr:uid="{00000000-0005-0000-0000-0000386F0000}"/>
    <cellStyle name="Normal 2 35 10 3" xfId="28645" xr:uid="{00000000-0005-0000-0000-0000396F0000}"/>
    <cellStyle name="Normal 2 35 10 3 2" xfId="28646" xr:uid="{00000000-0005-0000-0000-00003A6F0000}"/>
    <cellStyle name="Normal 2 35 10 3 3" xfId="28647" xr:uid="{00000000-0005-0000-0000-00003B6F0000}"/>
    <cellStyle name="Normal 2 35 10 4" xfId="28648" xr:uid="{00000000-0005-0000-0000-00003C6F0000}"/>
    <cellStyle name="Normal 2 35 11" xfId="28649" xr:uid="{00000000-0005-0000-0000-00003D6F0000}"/>
    <cellStyle name="Normal 2 35 11 2" xfId="28650" xr:uid="{00000000-0005-0000-0000-00003E6F0000}"/>
    <cellStyle name="Normal 2 35 11 2 2" xfId="28651" xr:uid="{00000000-0005-0000-0000-00003F6F0000}"/>
    <cellStyle name="Normal 2 35 11 2 2 2" xfId="28652" xr:uid="{00000000-0005-0000-0000-0000406F0000}"/>
    <cellStyle name="Normal 2 35 11 2 2 3" xfId="28653" xr:uid="{00000000-0005-0000-0000-0000416F0000}"/>
    <cellStyle name="Normal 2 35 11 2 3" xfId="28654" xr:uid="{00000000-0005-0000-0000-0000426F0000}"/>
    <cellStyle name="Normal 2 35 11 2 4" xfId="28655" xr:uid="{00000000-0005-0000-0000-0000436F0000}"/>
    <cellStyle name="Normal 2 35 11 3" xfId="28656" xr:uid="{00000000-0005-0000-0000-0000446F0000}"/>
    <cellStyle name="Normal 2 35 11 3 2" xfId="28657" xr:uid="{00000000-0005-0000-0000-0000456F0000}"/>
    <cellStyle name="Normal 2 35 11 3 3" xfId="28658" xr:uid="{00000000-0005-0000-0000-0000466F0000}"/>
    <cellStyle name="Normal 2 35 11 4" xfId="28659" xr:uid="{00000000-0005-0000-0000-0000476F0000}"/>
    <cellStyle name="Normal 2 35 12" xfId="28660" xr:uid="{00000000-0005-0000-0000-0000486F0000}"/>
    <cellStyle name="Normal 2 35 12 2" xfId="28661" xr:uid="{00000000-0005-0000-0000-0000496F0000}"/>
    <cellStyle name="Normal 2 35 12 2 2" xfId="28662" xr:uid="{00000000-0005-0000-0000-00004A6F0000}"/>
    <cellStyle name="Normal 2 35 12 2 2 2" xfId="28663" xr:uid="{00000000-0005-0000-0000-00004B6F0000}"/>
    <cellStyle name="Normal 2 35 12 2 2 3" xfId="28664" xr:uid="{00000000-0005-0000-0000-00004C6F0000}"/>
    <cellStyle name="Normal 2 35 12 2 3" xfId="28665" xr:uid="{00000000-0005-0000-0000-00004D6F0000}"/>
    <cellStyle name="Normal 2 35 12 2 4" xfId="28666" xr:uid="{00000000-0005-0000-0000-00004E6F0000}"/>
    <cellStyle name="Normal 2 35 12 3" xfId="28667" xr:uid="{00000000-0005-0000-0000-00004F6F0000}"/>
    <cellStyle name="Normal 2 35 12 3 2" xfId="28668" xr:uid="{00000000-0005-0000-0000-0000506F0000}"/>
    <cellStyle name="Normal 2 35 12 3 3" xfId="28669" xr:uid="{00000000-0005-0000-0000-0000516F0000}"/>
    <cellStyle name="Normal 2 35 12 4" xfId="28670" xr:uid="{00000000-0005-0000-0000-0000526F0000}"/>
    <cellStyle name="Normal 2 35 13" xfId="28671" xr:uid="{00000000-0005-0000-0000-0000536F0000}"/>
    <cellStyle name="Normal 2 35 13 2" xfId="28672" xr:uid="{00000000-0005-0000-0000-0000546F0000}"/>
    <cellStyle name="Normal 2 35 13 2 2" xfId="28673" xr:uid="{00000000-0005-0000-0000-0000556F0000}"/>
    <cellStyle name="Normal 2 35 13 2 2 2" xfId="28674" xr:uid="{00000000-0005-0000-0000-0000566F0000}"/>
    <cellStyle name="Normal 2 35 13 2 2 3" xfId="28675" xr:uid="{00000000-0005-0000-0000-0000576F0000}"/>
    <cellStyle name="Normal 2 35 13 2 3" xfId="28676" xr:uid="{00000000-0005-0000-0000-0000586F0000}"/>
    <cellStyle name="Normal 2 35 13 2 4" xfId="28677" xr:uid="{00000000-0005-0000-0000-0000596F0000}"/>
    <cellStyle name="Normal 2 35 13 3" xfId="28678" xr:uid="{00000000-0005-0000-0000-00005A6F0000}"/>
    <cellStyle name="Normal 2 35 13 3 2" xfId="28679" xr:uid="{00000000-0005-0000-0000-00005B6F0000}"/>
    <cellStyle name="Normal 2 35 13 3 3" xfId="28680" xr:uid="{00000000-0005-0000-0000-00005C6F0000}"/>
    <cellStyle name="Normal 2 35 13 4" xfId="28681" xr:uid="{00000000-0005-0000-0000-00005D6F0000}"/>
    <cellStyle name="Normal 2 35 14" xfId="28682" xr:uid="{00000000-0005-0000-0000-00005E6F0000}"/>
    <cellStyle name="Normal 2 35 14 2" xfId="28683" xr:uid="{00000000-0005-0000-0000-00005F6F0000}"/>
    <cellStyle name="Normal 2 35 14 2 2" xfId="28684" xr:uid="{00000000-0005-0000-0000-0000606F0000}"/>
    <cellStyle name="Normal 2 35 14 2 2 2" xfId="28685" xr:uid="{00000000-0005-0000-0000-0000616F0000}"/>
    <cellStyle name="Normal 2 35 14 2 2 3" xfId="28686" xr:uid="{00000000-0005-0000-0000-0000626F0000}"/>
    <cellStyle name="Normal 2 35 14 2 3" xfId="28687" xr:uid="{00000000-0005-0000-0000-0000636F0000}"/>
    <cellStyle name="Normal 2 35 14 2 4" xfId="28688" xr:uid="{00000000-0005-0000-0000-0000646F0000}"/>
    <cellStyle name="Normal 2 35 14 3" xfId="28689" xr:uid="{00000000-0005-0000-0000-0000656F0000}"/>
    <cellStyle name="Normal 2 35 14 3 2" xfId="28690" xr:uid="{00000000-0005-0000-0000-0000666F0000}"/>
    <cellStyle name="Normal 2 35 14 3 3" xfId="28691" xr:uid="{00000000-0005-0000-0000-0000676F0000}"/>
    <cellStyle name="Normal 2 35 14 4" xfId="28692" xr:uid="{00000000-0005-0000-0000-0000686F0000}"/>
    <cellStyle name="Normal 2 35 15" xfId="28693" xr:uid="{00000000-0005-0000-0000-0000696F0000}"/>
    <cellStyle name="Normal 2 35 15 2" xfId="28694" xr:uid="{00000000-0005-0000-0000-00006A6F0000}"/>
    <cellStyle name="Normal 2 35 15 2 2" xfId="28695" xr:uid="{00000000-0005-0000-0000-00006B6F0000}"/>
    <cellStyle name="Normal 2 35 15 2 2 2" xfId="28696" xr:uid="{00000000-0005-0000-0000-00006C6F0000}"/>
    <cellStyle name="Normal 2 35 15 2 2 3" xfId="28697" xr:uid="{00000000-0005-0000-0000-00006D6F0000}"/>
    <cellStyle name="Normal 2 35 15 2 3" xfId="28698" xr:uid="{00000000-0005-0000-0000-00006E6F0000}"/>
    <cellStyle name="Normal 2 35 15 2 4" xfId="28699" xr:uid="{00000000-0005-0000-0000-00006F6F0000}"/>
    <cellStyle name="Normal 2 35 15 3" xfId="28700" xr:uid="{00000000-0005-0000-0000-0000706F0000}"/>
    <cellStyle name="Normal 2 35 15 3 2" xfId="28701" xr:uid="{00000000-0005-0000-0000-0000716F0000}"/>
    <cellStyle name="Normal 2 35 15 3 3" xfId="28702" xr:uid="{00000000-0005-0000-0000-0000726F0000}"/>
    <cellStyle name="Normal 2 35 15 4" xfId="28703" xr:uid="{00000000-0005-0000-0000-0000736F0000}"/>
    <cellStyle name="Normal 2 35 16" xfId="28704" xr:uid="{00000000-0005-0000-0000-0000746F0000}"/>
    <cellStyle name="Normal 2 35 16 2" xfId="28705" xr:uid="{00000000-0005-0000-0000-0000756F0000}"/>
    <cellStyle name="Normal 2 35 16 2 2" xfId="28706" xr:uid="{00000000-0005-0000-0000-0000766F0000}"/>
    <cellStyle name="Normal 2 35 16 2 2 2" xfId="28707" xr:uid="{00000000-0005-0000-0000-0000776F0000}"/>
    <cellStyle name="Normal 2 35 16 2 2 3" xfId="28708" xr:uid="{00000000-0005-0000-0000-0000786F0000}"/>
    <cellStyle name="Normal 2 35 16 2 3" xfId="28709" xr:uid="{00000000-0005-0000-0000-0000796F0000}"/>
    <cellStyle name="Normal 2 35 16 2 4" xfId="28710" xr:uid="{00000000-0005-0000-0000-00007A6F0000}"/>
    <cellStyle name="Normal 2 35 16 3" xfId="28711" xr:uid="{00000000-0005-0000-0000-00007B6F0000}"/>
    <cellStyle name="Normal 2 35 16 3 2" xfId="28712" xr:uid="{00000000-0005-0000-0000-00007C6F0000}"/>
    <cellStyle name="Normal 2 35 16 3 3" xfId="28713" xr:uid="{00000000-0005-0000-0000-00007D6F0000}"/>
    <cellStyle name="Normal 2 35 16 4" xfId="28714" xr:uid="{00000000-0005-0000-0000-00007E6F0000}"/>
    <cellStyle name="Normal 2 35 17" xfId="28715" xr:uid="{00000000-0005-0000-0000-00007F6F0000}"/>
    <cellStyle name="Normal 2 35 17 2" xfId="28716" xr:uid="{00000000-0005-0000-0000-0000806F0000}"/>
    <cellStyle name="Normal 2 35 17 2 2" xfId="28717" xr:uid="{00000000-0005-0000-0000-0000816F0000}"/>
    <cellStyle name="Normal 2 35 17 2 2 2" xfId="28718" xr:uid="{00000000-0005-0000-0000-0000826F0000}"/>
    <cellStyle name="Normal 2 35 17 2 2 3" xfId="28719" xr:uid="{00000000-0005-0000-0000-0000836F0000}"/>
    <cellStyle name="Normal 2 35 17 2 3" xfId="28720" xr:uid="{00000000-0005-0000-0000-0000846F0000}"/>
    <cellStyle name="Normal 2 35 17 2 4" xfId="28721" xr:uid="{00000000-0005-0000-0000-0000856F0000}"/>
    <cellStyle name="Normal 2 35 17 3" xfId="28722" xr:uid="{00000000-0005-0000-0000-0000866F0000}"/>
    <cellStyle name="Normal 2 35 17 3 2" xfId="28723" xr:uid="{00000000-0005-0000-0000-0000876F0000}"/>
    <cellStyle name="Normal 2 35 17 3 3" xfId="28724" xr:uid="{00000000-0005-0000-0000-0000886F0000}"/>
    <cellStyle name="Normal 2 35 17 4" xfId="28725" xr:uid="{00000000-0005-0000-0000-0000896F0000}"/>
    <cellStyle name="Normal 2 35 18" xfId="28726" xr:uid="{00000000-0005-0000-0000-00008A6F0000}"/>
    <cellStyle name="Normal 2 35 18 2" xfId="28727" xr:uid="{00000000-0005-0000-0000-00008B6F0000}"/>
    <cellStyle name="Normal 2 35 18 2 2" xfId="28728" xr:uid="{00000000-0005-0000-0000-00008C6F0000}"/>
    <cellStyle name="Normal 2 35 18 2 2 2" xfId="28729" xr:uid="{00000000-0005-0000-0000-00008D6F0000}"/>
    <cellStyle name="Normal 2 35 18 2 2 3" xfId="28730" xr:uid="{00000000-0005-0000-0000-00008E6F0000}"/>
    <cellStyle name="Normal 2 35 18 2 3" xfId="28731" xr:uid="{00000000-0005-0000-0000-00008F6F0000}"/>
    <cellStyle name="Normal 2 35 18 2 4" xfId="28732" xr:uid="{00000000-0005-0000-0000-0000906F0000}"/>
    <cellStyle name="Normal 2 35 18 3" xfId="28733" xr:uid="{00000000-0005-0000-0000-0000916F0000}"/>
    <cellStyle name="Normal 2 35 18 3 2" xfId="28734" xr:uid="{00000000-0005-0000-0000-0000926F0000}"/>
    <cellStyle name="Normal 2 35 18 3 3" xfId="28735" xr:uid="{00000000-0005-0000-0000-0000936F0000}"/>
    <cellStyle name="Normal 2 35 18 4" xfId="28736" xr:uid="{00000000-0005-0000-0000-0000946F0000}"/>
    <cellStyle name="Normal 2 35 19" xfId="28737" xr:uid="{00000000-0005-0000-0000-0000956F0000}"/>
    <cellStyle name="Normal 2 35 19 2" xfId="28738" xr:uid="{00000000-0005-0000-0000-0000966F0000}"/>
    <cellStyle name="Normal 2 35 19 2 2" xfId="28739" xr:uid="{00000000-0005-0000-0000-0000976F0000}"/>
    <cellStyle name="Normal 2 35 19 2 2 2" xfId="28740" xr:uid="{00000000-0005-0000-0000-0000986F0000}"/>
    <cellStyle name="Normal 2 35 19 2 2 3" xfId="28741" xr:uid="{00000000-0005-0000-0000-0000996F0000}"/>
    <cellStyle name="Normal 2 35 19 2 3" xfId="28742" xr:uid="{00000000-0005-0000-0000-00009A6F0000}"/>
    <cellStyle name="Normal 2 35 19 2 4" xfId="28743" xr:uid="{00000000-0005-0000-0000-00009B6F0000}"/>
    <cellStyle name="Normal 2 35 19 3" xfId="28744" xr:uid="{00000000-0005-0000-0000-00009C6F0000}"/>
    <cellStyle name="Normal 2 35 19 3 2" xfId="28745" xr:uid="{00000000-0005-0000-0000-00009D6F0000}"/>
    <cellStyle name="Normal 2 35 19 3 3" xfId="28746" xr:uid="{00000000-0005-0000-0000-00009E6F0000}"/>
    <cellStyle name="Normal 2 35 19 4" xfId="28747" xr:uid="{00000000-0005-0000-0000-00009F6F0000}"/>
    <cellStyle name="Normal 2 35 2" xfId="28748" xr:uid="{00000000-0005-0000-0000-0000A06F0000}"/>
    <cellStyle name="Normal 2 35 2 2" xfId="28749" xr:uid="{00000000-0005-0000-0000-0000A16F0000}"/>
    <cellStyle name="Normal 2 35 2 2 2" xfId="28750" xr:uid="{00000000-0005-0000-0000-0000A26F0000}"/>
    <cellStyle name="Normal 2 35 2 2 2 2" xfId="28751" xr:uid="{00000000-0005-0000-0000-0000A36F0000}"/>
    <cellStyle name="Normal 2 35 2 2 2 3" xfId="28752" xr:uid="{00000000-0005-0000-0000-0000A46F0000}"/>
    <cellStyle name="Normal 2 35 2 2 3" xfId="28753" xr:uid="{00000000-0005-0000-0000-0000A56F0000}"/>
    <cellStyle name="Normal 2 35 2 2 4" xfId="28754" xr:uid="{00000000-0005-0000-0000-0000A66F0000}"/>
    <cellStyle name="Normal 2 35 2 3" xfId="28755" xr:uid="{00000000-0005-0000-0000-0000A76F0000}"/>
    <cellStyle name="Normal 2 35 2 3 2" xfId="28756" xr:uid="{00000000-0005-0000-0000-0000A86F0000}"/>
    <cellStyle name="Normal 2 35 2 3 3" xfId="28757" xr:uid="{00000000-0005-0000-0000-0000A96F0000}"/>
    <cellStyle name="Normal 2 35 2 4" xfId="28758" xr:uid="{00000000-0005-0000-0000-0000AA6F0000}"/>
    <cellStyle name="Normal 2 35 20" xfId="28759" xr:uid="{00000000-0005-0000-0000-0000AB6F0000}"/>
    <cellStyle name="Normal 2 35 20 2" xfId="28760" xr:uid="{00000000-0005-0000-0000-0000AC6F0000}"/>
    <cellStyle name="Normal 2 35 20 2 2" xfId="28761" xr:uid="{00000000-0005-0000-0000-0000AD6F0000}"/>
    <cellStyle name="Normal 2 35 20 2 2 2" xfId="28762" xr:uid="{00000000-0005-0000-0000-0000AE6F0000}"/>
    <cellStyle name="Normal 2 35 20 2 2 3" xfId="28763" xr:uid="{00000000-0005-0000-0000-0000AF6F0000}"/>
    <cellStyle name="Normal 2 35 20 2 3" xfId="28764" xr:uid="{00000000-0005-0000-0000-0000B06F0000}"/>
    <cellStyle name="Normal 2 35 20 2 4" xfId="28765" xr:uid="{00000000-0005-0000-0000-0000B16F0000}"/>
    <cellStyle name="Normal 2 35 20 3" xfId="28766" xr:uid="{00000000-0005-0000-0000-0000B26F0000}"/>
    <cellStyle name="Normal 2 35 20 3 2" xfId="28767" xr:uid="{00000000-0005-0000-0000-0000B36F0000}"/>
    <cellStyle name="Normal 2 35 20 3 3" xfId="28768" xr:uid="{00000000-0005-0000-0000-0000B46F0000}"/>
    <cellStyle name="Normal 2 35 20 4" xfId="28769" xr:uid="{00000000-0005-0000-0000-0000B56F0000}"/>
    <cellStyle name="Normal 2 35 21" xfId="28770" xr:uid="{00000000-0005-0000-0000-0000B66F0000}"/>
    <cellStyle name="Normal 2 35 21 2" xfId="28771" xr:uid="{00000000-0005-0000-0000-0000B76F0000}"/>
    <cellStyle name="Normal 2 35 21 2 2" xfId="28772" xr:uid="{00000000-0005-0000-0000-0000B86F0000}"/>
    <cellStyle name="Normal 2 35 21 2 2 2" xfId="28773" xr:uid="{00000000-0005-0000-0000-0000B96F0000}"/>
    <cellStyle name="Normal 2 35 21 2 2 3" xfId="28774" xr:uid="{00000000-0005-0000-0000-0000BA6F0000}"/>
    <cellStyle name="Normal 2 35 21 2 3" xfId="28775" xr:uid="{00000000-0005-0000-0000-0000BB6F0000}"/>
    <cellStyle name="Normal 2 35 21 2 4" xfId="28776" xr:uid="{00000000-0005-0000-0000-0000BC6F0000}"/>
    <cellStyle name="Normal 2 35 21 3" xfId="28777" xr:uid="{00000000-0005-0000-0000-0000BD6F0000}"/>
    <cellStyle name="Normal 2 35 21 3 2" xfId="28778" xr:uid="{00000000-0005-0000-0000-0000BE6F0000}"/>
    <cellStyle name="Normal 2 35 21 3 3" xfId="28779" xr:uid="{00000000-0005-0000-0000-0000BF6F0000}"/>
    <cellStyle name="Normal 2 35 21 4" xfId="28780" xr:uid="{00000000-0005-0000-0000-0000C06F0000}"/>
    <cellStyle name="Normal 2 35 22" xfId="28781" xr:uid="{00000000-0005-0000-0000-0000C16F0000}"/>
    <cellStyle name="Normal 2 35 22 2" xfId="28782" xr:uid="{00000000-0005-0000-0000-0000C26F0000}"/>
    <cellStyle name="Normal 2 35 22 2 2" xfId="28783" xr:uid="{00000000-0005-0000-0000-0000C36F0000}"/>
    <cellStyle name="Normal 2 35 22 2 2 2" xfId="28784" xr:uid="{00000000-0005-0000-0000-0000C46F0000}"/>
    <cellStyle name="Normal 2 35 22 2 2 3" xfId="28785" xr:uid="{00000000-0005-0000-0000-0000C56F0000}"/>
    <cellStyle name="Normal 2 35 22 2 3" xfId="28786" xr:uid="{00000000-0005-0000-0000-0000C66F0000}"/>
    <cellStyle name="Normal 2 35 22 2 4" xfId="28787" xr:uid="{00000000-0005-0000-0000-0000C76F0000}"/>
    <cellStyle name="Normal 2 35 22 3" xfId="28788" xr:uid="{00000000-0005-0000-0000-0000C86F0000}"/>
    <cellStyle name="Normal 2 35 22 3 2" xfId="28789" xr:uid="{00000000-0005-0000-0000-0000C96F0000}"/>
    <cellStyle name="Normal 2 35 22 3 3" xfId="28790" xr:uid="{00000000-0005-0000-0000-0000CA6F0000}"/>
    <cellStyle name="Normal 2 35 22 4" xfId="28791" xr:uid="{00000000-0005-0000-0000-0000CB6F0000}"/>
    <cellStyle name="Normal 2 35 23" xfId="28792" xr:uid="{00000000-0005-0000-0000-0000CC6F0000}"/>
    <cellStyle name="Normal 2 35 23 2" xfId="28793" xr:uid="{00000000-0005-0000-0000-0000CD6F0000}"/>
    <cellStyle name="Normal 2 35 23 2 2" xfId="28794" xr:uid="{00000000-0005-0000-0000-0000CE6F0000}"/>
    <cellStyle name="Normal 2 35 23 2 2 2" xfId="28795" xr:uid="{00000000-0005-0000-0000-0000CF6F0000}"/>
    <cellStyle name="Normal 2 35 23 2 2 3" xfId="28796" xr:uid="{00000000-0005-0000-0000-0000D06F0000}"/>
    <cellStyle name="Normal 2 35 23 2 3" xfId="28797" xr:uid="{00000000-0005-0000-0000-0000D16F0000}"/>
    <cellStyle name="Normal 2 35 23 2 4" xfId="28798" xr:uid="{00000000-0005-0000-0000-0000D26F0000}"/>
    <cellStyle name="Normal 2 35 23 3" xfId="28799" xr:uid="{00000000-0005-0000-0000-0000D36F0000}"/>
    <cellStyle name="Normal 2 35 23 3 2" xfId="28800" xr:uid="{00000000-0005-0000-0000-0000D46F0000}"/>
    <cellStyle name="Normal 2 35 23 3 3" xfId="28801" xr:uid="{00000000-0005-0000-0000-0000D56F0000}"/>
    <cellStyle name="Normal 2 35 23 4" xfId="28802" xr:uid="{00000000-0005-0000-0000-0000D66F0000}"/>
    <cellStyle name="Normal 2 35 24" xfId="28803" xr:uid="{00000000-0005-0000-0000-0000D76F0000}"/>
    <cellStyle name="Normal 2 35 24 2" xfId="28804" xr:uid="{00000000-0005-0000-0000-0000D86F0000}"/>
    <cellStyle name="Normal 2 35 24 2 2" xfId="28805" xr:uid="{00000000-0005-0000-0000-0000D96F0000}"/>
    <cellStyle name="Normal 2 35 24 2 3" xfId="28806" xr:uid="{00000000-0005-0000-0000-0000DA6F0000}"/>
    <cellStyle name="Normal 2 35 24 3" xfId="28807" xr:uid="{00000000-0005-0000-0000-0000DB6F0000}"/>
    <cellStyle name="Normal 2 35 24 4" xfId="28808" xr:uid="{00000000-0005-0000-0000-0000DC6F0000}"/>
    <cellStyle name="Normal 2 35 25" xfId="28809" xr:uid="{00000000-0005-0000-0000-0000DD6F0000}"/>
    <cellStyle name="Normal 2 35 25 2" xfId="28810" xr:uid="{00000000-0005-0000-0000-0000DE6F0000}"/>
    <cellStyle name="Normal 2 35 25 3" xfId="28811" xr:uid="{00000000-0005-0000-0000-0000DF6F0000}"/>
    <cellStyle name="Normal 2 35 26" xfId="28812" xr:uid="{00000000-0005-0000-0000-0000E06F0000}"/>
    <cellStyle name="Normal 2 35 3" xfId="28813" xr:uid="{00000000-0005-0000-0000-0000E16F0000}"/>
    <cellStyle name="Normal 2 35 3 2" xfId="28814" xr:uid="{00000000-0005-0000-0000-0000E26F0000}"/>
    <cellStyle name="Normal 2 35 3 2 2" xfId="28815" xr:uid="{00000000-0005-0000-0000-0000E36F0000}"/>
    <cellStyle name="Normal 2 35 3 2 2 2" xfId="28816" xr:uid="{00000000-0005-0000-0000-0000E46F0000}"/>
    <cellStyle name="Normal 2 35 3 2 2 3" xfId="28817" xr:uid="{00000000-0005-0000-0000-0000E56F0000}"/>
    <cellStyle name="Normal 2 35 3 2 3" xfId="28818" xr:uid="{00000000-0005-0000-0000-0000E66F0000}"/>
    <cellStyle name="Normal 2 35 3 2 4" xfId="28819" xr:uid="{00000000-0005-0000-0000-0000E76F0000}"/>
    <cellStyle name="Normal 2 35 3 3" xfId="28820" xr:uid="{00000000-0005-0000-0000-0000E86F0000}"/>
    <cellStyle name="Normal 2 35 3 3 2" xfId="28821" xr:uid="{00000000-0005-0000-0000-0000E96F0000}"/>
    <cellStyle name="Normal 2 35 3 3 3" xfId="28822" xr:uid="{00000000-0005-0000-0000-0000EA6F0000}"/>
    <cellStyle name="Normal 2 35 3 4" xfId="28823" xr:uid="{00000000-0005-0000-0000-0000EB6F0000}"/>
    <cellStyle name="Normal 2 35 4" xfId="28824" xr:uid="{00000000-0005-0000-0000-0000EC6F0000}"/>
    <cellStyle name="Normal 2 35 4 2" xfId="28825" xr:uid="{00000000-0005-0000-0000-0000ED6F0000}"/>
    <cellStyle name="Normal 2 35 4 2 2" xfId="28826" xr:uid="{00000000-0005-0000-0000-0000EE6F0000}"/>
    <cellStyle name="Normal 2 35 4 2 2 2" xfId="28827" xr:uid="{00000000-0005-0000-0000-0000EF6F0000}"/>
    <cellStyle name="Normal 2 35 4 2 2 3" xfId="28828" xr:uid="{00000000-0005-0000-0000-0000F06F0000}"/>
    <cellStyle name="Normal 2 35 4 2 3" xfId="28829" xr:uid="{00000000-0005-0000-0000-0000F16F0000}"/>
    <cellStyle name="Normal 2 35 4 2 4" xfId="28830" xr:uid="{00000000-0005-0000-0000-0000F26F0000}"/>
    <cellStyle name="Normal 2 35 4 3" xfId="28831" xr:uid="{00000000-0005-0000-0000-0000F36F0000}"/>
    <cellStyle name="Normal 2 35 4 3 2" xfId="28832" xr:uid="{00000000-0005-0000-0000-0000F46F0000}"/>
    <cellStyle name="Normal 2 35 4 3 3" xfId="28833" xr:uid="{00000000-0005-0000-0000-0000F56F0000}"/>
    <cellStyle name="Normal 2 35 4 4" xfId="28834" xr:uid="{00000000-0005-0000-0000-0000F66F0000}"/>
    <cellStyle name="Normal 2 35 5" xfId="28835" xr:uid="{00000000-0005-0000-0000-0000F76F0000}"/>
    <cellStyle name="Normal 2 35 5 2" xfId="28836" xr:uid="{00000000-0005-0000-0000-0000F86F0000}"/>
    <cellStyle name="Normal 2 35 5 2 2" xfId="28837" xr:uid="{00000000-0005-0000-0000-0000F96F0000}"/>
    <cellStyle name="Normal 2 35 5 2 2 2" xfId="28838" xr:uid="{00000000-0005-0000-0000-0000FA6F0000}"/>
    <cellStyle name="Normal 2 35 5 2 2 3" xfId="28839" xr:uid="{00000000-0005-0000-0000-0000FB6F0000}"/>
    <cellStyle name="Normal 2 35 5 2 3" xfId="28840" xr:uid="{00000000-0005-0000-0000-0000FC6F0000}"/>
    <cellStyle name="Normal 2 35 5 2 4" xfId="28841" xr:uid="{00000000-0005-0000-0000-0000FD6F0000}"/>
    <cellStyle name="Normal 2 35 5 3" xfId="28842" xr:uid="{00000000-0005-0000-0000-0000FE6F0000}"/>
    <cellStyle name="Normal 2 35 5 3 2" xfId="28843" xr:uid="{00000000-0005-0000-0000-0000FF6F0000}"/>
    <cellStyle name="Normal 2 35 5 3 3" xfId="28844" xr:uid="{00000000-0005-0000-0000-000000700000}"/>
    <cellStyle name="Normal 2 35 5 4" xfId="28845" xr:uid="{00000000-0005-0000-0000-000001700000}"/>
    <cellStyle name="Normal 2 35 6" xfId="28846" xr:uid="{00000000-0005-0000-0000-000002700000}"/>
    <cellStyle name="Normal 2 35 6 2" xfId="28847" xr:uid="{00000000-0005-0000-0000-000003700000}"/>
    <cellStyle name="Normal 2 35 6 2 2" xfId="28848" xr:uid="{00000000-0005-0000-0000-000004700000}"/>
    <cellStyle name="Normal 2 35 6 2 2 2" xfId="28849" xr:uid="{00000000-0005-0000-0000-000005700000}"/>
    <cellStyle name="Normal 2 35 6 2 2 3" xfId="28850" xr:uid="{00000000-0005-0000-0000-000006700000}"/>
    <cellStyle name="Normal 2 35 6 2 3" xfId="28851" xr:uid="{00000000-0005-0000-0000-000007700000}"/>
    <cellStyle name="Normal 2 35 6 2 4" xfId="28852" xr:uid="{00000000-0005-0000-0000-000008700000}"/>
    <cellStyle name="Normal 2 35 6 3" xfId="28853" xr:uid="{00000000-0005-0000-0000-000009700000}"/>
    <cellStyle name="Normal 2 35 6 3 2" xfId="28854" xr:uid="{00000000-0005-0000-0000-00000A700000}"/>
    <cellStyle name="Normal 2 35 6 3 3" xfId="28855" xr:uid="{00000000-0005-0000-0000-00000B700000}"/>
    <cellStyle name="Normal 2 35 6 4" xfId="28856" xr:uid="{00000000-0005-0000-0000-00000C700000}"/>
    <cellStyle name="Normal 2 35 7" xfId="28857" xr:uid="{00000000-0005-0000-0000-00000D700000}"/>
    <cellStyle name="Normal 2 35 7 2" xfId="28858" xr:uid="{00000000-0005-0000-0000-00000E700000}"/>
    <cellStyle name="Normal 2 35 7 2 2" xfId="28859" xr:uid="{00000000-0005-0000-0000-00000F700000}"/>
    <cellStyle name="Normal 2 35 7 2 2 2" xfId="28860" xr:uid="{00000000-0005-0000-0000-000010700000}"/>
    <cellStyle name="Normal 2 35 7 2 2 3" xfId="28861" xr:uid="{00000000-0005-0000-0000-000011700000}"/>
    <cellStyle name="Normal 2 35 7 2 3" xfId="28862" xr:uid="{00000000-0005-0000-0000-000012700000}"/>
    <cellStyle name="Normal 2 35 7 2 4" xfId="28863" xr:uid="{00000000-0005-0000-0000-000013700000}"/>
    <cellStyle name="Normal 2 35 7 3" xfId="28864" xr:uid="{00000000-0005-0000-0000-000014700000}"/>
    <cellStyle name="Normal 2 35 7 3 2" xfId="28865" xr:uid="{00000000-0005-0000-0000-000015700000}"/>
    <cellStyle name="Normal 2 35 7 3 3" xfId="28866" xr:uid="{00000000-0005-0000-0000-000016700000}"/>
    <cellStyle name="Normal 2 35 7 4" xfId="28867" xr:uid="{00000000-0005-0000-0000-000017700000}"/>
    <cellStyle name="Normal 2 35 8" xfId="28868" xr:uid="{00000000-0005-0000-0000-000018700000}"/>
    <cellStyle name="Normal 2 35 8 2" xfId="28869" xr:uid="{00000000-0005-0000-0000-000019700000}"/>
    <cellStyle name="Normal 2 35 8 2 2" xfId="28870" xr:uid="{00000000-0005-0000-0000-00001A700000}"/>
    <cellStyle name="Normal 2 35 8 2 2 2" xfId="28871" xr:uid="{00000000-0005-0000-0000-00001B700000}"/>
    <cellStyle name="Normal 2 35 8 2 2 3" xfId="28872" xr:uid="{00000000-0005-0000-0000-00001C700000}"/>
    <cellStyle name="Normal 2 35 8 2 3" xfId="28873" xr:uid="{00000000-0005-0000-0000-00001D700000}"/>
    <cellStyle name="Normal 2 35 8 2 4" xfId="28874" xr:uid="{00000000-0005-0000-0000-00001E700000}"/>
    <cellStyle name="Normal 2 35 8 3" xfId="28875" xr:uid="{00000000-0005-0000-0000-00001F700000}"/>
    <cellStyle name="Normal 2 35 8 3 2" xfId="28876" xr:uid="{00000000-0005-0000-0000-000020700000}"/>
    <cellStyle name="Normal 2 35 8 3 3" xfId="28877" xr:uid="{00000000-0005-0000-0000-000021700000}"/>
    <cellStyle name="Normal 2 35 8 4" xfId="28878" xr:uid="{00000000-0005-0000-0000-000022700000}"/>
    <cellStyle name="Normal 2 35 9" xfId="28879" xr:uid="{00000000-0005-0000-0000-000023700000}"/>
    <cellStyle name="Normal 2 35 9 2" xfId="28880" xr:uid="{00000000-0005-0000-0000-000024700000}"/>
    <cellStyle name="Normal 2 35 9 2 2" xfId="28881" xr:uid="{00000000-0005-0000-0000-000025700000}"/>
    <cellStyle name="Normal 2 35 9 2 2 2" xfId="28882" xr:uid="{00000000-0005-0000-0000-000026700000}"/>
    <cellStyle name="Normal 2 35 9 2 2 3" xfId="28883" xr:uid="{00000000-0005-0000-0000-000027700000}"/>
    <cellStyle name="Normal 2 35 9 2 3" xfId="28884" xr:uid="{00000000-0005-0000-0000-000028700000}"/>
    <cellStyle name="Normal 2 35 9 2 4" xfId="28885" xr:uid="{00000000-0005-0000-0000-000029700000}"/>
    <cellStyle name="Normal 2 35 9 3" xfId="28886" xr:uid="{00000000-0005-0000-0000-00002A700000}"/>
    <cellStyle name="Normal 2 35 9 3 2" xfId="28887" xr:uid="{00000000-0005-0000-0000-00002B700000}"/>
    <cellStyle name="Normal 2 35 9 3 3" xfId="28888" xr:uid="{00000000-0005-0000-0000-00002C700000}"/>
    <cellStyle name="Normal 2 35 9 4" xfId="28889" xr:uid="{00000000-0005-0000-0000-00002D700000}"/>
    <cellStyle name="Normal 2 36" xfId="28890" xr:uid="{00000000-0005-0000-0000-00002E700000}"/>
    <cellStyle name="Normal 2 36 10" xfId="28891" xr:uid="{00000000-0005-0000-0000-00002F700000}"/>
    <cellStyle name="Normal 2 36 10 2" xfId="28892" xr:uid="{00000000-0005-0000-0000-000030700000}"/>
    <cellStyle name="Normal 2 36 10 2 2" xfId="28893" xr:uid="{00000000-0005-0000-0000-000031700000}"/>
    <cellStyle name="Normal 2 36 10 2 2 2" xfId="28894" xr:uid="{00000000-0005-0000-0000-000032700000}"/>
    <cellStyle name="Normal 2 36 10 2 2 3" xfId="28895" xr:uid="{00000000-0005-0000-0000-000033700000}"/>
    <cellStyle name="Normal 2 36 10 2 3" xfId="28896" xr:uid="{00000000-0005-0000-0000-000034700000}"/>
    <cellStyle name="Normal 2 36 10 2 4" xfId="28897" xr:uid="{00000000-0005-0000-0000-000035700000}"/>
    <cellStyle name="Normal 2 36 10 3" xfId="28898" xr:uid="{00000000-0005-0000-0000-000036700000}"/>
    <cellStyle name="Normal 2 36 10 3 2" xfId="28899" xr:uid="{00000000-0005-0000-0000-000037700000}"/>
    <cellStyle name="Normal 2 36 10 3 3" xfId="28900" xr:uid="{00000000-0005-0000-0000-000038700000}"/>
    <cellStyle name="Normal 2 36 10 4" xfId="28901" xr:uid="{00000000-0005-0000-0000-000039700000}"/>
    <cellStyle name="Normal 2 36 11" xfId="28902" xr:uid="{00000000-0005-0000-0000-00003A700000}"/>
    <cellStyle name="Normal 2 36 11 2" xfId="28903" xr:uid="{00000000-0005-0000-0000-00003B700000}"/>
    <cellStyle name="Normal 2 36 11 2 2" xfId="28904" xr:uid="{00000000-0005-0000-0000-00003C700000}"/>
    <cellStyle name="Normal 2 36 11 2 2 2" xfId="28905" xr:uid="{00000000-0005-0000-0000-00003D700000}"/>
    <cellStyle name="Normal 2 36 11 2 2 3" xfId="28906" xr:uid="{00000000-0005-0000-0000-00003E700000}"/>
    <cellStyle name="Normal 2 36 11 2 3" xfId="28907" xr:uid="{00000000-0005-0000-0000-00003F700000}"/>
    <cellStyle name="Normal 2 36 11 2 4" xfId="28908" xr:uid="{00000000-0005-0000-0000-000040700000}"/>
    <cellStyle name="Normal 2 36 11 3" xfId="28909" xr:uid="{00000000-0005-0000-0000-000041700000}"/>
    <cellStyle name="Normal 2 36 11 3 2" xfId="28910" xr:uid="{00000000-0005-0000-0000-000042700000}"/>
    <cellStyle name="Normal 2 36 11 3 3" xfId="28911" xr:uid="{00000000-0005-0000-0000-000043700000}"/>
    <cellStyle name="Normal 2 36 11 4" xfId="28912" xr:uid="{00000000-0005-0000-0000-000044700000}"/>
    <cellStyle name="Normal 2 36 12" xfId="28913" xr:uid="{00000000-0005-0000-0000-000045700000}"/>
    <cellStyle name="Normal 2 36 12 2" xfId="28914" xr:uid="{00000000-0005-0000-0000-000046700000}"/>
    <cellStyle name="Normal 2 36 12 2 2" xfId="28915" xr:uid="{00000000-0005-0000-0000-000047700000}"/>
    <cellStyle name="Normal 2 36 12 2 2 2" xfId="28916" xr:uid="{00000000-0005-0000-0000-000048700000}"/>
    <cellStyle name="Normal 2 36 12 2 2 3" xfId="28917" xr:uid="{00000000-0005-0000-0000-000049700000}"/>
    <cellStyle name="Normal 2 36 12 2 3" xfId="28918" xr:uid="{00000000-0005-0000-0000-00004A700000}"/>
    <cellStyle name="Normal 2 36 12 2 4" xfId="28919" xr:uid="{00000000-0005-0000-0000-00004B700000}"/>
    <cellStyle name="Normal 2 36 12 3" xfId="28920" xr:uid="{00000000-0005-0000-0000-00004C700000}"/>
    <cellStyle name="Normal 2 36 12 3 2" xfId="28921" xr:uid="{00000000-0005-0000-0000-00004D700000}"/>
    <cellStyle name="Normal 2 36 12 3 3" xfId="28922" xr:uid="{00000000-0005-0000-0000-00004E700000}"/>
    <cellStyle name="Normal 2 36 12 4" xfId="28923" xr:uid="{00000000-0005-0000-0000-00004F700000}"/>
    <cellStyle name="Normal 2 36 13" xfId="28924" xr:uid="{00000000-0005-0000-0000-000050700000}"/>
    <cellStyle name="Normal 2 36 13 2" xfId="28925" xr:uid="{00000000-0005-0000-0000-000051700000}"/>
    <cellStyle name="Normal 2 36 13 2 2" xfId="28926" xr:uid="{00000000-0005-0000-0000-000052700000}"/>
    <cellStyle name="Normal 2 36 13 2 2 2" xfId="28927" xr:uid="{00000000-0005-0000-0000-000053700000}"/>
    <cellStyle name="Normal 2 36 13 2 2 3" xfId="28928" xr:uid="{00000000-0005-0000-0000-000054700000}"/>
    <cellStyle name="Normal 2 36 13 2 3" xfId="28929" xr:uid="{00000000-0005-0000-0000-000055700000}"/>
    <cellStyle name="Normal 2 36 13 2 4" xfId="28930" xr:uid="{00000000-0005-0000-0000-000056700000}"/>
    <cellStyle name="Normal 2 36 13 3" xfId="28931" xr:uid="{00000000-0005-0000-0000-000057700000}"/>
    <cellStyle name="Normal 2 36 13 3 2" xfId="28932" xr:uid="{00000000-0005-0000-0000-000058700000}"/>
    <cellStyle name="Normal 2 36 13 3 3" xfId="28933" xr:uid="{00000000-0005-0000-0000-000059700000}"/>
    <cellStyle name="Normal 2 36 13 4" xfId="28934" xr:uid="{00000000-0005-0000-0000-00005A700000}"/>
    <cellStyle name="Normal 2 36 14" xfId="28935" xr:uid="{00000000-0005-0000-0000-00005B700000}"/>
    <cellStyle name="Normal 2 36 14 2" xfId="28936" xr:uid="{00000000-0005-0000-0000-00005C700000}"/>
    <cellStyle name="Normal 2 36 14 2 2" xfId="28937" xr:uid="{00000000-0005-0000-0000-00005D700000}"/>
    <cellStyle name="Normal 2 36 14 2 2 2" xfId="28938" xr:uid="{00000000-0005-0000-0000-00005E700000}"/>
    <cellStyle name="Normal 2 36 14 2 2 3" xfId="28939" xr:uid="{00000000-0005-0000-0000-00005F700000}"/>
    <cellStyle name="Normal 2 36 14 2 3" xfId="28940" xr:uid="{00000000-0005-0000-0000-000060700000}"/>
    <cellStyle name="Normal 2 36 14 2 4" xfId="28941" xr:uid="{00000000-0005-0000-0000-000061700000}"/>
    <cellStyle name="Normal 2 36 14 3" xfId="28942" xr:uid="{00000000-0005-0000-0000-000062700000}"/>
    <cellStyle name="Normal 2 36 14 3 2" xfId="28943" xr:uid="{00000000-0005-0000-0000-000063700000}"/>
    <cellStyle name="Normal 2 36 14 3 3" xfId="28944" xr:uid="{00000000-0005-0000-0000-000064700000}"/>
    <cellStyle name="Normal 2 36 14 4" xfId="28945" xr:uid="{00000000-0005-0000-0000-000065700000}"/>
    <cellStyle name="Normal 2 36 15" xfId="28946" xr:uid="{00000000-0005-0000-0000-000066700000}"/>
    <cellStyle name="Normal 2 36 15 2" xfId="28947" xr:uid="{00000000-0005-0000-0000-000067700000}"/>
    <cellStyle name="Normal 2 36 15 2 2" xfId="28948" xr:uid="{00000000-0005-0000-0000-000068700000}"/>
    <cellStyle name="Normal 2 36 15 2 2 2" xfId="28949" xr:uid="{00000000-0005-0000-0000-000069700000}"/>
    <cellStyle name="Normal 2 36 15 2 2 3" xfId="28950" xr:uid="{00000000-0005-0000-0000-00006A700000}"/>
    <cellStyle name="Normal 2 36 15 2 3" xfId="28951" xr:uid="{00000000-0005-0000-0000-00006B700000}"/>
    <cellStyle name="Normal 2 36 15 2 4" xfId="28952" xr:uid="{00000000-0005-0000-0000-00006C700000}"/>
    <cellStyle name="Normal 2 36 15 3" xfId="28953" xr:uid="{00000000-0005-0000-0000-00006D700000}"/>
    <cellStyle name="Normal 2 36 15 3 2" xfId="28954" xr:uid="{00000000-0005-0000-0000-00006E700000}"/>
    <cellStyle name="Normal 2 36 15 3 3" xfId="28955" xr:uid="{00000000-0005-0000-0000-00006F700000}"/>
    <cellStyle name="Normal 2 36 15 4" xfId="28956" xr:uid="{00000000-0005-0000-0000-000070700000}"/>
    <cellStyle name="Normal 2 36 16" xfId="28957" xr:uid="{00000000-0005-0000-0000-000071700000}"/>
    <cellStyle name="Normal 2 36 16 2" xfId="28958" xr:uid="{00000000-0005-0000-0000-000072700000}"/>
    <cellStyle name="Normal 2 36 16 2 2" xfId="28959" xr:uid="{00000000-0005-0000-0000-000073700000}"/>
    <cellStyle name="Normal 2 36 16 2 2 2" xfId="28960" xr:uid="{00000000-0005-0000-0000-000074700000}"/>
    <cellStyle name="Normal 2 36 16 2 2 3" xfId="28961" xr:uid="{00000000-0005-0000-0000-000075700000}"/>
    <cellStyle name="Normal 2 36 16 2 3" xfId="28962" xr:uid="{00000000-0005-0000-0000-000076700000}"/>
    <cellStyle name="Normal 2 36 16 2 4" xfId="28963" xr:uid="{00000000-0005-0000-0000-000077700000}"/>
    <cellStyle name="Normal 2 36 16 3" xfId="28964" xr:uid="{00000000-0005-0000-0000-000078700000}"/>
    <cellStyle name="Normal 2 36 16 3 2" xfId="28965" xr:uid="{00000000-0005-0000-0000-000079700000}"/>
    <cellStyle name="Normal 2 36 16 3 3" xfId="28966" xr:uid="{00000000-0005-0000-0000-00007A700000}"/>
    <cellStyle name="Normal 2 36 16 4" xfId="28967" xr:uid="{00000000-0005-0000-0000-00007B700000}"/>
    <cellStyle name="Normal 2 36 17" xfId="28968" xr:uid="{00000000-0005-0000-0000-00007C700000}"/>
    <cellStyle name="Normal 2 36 17 2" xfId="28969" xr:uid="{00000000-0005-0000-0000-00007D700000}"/>
    <cellStyle name="Normal 2 36 17 2 2" xfId="28970" xr:uid="{00000000-0005-0000-0000-00007E700000}"/>
    <cellStyle name="Normal 2 36 17 2 2 2" xfId="28971" xr:uid="{00000000-0005-0000-0000-00007F700000}"/>
    <cellStyle name="Normal 2 36 17 2 2 3" xfId="28972" xr:uid="{00000000-0005-0000-0000-000080700000}"/>
    <cellStyle name="Normal 2 36 17 2 3" xfId="28973" xr:uid="{00000000-0005-0000-0000-000081700000}"/>
    <cellStyle name="Normal 2 36 17 2 4" xfId="28974" xr:uid="{00000000-0005-0000-0000-000082700000}"/>
    <cellStyle name="Normal 2 36 17 3" xfId="28975" xr:uid="{00000000-0005-0000-0000-000083700000}"/>
    <cellStyle name="Normal 2 36 17 3 2" xfId="28976" xr:uid="{00000000-0005-0000-0000-000084700000}"/>
    <cellStyle name="Normal 2 36 17 3 3" xfId="28977" xr:uid="{00000000-0005-0000-0000-000085700000}"/>
    <cellStyle name="Normal 2 36 17 4" xfId="28978" xr:uid="{00000000-0005-0000-0000-000086700000}"/>
    <cellStyle name="Normal 2 36 18" xfId="28979" xr:uid="{00000000-0005-0000-0000-000087700000}"/>
    <cellStyle name="Normal 2 36 18 2" xfId="28980" xr:uid="{00000000-0005-0000-0000-000088700000}"/>
    <cellStyle name="Normal 2 36 18 2 2" xfId="28981" xr:uid="{00000000-0005-0000-0000-000089700000}"/>
    <cellStyle name="Normal 2 36 18 2 2 2" xfId="28982" xr:uid="{00000000-0005-0000-0000-00008A700000}"/>
    <cellStyle name="Normal 2 36 18 2 2 3" xfId="28983" xr:uid="{00000000-0005-0000-0000-00008B700000}"/>
    <cellStyle name="Normal 2 36 18 2 3" xfId="28984" xr:uid="{00000000-0005-0000-0000-00008C700000}"/>
    <cellStyle name="Normal 2 36 18 2 4" xfId="28985" xr:uid="{00000000-0005-0000-0000-00008D700000}"/>
    <cellStyle name="Normal 2 36 18 3" xfId="28986" xr:uid="{00000000-0005-0000-0000-00008E700000}"/>
    <cellStyle name="Normal 2 36 18 3 2" xfId="28987" xr:uid="{00000000-0005-0000-0000-00008F700000}"/>
    <cellStyle name="Normal 2 36 18 3 3" xfId="28988" xr:uid="{00000000-0005-0000-0000-000090700000}"/>
    <cellStyle name="Normal 2 36 18 4" xfId="28989" xr:uid="{00000000-0005-0000-0000-000091700000}"/>
    <cellStyle name="Normal 2 36 19" xfId="28990" xr:uid="{00000000-0005-0000-0000-000092700000}"/>
    <cellStyle name="Normal 2 36 19 2" xfId="28991" xr:uid="{00000000-0005-0000-0000-000093700000}"/>
    <cellStyle name="Normal 2 36 19 2 2" xfId="28992" xr:uid="{00000000-0005-0000-0000-000094700000}"/>
    <cellStyle name="Normal 2 36 19 2 2 2" xfId="28993" xr:uid="{00000000-0005-0000-0000-000095700000}"/>
    <cellStyle name="Normal 2 36 19 2 2 3" xfId="28994" xr:uid="{00000000-0005-0000-0000-000096700000}"/>
    <cellStyle name="Normal 2 36 19 2 3" xfId="28995" xr:uid="{00000000-0005-0000-0000-000097700000}"/>
    <cellStyle name="Normal 2 36 19 2 4" xfId="28996" xr:uid="{00000000-0005-0000-0000-000098700000}"/>
    <cellStyle name="Normal 2 36 19 3" xfId="28997" xr:uid="{00000000-0005-0000-0000-000099700000}"/>
    <cellStyle name="Normal 2 36 19 3 2" xfId="28998" xr:uid="{00000000-0005-0000-0000-00009A700000}"/>
    <cellStyle name="Normal 2 36 19 3 3" xfId="28999" xr:uid="{00000000-0005-0000-0000-00009B700000}"/>
    <cellStyle name="Normal 2 36 19 4" xfId="29000" xr:uid="{00000000-0005-0000-0000-00009C700000}"/>
    <cellStyle name="Normal 2 36 2" xfId="29001" xr:uid="{00000000-0005-0000-0000-00009D700000}"/>
    <cellStyle name="Normal 2 36 2 2" xfId="29002" xr:uid="{00000000-0005-0000-0000-00009E700000}"/>
    <cellStyle name="Normal 2 36 2 2 2" xfId="29003" xr:uid="{00000000-0005-0000-0000-00009F700000}"/>
    <cellStyle name="Normal 2 36 2 2 2 2" xfId="29004" xr:uid="{00000000-0005-0000-0000-0000A0700000}"/>
    <cellStyle name="Normal 2 36 2 2 2 3" xfId="29005" xr:uid="{00000000-0005-0000-0000-0000A1700000}"/>
    <cellStyle name="Normal 2 36 2 2 3" xfId="29006" xr:uid="{00000000-0005-0000-0000-0000A2700000}"/>
    <cellStyle name="Normal 2 36 2 2 4" xfId="29007" xr:uid="{00000000-0005-0000-0000-0000A3700000}"/>
    <cellStyle name="Normal 2 36 2 3" xfId="29008" xr:uid="{00000000-0005-0000-0000-0000A4700000}"/>
    <cellStyle name="Normal 2 36 2 3 2" xfId="29009" xr:uid="{00000000-0005-0000-0000-0000A5700000}"/>
    <cellStyle name="Normal 2 36 2 3 3" xfId="29010" xr:uid="{00000000-0005-0000-0000-0000A6700000}"/>
    <cellStyle name="Normal 2 36 2 4" xfId="29011" xr:uid="{00000000-0005-0000-0000-0000A7700000}"/>
    <cellStyle name="Normal 2 36 20" xfId="29012" xr:uid="{00000000-0005-0000-0000-0000A8700000}"/>
    <cellStyle name="Normal 2 36 20 2" xfId="29013" xr:uid="{00000000-0005-0000-0000-0000A9700000}"/>
    <cellStyle name="Normal 2 36 20 2 2" xfId="29014" xr:uid="{00000000-0005-0000-0000-0000AA700000}"/>
    <cellStyle name="Normal 2 36 20 2 2 2" xfId="29015" xr:uid="{00000000-0005-0000-0000-0000AB700000}"/>
    <cellStyle name="Normal 2 36 20 2 2 3" xfId="29016" xr:uid="{00000000-0005-0000-0000-0000AC700000}"/>
    <cellStyle name="Normal 2 36 20 2 3" xfId="29017" xr:uid="{00000000-0005-0000-0000-0000AD700000}"/>
    <cellStyle name="Normal 2 36 20 2 4" xfId="29018" xr:uid="{00000000-0005-0000-0000-0000AE700000}"/>
    <cellStyle name="Normal 2 36 20 3" xfId="29019" xr:uid="{00000000-0005-0000-0000-0000AF700000}"/>
    <cellStyle name="Normal 2 36 20 3 2" xfId="29020" xr:uid="{00000000-0005-0000-0000-0000B0700000}"/>
    <cellStyle name="Normal 2 36 20 3 3" xfId="29021" xr:uid="{00000000-0005-0000-0000-0000B1700000}"/>
    <cellStyle name="Normal 2 36 20 4" xfId="29022" xr:uid="{00000000-0005-0000-0000-0000B2700000}"/>
    <cellStyle name="Normal 2 36 21" xfId="29023" xr:uid="{00000000-0005-0000-0000-0000B3700000}"/>
    <cellStyle name="Normal 2 36 21 2" xfId="29024" xr:uid="{00000000-0005-0000-0000-0000B4700000}"/>
    <cellStyle name="Normal 2 36 21 2 2" xfId="29025" xr:uid="{00000000-0005-0000-0000-0000B5700000}"/>
    <cellStyle name="Normal 2 36 21 2 2 2" xfId="29026" xr:uid="{00000000-0005-0000-0000-0000B6700000}"/>
    <cellStyle name="Normal 2 36 21 2 2 3" xfId="29027" xr:uid="{00000000-0005-0000-0000-0000B7700000}"/>
    <cellStyle name="Normal 2 36 21 2 3" xfId="29028" xr:uid="{00000000-0005-0000-0000-0000B8700000}"/>
    <cellStyle name="Normal 2 36 21 2 4" xfId="29029" xr:uid="{00000000-0005-0000-0000-0000B9700000}"/>
    <cellStyle name="Normal 2 36 21 3" xfId="29030" xr:uid="{00000000-0005-0000-0000-0000BA700000}"/>
    <cellStyle name="Normal 2 36 21 3 2" xfId="29031" xr:uid="{00000000-0005-0000-0000-0000BB700000}"/>
    <cellStyle name="Normal 2 36 21 3 3" xfId="29032" xr:uid="{00000000-0005-0000-0000-0000BC700000}"/>
    <cellStyle name="Normal 2 36 21 4" xfId="29033" xr:uid="{00000000-0005-0000-0000-0000BD700000}"/>
    <cellStyle name="Normal 2 36 22" xfId="29034" xr:uid="{00000000-0005-0000-0000-0000BE700000}"/>
    <cellStyle name="Normal 2 36 22 2" xfId="29035" xr:uid="{00000000-0005-0000-0000-0000BF700000}"/>
    <cellStyle name="Normal 2 36 22 2 2" xfId="29036" xr:uid="{00000000-0005-0000-0000-0000C0700000}"/>
    <cellStyle name="Normal 2 36 22 2 2 2" xfId="29037" xr:uid="{00000000-0005-0000-0000-0000C1700000}"/>
    <cellStyle name="Normal 2 36 22 2 2 3" xfId="29038" xr:uid="{00000000-0005-0000-0000-0000C2700000}"/>
    <cellStyle name="Normal 2 36 22 2 3" xfId="29039" xr:uid="{00000000-0005-0000-0000-0000C3700000}"/>
    <cellStyle name="Normal 2 36 22 2 4" xfId="29040" xr:uid="{00000000-0005-0000-0000-0000C4700000}"/>
    <cellStyle name="Normal 2 36 22 3" xfId="29041" xr:uid="{00000000-0005-0000-0000-0000C5700000}"/>
    <cellStyle name="Normal 2 36 22 3 2" xfId="29042" xr:uid="{00000000-0005-0000-0000-0000C6700000}"/>
    <cellStyle name="Normal 2 36 22 3 3" xfId="29043" xr:uid="{00000000-0005-0000-0000-0000C7700000}"/>
    <cellStyle name="Normal 2 36 22 4" xfId="29044" xr:uid="{00000000-0005-0000-0000-0000C8700000}"/>
    <cellStyle name="Normal 2 36 23" xfId="29045" xr:uid="{00000000-0005-0000-0000-0000C9700000}"/>
    <cellStyle name="Normal 2 36 23 2" xfId="29046" xr:uid="{00000000-0005-0000-0000-0000CA700000}"/>
    <cellStyle name="Normal 2 36 23 2 2" xfId="29047" xr:uid="{00000000-0005-0000-0000-0000CB700000}"/>
    <cellStyle name="Normal 2 36 23 2 2 2" xfId="29048" xr:uid="{00000000-0005-0000-0000-0000CC700000}"/>
    <cellStyle name="Normal 2 36 23 2 2 3" xfId="29049" xr:uid="{00000000-0005-0000-0000-0000CD700000}"/>
    <cellStyle name="Normal 2 36 23 2 3" xfId="29050" xr:uid="{00000000-0005-0000-0000-0000CE700000}"/>
    <cellStyle name="Normal 2 36 23 2 4" xfId="29051" xr:uid="{00000000-0005-0000-0000-0000CF700000}"/>
    <cellStyle name="Normal 2 36 23 3" xfId="29052" xr:uid="{00000000-0005-0000-0000-0000D0700000}"/>
    <cellStyle name="Normal 2 36 23 3 2" xfId="29053" xr:uid="{00000000-0005-0000-0000-0000D1700000}"/>
    <cellStyle name="Normal 2 36 23 3 3" xfId="29054" xr:uid="{00000000-0005-0000-0000-0000D2700000}"/>
    <cellStyle name="Normal 2 36 23 4" xfId="29055" xr:uid="{00000000-0005-0000-0000-0000D3700000}"/>
    <cellStyle name="Normal 2 36 24" xfId="29056" xr:uid="{00000000-0005-0000-0000-0000D4700000}"/>
    <cellStyle name="Normal 2 36 24 2" xfId="29057" xr:uid="{00000000-0005-0000-0000-0000D5700000}"/>
    <cellStyle name="Normal 2 36 24 2 2" xfId="29058" xr:uid="{00000000-0005-0000-0000-0000D6700000}"/>
    <cellStyle name="Normal 2 36 24 2 3" xfId="29059" xr:uid="{00000000-0005-0000-0000-0000D7700000}"/>
    <cellStyle name="Normal 2 36 24 3" xfId="29060" xr:uid="{00000000-0005-0000-0000-0000D8700000}"/>
    <cellStyle name="Normal 2 36 24 4" xfId="29061" xr:uid="{00000000-0005-0000-0000-0000D9700000}"/>
    <cellStyle name="Normal 2 36 25" xfId="29062" xr:uid="{00000000-0005-0000-0000-0000DA700000}"/>
    <cellStyle name="Normal 2 36 25 2" xfId="29063" xr:uid="{00000000-0005-0000-0000-0000DB700000}"/>
    <cellStyle name="Normal 2 36 25 3" xfId="29064" xr:uid="{00000000-0005-0000-0000-0000DC700000}"/>
    <cellStyle name="Normal 2 36 26" xfId="29065" xr:uid="{00000000-0005-0000-0000-0000DD700000}"/>
    <cellStyle name="Normal 2 36 3" xfId="29066" xr:uid="{00000000-0005-0000-0000-0000DE700000}"/>
    <cellStyle name="Normal 2 36 3 2" xfId="29067" xr:uid="{00000000-0005-0000-0000-0000DF700000}"/>
    <cellStyle name="Normal 2 36 3 2 2" xfId="29068" xr:uid="{00000000-0005-0000-0000-0000E0700000}"/>
    <cellStyle name="Normal 2 36 3 2 2 2" xfId="29069" xr:uid="{00000000-0005-0000-0000-0000E1700000}"/>
    <cellStyle name="Normal 2 36 3 2 2 3" xfId="29070" xr:uid="{00000000-0005-0000-0000-0000E2700000}"/>
    <cellStyle name="Normal 2 36 3 2 3" xfId="29071" xr:uid="{00000000-0005-0000-0000-0000E3700000}"/>
    <cellStyle name="Normal 2 36 3 2 4" xfId="29072" xr:uid="{00000000-0005-0000-0000-0000E4700000}"/>
    <cellStyle name="Normal 2 36 3 3" xfId="29073" xr:uid="{00000000-0005-0000-0000-0000E5700000}"/>
    <cellStyle name="Normal 2 36 3 3 2" xfId="29074" xr:uid="{00000000-0005-0000-0000-0000E6700000}"/>
    <cellStyle name="Normal 2 36 3 3 3" xfId="29075" xr:uid="{00000000-0005-0000-0000-0000E7700000}"/>
    <cellStyle name="Normal 2 36 3 4" xfId="29076" xr:uid="{00000000-0005-0000-0000-0000E8700000}"/>
    <cellStyle name="Normal 2 36 4" xfId="29077" xr:uid="{00000000-0005-0000-0000-0000E9700000}"/>
    <cellStyle name="Normal 2 36 4 2" xfId="29078" xr:uid="{00000000-0005-0000-0000-0000EA700000}"/>
    <cellStyle name="Normal 2 36 4 2 2" xfId="29079" xr:uid="{00000000-0005-0000-0000-0000EB700000}"/>
    <cellStyle name="Normal 2 36 4 2 2 2" xfId="29080" xr:uid="{00000000-0005-0000-0000-0000EC700000}"/>
    <cellStyle name="Normal 2 36 4 2 2 3" xfId="29081" xr:uid="{00000000-0005-0000-0000-0000ED700000}"/>
    <cellStyle name="Normal 2 36 4 2 3" xfId="29082" xr:uid="{00000000-0005-0000-0000-0000EE700000}"/>
    <cellStyle name="Normal 2 36 4 2 4" xfId="29083" xr:uid="{00000000-0005-0000-0000-0000EF700000}"/>
    <cellStyle name="Normal 2 36 4 3" xfId="29084" xr:uid="{00000000-0005-0000-0000-0000F0700000}"/>
    <cellStyle name="Normal 2 36 4 3 2" xfId="29085" xr:uid="{00000000-0005-0000-0000-0000F1700000}"/>
    <cellStyle name="Normal 2 36 4 3 3" xfId="29086" xr:uid="{00000000-0005-0000-0000-0000F2700000}"/>
    <cellStyle name="Normal 2 36 4 4" xfId="29087" xr:uid="{00000000-0005-0000-0000-0000F3700000}"/>
    <cellStyle name="Normal 2 36 5" xfId="29088" xr:uid="{00000000-0005-0000-0000-0000F4700000}"/>
    <cellStyle name="Normal 2 36 5 2" xfId="29089" xr:uid="{00000000-0005-0000-0000-0000F5700000}"/>
    <cellStyle name="Normal 2 36 5 2 2" xfId="29090" xr:uid="{00000000-0005-0000-0000-0000F6700000}"/>
    <cellStyle name="Normal 2 36 5 2 2 2" xfId="29091" xr:uid="{00000000-0005-0000-0000-0000F7700000}"/>
    <cellStyle name="Normal 2 36 5 2 2 3" xfId="29092" xr:uid="{00000000-0005-0000-0000-0000F8700000}"/>
    <cellStyle name="Normal 2 36 5 2 3" xfId="29093" xr:uid="{00000000-0005-0000-0000-0000F9700000}"/>
    <cellStyle name="Normal 2 36 5 2 4" xfId="29094" xr:uid="{00000000-0005-0000-0000-0000FA700000}"/>
    <cellStyle name="Normal 2 36 5 3" xfId="29095" xr:uid="{00000000-0005-0000-0000-0000FB700000}"/>
    <cellStyle name="Normal 2 36 5 3 2" xfId="29096" xr:uid="{00000000-0005-0000-0000-0000FC700000}"/>
    <cellStyle name="Normal 2 36 5 3 3" xfId="29097" xr:uid="{00000000-0005-0000-0000-0000FD700000}"/>
    <cellStyle name="Normal 2 36 5 4" xfId="29098" xr:uid="{00000000-0005-0000-0000-0000FE700000}"/>
    <cellStyle name="Normal 2 36 6" xfId="29099" xr:uid="{00000000-0005-0000-0000-0000FF700000}"/>
    <cellStyle name="Normal 2 36 6 2" xfId="29100" xr:uid="{00000000-0005-0000-0000-000000710000}"/>
    <cellStyle name="Normal 2 36 6 2 2" xfId="29101" xr:uid="{00000000-0005-0000-0000-000001710000}"/>
    <cellStyle name="Normal 2 36 6 2 2 2" xfId="29102" xr:uid="{00000000-0005-0000-0000-000002710000}"/>
    <cellStyle name="Normal 2 36 6 2 2 3" xfId="29103" xr:uid="{00000000-0005-0000-0000-000003710000}"/>
    <cellStyle name="Normal 2 36 6 2 3" xfId="29104" xr:uid="{00000000-0005-0000-0000-000004710000}"/>
    <cellStyle name="Normal 2 36 6 2 4" xfId="29105" xr:uid="{00000000-0005-0000-0000-000005710000}"/>
    <cellStyle name="Normal 2 36 6 3" xfId="29106" xr:uid="{00000000-0005-0000-0000-000006710000}"/>
    <cellStyle name="Normal 2 36 6 3 2" xfId="29107" xr:uid="{00000000-0005-0000-0000-000007710000}"/>
    <cellStyle name="Normal 2 36 6 3 3" xfId="29108" xr:uid="{00000000-0005-0000-0000-000008710000}"/>
    <cellStyle name="Normal 2 36 6 4" xfId="29109" xr:uid="{00000000-0005-0000-0000-000009710000}"/>
    <cellStyle name="Normal 2 36 7" xfId="29110" xr:uid="{00000000-0005-0000-0000-00000A710000}"/>
    <cellStyle name="Normal 2 36 7 2" xfId="29111" xr:uid="{00000000-0005-0000-0000-00000B710000}"/>
    <cellStyle name="Normal 2 36 7 2 2" xfId="29112" xr:uid="{00000000-0005-0000-0000-00000C710000}"/>
    <cellStyle name="Normal 2 36 7 2 2 2" xfId="29113" xr:uid="{00000000-0005-0000-0000-00000D710000}"/>
    <cellStyle name="Normal 2 36 7 2 2 3" xfId="29114" xr:uid="{00000000-0005-0000-0000-00000E710000}"/>
    <cellStyle name="Normal 2 36 7 2 3" xfId="29115" xr:uid="{00000000-0005-0000-0000-00000F710000}"/>
    <cellStyle name="Normal 2 36 7 2 4" xfId="29116" xr:uid="{00000000-0005-0000-0000-000010710000}"/>
    <cellStyle name="Normal 2 36 7 3" xfId="29117" xr:uid="{00000000-0005-0000-0000-000011710000}"/>
    <cellStyle name="Normal 2 36 7 3 2" xfId="29118" xr:uid="{00000000-0005-0000-0000-000012710000}"/>
    <cellStyle name="Normal 2 36 7 3 3" xfId="29119" xr:uid="{00000000-0005-0000-0000-000013710000}"/>
    <cellStyle name="Normal 2 36 7 4" xfId="29120" xr:uid="{00000000-0005-0000-0000-000014710000}"/>
    <cellStyle name="Normal 2 36 8" xfId="29121" xr:uid="{00000000-0005-0000-0000-000015710000}"/>
    <cellStyle name="Normal 2 36 8 2" xfId="29122" xr:uid="{00000000-0005-0000-0000-000016710000}"/>
    <cellStyle name="Normal 2 36 8 2 2" xfId="29123" xr:uid="{00000000-0005-0000-0000-000017710000}"/>
    <cellStyle name="Normal 2 36 8 2 2 2" xfId="29124" xr:uid="{00000000-0005-0000-0000-000018710000}"/>
    <cellStyle name="Normal 2 36 8 2 2 3" xfId="29125" xr:uid="{00000000-0005-0000-0000-000019710000}"/>
    <cellStyle name="Normal 2 36 8 2 3" xfId="29126" xr:uid="{00000000-0005-0000-0000-00001A710000}"/>
    <cellStyle name="Normal 2 36 8 2 4" xfId="29127" xr:uid="{00000000-0005-0000-0000-00001B710000}"/>
    <cellStyle name="Normal 2 36 8 3" xfId="29128" xr:uid="{00000000-0005-0000-0000-00001C710000}"/>
    <cellStyle name="Normal 2 36 8 3 2" xfId="29129" xr:uid="{00000000-0005-0000-0000-00001D710000}"/>
    <cellStyle name="Normal 2 36 8 3 3" xfId="29130" xr:uid="{00000000-0005-0000-0000-00001E710000}"/>
    <cellStyle name="Normal 2 36 8 4" xfId="29131" xr:uid="{00000000-0005-0000-0000-00001F710000}"/>
    <cellStyle name="Normal 2 36 9" xfId="29132" xr:uid="{00000000-0005-0000-0000-000020710000}"/>
    <cellStyle name="Normal 2 36 9 2" xfId="29133" xr:uid="{00000000-0005-0000-0000-000021710000}"/>
    <cellStyle name="Normal 2 36 9 2 2" xfId="29134" xr:uid="{00000000-0005-0000-0000-000022710000}"/>
    <cellStyle name="Normal 2 36 9 2 2 2" xfId="29135" xr:uid="{00000000-0005-0000-0000-000023710000}"/>
    <cellStyle name="Normal 2 36 9 2 2 3" xfId="29136" xr:uid="{00000000-0005-0000-0000-000024710000}"/>
    <cellStyle name="Normal 2 36 9 2 3" xfId="29137" xr:uid="{00000000-0005-0000-0000-000025710000}"/>
    <cellStyle name="Normal 2 36 9 2 4" xfId="29138" xr:uid="{00000000-0005-0000-0000-000026710000}"/>
    <cellStyle name="Normal 2 36 9 3" xfId="29139" xr:uid="{00000000-0005-0000-0000-000027710000}"/>
    <cellStyle name="Normal 2 36 9 3 2" xfId="29140" xr:uid="{00000000-0005-0000-0000-000028710000}"/>
    <cellStyle name="Normal 2 36 9 3 3" xfId="29141" xr:uid="{00000000-0005-0000-0000-000029710000}"/>
    <cellStyle name="Normal 2 36 9 4" xfId="29142" xr:uid="{00000000-0005-0000-0000-00002A710000}"/>
    <cellStyle name="Normal 2 37" xfId="29143" xr:uid="{00000000-0005-0000-0000-00002B710000}"/>
    <cellStyle name="Normal 2 37 10" xfId="29144" xr:uid="{00000000-0005-0000-0000-00002C710000}"/>
    <cellStyle name="Normal 2 37 10 2" xfId="29145" xr:uid="{00000000-0005-0000-0000-00002D710000}"/>
    <cellStyle name="Normal 2 37 10 2 2" xfId="29146" xr:uid="{00000000-0005-0000-0000-00002E710000}"/>
    <cellStyle name="Normal 2 37 10 2 2 2" xfId="29147" xr:uid="{00000000-0005-0000-0000-00002F710000}"/>
    <cellStyle name="Normal 2 37 10 2 2 3" xfId="29148" xr:uid="{00000000-0005-0000-0000-000030710000}"/>
    <cellStyle name="Normal 2 37 10 2 3" xfId="29149" xr:uid="{00000000-0005-0000-0000-000031710000}"/>
    <cellStyle name="Normal 2 37 10 2 4" xfId="29150" xr:uid="{00000000-0005-0000-0000-000032710000}"/>
    <cellStyle name="Normal 2 37 10 3" xfId="29151" xr:uid="{00000000-0005-0000-0000-000033710000}"/>
    <cellStyle name="Normal 2 37 10 3 2" xfId="29152" xr:uid="{00000000-0005-0000-0000-000034710000}"/>
    <cellStyle name="Normal 2 37 10 3 3" xfId="29153" xr:uid="{00000000-0005-0000-0000-000035710000}"/>
    <cellStyle name="Normal 2 37 10 4" xfId="29154" xr:uid="{00000000-0005-0000-0000-000036710000}"/>
    <cellStyle name="Normal 2 37 11" xfId="29155" xr:uid="{00000000-0005-0000-0000-000037710000}"/>
    <cellStyle name="Normal 2 37 11 2" xfId="29156" xr:uid="{00000000-0005-0000-0000-000038710000}"/>
    <cellStyle name="Normal 2 37 11 2 2" xfId="29157" xr:uid="{00000000-0005-0000-0000-000039710000}"/>
    <cellStyle name="Normal 2 37 11 2 2 2" xfId="29158" xr:uid="{00000000-0005-0000-0000-00003A710000}"/>
    <cellStyle name="Normal 2 37 11 2 2 3" xfId="29159" xr:uid="{00000000-0005-0000-0000-00003B710000}"/>
    <cellStyle name="Normal 2 37 11 2 3" xfId="29160" xr:uid="{00000000-0005-0000-0000-00003C710000}"/>
    <cellStyle name="Normal 2 37 11 2 4" xfId="29161" xr:uid="{00000000-0005-0000-0000-00003D710000}"/>
    <cellStyle name="Normal 2 37 11 3" xfId="29162" xr:uid="{00000000-0005-0000-0000-00003E710000}"/>
    <cellStyle name="Normal 2 37 11 3 2" xfId="29163" xr:uid="{00000000-0005-0000-0000-00003F710000}"/>
    <cellStyle name="Normal 2 37 11 3 3" xfId="29164" xr:uid="{00000000-0005-0000-0000-000040710000}"/>
    <cellStyle name="Normal 2 37 11 4" xfId="29165" xr:uid="{00000000-0005-0000-0000-000041710000}"/>
    <cellStyle name="Normal 2 37 12" xfId="29166" xr:uid="{00000000-0005-0000-0000-000042710000}"/>
    <cellStyle name="Normal 2 37 12 2" xfId="29167" xr:uid="{00000000-0005-0000-0000-000043710000}"/>
    <cellStyle name="Normal 2 37 12 2 2" xfId="29168" xr:uid="{00000000-0005-0000-0000-000044710000}"/>
    <cellStyle name="Normal 2 37 12 2 2 2" xfId="29169" xr:uid="{00000000-0005-0000-0000-000045710000}"/>
    <cellStyle name="Normal 2 37 12 2 2 3" xfId="29170" xr:uid="{00000000-0005-0000-0000-000046710000}"/>
    <cellStyle name="Normal 2 37 12 2 3" xfId="29171" xr:uid="{00000000-0005-0000-0000-000047710000}"/>
    <cellStyle name="Normal 2 37 12 2 4" xfId="29172" xr:uid="{00000000-0005-0000-0000-000048710000}"/>
    <cellStyle name="Normal 2 37 12 3" xfId="29173" xr:uid="{00000000-0005-0000-0000-000049710000}"/>
    <cellStyle name="Normal 2 37 12 3 2" xfId="29174" xr:uid="{00000000-0005-0000-0000-00004A710000}"/>
    <cellStyle name="Normal 2 37 12 3 3" xfId="29175" xr:uid="{00000000-0005-0000-0000-00004B710000}"/>
    <cellStyle name="Normal 2 37 12 4" xfId="29176" xr:uid="{00000000-0005-0000-0000-00004C710000}"/>
    <cellStyle name="Normal 2 37 13" xfId="29177" xr:uid="{00000000-0005-0000-0000-00004D710000}"/>
    <cellStyle name="Normal 2 37 13 2" xfId="29178" xr:uid="{00000000-0005-0000-0000-00004E710000}"/>
    <cellStyle name="Normal 2 37 13 2 2" xfId="29179" xr:uid="{00000000-0005-0000-0000-00004F710000}"/>
    <cellStyle name="Normal 2 37 13 2 2 2" xfId="29180" xr:uid="{00000000-0005-0000-0000-000050710000}"/>
    <cellStyle name="Normal 2 37 13 2 2 3" xfId="29181" xr:uid="{00000000-0005-0000-0000-000051710000}"/>
    <cellStyle name="Normal 2 37 13 2 3" xfId="29182" xr:uid="{00000000-0005-0000-0000-000052710000}"/>
    <cellStyle name="Normal 2 37 13 2 4" xfId="29183" xr:uid="{00000000-0005-0000-0000-000053710000}"/>
    <cellStyle name="Normal 2 37 13 3" xfId="29184" xr:uid="{00000000-0005-0000-0000-000054710000}"/>
    <cellStyle name="Normal 2 37 13 3 2" xfId="29185" xr:uid="{00000000-0005-0000-0000-000055710000}"/>
    <cellStyle name="Normal 2 37 13 3 3" xfId="29186" xr:uid="{00000000-0005-0000-0000-000056710000}"/>
    <cellStyle name="Normal 2 37 13 4" xfId="29187" xr:uid="{00000000-0005-0000-0000-000057710000}"/>
    <cellStyle name="Normal 2 37 14" xfId="29188" xr:uid="{00000000-0005-0000-0000-000058710000}"/>
    <cellStyle name="Normal 2 37 14 2" xfId="29189" xr:uid="{00000000-0005-0000-0000-000059710000}"/>
    <cellStyle name="Normal 2 37 14 2 2" xfId="29190" xr:uid="{00000000-0005-0000-0000-00005A710000}"/>
    <cellStyle name="Normal 2 37 14 2 2 2" xfId="29191" xr:uid="{00000000-0005-0000-0000-00005B710000}"/>
    <cellStyle name="Normal 2 37 14 2 2 3" xfId="29192" xr:uid="{00000000-0005-0000-0000-00005C710000}"/>
    <cellStyle name="Normal 2 37 14 2 3" xfId="29193" xr:uid="{00000000-0005-0000-0000-00005D710000}"/>
    <cellStyle name="Normal 2 37 14 2 4" xfId="29194" xr:uid="{00000000-0005-0000-0000-00005E710000}"/>
    <cellStyle name="Normal 2 37 14 3" xfId="29195" xr:uid="{00000000-0005-0000-0000-00005F710000}"/>
    <cellStyle name="Normal 2 37 14 3 2" xfId="29196" xr:uid="{00000000-0005-0000-0000-000060710000}"/>
    <cellStyle name="Normal 2 37 14 3 3" xfId="29197" xr:uid="{00000000-0005-0000-0000-000061710000}"/>
    <cellStyle name="Normal 2 37 14 4" xfId="29198" xr:uid="{00000000-0005-0000-0000-000062710000}"/>
    <cellStyle name="Normal 2 37 15" xfId="29199" xr:uid="{00000000-0005-0000-0000-000063710000}"/>
    <cellStyle name="Normal 2 37 15 2" xfId="29200" xr:uid="{00000000-0005-0000-0000-000064710000}"/>
    <cellStyle name="Normal 2 37 15 2 2" xfId="29201" xr:uid="{00000000-0005-0000-0000-000065710000}"/>
    <cellStyle name="Normal 2 37 15 2 2 2" xfId="29202" xr:uid="{00000000-0005-0000-0000-000066710000}"/>
    <cellStyle name="Normal 2 37 15 2 2 3" xfId="29203" xr:uid="{00000000-0005-0000-0000-000067710000}"/>
    <cellStyle name="Normal 2 37 15 2 3" xfId="29204" xr:uid="{00000000-0005-0000-0000-000068710000}"/>
    <cellStyle name="Normal 2 37 15 2 4" xfId="29205" xr:uid="{00000000-0005-0000-0000-000069710000}"/>
    <cellStyle name="Normal 2 37 15 3" xfId="29206" xr:uid="{00000000-0005-0000-0000-00006A710000}"/>
    <cellStyle name="Normal 2 37 15 3 2" xfId="29207" xr:uid="{00000000-0005-0000-0000-00006B710000}"/>
    <cellStyle name="Normal 2 37 15 3 3" xfId="29208" xr:uid="{00000000-0005-0000-0000-00006C710000}"/>
    <cellStyle name="Normal 2 37 15 4" xfId="29209" xr:uid="{00000000-0005-0000-0000-00006D710000}"/>
    <cellStyle name="Normal 2 37 16" xfId="29210" xr:uid="{00000000-0005-0000-0000-00006E710000}"/>
    <cellStyle name="Normal 2 37 16 2" xfId="29211" xr:uid="{00000000-0005-0000-0000-00006F710000}"/>
    <cellStyle name="Normal 2 37 16 2 2" xfId="29212" xr:uid="{00000000-0005-0000-0000-000070710000}"/>
    <cellStyle name="Normal 2 37 16 2 2 2" xfId="29213" xr:uid="{00000000-0005-0000-0000-000071710000}"/>
    <cellStyle name="Normal 2 37 16 2 2 3" xfId="29214" xr:uid="{00000000-0005-0000-0000-000072710000}"/>
    <cellStyle name="Normal 2 37 16 2 3" xfId="29215" xr:uid="{00000000-0005-0000-0000-000073710000}"/>
    <cellStyle name="Normal 2 37 16 2 4" xfId="29216" xr:uid="{00000000-0005-0000-0000-000074710000}"/>
    <cellStyle name="Normal 2 37 16 3" xfId="29217" xr:uid="{00000000-0005-0000-0000-000075710000}"/>
    <cellStyle name="Normal 2 37 16 3 2" xfId="29218" xr:uid="{00000000-0005-0000-0000-000076710000}"/>
    <cellStyle name="Normal 2 37 16 3 3" xfId="29219" xr:uid="{00000000-0005-0000-0000-000077710000}"/>
    <cellStyle name="Normal 2 37 16 4" xfId="29220" xr:uid="{00000000-0005-0000-0000-000078710000}"/>
    <cellStyle name="Normal 2 37 17" xfId="29221" xr:uid="{00000000-0005-0000-0000-000079710000}"/>
    <cellStyle name="Normal 2 37 17 2" xfId="29222" xr:uid="{00000000-0005-0000-0000-00007A710000}"/>
    <cellStyle name="Normal 2 37 17 2 2" xfId="29223" xr:uid="{00000000-0005-0000-0000-00007B710000}"/>
    <cellStyle name="Normal 2 37 17 2 2 2" xfId="29224" xr:uid="{00000000-0005-0000-0000-00007C710000}"/>
    <cellStyle name="Normal 2 37 17 2 2 3" xfId="29225" xr:uid="{00000000-0005-0000-0000-00007D710000}"/>
    <cellStyle name="Normal 2 37 17 2 3" xfId="29226" xr:uid="{00000000-0005-0000-0000-00007E710000}"/>
    <cellStyle name="Normal 2 37 17 2 4" xfId="29227" xr:uid="{00000000-0005-0000-0000-00007F710000}"/>
    <cellStyle name="Normal 2 37 17 3" xfId="29228" xr:uid="{00000000-0005-0000-0000-000080710000}"/>
    <cellStyle name="Normal 2 37 17 3 2" xfId="29229" xr:uid="{00000000-0005-0000-0000-000081710000}"/>
    <cellStyle name="Normal 2 37 17 3 3" xfId="29230" xr:uid="{00000000-0005-0000-0000-000082710000}"/>
    <cellStyle name="Normal 2 37 17 4" xfId="29231" xr:uid="{00000000-0005-0000-0000-000083710000}"/>
    <cellStyle name="Normal 2 37 18" xfId="29232" xr:uid="{00000000-0005-0000-0000-000084710000}"/>
    <cellStyle name="Normal 2 37 18 2" xfId="29233" xr:uid="{00000000-0005-0000-0000-000085710000}"/>
    <cellStyle name="Normal 2 37 18 2 2" xfId="29234" xr:uid="{00000000-0005-0000-0000-000086710000}"/>
    <cellStyle name="Normal 2 37 18 2 2 2" xfId="29235" xr:uid="{00000000-0005-0000-0000-000087710000}"/>
    <cellStyle name="Normal 2 37 18 2 2 3" xfId="29236" xr:uid="{00000000-0005-0000-0000-000088710000}"/>
    <cellStyle name="Normal 2 37 18 2 3" xfId="29237" xr:uid="{00000000-0005-0000-0000-000089710000}"/>
    <cellStyle name="Normal 2 37 18 2 4" xfId="29238" xr:uid="{00000000-0005-0000-0000-00008A710000}"/>
    <cellStyle name="Normal 2 37 18 3" xfId="29239" xr:uid="{00000000-0005-0000-0000-00008B710000}"/>
    <cellStyle name="Normal 2 37 18 3 2" xfId="29240" xr:uid="{00000000-0005-0000-0000-00008C710000}"/>
    <cellStyle name="Normal 2 37 18 3 3" xfId="29241" xr:uid="{00000000-0005-0000-0000-00008D710000}"/>
    <cellStyle name="Normal 2 37 18 4" xfId="29242" xr:uid="{00000000-0005-0000-0000-00008E710000}"/>
    <cellStyle name="Normal 2 37 19" xfId="29243" xr:uid="{00000000-0005-0000-0000-00008F710000}"/>
    <cellStyle name="Normal 2 37 19 2" xfId="29244" xr:uid="{00000000-0005-0000-0000-000090710000}"/>
    <cellStyle name="Normal 2 37 19 2 2" xfId="29245" xr:uid="{00000000-0005-0000-0000-000091710000}"/>
    <cellStyle name="Normal 2 37 19 2 2 2" xfId="29246" xr:uid="{00000000-0005-0000-0000-000092710000}"/>
    <cellStyle name="Normal 2 37 19 2 2 3" xfId="29247" xr:uid="{00000000-0005-0000-0000-000093710000}"/>
    <cellStyle name="Normal 2 37 19 2 3" xfId="29248" xr:uid="{00000000-0005-0000-0000-000094710000}"/>
    <cellStyle name="Normal 2 37 19 2 4" xfId="29249" xr:uid="{00000000-0005-0000-0000-000095710000}"/>
    <cellStyle name="Normal 2 37 19 3" xfId="29250" xr:uid="{00000000-0005-0000-0000-000096710000}"/>
    <cellStyle name="Normal 2 37 19 3 2" xfId="29251" xr:uid="{00000000-0005-0000-0000-000097710000}"/>
    <cellStyle name="Normal 2 37 19 3 3" xfId="29252" xr:uid="{00000000-0005-0000-0000-000098710000}"/>
    <cellStyle name="Normal 2 37 19 4" xfId="29253" xr:uid="{00000000-0005-0000-0000-000099710000}"/>
    <cellStyle name="Normal 2 37 2" xfId="29254" xr:uid="{00000000-0005-0000-0000-00009A710000}"/>
    <cellStyle name="Normal 2 37 2 2" xfId="29255" xr:uid="{00000000-0005-0000-0000-00009B710000}"/>
    <cellStyle name="Normal 2 37 2 2 2" xfId="29256" xr:uid="{00000000-0005-0000-0000-00009C710000}"/>
    <cellStyle name="Normal 2 37 2 2 2 2" xfId="29257" xr:uid="{00000000-0005-0000-0000-00009D710000}"/>
    <cellStyle name="Normal 2 37 2 2 2 3" xfId="29258" xr:uid="{00000000-0005-0000-0000-00009E710000}"/>
    <cellStyle name="Normal 2 37 2 2 3" xfId="29259" xr:uid="{00000000-0005-0000-0000-00009F710000}"/>
    <cellStyle name="Normal 2 37 2 2 4" xfId="29260" xr:uid="{00000000-0005-0000-0000-0000A0710000}"/>
    <cellStyle name="Normal 2 37 2 3" xfId="29261" xr:uid="{00000000-0005-0000-0000-0000A1710000}"/>
    <cellStyle name="Normal 2 37 2 3 2" xfId="29262" xr:uid="{00000000-0005-0000-0000-0000A2710000}"/>
    <cellStyle name="Normal 2 37 2 3 3" xfId="29263" xr:uid="{00000000-0005-0000-0000-0000A3710000}"/>
    <cellStyle name="Normal 2 37 2 4" xfId="29264" xr:uid="{00000000-0005-0000-0000-0000A4710000}"/>
    <cellStyle name="Normal 2 37 20" xfId="29265" xr:uid="{00000000-0005-0000-0000-0000A5710000}"/>
    <cellStyle name="Normal 2 37 20 2" xfId="29266" xr:uid="{00000000-0005-0000-0000-0000A6710000}"/>
    <cellStyle name="Normal 2 37 20 2 2" xfId="29267" xr:uid="{00000000-0005-0000-0000-0000A7710000}"/>
    <cellStyle name="Normal 2 37 20 2 2 2" xfId="29268" xr:uid="{00000000-0005-0000-0000-0000A8710000}"/>
    <cellStyle name="Normal 2 37 20 2 2 3" xfId="29269" xr:uid="{00000000-0005-0000-0000-0000A9710000}"/>
    <cellStyle name="Normal 2 37 20 2 3" xfId="29270" xr:uid="{00000000-0005-0000-0000-0000AA710000}"/>
    <cellStyle name="Normal 2 37 20 2 4" xfId="29271" xr:uid="{00000000-0005-0000-0000-0000AB710000}"/>
    <cellStyle name="Normal 2 37 20 3" xfId="29272" xr:uid="{00000000-0005-0000-0000-0000AC710000}"/>
    <cellStyle name="Normal 2 37 20 3 2" xfId="29273" xr:uid="{00000000-0005-0000-0000-0000AD710000}"/>
    <cellStyle name="Normal 2 37 20 3 3" xfId="29274" xr:uid="{00000000-0005-0000-0000-0000AE710000}"/>
    <cellStyle name="Normal 2 37 20 4" xfId="29275" xr:uid="{00000000-0005-0000-0000-0000AF710000}"/>
    <cellStyle name="Normal 2 37 21" xfId="29276" xr:uid="{00000000-0005-0000-0000-0000B0710000}"/>
    <cellStyle name="Normal 2 37 21 2" xfId="29277" xr:uid="{00000000-0005-0000-0000-0000B1710000}"/>
    <cellStyle name="Normal 2 37 21 2 2" xfId="29278" xr:uid="{00000000-0005-0000-0000-0000B2710000}"/>
    <cellStyle name="Normal 2 37 21 2 2 2" xfId="29279" xr:uid="{00000000-0005-0000-0000-0000B3710000}"/>
    <cellStyle name="Normal 2 37 21 2 2 3" xfId="29280" xr:uid="{00000000-0005-0000-0000-0000B4710000}"/>
    <cellStyle name="Normal 2 37 21 2 3" xfId="29281" xr:uid="{00000000-0005-0000-0000-0000B5710000}"/>
    <cellStyle name="Normal 2 37 21 2 4" xfId="29282" xr:uid="{00000000-0005-0000-0000-0000B6710000}"/>
    <cellStyle name="Normal 2 37 21 3" xfId="29283" xr:uid="{00000000-0005-0000-0000-0000B7710000}"/>
    <cellStyle name="Normal 2 37 21 3 2" xfId="29284" xr:uid="{00000000-0005-0000-0000-0000B8710000}"/>
    <cellStyle name="Normal 2 37 21 3 3" xfId="29285" xr:uid="{00000000-0005-0000-0000-0000B9710000}"/>
    <cellStyle name="Normal 2 37 21 4" xfId="29286" xr:uid="{00000000-0005-0000-0000-0000BA710000}"/>
    <cellStyle name="Normal 2 37 22" xfId="29287" xr:uid="{00000000-0005-0000-0000-0000BB710000}"/>
    <cellStyle name="Normal 2 37 22 2" xfId="29288" xr:uid="{00000000-0005-0000-0000-0000BC710000}"/>
    <cellStyle name="Normal 2 37 22 2 2" xfId="29289" xr:uid="{00000000-0005-0000-0000-0000BD710000}"/>
    <cellStyle name="Normal 2 37 22 2 2 2" xfId="29290" xr:uid="{00000000-0005-0000-0000-0000BE710000}"/>
    <cellStyle name="Normal 2 37 22 2 2 3" xfId="29291" xr:uid="{00000000-0005-0000-0000-0000BF710000}"/>
    <cellStyle name="Normal 2 37 22 2 3" xfId="29292" xr:uid="{00000000-0005-0000-0000-0000C0710000}"/>
    <cellStyle name="Normal 2 37 22 2 4" xfId="29293" xr:uid="{00000000-0005-0000-0000-0000C1710000}"/>
    <cellStyle name="Normal 2 37 22 3" xfId="29294" xr:uid="{00000000-0005-0000-0000-0000C2710000}"/>
    <cellStyle name="Normal 2 37 22 3 2" xfId="29295" xr:uid="{00000000-0005-0000-0000-0000C3710000}"/>
    <cellStyle name="Normal 2 37 22 3 3" xfId="29296" xr:uid="{00000000-0005-0000-0000-0000C4710000}"/>
    <cellStyle name="Normal 2 37 22 4" xfId="29297" xr:uid="{00000000-0005-0000-0000-0000C5710000}"/>
    <cellStyle name="Normal 2 37 23" xfId="29298" xr:uid="{00000000-0005-0000-0000-0000C6710000}"/>
    <cellStyle name="Normal 2 37 23 2" xfId="29299" xr:uid="{00000000-0005-0000-0000-0000C7710000}"/>
    <cellStyle name="Normal 2 37 23 2 2" xfId="29300" xr:uid="{00000000-0005-0000-0000-0000C8710000}"/>
    <cellStyle name="Normal 2 37 23 2 2 2" xfId="29301" xr:uid="{00000000-0005-0000-0000-0000C9710000}"/>
    <cellStyle name="Normal 2 37 23 2 2 3" xfId="29302" xr:uid="{00000000-0005-0000-0000-0000CA710000}"/>
    <cellStyle name="Normal 2 37 23 2 3" xfId="29303" xr:uid="{00000000-0005-0000-0000-0000CB710000}"/>
    <cellStyle name="Normal 2 37 23 2 4" xfId="29304" xr:uid="{00000000-0005-0000-0000-0000CC710000}"/>
    <cellStyle name="Normal 2 37 23 3" xfId="29305" xr:uid="{00000000-0005-0000-0000-0000CD710000}"/>
    <cellStyle name="Normal 2 37 23 3 2" xfId="29306" xr:uid="{00000000-0005-0000-0000-0000CE710000}"/>
    <cellStyle name="Normal 2 37 23 3 3" xfId="29307" xr:uid="{00000000-0005-0000-0000-0000CF710000}"/>
    <cellStyle name="Normal 2 37 23 4" xfId="29308" xr:uid="{00000000-0005-0000-0000-0000D0710000}"/>
    <cellStyle name="Normal 2 37 24" xfId="29309" xr:uid="{00000000-0005-0000-0000-0000D1710000}"/>
    <cellStyle name="Normal 2 37 24 2" xfId="29310" xr:uid="{00000000-0005-0000-0000-0000D2710000}"/>
    <cellStyle name="Normal 2 37 24 2 2" xfId="29311" xr:uid="{00000000-0005-0000-0000-0000D3710000}"/>
    <cellStyle name="Normal 2 37 24 2 3" xfId="29312" xr:uid="{00000000-0005-0000-0000-0000D4710000}"/>
    <cellStyle name="Normal 2 37 24 3" xfId="29313" xr:uid="{00000000-0005-0000-0000-0000D5710000}"/>
    <cellStyle name="Normal 2 37 24 4" xfId="29314" xr:uid="{00000000-0005-0000-0000-0000D6710000}"/>
    <cellStyle name="Normal 2 37 25" xfId="29315" xr:uid="{00000000-0005-0000-0000-0000D7710000}"/>
    <cellStyle name="Normal 2 37 25 2" xfId="29316" xr:uid="{00000000-0005-0000-0000-0000D8710000}"/>
    <cellStyle name="Normal 2 37 25 3" xfId="29317" xr:uid="{00000000-0005-0000-0000-0000D9710000}"/>
    <cellStyle name="Normal 2 37 26" xfId="29318" xr:uid="{00000000-0005-0000-0000-0000DA710000}"/>
    <cellStyle name="Normal 2 37 3" xfId="29319" xr:uid="{00000000-0005-0000-0000-0000DB710000}"/>
    <cellStyle name="Normal 2 37 3 2" xfId="29320" xr:uid="{00000000-0005-0000-0000-0000DC710000}"/>
    <cellStyle name="Normal 2 37 3 2 2" xfId="29321" xr:uid="{00000000-0005-0000-0000-0000DD710000}"/>
    <cellStyle name="Normal 2 37 3 2 2 2" xfId="29322" xr:uid="{00000000-0005-0000-0000-0000DE710000}"/>
    <cellStyle name="Normal 2 37 3 2 2 3" xfId="29323" xr:uid="{00000000-0005-0000-0000-0000DF710000}"/>
    <cellStyle name="Normal 2 37 3 2 3" xfId="29324" xr:uid="{00000000-0005-0000-0000-0000E0710000}"/>
    <cellStyle name="Normal 2 37 3 2 4" xfId="29325" xr:uid="{00000000-0005-0000-0000-0000E1710000}"/>
    <cellStyle name="Normal 2 37 3 3" xfId="29326" xr:uid="{00000000-0005-0000-0000-0000E2710000}"/>
    <cellStyle name="Normal 2 37 3 3 2" xfId="29327" xr:uid="{00000000-0005-0000-0000-0000E3710000}"/>
    <cellStyle name="Normal 2 37 3 3 3" xfId="29328" xr:uid="{00000000-0005-0000-0000-0000E4710000}"/>
    <cellStyle name="Normal 2 37 3 4" xfId="29329" xr:uid="{00000000-0005-0000-0000-0000E5710000}"/>
    <cellStyle name="Normal 2 37 4" xfId="29330" xr:uid="{00000000-0005-0000-0000-0000E6710000}"/>
    <cellStyle name="Normal 2 37 4 2" xfId="29331" xr:uid="{00000000-0005-0000-0000-0000E7710000}"/>
    <cellStyle name="Normal 2 37 4 2 2" xfId="29332" xr:uid="{00000000-0005-0000-0000-0000E8710000}"/>
    <cellStyle name="Normal 2 37 4 2 2 2" xfId="29333" xr:uid="{00000000-0005-0000-0000-0000E9710000}"/>
    <cellStyle name="Normal 2 37 4 2 2 3" xfId="29334" xr:uid="{00000000-0005-0000-0000-0000EA710000}"/>
    <cellStyle name="Normal 2 37 4 2 3" xfId="29335" xr:uid="{00000000-0005-0000-0000-0000EB710000}"/>
    <cellStyle name="Normal 2 37 4 2 4" xfId="29336" xr:uid="{00000000-0005-0000-0000-0000EC710000}"/>
    <cellStyle name="Normal 2 37 4 3" xfId="29337" xr:uid="{00000000-0005-0000-0000-0000ED710000}"/>
    <cellStyle name="Normal 2 37 4 3 2" xfId="29338" xr:uid="{00000000-0005-0000-0000-0000EE710000}"/>
    <cellStyle name="Normal 2 37 4 3 3" xfId="29339" xr:uid="{00000000-0005-0000-0000-0000EF710000}"/>
    <cellStyle name="Normal 2 37 4 4" xfId="29340" xr:uid="{00000000-0005-0000-0000-0000F0710000}"/>
    <cellStyle name="Normal 2 37 5" xfId="29341" xr:uid="{00000000-0005-0000-0000-0000F1710000}"/>
    <cellStyle name="Normal 2 37 5 2" xfId="29342" xr:uid="{00000000-0005-0000-0000-0000F2710000}"/>
    <cellStyle name="Normal 2 37 5 2 2" xfId="29343" xr:uid="{00000000-0005-0000-0000-0000F3710000}"/>
    <cellStyle name="Normal 2 37 5 2 2 2" xfId="29344" xr:uid="{00000000-0005-0000-0000-0000F4710000}"/>
    <cellStyle name="Normal 2 37 5 2 2 3" xfId="29345" xr:uid="{00000000-0005-0000-0000-0000F5710000}"/>
    <cellStyle name="Normal 2 37 5 2 3" xfId="29346" xr:uid="{00000000-0005-0000-0000-0000F6710000}"/>
    <cellStyle name="Normal 2 37 5 2 4" xfId="29347" xr:uid="{00000000-0005-0000-0000-0000F7710000}"/>
    <cellStyle name="Normal 2 37 5 3" xfId="29348" xr:uid="{00000000-0005-0000-0000-0000F8710000}"/>
    <cellStyle name="Normal 2 37 5 3 2" xfId="29349" xr:uid="{00000000-0005-0000-0000-0000F9710000}"/>
    <cellStyle name="Normal 2 37 5 3 3" xfId="29350" xr:uid="{00000000-0005-0000-0000-0000FA710000}"/>
    <cellStyle name="Normal 2 37 5 4" xfId="29351" xr:uid="{00000000-0005-0000-0000-0000FB710000}"/>
    <cellStyle name="Normal 2 37 6" xfId="29352" xr:uid="{00000000-0005-0000-0000-0000FC710000}"/>
    <cellStyle name="Normal 2 37 6 2" xfId="29353" xr:uid="{00000000-0005-0000-0000-0000FD710000}"/>
    <cellStyle name="Normal 2 37 6 2 2" xfId="29354" xr:uid="{00000000-0005-0000-0000-0000FE710000}"/>
    <cellStyle name="Normal 2 37 6 2 2 2" xfId="29355" xr:uid="{00000000-0005-0000-0000-0000FF710000}"/>
    <cellStyle name="Normal 2 37 6 2 2 3" xfId="29356" xr:uid="{00000000-0005-0000-0000-000000720000}"/>
    <cellStyle name="Normal 2 37 6 2 3" xfId="29357" xr:uid="{00000000-0005-0000-0000-000001720000}"/>
    <cellStyle name="Normal 2 37 6 2 4" xfId="29358" xr:uid="{00000000-0005-0000-0000-000002720000}"/>
    <cellStyle name="Normal 2 37 6 3" xfId="29359" xr:uid="{00000000-0005-0000-0000-000003720000}"/>
    <cellStyle name="Normal 2 37 6 3 2" xfId="29360" xr:uid="{00000000-0005-0000-0000-000004720000}"/>
    <cellStyle name="Normal 2 37 6 3 3" xfId="29361" xr:uid="{00000000-0005-0000-0000-000005720000}"/>
    <cellStyle name="Normal 2 37 6 4" xfId="29362" xr:uid="{00000000-0005-0000-0000-000006720000}"/>
    <cellStyle name="Normal 2 37 7" xfId="29363" xr:uid="{00000000-0005-0000-0000-000007720000}"/>
    <cellStyle name="Normal 2 37 7 2" xfId="29364" xr:uid="{00000000-0005-0000-0000-000008720000}"/>
    <cellStyle name="Normal 2 37 7 2 2" xfId="29365" xr:uid="{00000000-0005-0000-0000-000009720000}"/>
    <cellStyle name="Normal 2 37 7 2 2 2" xfId="29366" xr:uid="{00000000-0005-0000-0000-00000A720000}"/>
    <cellStyle name="Normal 2 37 7 2 2 3" xfId="29367" xr:uid="{00000000-0005-0000-0000-00000B720000}"/>
    <cellStyle name="Normal 2 37 7 2 3" xfId="29368" xr:uid="{00000000-0005-0000-0000-00000C720000}"/>
    <cellStyle name="Normal 2 37 7 2 4" xfId="29369" xr:uid="{00000000-0005-0000-0000-00000D720000}"/>
    <cellStyle name="Normal 2 37 7 3" xfId="29370" xr:uid="{00000000-0005-0000-0000-00000E720000}"/>
    <cellStyle name="Normal 2 37 7 3 2" xfId="29371" xr:uid="{00000000-0005-0000-0000-00000F720000}"/>
    <cellStyle name="Normal 2 37 7 3 3" xfId="29372" xr:uid="{00000000-0005-0000-0000-000010720000}"/>
    <cellStyle name="Normal 2 37 7 4" xfId="29373" xr:uid="{00000000-0005-0000-0000-000011720000}"/>
    <cellStyle name="Normal 2 37 8" xfId="29374" xr:uid="{00000000-0005-0000-0000-000012720000}"/>
    <cellStyle name="Normal 2 37 8 2" xfId="29375" xr:uid="{00000000-0005-0000-0000-000013720000}"/>
    <cellStyle name="Normal 2 37 8 2 2" xfId="29376" xr:uid="{00000000-0005-0000-0000-000014720000}"/>
    <cellStyle name="Normal 2 37 8 2 2 2" xfId="29377" xr:uid="{00000000-0005-0000-0000-000015720000}"/>
    <cellStyle name="Normal 2 37 8 2 2 3" xfId="29378" xr:uid="{00000000-0005-0000-0000-000016720000}"/>
    <cellStyle name="Normal 2 37 8 2 3" xfId="29379" xr:uid="{00000000-0005-0000-0000-000017720000}"/>
    <cellStyle name="Normal 2 37 8 2 4" xfId="29380" xr:uid="{00000000-0005-0000-0000-000018720000}"/>
    <cellStyle name="Normal 2 37 8 3" xfId="29381" xr:uid="{00000000-0005-0000-0000-000019720000}"/>
    <cellStyle name="Normal 2 37 8 3 2" xfId="29382" xr:uid="{00000000-0005-0000-0000-00001A720000}"/>
    <cellStyle name="Normal 2 37 8 3 3" xfId="29383" xr:uid="{00000000-0005-0000-0000-00001B720000}"/>
    <cellStyle name="Normal 2 37 8 4" xfId="29384" xr:uid="{00000000-0005-0000-0000-00001C720000}"/>
    <cellStyle name="Normal 2 37 9" xfId="29385" xr:uid="{00000000-0005-0000-0000-00001D720000}"/>
    <cellStyle name="Normal 2 37 9 2" xfId="29386" xr:uid="{00000000-0005-0000-0000-00001E720000}"/>
    <cellStyle name="Normal 2 37 9 2 2" xfId="29387" xr:uid="{00000000-0005-0000-0000-00001F720000}"/>
    <cellStyle name="Normal 2 37 9 2 2 2" xfId="29388" xr:uid="{00000000-0005-0000-0000-000020720000}"/>
    <cellStyle name="Normal 2 37 9 2 2 3" xfId="29389" xr:uid="{00000000-0005-0000-0000-000021720000}"/>
    <cellStyle name="Normal 2 37 9 2 3" xfId="29390" xr:uid="{00000000-0005-0000-0000-000022720000}"/>
    <cellStyle name="Normal 2 37 9 2 4" xfId="29391" xr:uid="{00000000-0005-0000-0000-000023720000}"/>
    <cellStyle name="Normal 2 37 9 3" xfId="29392" xr:uid="{00000000-0005-0000-0000-000024720000}"/>
    <cellStyle name="Normal 2 37 9 3 2" xfId="29393" xr:uid="{00000000-0005-0000-0000-000025720000}"/>
    <cellStyle name="Normal 2 37 9 3 3" xfId="29394" xr:uid="{00000000-0005-0000-0000-000026720000}"/>
    <cellStyle name="Normal 2 37 9 4" xfId="29395" xr:uid="{00000000-0005-0000-0000-000027720000}"/>
    <cellStyle name="Normal 2 38" xfId="29396" xr:uid="{00000000-0005-0000-0000-000028720000}"/>
    <cellStyle name="Normal 2 38 10" xfId="29397" xr:uid="{00000000-0005-0000-0000-000029720000}"/>
    <cellStyle name="Normal 2 38 10 2" xfId="29398" xr:uid="{00000000-0005-0000-0000-00002A720000}"/>
    <cellStyle name="Normal 2 38 10 2 2" xfId="29399" xr:uid="{00000000-0005-0000-0000-00002B720000}"/>
    <cellStyle name="Normal 2 38 10 2 2 2" xfId="29400" xr:uid="{00000000-0005-0000-0000-00002C720000}"/>
    <cellStyle name="Normal 2 38 10 2 2 3" xfId="29401" xr:uid="{00000000-0005-0000-0000-00002D720000}"/>
    <cellStyle name="Normal 2 38 10 2 3" xfId="29402" xr:uid="{00000000-0005-0000-0000-00002E720000}"/>
    <cellStyle name="Normal 2 38 10 2 4" xfId="29403" xr:uid="{00000000-0005-0000-0000-00002F720000}"/>
    <cellStyle name="Normal 2 38 10 3" xfId="29404" xr:uid="{00000000-0005-0000-0000-000030720000}"/>
    <cellStyle name="Normal 2 38 10 3 2" xfId="29405" xr:uid="{00000000-0005-0000-0000-000031720000}"/>
    <cellStyle name="Normal 2 38 10 3 3" xfId="29406" xr:uid="{00000000-0005-0000-0000-000032720000}"/>
    <cellStyle name="Normal 2 38 10 4" xfId="29407" xr:uid="{00000000-0005-0000-0000-000033720000}"/>
    <cellStyle name="Normal 2 38 11" xfId="29408" xr:uid="{00000000-0005-0000-0000-000034720000}"/>
    <cellStyle name="Normal 2 38 11 2" xfId="29409" xr:uid="{00000000-0005-0000-0000-000035720000}"/>
    <cellStyle name="Normal 2 38 11 2 2" xfId="29410" xr:uid="{00000000-0005-0000-0000-000036720000}"/>
    <cellStyle name="Normal 2 38 11 2 2 2" xfId="29411" xr:uid="{00000000-0005-0000-0000-000037720000}"/>
    <cellStyle name="Normal 2 38 11 2 2 3" xfId="29412" xr:uid="{00000000-0005-0000-0000-000038720000}"/>
    <cellStyle name="Normal 2 38 11 2 3" xfId="29413" xr:uid="{00000000-0005-0000-0000-000039720000}"/>
    <cellStyle name="Normal 2 38 11 2 4" xfId="29414" xr:uid="{00000000-0005-0000-0000-00003A720000}"/>
    <cellStyle name="Normal 2 38 11 3" xfId="29415" xr:uid="{00000000-0005-0000-0000-00003B720000}"/>
    <cellStyle name="Normal 2 38 11 3 2" xfId="29416" xr:uid="{00000000-0005-0000-0000-00003C720000}"/>
    <cellStyle name="Normal 2 38 11 3 3" xfId="29417" xr:uid="{00000000-0005-0000-0000-00003D720000}"/>
    <cellStyle name="Normal 2 38 11 4" xfId="29418" xr:uid="{00000000-0005-0000-0000-00003E720000}"/>
    <cellStyle name="Normal 2 38 12" xfId="29419" xr:uid="{00000000-0005-0000-0000-00003F720000}"/>
    <cellStyle name="Normal 2 38 12 2" xfId="29420" xr:uid="{00000000-0005-0000-0000-000040720000}"/>
    <cellStyle name="Normal 2 38 12 2 2" xfId="29421" xr:uid="{00000000-0005-0000-0000-000041720000}"/>
    <cellStyle name="Normal 2 38 12 2 2 2" xfId="29422" xr:uid="{00000000-0005-0000-0000-000042720000}"/>
    <cellStyle name="Normal 2 38 12 2 2 3" xfId="29423" xr:uid="{00000000-0005-0000-0000-000043720000}"/>
    <cellStyle name="Normal 2 38 12 2 3" xfId="29424" xr:uid="{00000000-0005-0000-0000-000044720000}"/>
    <cellStyle name="Normal 2 38 12 2 4" xfId="29425" xr:uid="{00000000-0005-0000-0000-000045720000}"/>
    <cellStyle name="Normal 2 38 12 3" xfId="29426" xr:uid="{00000000-0005-0000-0000-000046720000}"/>
    <cellStyle name="Normal 2 38 12 3 2" xfId="29427" xr:uid="{00000000-0005-0000-0000-000047720000}"/>
    <cellStyle name="Normal 2 38 12 3 3" xfId="29428" xr:uid="{00000000-0005-0000-0000-000048720000}"/>
    <cellStyle name="Normal 2 38 12 4" xfId="29429" xr:uid="{00000000-0005-0000-0000-000049720000}"/>
    <cellStyle name="Normal 2 38 13" xfId="29430" xr:uid="{00000000-0005-0000-0000-00004A720000}"/>
    <cellStyle name="Normal 2 38 13 2" xfId="29431" xr:uid="{00000000-0005-0000-0000-00004B720000}"/>
    <cellStyle name="Normal 2 38 13 2 2" xfId="29432" xr:uid="{00000000-0005-0000-0000-00004C720000}"/>
    <cellStyle name="Normal 2 38 13 2 2 2" xfId="29433" xr:uid="{00000000-0005-0000-0000-00004D720000}"/>
    <cellStyle name="Normal 2 38 13 2 2 3" xfId="29434" xr:uid="{00000000-0005-0000-0000-00004E720000}"/>
    <cellStyle name="Normal 2 38 13 2 3" xfId="29435" xr:uid="{00000000-0005-0000-0000-00004F720000}"/>
    <cellStyle name="Normal 2 38 13 2 4" xfId="29436" xr:uid="{00000000-0005-0000-0000-000050720000}"/>
    <cellStyle name="Normal 2 38 13 3" xfId="29437" xr:uid="{00000000-0005-0000-0000-000051720000}"/>
    <cellStyle name="Normal 2 38 13 3 2" xfId="29438" xr:uid="{00000000-0005-0000-0000-000052720000}"/>
    <cellStyle name="Normal 2 38 13 3 3" xfId="29439" xr:uid="{00000000-0005-0000-0000-000053720000}"/>
    <cellStyle name="Normal 2 38 13 4" xfId="29440" xr:uid="{00000000-0005-0000-0000-000054720000}"/>
    <cellStyle name="Normal 2 38 14" xfId="29441" xr:uid="{00000000-0005-0000-0000-000055720000}"/>
    <cellStyle name="Normal 2 38 14 2" xfId="29442" xr:uid="{00000000-0005-0000-0000-000056720000}"/>
    <cellStyle name="Normal 2 38 14 2 2" xfId="29443" xr:uid="{00000000-0005-0000-0000-000057720000}"/>
    <cellStyle name="Normal 2 38 14 2 2 2" xfId="29444" xr:uid="{00000000-0005-0000-0000-000058720000}"/>
    <cellStyle name="Normal 2 38 14 2 2 3" xfId="29445" xr:uid="{00000000-0005-0000-0000-000059720000}"/>
    <cellStyle name="Normal 2 38 14 2 3" xfId="29446" xr:uid="{00000000-0005-0000-0000-00005A720000}"/>
    <cellStyle name="Normal 2 38 14 2 4" xfId="29447" xr:uid="{00000000-0005-0000-0000-00005B720000}"/>
    <cellStyle name="Normal 2 38 14 3" xfId="29448" xr:uid="{00000000-0005-0000-0000-00005C720000}"/>
    <cellStyle name="Normal 2 38 14 3 2" xfId="29449" xr:uid="{00000000-0005-0000-0000-00005D720000}"/>
    <cellStyle name="Normal 2 38 14 3 3" xfId="29450" xr:uid="{00000000-0005-0000-0000-00005E720000}"/>
    <cellStyle name="Normal 2 38 14 4" xfId="29451" xr:uid="{00000000-0005-0000-0000-00005F720000}"/>
    <cellStyle name="Normal 2 38 15" xfId="29452" xr:uid="{00000000-0005-0000-0000-000060720000}"/>
    <cellStyle name="Normal 2 38 15 2" xfId="29453" xr:uid="{00000000-0005-0000-0000-000061720000}"/>
    <cellStyle name="Normal 2 38 15 2 2" xfId="29454" xr:uid="{00000000-0005-0000-0000-000062720000}"/>
    <cellStyle name="Normal 2 38 15 2 2 2" xfId="29455" xr:uid="{00000000-0005-0000-0000-000063720000}"/>
    <cellStyle name="Normal 2 38 15 2 2 3" xfId="29456" xr:uid="{00000000-0005-0000-0000-000064720000}"/>
    <cellStyle name="Normal 2 38 15 2 3" xfId="29457" xr:uid="{00000000-0005-0000-0000-000065720000}"/>
    <cellStyle name="Normal 2 38 15 2 4" xfId="29458" xr:uid="{00000000-0005-0000-0000-000066720000}"/>
    <cellStyle name="Normal 2 38 15 3" xfId="29459" xr:uid="{00000000-0005-0000-0000-000067720000}"/>
    <cellStyle name="Normal 2 38 15 3 2" xfId="29460" xr:uid="{00000000-0005-0000-0000-000068720000}"/>
    <cellStyle name="Normal 2 38 15 3 3" xfId="29461" xr:uid="{00000000-0005-0000-0000-000069720000}"/>
    <cellStyle name="Normal 2 38 15 4" xfId="29462" xr:uid="{00000000-0005-0000-0000-00006A720000}"/>
    <cellStyle name="Normal 2 38 16" xfId="29463" xr:uid="{00000000-0005-0000-0000-00006B720000}"/>
    <cellStyle name="Normal 2 38 16 2" xfId="29464" xr:uid="{00000000-0005-0000-0000-00006C720000}"/>
    <cellStyle name="Normal 2 38 16 2 2" xfId="29465" xr:uid="{00000000-0005-0000-0000-00006D720000}"/>
    <cellStyle name="Normal 2 38 16 2 2 2" xfId="29466" xr:uid="{00000000-0005-0000-0000-00006E720000}"/>
    <cellStyle name="Normal 2 38 16 2 2 3" xfId="29467" xr:uid="{00000000-0005-0000-0000-00006F720000}"/>
    <cellStyle name="Normal 2 38 16 2 3" xfId="29468" xr:uid="{00000000-0005-0000-0000-000070720000}"/>
    <cellStyle name="Normal 2 38 16 2 4" xfId="29469" xr:uid="{00000000-0005-0000-0000-000071720000}"/>
    <cellStyle name="Normal 2 38 16 3" xfId="29470" xr:uid="{00000000-0005-0000-0000-000072720000}"/>
    <cellStyle name="Normal 2 38 16 3 2" xfId="29471" xr:uid="{00000000-0005-0000-0000-000073720000}"/>
    <cellStyle name="Normal 2 38 16 3 3" xfId="29472" xr:uid="{00000000-0005-0000-0000-000074720000}"/>
    <cellStyle name="Normal 2 38 16 4" xfId="29473" xr:uid="{00000000-0005-0000-0000-000075720000}"/>
    <cellStyle name="Normal 2 38 17" xfId="29474" xr:uid="{00000000-0005-0000-0000-000076720000}"/>
    <cellStyle name="Normal 2 38 17 2" xfId="29475" xr:uid="{00000000-0005-0000-0000-000077720000}"/>
    <cellStyle name="Normal 2 38 17 2 2" xfId="29476" xr:uid="{00000000-0005-0000-0000-000078720000}"/>
    <cellStyle name="Normal 2 38 17 2 2 2" xfId="29477" xr:uid="{00000000-0005-0000-0000-000079720000}"/>
    <cellStyle name="Normal 2 38 17 2 2 3" xfId="29478" xr:uid="{00000000-0005-0000-0000-00007A720000}"/>
    <cellStyle name="Normal 2 38 17 2 3" xfId="29479" xr:uid="{00000000-0005-0000-0000-00007B720000}"/>
    <cellStyle name="Normal 2 38 17 2 4" xfId="29480" xr:uid="{00000000-0005-0000-0000-00007C720000}"/>
    <cellStyle name="Normal 2 38 17 3" xfId="29481" xr:uid="{00000000-0005-0000-0000-00007D720000}"/>
    <cellStyle name="Normal 2 38 17 3 2" xfId="29482" xr:uid="{00000000-0005-0000-0000-00007E720000}"/>
    <cellStyle name="Normal 2 38 17 3 3" xfId="29483" xr:uid="{00000000-0005-0000-0000-00007F720000}"/>
    <cellStyle name="Normal 2 38 17 4" xfId="29484" xr:uid="{00000000-0005-0000-0000-000080720000}"/>
    <cellStyle name="Normal 2 38 18" xfId="29485" xr:uid="{00000000-0005-0000-0000-000081720000}"/>
    <cellStyle name="Normal 2 38 18 2" xfId="29486" xr:uid="{00000000-0005-0000-0000-000082720000}"/>
    <cellStyle name="Normal 2 38 18 2 2" xfId="29487" xr:uid="{00000000-0005-0000-0000-000083720000}"/>
    <cellStyle name="Normal 2 38 18 2 2 2" xfId="29488" xr:uid="{00000000-0005-0000-0000-000084720000}"/>
    <cellStyle name="Normal 2 38 18 2 2 3" xfId="29489" xr:uid="{00000000-0005-0000-0000-000085720000}"/>
    <cellStyle name="Normal 2 38 18 2 3" xfId="29490" xr:uid="{00000000-0005-0000-0000-000086720000}"/>
    <cellStyle name="Normal 2 38 18 2 4" xfId="29491" xr:uid="{00000000-0005-0000-0000-000087720000}"/>
    <cellStyle name="Normal 2 38 18 3" xfId="29492" xr:uid="{00000000-0005-0000-0000-000088720000}"/>
    <cellStyle name="Normal 2 38 18 3 2" xfId="29493" xr:uid="{00000000-0005-0000-0000-000089720000}"/>
    <cellStyle name="Normal 2 38 18 3 3" xfId="29494" xr:uid="{00000000-0005-0000-0000-00008A720000}"/>
    <cellStyle name="Normal 2 38 18 4" xfId="29495" xr:uid="{00000000-0005-0000-0000-00008B720000}"/>
    <cellStyle name="Normal 2 38 19" xfId="29496" xr:uid="{00000000-0005-0000-0000-00008C720000}"/>
    <cellStyle name="Normal 2 38 19 2" xfId="29497" xr:uid="{00000000-0005-0000-0000-00008D720000}"/>
    <cellStyle name="Normal 2 38 19 2 2" xfId="29498" xr:uid="{00000000-0005-0000-0000-00008E720000}"/>
    <cellStyle name="Normal 2 38 19 2 2 2" xfId="29499" xr:uid="{00000000-0005-0000-0000-00008F720000}"/>
    <cellStyle name="Normal 2 38 19 2 2 3" xfId="29500" xr:uid="{00000000-0005-0000-0000-000090720000}"/>
    <cellStyle name="Normal 2 38 19 2 3" xfId="29501" xr:uid="{00000000-0005-0000-0000-000091720000}"/>
    <cellStyle name="Normal 2 38 19 2 4" xfId="29502" xr:uid="{00000000-0005-0000-0000-000092720000}"/>
    <cellStyle name="Normal 2 38 19 3" xfId="29503" xr:uid="{00000000-0005-0000-0000-000093720000}"/>
    <cellStyle name="Normal 2 38 19 3 2" xfId="29504" xr:uid="{00000000-0005-0000-0000-000094720000}"/>
    <cellStyle name="Normal 2 38 19 3 3" xfId="29505" xr:uid="{00000000-0005-0000-0000-000095720000}"/>
    <cellStyle name="Normal 2 38 19 4" xfId="29506" xr:uid="{00000000-0005-0000-0000-000096720000}"/>
    <cellStyle name="Normal 2 38 2" xfId="29507" xr:uid="{00000000-0005-0000-0000-000097720000}"/>
    <cellStyle name="Normal 2 38 2 2" xfId="29508" xr:uid="{00000000-0005-0000-0000-000098720000}"/>
    <cellStyle name="Normal 2 38 2 2 2" xfId="29509" xr:uid="{00000000-0005-0000-0000-000099720000}"/>
    <cellStyle name="Normal 2 38 2 2 2 2" xfId="29510" xr:uid="{00000000-0005-0000-0000-00009A720000}"/>
    <cellStyle name="Normal 2 38 2 2 2 3" xfId="29511" xr:uid="{00000000-0005-0000-0000-00009B720000}"/>
    <cellStyle name="Normal 2 38 2 2 3" xfId="29512" xr:uid="{00000000-0005-0000-0000-00009C720000}"/>
    <cellStyle name="Normal 2 38 2 2 4" xfId="29513" xr:uid="{00000000-0005-0000-0000-00009D720000}"/>
    <cellStyle name="Normal 2 38 2 3" xfId="29514" xr:uid="{00000000-0005-0000-0000-00009E720000}"/>
    <cellStyle name="Normal 2 38 2 3 2" xfId="29515" xr:uid="{00000000-0005-0000-0000-00009F720000}"/>
    <cellStyle name="Normal 2 38 2 3 3" xfId="29516" xr:uid="{00000000-0005-0000-0000-0000A0720000}"/>
    <cellStyle name="Normal 2 38 2 4" xfId="29517" xr:uid="{00000000-0005-0000-0000-0000A1720000}"/>
    <cellStyle name="Normal 2 38 20" xfId="29518" xr:uid="{00000000-0005-0000-0000-0000A2720000}"/>
    <cellStyle name="Normal 2 38 20 2" xfId="29519" xr:uid="{00000000-0005-0000-0000-0000A3720000}"/>
    <cellStyle name="Normal 2 38 20 2 2" xfId="29520" xr:uid="{00000000-0005-0000-0000-0000A4720000}"/>
    <cellStyle name="Normal 2 38 20 2 2 2" xfId="29521" xr:uid="{00000000-0005-0000-0000-0000A5720000}"/>
    <cellStyle name="Normal 2 38 20 2 2 3" xfId="29522" xr:uid="{00000000-0005-0000-0000-0000A6720000}"/>
    <cellStyle name="Normal 2 38 20 2 3" xfId="29523" xr:uid="{00000000-0005-0000-0000-0000A7720000}"/>
    <cellStyle name="Normal 2 38 20 2 4" xfId="29524" xr:uid="{00000000-0005-0000-0000-0000A8720000}"/>
    <cellStyle name="Normal 2 38 20 3" xfId="29525" xr:uid="{00000000-0005-0000-0000-0000A9720000}"/>
    <cellStyle name="Normal 2 38 20 3 2" xfId="29526" xr:uid="{00000000-0005-0000-0000-0000AA720000}"/>
    <cellStyle name="Normal 2 38 20 3 3" xfId="29527" xr:uid="{00000000-0005-0000-0000-0000AB720000}"/>
    <cellStyle name="Normal 2 38 20 4" xfId="29528" xr:uid="{00000000-0005-0000-0000-0000AC720000}"/>
    <cellStyle name="Normal 2 38 21" xfId="29529" xr:uid="{00000000-0005-0000-0000-0000AD720000}"/>
    <cellStyle name="Normal 2 38 21 2" xfId="29530" xr:uid="{00000000-0005-0000-0000-0000AE720000}"/>
    <cellStyle name="Normal 2 38 21 2 2" xfId="29531" xr:uid="{00000000-0005-0000-0000-0000AF720000}"/>
    <cellStyle name="Normal 2 38 21 2 2 2" xfId="29532" xr:uid="{00000000-0005-0000-0000-0000B0720000}"/>
    <cellStyle name="Normal 2 38 21 2 2 3" xfId="29533" xr:uid="{00000000-0005-0000-0000-0000B1720000}"/>
    <cellStyle name="Normal 2 38 21 2 3" xfId="29534" xr:uid="{00000000-0005-0000-0000-0000B2720000}"/>
    <cellStyle name="Normal 2 38 21 2 4" xfId="29535" xr:uid="{00000000-0005-0000-0000-0000B3720000}"/>
    <cellStyle name="Normal 2 38 21 3" xfId="29536" xr:uid="{00000000-0005-0000-0000-0000B4720000}"/>
    <cellStyle name="Normal 2 38 21 3 2" xfId="29537" xr:uid="{00000000-0005-0000-0000-0000B5720000}"/>
    <cellStyle name="Normal 2 38 21 3 3" xfId="29538" xr:uid="{00000000-0005-0000-0000-0000B6720000}"/>
    <cellStyle name="Normal 2 38 21 4" xfId="29539" xr:uid="{00000000-0005-0000-0000-0000B7720000}"/>
    <cellStyle name="Normal 2 38 22" xfId="29540" xr:uid="{00000000-0005-0000-0000-0000B8720000}"/>
    <cellStyle name="Normal 2 38 22 2" xfId="29541" xr:uid="{00000000-0005-0000-0000-0000B9720000}"/>
    <cellStyle name="Normal 2 38 22 2 2" xfId="29542" xr:uid="{00000000-0005-0000-0000-0000BA720000}"/>
    <cellStyle name="Normal 2 38 22 2 2 2" xfId="29543" xr:uid="{00000000-0005-0000-0000-0000BB720000}"/>
    <cellStyle name="Normal 2 38 22 2 2 3" xfId="29544" xr:uid="{00000000-0005-0000-0000-0000BC720000}"/>
    <cellStyle name="Normal 2 38 22 2 3" xfId="29545" xr:uid="{00000000-0005-0000-0000-0000BD720000}"/>
    <cellStyle name="Normal 2 38 22 2 4" xfId="29546" xr:uid="{00000000-0005-0000-0000-0000BE720000}"/>
    <cellStyle name="Normal 2 38 22 3" xfId="29547" xr:uid="{00000000-0005-0000-0000-0000BF720000}"/>
    <cellStyle name="Normal 2 38 22 3 2" xfId="29548" xr:uid="{00000000-0005-0000-0000-0000C0720000}"/>
    <cellStyle name="Normal 2 38 22 3 3" xfId="29549" xr:uid="{00000000-0005-0000-0000-0000C1720000}"/>
    <cellStyle name="Normal 2 38 22 4" xfId="29550" xr:uid="{00000000-0005-0000-0000-0000C2720000}"/>
    <cellStyle name="Normal 2 38 23" xfId="29551" xr:uid="{00000000-0005-0000-0000-0000C3720000}"/>
    <cellStyle name="Normal 2 38 23 2" xfId="29552" xr:uid="{00000000-0005-0000-0000-0000C4720000}"/>
    <cellStyle name="Normal 2 38 23 2 2" xfId="29553" xr:uid="{00000000-0005-0000-0000-0000C5720000}"/>
    <cellStyle name="Normal 2 38 23 2 2 2" xfId="29554" xr:uid="{00000000-0005-0000-0000-0000C6720000}"/>
    <cellStyle name="Normal 2 38 23 2 2 3" xfId="29555" xr:uid="{00000000-0005-0000-0000-0000C7720000}"/>
    <cellStyle name="Normal 2 38 23 2 3" xfId="29556" xr:uid="{00000000-0005-0000-0000-0000C8720000}"/>
    <cellStyle name="Normal 2 38 23 2 4" xfId="29557" xr:uid="{00000000-0005-0000-0000-0000C9720000}"/>
    <cellStyle name="Normal 2 38 23 3" xfId="29558" xr:uid="{00000000-0005-0000-0000-0000CA720000}"/>
    <cellStyle name="Normal 2 38 23 3 2" xfId="29559" xr:uid="{00000000-0005-0000-0000-0000CB720000}"/>
    <cellStyle name="Normal 2 38 23 3 3" xfId="29560" xr:uid="{00000000-0005-0000-0000-0000CC720000}"/>
    <cellStyle name="Normal 2 38 23 4" xfId="29561" xr:uid="{00000000-0005-0000-0000-0000CD720000}"/>
    <cellStyle name="Normal 2 38 24" xfId="29562" xr:uid="{00000000-0005-0000-0000-0000CE720000}"/>
    <cellStyle name="Normal 2 38 24 2" xfId="29563" xr:uid="{00000000-0005-0000-0000-0000CF720000}"/>
    <cellStyle name="Normal 2 38 24 2 2" xfId="29564" xr:uid="{00000000-0005-0000-0000-0000D0720000}"/>
    <cellStyle name="Normal 2 38 24 2 3" xfId="29565" xr:uid="{00000000-0005-0000-0000-0000D1720000}"/>
    <cellStyle name="Normal 2 38 24 3" xfId="29566" xr:uid="{00000000-0005-0000-0000-0000D2720000}"/>
    <cellStyle name="Normal 2 38 24 4" xfId="29567" xr:uid="{00000000-0005-0000-0000-0000D3720000}"/>
    <cellStyle name="Normal 2 38 25" xfId="29568" xr:uid="{00000000-0005-0000-0000-0000D4720000}"/>
    <cellStyle name="Normal 2 38 25 2" xfId="29569" xr:uid="{00000000-0005-0000-0000-0000D5720000}"/>
    <cellStyle name="Normal 2 38 25 3" xfId="29570" xr:uid="{00000000-0005-0000-0000-0000D6720000}"/>
    <cellStyle name="Normal 2 38 26" xfId="29571" xr:uid="{00000000-0005-0000-0000-0000D7720000}"/>
    <cellStyle name="Normal 2 38 3" xfId="29572" xr:uid="{00000000-0005-0000-0000-0000D8720000}"/>
    <cellStyle name="Normal 2 38 3 2" xfId="29573" xr:uid="{00000000-0005-0000-0000-0000D9720000}"/>
    <cellStyle name="Normal 2 38 3 2 2" xfId="29574" xr:uid="{00000000-0005-0000-0000-0000DA720000}"/>
    <cellStyle name="Normal 2 38 3 2 2 2" xfId="29575" xr:uid="{00000000-0005-0000-0000-0000DB720000}"/>
    <cellStyle name="Normal 2 38 3 2 2 3" xfId="29576" xr:uid="{00000000-0005-0000-0000-0000DC720000}"/>
    <cellStyle name="Normal 2 38 3 2 3" xfId="29577" xr:uid="{00000000-0005-0000-0000-0000DD720000}"/>
    <cellStyle name="Normal 2 38 3 2 4" xfId="29578" xr:uid="{00000000-0005-0000-0000-0000DE720000}"/>
    <cellStyle name="Normal 2 38 3 3" xfId="29579" xr:uid="{00000000-0005-0000-0000-0000DF720000}"/>
    <cellStyle name="Normal 2 38 3 3 2" xfId="29580" xr:uid="{00000000-0005-0000-0000-0000E0720000}"/>
    <cellStyle name="Normal 2 38 3 3 3" xfId="29581" xr:uid="{00000000-0005-0000-0000-0000E1720000}"/>
    <cellStyle name="Normal 2 38 3 4" xfId="29582" xr:uid="{00000000-0005-0000-0000-0000E2720000}"/>
    <cellStyle name="Normal 2 38 4" xfId="29583" xr:uid="{00000000-0005-0000-0000-0000E3720000}"/>
    <cellStyle name="Normal 2 38 4 2" xfId="29584" xr:uid="{00000000-0005-0000-0000-0000E4720000}"/>
    <cellStyle name="Normal 2 38 4 2 2" xfId="29585" xr:uid="{00000000-0005-0000-0000-0000E5720000}"/>
    <cellStyle name="Normal 2 38 4 2 2 2" xfId="29586" xr:uid="{00000000-0005-0000-0000-0000E6720000}"/>
    <cellStyle name="Normal 2 38 4 2 2 3" xfId="29587" xr:uid="{00000000-0005-0000-0000-0000E7720000}"/>
    <cellStyle name="Normal 2 38 4 2 3" xfId="29588" xr:uid="{00000000-0005-0000-0000-0000E8720000}"/>
    <cellStyle name="Normal 2 38 4 2 4" xfId="29589" xr:uid="{00000000-0005-0000-0000-0000E9720000}"/>
    <cellStyle name="Normal 2 38 4 3" xfId="29590" xr:uid="{00000000-0005-0000-0000-0000EA720000}"/>
    <cellStyle name="Normal 2 38 4 3 2" xfId="29591" xr:uid="{00000000-0005-0000-0000-0000EB720000}"/>
    <cellStyle name="Normal 2 38 4 3 3" xfId="29592" xr:uid="{00000000-0005-0000-0000-0000EC720000}"/>
    <cellStyle name="Normal 2 38 4 4" xfId="29593" xr:uid="{00000000-0005-0000-0000-0000ED720000}"/>
    <cellStyle name="Normal 2 38 5" xfId="29594" xr:uid="{00000000-0005-0000-0000-0000EE720000}"/>
    <cellStyle name="Normal 2 38 5 2" xfId="29595" xr:uid="{00000000-0005-0000-0000-0000EF720000}"/>
    <cellStyle name="Normal 2 38 5 2 2" xfId="29596" xr:uid="{00000000-0005-0000-0000-0000F0720000}"/>
    <cellStyle name="Normal 2 38 5 2 2 2" xfId="29597" xr:uid="{00000000-0005-0000-0000-0000F1720000}"/>
    <cellStyle name="Normal 2 38 5 2 2 3" xfId="29598" xr:uid="{00000000-0005-0000-0000-0000F2720000}"/>
    <cellStyle name="Normal 2 38 5 2 3" xfId="29599" xr:uid="{00000000-0005-0000-0000-0000F3720000}"/>
    <cellStyle name="Normal 2 38 5 2 4" xfId="29600" xr:uid="{00000000-0005-0000-0000-0000F4720000}"/>
    <cellStyle name="Normal 2 38 5 3" xfId="29601" xr:uid="{00000000-0005-0000-0000-0000F5720000}"/>
    <cellStyle name="Normal 2 38 5 3 2" xfId="29602" xr:uid="{00000000-0005-0000-0000-0000F6720000}"/>
    <cellStyle name="Normal 2 38 5 3 3" xfId="29603" xr:uid="{00000000-0005-0000-0000-0000F7720000}"/>
    <cellStyle name="Normal 2 38 5 4" xfId="29604" xr:uid="{00000000-0005-0000-0000-0000F8720000}"/>
    <cellStyle name="Normal 2 38 6" xfId="29605" xr:uid="{00000000-0005-0000-0000-0000F9720000}"/>
    <cellStyle name="Normal 2 38 6 2" xfId="29606" xr:uid="{00000000-0005-0000-0000-0000FA720000}"/>
    <cellStyle name="Normal 2 38 6 2 2" xfId="29607" xr:uid="{00000000-0005-0000-0000-0000FB720000}"/>
    <cellStyle name="Normal 2 38 6 2 2 2" xfId="29608" xr:uid="{00000000-0005-0000-0000-0000FC720000}"/>
    <cellStyle name="Normal 2 38 6 2 2 3" xfId="29609" xr:uid="{00000000-0005-0000-0000-0000FD720000}"/>
    <cellStyle name="Normal 2 38 6 2 3" xfId="29610" xr:uid="{00000000-0005-0000-0000-0000FE720000}"/>
    <cellStyle name="Normal 2 38 6 2 4" xfId="29611" xr:uid="{00000000-0005-0000-0000-0000FF720000}"/>
    <cellStyle name="Normal 2 38 6 3" xfId="29612" xr:uid="{00000000-0005-0000-0000-000000730000}"/>
    <cellStyle name="Normal 2 38 6 3 2" xfId="29613" xr:uid="{00000000-0005-0000-0000-000001730000}"/>
    <cellStyle name="Normal 2 38 6 3 3" xfId="29614" xr:uid="{00000000-0005-0000-0000-000002730000}"/>
    <cellStyle name="Normal 2 38 6 4" xfId="29615" xr:uid="{00000000-0005-0000-0000-000003730000}"/>
    <cellStyle name="Normal 2 38 7" xfId="29616" xr:uid="{00000000-0005-0000-0000-000004730000}"/>
    <cellStyle name="Normal 2 38 7 2" xfId="29617" xr:uid="{00000000-0005-0000-0000-000005730000}"/>
    <cellStyle name="Normal 2 38 7 2 2" xfId="29618" xr:uid="{00000000-0005-0000-0000-000006730000}"/>
    <cellStyle name="Normal 2 38 7 2 2 2" xfId="29619" xr:uid="{00000000-0005-0000-0000-000007730000}"/>
    <cellStyle name="Normal 2 38 7 2 2 3" xfId="29620" xr:uid="{00000000-0005-0000-0000-000008730000}"/>
    <cellStyle name="Normal 2 38 7 2 3" xfId="29621" xr:uid="{00000000-0005-0000-0000-000009730000}"/>
    <cellStyle name="Normal 2 38 7 2 4" xfId="29622" xr:uid="{00000000-0005-0000-0000-00000A730000}"/>
    <cellStyle name="Normal 2 38 7 3" xfId="29623" xr:uid="{00000000-0005-0000-0000-00000B730000}"/>
    <cellStyle name="Normal 2 38 7 3 2" xfId="29624" xr:uid="{00000000-0005-0000-0000-00000C730000}"/>
    <cellStyle name="Normal 2 38 7 3 3" xfId="29625" xr:uid="{00000000-0005-0000-0000-00000D730000}"/>
    <cellStyle name="Normal 2 38 7 4" xfId="29626" xr:uid="{00000000-0005-0000-0000-00000E730000}"/>
    <cellStyle name="Normal 2 38 8" xfId="29627" xr:uid="{00000000-0005-0000-0000-00000F730000}"/>
    <cellStyle name="Normal 2 38 8 2" xfId="29628" xr:uid="{00000000-0005-0000-0000-000010730000}"/>
    <cellStyle name="Normal 2 38 8 2 2" xfId="29629" xr:uid="{00000000-0005-0000-0000-000011730000}"/>
    <cellStyle name="Normal 2 38 8 2 2 2" xfId="29630" xr:uid="{00000000-0005-0000-0000-000012730000}"/>
    <cellStyle name="Normal 2 38 8 2 2 3" xfId="29631" xr:uid="{00000000-0005-0000-0000-000013730000}"/>
    <cellStyle name="Normal 2 38 8 2 3" xfId="29632" xr:uid="{00000000-0005-0000-0000-000014730000}"/>
    <cellStyle name="Normal 2 38 8 2 4" xfId="29633" xr:uid="{00000000-0005-0000-0000-000015730000}"/>
    <cellStyle name="Normal 2 38 8 3" xfId="29634" xr:uid="{00000000-0005-0000-0000-000016730000}"/>
    <cellStyle name="Normal 2 38 8 3 2" xfId="29635" xr:uid="{00000000-0005-0000-0000-000017730000}"/>
    <cellStyle name="Normal 2 38 8 3 3" xfId="29636" xr:uid="{00000000-0005-0000-0000-000018730000}"/>
    <cellStyle name="Normal 2 38 8 4" xfId="29637" xr:uid="{00000000-0005-0000-0000-000019730000}"/>
    <cellStyle name="Normal 2 38 9" xfId="29638" xr:uid="{00000000-0005-0000-0000-00001A730000}"/>
    <cellStyle name="Normal 2 38 9 2" xfId="29639" xr:uid="{00000000-0005-0000-0000-00001B730000}"/>
    <cellStyle name="Normal 2 38 9 2 2" xfId="29640" xr:uid="{00000000-0005-0000-0000-00001C730000}"/>
    <cellStyle name="Normal 2 38 9 2 2 2" xfId="29641" xr:uid="{00000000-0005-0000-0000-00001D730000}"/>
    <cellStyle name="Normal 2 38 9 2 2 3" xfId="29642" xr:uid="{00000000-0005-0000-0000-00001E730000}"/>
    <cellStyle name="Normal 2 38 9 2 3" xfId="29643" xr:uid="{00000000-0005-0000-0000-00001F730000}"/>
    <cellStyle name="Normal 2 38 9 2 4" xfId="29644" xr:uid="{00000000-0005-0000-0000-000020730000}"/>
    <cellStyle name="Normal 2 38 9 3" xfId="29645" xr:uid="{00000000-0005-0000-0000-000021730000}"/>
    <cellStyle name="Normal 2 38 9 3 2" xfId="29646" xr:uid="{00000000-0005-0000-0000-000022730000}"/>
    <cellStyle name="Normal 2 38 9 3 3" xfId="29647" xr:uid="{00000000-0005-0000-0000-000023730000}"/>
    <cellStyle name="Normal 2 38 9 4" xfId="29648" xr:uid="{00000000-0005-0000-0000-000024730000}"/>
    <cellStyle name="Normal 2 39" xfId="29649" xr:uid="{00000000-0005-0000-0000-000025730000}"/>
    <cellStyle name="Normal 2 39 10" xfId="29650" xr:uid="{00000000-0005-0000-0000-000026730000}"/>
    <cellStyle name="Normal 2 39 10 2" xfId="29651" xr:uid="{00000000-0005-0000-0000-000027730000}"/>
    <cellStyle name="Normal 2 39 10 2 2" xfId="29652" xr:uid="{00000000-0005-0000-0000-000028730000}"/>
    <cellStyle name="Normal 2 39 10 2 2 2" xfId="29653" xr:uid="{00000000-0005-0000-0000-000029730000}"/>
    <cellStyle name="Normal 2 39 10 2 2 3" xfId="29654" xr:uid="{00000000-0005-0000-0000-00002A730000}"/>
    <cellStyle name="Normal 2 39 10 2 3" xfId="29655" xr:uid="{00000000-0005-0000-0000-00002B730000}"/>
    <cellStyle name="Normal 2 39 10 2 4" xfId="29656" xr:uid="{00000000-0005-0000-0000-00002C730000}"/>
    <cellStyle name="Normal 2 39 10 3" xfId="29657" xr:uid="{00000000-0005-0000-0000-00002D730000}"/>
    <cellStyle name="Normal 2 39 10 3 2" xfId="29658" xr:uid="{00000000-0005-0000-0000-00002E730000}"/>
    <cellStyle name="Normal 2 39 10 3 3" xfId="29659" xr:uid="{00000000-0005-0000-0000-00002F730000}"/>
    <cellStyle name="Normal 2 39 10 4" xfId="29660" xr:uid="{00000000-0005-0000-0000-000030730000}"/>
    <cellStyle name="Normal 2 39 11" xfId="29661" xr:uid="{00000000-0005-0000-0000-000031730000}"/>
    <cellStyle name="Normal 2 39 11 2" xfId="29662" xr:uid="{00000000-0005-0000-0000-000032730000}"/>
    <cellStyle name="Normal 2 39 11 2 2" xfId="29663" xr:uid="{00000000-0005-0000-0000-000033730000}"/>
    <cellStyle name="Normal 2 39 11 2 2 2" xfId="29664" xr:uid="{00000000-0005-0000-0000-000034730000}"/>
    <cellStyle name="Normal 2 39 11 2 2 3" xfId="29665" xr:uid="{00000000-0005-0000-0000-000035730000}"/>
    <cellStyle name="Normal 2 39 11 2 3" xfId="29666" xr:uid="{00000000-0005-0000-0000-000036730000}"/>
    <cellStyle name="Normal 2 39 11 2 4" xfId="29667" xr:uid="{00000000-0005-0000-0000-000037730000}"/>
    <cellStyle name="Normal 2 39 11 3" xfId="29668" xr:uid="{00000000-0005-0000-0000-000038730000}"/>
    <cellStyle name="Normal 2 39 11 3 2" xfId="29669" xr:uid="{00000000-0005-0000-0000-000039730000}"/>
    <cellStyle name="Normal 2 39 11 3 3" xfId="29670" xr:uid="{00000000-0005-0000-0000-00003A730000}"/>
    <cellStyle name="Normal 2 39 11 4" xfId="29671" xr:uid="{00000000-0005-0000-0000-00003B730000}"/>
    <cellStyle name="Normal 2 39 12" xfId="29672" xr:uid="{00000000-0005-0000-0000-00003C730000}"/>
    <cellStyle name="Normal 2 39 12 2" xfId="29673" xr:uid="{00000000-0005-0000-0000-00003D730000}"/>
    <cellStyle name="Normal 2 39 12 2 2" xfId="29674" xr:uid="{00000000-0005-0000-0000-00003E730000}"/>
    <cellStyle name="Normal 2 39 12 2 2 2" xfId="29675" xr:uid="{00000000-0005-0000-0000-00003F730000}"/>
    <cellStyle name="Normal 2 39 12 2 2 3" xfId="29676" xr:uid="{00000000-0005-0000-0000-000040730000}"/>
    <cellStyle name="Normal 2 39 12 2 3" xfId="29677" xr:uid="{00000000-0005-0000-0000-000041730000}"/>
    <cellStyle name="Normal 2 39 12 2 4" xfId="29678" xr:uid="{00000000-0005-0000-0000-000042730000}"/>
    <cellStyle name="Normal 2 39 12 3" xfId="29679" xr:uid="{00000000-0005-0000-0000-000043730000}"/>
    <cellStyle name="Normal 2 39 12 3 2" xfId="29680" xr:uid="{00000000-0005-0000-0000-000044730000}"/>
    <cellStyle name="Normal 2 39 12 3 3" xfId="29681" xr:uid="{00000000-0005-0000-0000-000045730000}"/>
    <cellStyle name="Normal 2 39 12 4" xfId="29682" xr:uid="{00000000-0005-0000-0000-000046730000}"/>
    <cellStyle name="Normal 2 39 13" xfId="29683" xr:uid="{00000000-0005-0000-0000-000047730000}"/>
    <cellStyle name="Normal 2 39 13 2" xfId="29684" xr:uid="{00000000-0005-0000-0000-000048730000}"/>
    <cellStyle name="Normal 2 39 13 2 2" xfId="29685" xr:uid="{00000000-0005-0000-0000-000049730000}"/>
    <cellStyle name="Normal 2 39 13 2 2 2" xfId="29686" xr:uid="{00000000-0005-0000-0000-00004A730000}"/>
    <cellStyle name="Normal 2 39 13 2 2 3" xfId="29687" xr:uid="{00000000-0005-0000-0000-00004B730000}"/>
    <cellStyle name="Normal 2 39 13 2 3" xfId="29688" xr:uid="{00000000-0005-0000-0000-00004C730000}"/>
    <cellStyle name="Normal 2 39 13 2 4" xfId="29689" xr:uid="{00000000-0005-0000-0000-00004D730000}"/>
    <cellStyle name="Normal 2 39 13 3" xfId="29690" xr:uid="{00000000-0005-0000-0000-00004E730000}"/>
    <cellStyle name="Normal 2 39 13 3 2" xfId="29691" xr:uid="{00000000-0005-0000-0000-00004F730000}"/>
    <cellStyle name="Normal 2 39 13 3 3" xfId="29692" xr:uid="{00000000-0005-0000-0000-000050730000}"/>
    <cellStyle name="Normal 2 39 13 4" xfId="29693" xr:uid="{00000000-0005-0000-0000-000051730000}"/>
    <cellStyle name="Normal 2 39 14" xfId="29694" xr:uid="{00000000-0005-0000-0000-000052730000}"/>
    <cellStyle name="Normal 2 39 14 2" xfId="29695" xr:uid="{00000000-0005-0000-0000-000053730000}"/>
    <cellStyle name="Normal 2 39 14 2 2" xfId="29696" xr:uid="{00000000-0005-0000-0000-000054730000}"/>
    <cellStyle name="Normal 2 39 14 2 2 2" xfId="29697" xr:uid="{00000000-0005-0000-0000-000055730000}"/>
    <cellStyle name="Normal 2 39 14 2 2 3" xfId="29698" xr:uid="{00000000-0005-0000-0000-000056730000}"/>
    <cellStyle name="Normal 2 39 14 2 3" xfId="29699" xr:uid="{00000000-0005-0000-0000-000057730000}"/>
    <cellStyle name="Normal 2 39 14 2 4" xfId="29700" xr:uid="{00000000-0005-0000-0000-000058730000}"/>
    <cellStyle name="Normal 2 39 14 3" xfId="29701" xr:uid="{00000000-0005-0000-0000-000059730000}"/>
    <cellStyle name="Normal 2 39 14 3 2" xfId="29702" xr:uid="{00000000-0005-0000-0000-00005A730000}"/>
    <cellStyle name="Normal 2 39 14 3 3" xfId="29703" xr:uid="{00000000-0005-0000-0000-00005B730000}"/>
    <cellStyle name="Normal 2 39 14 4" xfId="29704" xr:uid="{00000000-0005-0000-0000-00005C730000}"/>
    <cellStyle name="Normal 2 39 15" xfId="29705" xr:uid="{00000000-0005-0000-0000-00005D730000}"/>
    <cellStyle name="Normal 2 39 15 2" xfId="29706" xr:uid="{00000000-0005-0000-0000-00005E730000}"/>
    <cellStyle name="Normal 2 39 15 2 2" xfId="29707" xr:uid="{00000000-0005-0000-0000-00005F730000}"/>
    <cellStyle name="Normal 2 39 15 2 2 2" xfId="29708" xr:uid="{00000000-0005-0000-0000-000060730000}"/>
    <cellStyle name="Normal 2 39 15 2 2 3" xfId="29709" xr:uid="{00000000-0005-0000-0000-000061730000}"/>
    <cellStyle name="Normal 2 39 15 2 3" xfId="29710" xr:uid="{00000000-0005-0000-0000-000062730000}"/>
    <cellStyle name="Normal 2 39 15 2 4" xfId="29711" xr:uid="{00000000-0005-0000-0000-000063730000}"/>
    <cellStyle name="Normal 2 39 15 3" xfId="29712" xr:uid="{00000000-0005-0000-0000-000064730000}"/>
    <cellStyle name="Normal 2 39 15 3 2" xfId="29713" xr:uid="{00000000-0005-0000-0000-000065730000}"/>
    <cellStyle name="Normal 2 39 15 3 3" xfId="29714" xr:uid="{00000000-0005-0000-0000-000066730000}"/>
    <cellStyle name="Normal 2 39 15 4" xfId="29715" xr:uid="{00000000-0005-0000-0000-000067730000}"/>
    <cellStyle name="Normal 2 39 16" xfId="29716" xr:uid="{00000000-0005-0000-0000-000068730000}"/>
    <cellStyle name="Normal 2 39 16 2" xfId="29717" xr:uid="{00000000-0005-0000-0000-000069730000}"/>
    <cellStyle name="Normal 2 39 16 2 2" xfId="29718" xr:uid="{00000000-0005-0000-0000-00006A730000}"/>
    <cellStyle name="Normal 2 39 16 2 2 2" xfId="29719" xr:uid="{00000000-0005-0000-0000-00006B730000}"/>
    <cellStyle name="Normal 2 39 16 2 2 3" xfId="29720" xr:uid="{00000000-0005-0000-0000-00006C730000}"/>
    <cellStyle name="Normal 2 39 16 2 3" xfId="29721" xr:uid="{00000000-0005-0000-0000-00006D730000}"/>
    <cellStyle name="Normal 2 39 16 2 4" xfId="29722" xr:uid="{00000000-0005-0000-0000-00006E730000}"/>
    <cellStyle name="Normal 2 39 16 3" xfId="29723" xr:uid="{00000000-0005-0000-0000-00006F730000}"/>
    <cellStyle name="Normal 2 39 16 3 2" xfId="29724" xr:uid="{00000000-0005-0000-0000-000070730000}"/>
    <cellStyle name="Normal 2 39 16 3 3" xfId="29725" xr:uid="{00000000-0005-0000-0000-000071730000}"/>
    <cellStyle name="Normal 2 39 16 4" xfId="29726" xr:uid="{00000000-0005-0000-0000-000072730000}"/>
    <cellStyle name="Normal 2 39 17" xfId="29727" xr:uid="{00000000-0005-0000-0000-000073730000}"/>
    <cellStyle name="Normal 2 39 17 2" xfId="29728" xr:uid="{00000000-0005-0000-0000-000074730000}"/>
    <cellStyle name="Normal 2 39 17 2 2" xfId="29729" xr:uid="{00000000-0005-0000-0000-000075730000}"/>
    <cellStyle name="Normal 2 39 17 2 2 2" xfId="29730" xr:uid="{00000000-0005-0000-0000-000076730000}"/>
    <cellStyle name="Normal 2 39 17 2 2 3" xfId="29731" xr:uid="{00000000-0005-0000-0000-000077730000}"/>
    <cellStyle name="Normal 2 39 17 2 3" xfId="29732" xr:uid="{00000000-0005-0000-0000-000078730000}"/>
    <cellStyle name="Normal 2 39 17 2 4" xfId="29733" xr:uid="{00000000-0005-0000-0000-000079730000}"/>
    <cellStyle name="Normal 2 39 17 3" xfId="29734" xr:uid="{00000000-0005-0000-0000-00007A730000}"/>
    <cellStyle name="Normal 2 39 17 3 2" xfId="29735" xr:uid="{00000000-0005-0000-0000-00007B730000}"/>
    <cellStyle name="Normal 2 39 17 3 3" xfId="29736" xr:uid="{00000000-0005-0000-0000-00007C730000}"/>
    <cellStyle name="Normal 2 39 17 4" xfId="29737" xr:uid="{00000000-0005-0000-0000-00007D730000}"/>
    <cellStyle name="Normal 2 39 18" xfId="29738" xr:uid="{00000000-0005-0000-0000-00007E730000}"/>
    <cellStyle name="Normal 2 39 18 2" xfId="29739" xr:uid="{00000000-0005-0000-0000-00007F730000}"/>
    <cellStyle name="Normal 2 39 18 2 2" xfId="29740" xr:uid="{00000000-0005-0000-0000-000080730000}"/>
    <cellStyle name="Normal 2 39 18 2 2 2" xfId="29741" xr:uid="{00000000-0005-0000-0000-000081730000}"/>
    <cellStyle name="Normal 2 39 18 2 2 3" xfId="29742" xr:uid="{00000000-0005-0000-0000-000082730000}"/>
    <cellStyle name="Normal 2 39 18 2 3" xfId="29743" xr:uid="{00000000-0005-0000-0000-000083730000}"/>
    <cellStyle name="Normal 2 39 18 2 4" xfId="29744" xr:uid="{00000000-0005-0000-0000-000084730000}"/>
    <cellStyle name="Normal 2 39 18 3" xfId="29745" xr:uid="{00000000-0005-0000-0000-000085730000}"/>
    <cellStyle name="Normal 2 39 18 3 2" xfId="29746" xr:uid="{00000000-0005-0000-0000-000086730000}"/>
    <cellStyle name="Normal 2 39 18 3 3" xfId="29747" xr:uid="{00000000-0005-0000-0000-000087730000}"/>
    <cellStyle name="Normal 2 39 18 4" xfId="29748" xr:uid="{00000000-0005-0000-0000-000088730000}"/>
    <cellStyle name="Normal 2 39 19" xfId="29749" xr:uid="{00000000-0005-0000-0000-000089730000}"/>
    <cellStyle name="Normal 2 39 19 2" xfId="29750" xr:uid="{00000000-0005-0000-0000-00008A730000}"/>
    <cellStyle name="Normal 2 39 19 2 2" xfId="29751" xr:uid="{00000000-0005-0000-0000-00008B730000}"/>
    <cellStyle name="Normal 2 39 19 2 2 2" xfId="29752" xr:uid="{00000000-0005-0000-0000-00008C730000}"/>
    <cellStyle name="Normal 2 39 19 2 2 3" xfId="29753" xr:uid="{00000000-0005-0000-0000-00008D730000}"/>
    <cellStyle name="Normal 2 39 19 2 3" xfId="29754" xr:uid="{00000000-0005-0000-0000-00008E730000}"/>
    <cellStyle name="Normal 2 39 19 2 4" xfId="29755" xr:uid="{00000000-0005-0000-0000-00008F730000}"/>
    <cellStyle name="Normal 2 39 19 3" xfId="29756" xr:uid="{00000000-0005-0000-0000-000090730000}"/>
    <cellStyle name="Normal 2 39 19 3 2" xfId="29757" xr:uid="{00000000-0005-0000-0000-000091730000}"/>
    <cellStyle name="Normal 2 39 19 3 3" xfId="29758" xr:uid="{00000000-0005-0000-0000-000092730000}"/>
    <cellStyle name="Normal 2 39 19 4" xfId="29759" xr:uid="{00000000-0005-0000-0000-000093730000}"/>
    <cellStyle name="Normal 2 39 2" xfId="29760" xr:uid="{00000000-0005-0000-0000-000094730000}"/>
    <cellStyle name="Normal 2 39 2 2" xfId="29761" xr:uid="{00000000-0005-0000-0000-000095730000}"/>
    <cellStyle name="Normal 2 39 2 2 2" xfId="29762" xr:uid="{00000000-0005-0000-0000-000096730000}"/>
    <cellStyle name="Normal 2 39 2 2 2 2" xfId="29763" xr:uid="{00000000-0005-0000-0000-000097730000}"/>
    <cellStyle name="Normal 2 39 2 2 2 3" xfId="29764" xr:uid="{00000000-0005-0000-0000-000098730000}"/>
    <cellStyle name="Normal 2 39 2 2 3" xfId="29765" xr:uid="{00000000-0005-0000-0000-000099730000}"/>
    <cellStyle name="Normal 2 39 2 2 4" xfId="29766" xr:uid="{00000000-0005-0000-0000-00009A730000}"/>
    <cellStyle name="Normal 2 39 2 3" xfId="29767" xr:uid="{00000000-0005-0000-0000-00009B730000}"/>
    <cellStyle name="Normal 2 39 2 3 2" xfId="29768" xr:uid="{00000000-0005-0000-0000-00009C730000}"/>
    <cellStyle name="Normal 2 39 2 3 3" xfId="29769" xr:uid="{00000000-0005-0000-0000-00009D730000}"/>
    <cellStyle name="Normal 2 39 2 4" xfId="29770" xr:uid="{00000000-0005-0000-0000-00009E730000}"/>
    <cellStyle name="Normal 2 39 20" xfId="29771" xr:uid="{00000000-0005-0000-0000-00009F730000}"/>
    <cellStyle name="Normal 2 39 20 2" xfId="29772" xr:uid="{00000000-0005-0000-0000-0000A0730000}"/>
    <cellStyle name="Normal 2 39 20 2 2" xfId="29773" xr:uid="{00000000-0005-0000-0000-0000A1730000}"/>
    <cellStyle name="Normal 2 39 20 2 2 2" xfId="29774" xr:uid="{00000000-0005-0000-0000-0000A2730000}"/>
    <cellStyle name="Normal 2 39 20 2 2 3" xfId="29775" xr:uid="{00000000-0005-0000-0000-0000A3730000}"/>
    <cellStyle name="Normal 2 39 20 2 3" xfId="29776" xr:uid="{00000000-0005-0000-0000-0000A4730000}"/>
    <cellStyle name="Normal 2 39 20 2 4" xfId="29777" xr:uid="{00000000-0005-0000-0000-0000A5730000}"/>
    <cellStyle name="Normal 2 39 20 3" xfId="29778" xr:uid="{00000000-0005-0000-0000-0000A6730000}"/>
    <cellStyle name="Normal 2 39 20 3 2" xfId="29779" xr:uid="{00000000-0005-0000-0000-0000A7730000}"/>
    <cellStyle name="Normal 2 39 20 3 3" xfId="29780" xr:uid="{00000000-0005-0000-0000-0000A8730000}"/>
    <cellStyle name="Normal 2 39 20 4" xfId="29781" xr:uid="{00000000-0005-0000-0000-0000A9730000}"/>
    <cellStyle name="Normal 2 39 21" xfId="29782" xr:uid="{00000000-0005-0000-0000-0000AA730000}"/>
    <cellStyle name="Normal 2 39 21 2" xfId="29783" xr:uid="{00000000-0005-0000-0000-0000AB730000}"/>
    <cellStyle name="Normal 2 39 21 2 2" xfId="29784" xr:uid="{00000000-0005-0000-0000-0000AC730000}"/>
    <cellStyle name="Normal 2 39 21 2 2 2" xfId="29785" xr:uid="{00000000-0005-0000-0000-0000AD730000}"/>
    <cellStyle name="Normal 2 39 21 2 2 3" xfId="29786" xr:uid="{00000000-0005-0000-0000-0000AE730000}"/>
    <cellStyle name="Normal 2 39 21 2 3" xfId="29787" xr:uid="{00000000-0005-0000-0000-0000AF730000}"/>
    <cellStyle name="Normal 2 39 21 2 4" xfId="29788" xr:uid="{00000000-0005-0000-0000-0000B0730000}"/>
    <cellStyle name="Normal 2 39 21 3" xfId="29789" xr:uid="{00000000-0005-0000-0000-0000B1730000}"/>
    <cellStyle name="Normal 2 39 21 3 2" xfId="29790" xr:uid="{00000000-0005-0000-0000-0000B2730000}"/>
    <cellStyle name="Normal 2 39 21 3 3" xfId="29791" xr:uid="{00000000-0005-0000-0000-0000B3730000}"/>
    <cellStyle name="Normal 2 39 21 4" xfId="29792" xr:uid="{00000000-0005-0000-0000-0000B4730000}"/>
    <cellStyle name="Normal 2 39 22" xfId="29793" xr:uid="{00000000-0005-0000-0000-0000B5730000}"/>
    <cellStyle name="Normal 2 39 22 2" xfId="29794" xr:uid="{00000000-0005-0000-0000-0000B6730000}"/>
    <cellStyle name="Normal 2 39 22 2 2" xfId="29795" xr:uid="{00000000-0005-0000-0000-0000B7730000}"/>
    <cellStyle name="Normal 2 39 22 2 2 2" xfId="29796" xr:uid="{00000000-0005-0000-0000-0000B8730000}"/>
    <cellStyle name="Normal 2 39 22 2 2 3" xfId="29797" xr:uid="{00000000-0005-0000-0000-0000B9730000}"/>
    <cellStyle name="Normal 2 39 22 2 3" xfId="29798" xr:uid="{00000000-0005-0000-0000-0000BA730000}"/>
    <cellStyle name="Normal 2 39 22 2 4" xfId="29799" xr:uid="{00000000-0005-0000-0000-0000BB730000}"/>
    <cellStyle name="Normal 2 39 22 3" xfId="29800" xr:uid="{00000000-0005-0000-0000-0000BC730000}"/>
    <cellStyle name="Normal 2 39 22 3 2" xfId="29801" xr:uid="{00000000-0005-0000-0000-0000BD730000}"/>
    <cellStyle name="Normal 2 39 22 3 3" xfId="29802" xr:uid="{00000000-0005-0000-0000-0000BE730000}"/>
    <cellStyle name="Normal 2 39 22 4" xfId="29803" xr:uid="{00000000-0005-0000-0000-0000BF730000}"/>
    <cellStyle name="Normal 2 39 23" xfId="29804" xr:uid="{00000000-0005-0000-0000-0000C0730000}"/>
    <cellStyle name="Normal 2 39 23 2" xfId="29805" xr:uid="{00000000-0005-0000-0000-0000C1730000}"/>
    <cellStyle name="Normal 2 39 23 2 2" xfId="29806" xr:uid="{00000000-0005-0000-0000-0000C2730000}"/>
    <cellStyle name="Normal 2 39 23 2 2 2" xfId="29807" xr:uid="{00000000-0005-0000-0000-0000C3730000}"/>
    <cellStyle name="Normal 2 39 23 2 2 3" xfId="29808" xr:uid="{00000000-0005-0000-0000-0000C4730000}"/>
    <cellStyle name="Normal 2 39 23 2 3" xfId="29809" xr:uid="{00000000-0005-0000-0000-0000C5730000}"/>
    <cellStyle name="Normal 2 39 23 2 4" xfId="29810" xr:uid="{00000000-0005-0000-0000-0000C6730000}"/>
    <cellStyle name="Normal 2 39 23 3" xfId="29811" xr:uid="{00000000-0005-0000-0000-0000C7730000}"/>
    <cellStyle name="Normal 2 39 23 3 2" xfId="29812" xr:uid="{00000000-0005-0000-0000-0000C8730000}"/>
    <cellStyle name="Normal 2 39 23 3 3" xfId="29813" xr:uid="{00000000-0005-0000-0000-0000C9730000}"/>
    <cellStyle name="Normal 2 39 23 4" xfId="29814" xr:uid="{00000000-0005-0000-0000-0000CA730000}"/>
    <cellStyle name="Normal 2 39 24" xfId="29815" xr:uid="{00000000-0005-0000-0000-0000CB730000}"/>
    <cellStyle name="Normal 2 39 24 2" xfId="29816" xr:uid="{00000000-0005-0000-0000-0000CC730000}"/>
    <cellStyle name="Normal 2 39 24 2 2" xfId="29817" xr:uid="{00000000-0005-0000-0000-0000CD730000}"/>
    <cellStyle name="Normal 2 39 24 2 3" xfId="29818" xr:uid="{00000000-0005-0000-0000-0000CE730000}"/>
    <cellStyle name="Normal 2 39 24 3" xfId="29819" xr:uid="{00000000-0005-0000-0000-0000CF730000}"/>
    <cellStyle name="Normal 2 39 24 4" xfId="29820" xr:uid="{00000000-0005-0000-0000-0000D0730000}"/>
    <cellStyle name="Normal 2 39 25" xfId="29821" xr:uid="{00000000-0005-0000-0000-0000D1730000}"/>
    <cellStyle name="Normal 2 39 25 2" xfId="29822" xr:uid="{00000000-0005-0000-0000-0000D2730000}"/>
    <cellStyle name="Normal 2 39 25 3" xfId="29823" xr:uid="{00000000-0005-0000-0000-0000D3730000}"/>
    <cellStyle name="Normal 2 39 26" xfId="29824" xr:uid="{00000000-0005-0000-0000-0000D4730000}"/>
    <cellStyle name="Normal 2 39 3" xfId="29825" xr:uid="{00000000-0005-0000-0000-0000D5730000}"/>
    <cellStyle name="Normal 2 39 3 2" xfId="29826" xr:uid="{00000000-0005-0000-0000-0000D6730000}"/>
    <cellStyle name="Normal 2 39 3 2 2" xfId="29827" xr:uid="{00000000-0005-0000-0000-0000D7730000}"/>
    <cellStyle name="Normal 2 39 3 2 2 2" xfId="29828" xr:uid="{00000000-0005-0000-0000-0000D8730000}"/>
    <cellStyle name="Normal 2 39 3 2 2 3" xfId="29829" xr:uid="{00000000-0005-0000-0000-0000D9730000}"/>
    <cellStyle name="Normal 2 39 3 2 3" xfId="29830" xr:uid="{00000000-0005-0000-0000-0000DA730000}"/>
    <cellStyle name="Normal 2 39 3 2 4" xfId="29831" xr:uid="{00000000-0005-0000-0000-0000DB730000}"/>
    <cellStyle name="Normal 2 39 3 3" xfId="29832" xr:uid="{00000000-0005-0000-0000-0000DC730000}"/>
    <cellStyle name="Normal 2 39 3 3 2" xfId="29833" xr:uid="{00000000-0005-0000-0000-0000DD730000}"/>
    <cellStyle name="Normal 2 39 3 3 3" xfId="29834" xr:uid="{00000000-0005-0000-0000-0000DE730000}"/>
    <cellStyle name="Normal 2 39 3 4" xfId="29835" xr:uid="{00000000-0005-0000-0000-0000DF730000}"/>
    <cellStyle name="Normal 2 39 4" xfId="29836" xr:uid="{00000000-0005-0000-0000-0000E0730000}"/>
    <cellStyle name="Normal 2 39 4 2" xfId="29837" xr:uid="{00000000-0005-0000-0000-0000E1730000}"/>
    <cellStyle name="Normal 2 39 4 2 2" xfId="29838" xr:uid="{00000000-0005-0000-0000-0000E2730000}"/>
    <cellStyle name="Normal 2 39 4 2 2 2" xfId="29839" xr:uid="{00000000-0005-0000-0000-0000E3730000}"/>
    <cellStyle name="Normal 2 39 4 2 2 3" xfId="29840" xr:uid="{00000000-0005-0000-0000-0000E4730000}"/>
    <cellStyle name="Normal 2 39 4 2 3" xfId="29841" xr:uid="{00000000-0005-0000-0000-0000E5730000}"/>
    <cellStyle name="Normal 2 39 4 2 4" xfId="29842" xr:uid="{00000000-0005-0000-0000-0000E6730000}"/>
    <cellStyle name="Normal 2 39 4 3" xfId="29843" xr:uid="{00000000-0005-0000-0000-0000E7730000}"/>
    <cellStyle name="Normal 2 39 4 3 2" xfId="29844" xr:uid="{00000000-0005-0000-0000-0000E8730000}"/>
    <cellStyle name="Normal 2 39 4 3 3" xfId="29845" xr:uid="{00000000-0005-0000-0000-0000E9730000}"/>
    <cellStyle name="Normal 2 39 4 4" xfId="29846" xr:uid="{00000000-0005-0000-0000-0000EA730000}"/>
    <cellStyle name="Normal 2 39 5" xfId="29847" xr:uid="{00000000-0005-0000-0000-0000EB730000}"/>
    <cellStyle name="Normal 2 39 5 2" xfId="29848" xr:uid="{00000000-0005-0000-0000-0000EC730000}"/>
    <cellStyle name="Normal 2 39 5 2 2" xfId="29849" xr:uid="{00000000-0005-0000-0000-0000ED730000}"/>
    <cellStyle name="Normal 2 39 5 2 2 2" xfId="29850" xr:uid="{00000000-0005-0000-0000-0000EE730000}"/>
    <cellStyle name="Normal 2 39 5 2 2 3" xfId="29851" xr:uid="{00000000-0005-0000-0000-0000EF730000}"/>
    <cellStyle name="Normal 2 39 5 2 3" xfId="29852" xr:uid="{00000000-0005-0000-0000-0000F0730000}"/>
    <cellStyle name="Normal 2 39 5 2 4" xfId="29853" xr:uid="{00000000-0005-0000-0000-0000F1730000}"/>
    <cellStyle name="Normal 2 39 5 3" xfId="29854" xr:uid="{00000000-0005-0000-0000-0000F2730000}"/>
    <cellStyle name="Normal 2 39 5 3 2" xfId="29855" xr:uid="{00000000-0005-0000-0000-0000F3730000}"/>
    <cellStyle name="Normal 2 39 5 3 3" xfId="29856" xr:uid="{00000000-0005-0000-0000-0000F4730000}"/>
    <cellStyle name="Normal 2 39 5 4" xfId="29857" xr:uid="{00000000-0005-0000-0000-0000F5730000}"/>
    <cellStyle name="Normal 2 39 6" xfId="29858" xr:uid="{00000000-0005-0000-0000-0000F6730000}"/>
    <cellStyle name="Normal 2 39 6 2" xfId="29859" xr:uid="{00000000-0005-0000-0000-0000F7730000}"/>
    <cellStyle name="Normal 2 39 6 2 2" xfId="29860" xr:uid="{00000000-0005-0000-0000-0000F8730000}"/>
    <cellStyle name="Normal 2 39 6 2 2 2" xfId="29861" xr:uid="{00000000-0005-0000-0000-0000F9730000}"/>
    <cellStyle name="Normal 2 39 6 2 2 3" xfId="29862" xr:uid="{00000000-0005-0000-0000-0000FA730000}"/>
    <cellStyle name="Normal 2 39 6 2 3" xfId="29863" xr:uid="{00000000-0005-0000-0000-0000FB730000}"/>
    <cellStyle name="Normal 2 39 6 2 4" xfId="29864" xr:uid="{00000000-0005-0000-0000-0000FC730000}"/>
    <cellStyle name="Normal 2 39 6 3" xfId="29865" xr:uid="{00000000-0005-0000-0000-0000FD730000}"/>
    <cellStyle name="Normal 2 39 6 3 2" xfId="29866" xr:uid="{00000000-0005-0000-0000-0000FE730000}"/>
    <cellStyle name="Normal 2 39 6 3 3" xfId="29867" xr:uid="{00000000-0005-0000-0000-0000FF730000}"/>
    <cellStyle name="Normal 2 39 6 4" xfId="29868" xr:uid="{00000000-0005-0000-0000-000000740000}"/>
    <cellStyle name="Normal 2 39 7" xfId="29869" xr:uid="{00000000-0005-0000-0000-000001740000}"/>
    <cellStyle name="Normal 2 39 7 2" xfId="29870" xr:uid="{00000000-0005-0000-0000-000002740000}"/>
    <cellStyle name="Normal 2 39 7 2 2" xfId="29871" xr:uid="{00000000-0005-0000-0000-000003740000}"/>
    <cellStyle name="Normal 2 39 7 2 2 2" xfId="29872" xr:uid="{00000000-0005-0000-0000-000004740000}"/>
    <cellStyle name="Normal 2 39 7 2 2 3" xfId="29873" xr:uid="{00000000-0005-0000-0000-000005740000}"/>
    <cellStyle name="Normal 2 39 7 2 3" xfId="29874" xr:uid="{00000000-0005-0000-0000-000006740000}"/>
    <cellStyle name="Normal 2 39 7 2 4" xfId="29875" xr:uid="{00000000-0005-0000-0000-000007740000}"/>
    <cellStyle name="Normal 2 39 7 3" xfId="29876" xr:uid="{00000000-0005-0000-0000-000008740000}"/>
    <cellStyle name="Normal 2 39 7 3 2" xfId="29877" xr:uid="{00000000-0005-0000-0000-000009740000}"/>
    <cellStyle name="Normal 2 39 7 3 3" xfId="29878" xr:uid="{00000000-0005-0000-0000-00000A740000}"/>
    <cellStyle name="Normal 2 39 7 4" xfId="29879" xr:uid="{00000000-0005-0000-0000-00000B740000}"/>
    <cellStyle name="Normal 2 39 8" xfId="29880" xr:uid="{00000000-0005-0000-0000-00000C740000}"/>
    <cellStyle name="Normal 2 39 8 2" xfId="29881" xr:uid="{00000000-0005-0000-0000-00000D740000}"/>
    <cellStyle name="Normal 2 39 8 2 2" xfId="29882" xr:uid="{00000000-0005-0000-0000-00000E740000}"/>
    <cellStyle name="Normal 2 39 8 2 2 2" xfId="29883" xr:uid="{00000000-0005-0000-0000-00000F740000}"/>
    <cellStyle name="Normal 2 39 8 2 2 3" xfId="29884" xr:uid="{00000000-0005-0000-0000-000010740000}"/>
    <cellStyle name="Normal 2 39 8 2 3" xfId="29885" xr:uid="{00000000-0005-0000-0000-000011740000}"/>
    <cellStyle name="Normal 2 39 8 2 4" xfId="29886" xr:uid="{00000000-0005-0000-0000-000012740000}"/>
    <cellStyle name="Normal 2 39 8 3" xfId="29887" xr:uid="{00000000-0005-0000-0000-000013740000}"/>
    <cellStyle name="Normal 2 39 8 3 2" xfId="29888" xr:uid="{00000000-0005-0000-0000-000014740000}"/>
    <cellStyle name="Normal 2 39 8 3 3" xfId="29889" xr:uid="{00000000-0005-0000-0000-000015740000}"/>
    <cellStyle name="Normal 2 39 8 4" xfId="29890" xr:uid="{00000000-0005-0000-0000-000016740000}"/>
    <cellStyle name="Normal 2 39 9" xfId="29891" xr:uid="{00000000-0005-0000-0000-000017740000}"/>
    <cellStyle name="Normal 2 39 9 2" xfId="29892" xr:uid="{00000000-0005-0000-0000-000018740000}"/>
    <cellStyle name="Normal 2 39 9 2 2" xfId="29893" xr:uid="{00000000-0005-0000-0000-000019740000}"/>
    <cellStyle name="Normal 2 39 9 2 2 2" xfId="29894" xr:uid="{00000000-0005-0000-0000-00001A740000}"/>
    <cellStyle name="Normal 2 39 9 2 2 3" xfId="29895" xr:uid="{00000000-0005-0000-0000-00001B740000}"/>
    <cellStyle name="Normal 2 39 9 2 3" xfId="29896" xr:uid="{00000000-0005-0000-0000-00001C740000}"/>
    <cellStyle name="Normal 2 39 9 2 4" xfId="29897" xr:uid="{00000000-0005-0000-0000-00001D740000}"/>
    <cellStyle name="Normal 2 39 9 3" xfId="29898" xr:uid="{00000000-0005-0000-0000-00001E740000}"/>
    <cellStyle name="Normal 2 39 9 3 2" xfId="29899" xr:uid="{00000000-0005-0000-0000-00001F740000}"/>
    <cellStyle name="Normal 2 39 9 3 3" xfId="29900" xr:uid="{00000000-0005-0000-0000-000020740000}"/>
    <cellStyle name="Normal 2 39 9 4" xfId="29901" xr:uid="{00000000-0005-0000-0000-000021740000}"/>
    <cellStyle name="Normal 2 4" xfId="274" xr:uid="{00000000-0005-0000-0000-000022740000}"/>
    <cellStyle name="Normal 2 4 2" xfId="29902" xr:uid="{00000000-0005-0000-0000-000023740000}"/>
    <cellStyle name="Normal 2 4 2 2" xfId="29903" xr:uid="{00000000-0005-0000-0000-000024740000}"/>
    <cellStyle name="Normal 2 4 2 2 2" xfId="29904" xr:uid="{00000000-0005-0000-0000-000025740000}"/>
    <cellStyle name="Normal 2 4 2 2 2 2" xfId="29905" xr:uid="{00000000-0005-0000-0000-000026740000}"/>
    <cellStyle name="Normal 2 4 2 2 3" xfId="29906" xr:uid="{00000000-0005-0000-0000-000027740000}"/>
    <cellStyle name="Normal 2 4 2 2_Dec monthly report" xfId="29907" xr:uid="{00000000-0005-0000-0000-000028740000}"/>
    <cellStyle name="Normal 2 4 2 3" xfId="29908" xr:uid="{00000000-0005-0000-0000-000029740000}"/>
    <cellStyle name="Normal 2 4 2 4" xfId="29909" xr:uid="{00000000-0005-0000-0000-00002A740000}"/>
    <cellStyle name="Normal 2 4 2 5" xfId="29910" xr:uid="{00000000-0005-0000-0000-00002B740000}"/>
    <cellStyle name="Normal 2 4 3" xfId="29911" xr:uid="{00000000-0005-0000-0000-00002C740000}"/>
    <cellStyle name="Normal 2 4 3 2" xfId="29912" xr:uid="{00000000-0005-0000-0000-00002D740000}"/>
    <cellStyle name="Normal 2 4 3 3" xfId="29913" xr:uid="{00000000-0005-0000-0000-00002E740000}"/>
    <cellStyle name="Normal 2 4 4" xfId="29914" xr:uid="{00000000-0005-0000-0000-00002F740000}"/>
    <cellStyle name="Normal 2 4 4 2" xfId="29915" xr:uid="{00000000-0005-0000-0000-000030740000}"/>
    <cellStyle name="Normal 2 4 4 3" xfId="29916" xr:uid="{00000000-0005-0000-0000-000031740000}"/>
    <cellStyle name="Normal 2 4 5" xfId="29917" xr:uid="{00000000-0005-0000-0000-000032740000}"/>
    <cellStyle name="Normal 2 4 6" xfId="29918" xr:uid="{00000000-0005-0000-0000-000033740000}"/>
    <cellStyle name="Normal 2 4_App b.3 Unspent_" xfId="29919" xr:uid="{00000000-0005-0000-0000-000034740000}"/>
    <cellStyle name="Normal 2 40" xfId="29920" xr:uid="{00000000-0005-0000-0000-000035740000}"/>
    <cellStyle name="Normal 2 40 2" xfId="29921" xr:uid="{00000000-0005-0000-0000-000036740000}"/>
    <cellStyle name="Normal 2 40 2 2" xfId="29922" xr:uid="{00000000-0005-0000-0000-000037740000}"/>
    <cellStyle name="Normal 2 40 2 2 2" xfId="29923" xr:uid="{00000000-0005-0000-0000-000038740000}"/>
    <cellStyle name="Normal 2 40 2 2 3" xfId="29924" xr:uid="{00000000-0005-0000-0000-000039740000}"/>
    <cellStyle name="Normal 2 40 2 3" xfId="29925" xr:uid="{00000000-0005-0000-0000-00003A740000}"/>
    <cellStyle name="Normal 2 40 2 4" xfId="29926" xr:uid="{00000000-0005-0000-0000-00003B740000}"/>
    <cellStyle name="Normal 2 40 3" xfId="29927" xr:uid="{00000000-0005-0000-0000-00003C740000}"/>
    <cellStyle name="Normal 2 40 3 2" xfId="29928" xr:uid="{00000000-0005-0000-0000-00003D740000}"/>
    <cellStyle name="Normal 2 40 3 3" xfId="29929" xr:uid="{00000000-0005-0000-0000-00003E740000}"/>
    <cellStyle name="Normal 2 40 4" xfId="29930" xr:uid="{00000000-0005-0000-0000-00003F740000}"/>
    <cellStyle name="Normal 2 41" xfId="29931" xr:uid="{00000000-0005-0000-0000-000040740000}"/>
    <cellStyle name="Normal 2 41 2" xfId="29932" xr:uid="{00000000-0005-0000-0000-000041740000}"/>
    <cellStyle name="Normal 2 41 2 2" xfId="29933" xr:uid="{00000000-0005-0000-0000-000042740000}"/>
    <cellStyle name="Normal 2 41 2 2 2" xfId="29934" xr:uid="{00000000-0005-0000-0000-000043740000}"/>
    <cellStyle name="Normal 2 41 2 2 3" xfId="29935" xr:uid="{00000000-0005-0000-0000-000044740000}"/>
    <cellStyle name="Normal 2 41 2 3" xfId="29936" xr:uid="{00000000-0005-0000-0000-000045740000}"/>
    <cellStyle name="Normal 2 41 2 4" xfId="29937" xr:uid="{00000000-0005-0000-0000-000046740000}"/>
    <cellStyle name="Normal 2 41 3" xfId="29938" xr:uid="{00000000-0005-0000-0000-000047740000}"/>
    <cellStyle name="Normal 2 41 3 2" xfId="29939" xr:uid="{00000000-0005-0000-0000-000048740000}"/>
    <cellStyle name="Normal 2 41 3 3" xfId="29940" xr:uid="{00000000-0005-0000-0000-000049740000}"/>
    <cellStyle name="Normal 2 41 4" xfId="29941" xr:uid="{00000000-0005-0000-0000-00004A740000}"/>
    <cellStyle name="Normal 2 42" xfId="29942" xr:uid="{00000000-0005-0000-0000-00004B740000}"/>
    <cellStyle name="Normal 2 42 2" xfId="29943" xr:uid="{00000000-0005-0000-0000-00004C740000}"/>
    <cellStyle name="Normal 2 42 2 2" xfId="29944" xr:uid="{00000000-0005-0000-0000-00004D740000}"/>
    <cellStyle name="Normal 2 42 2 2 2" xfId="29945" xr:uid="{00000000-0005-0000-0000-00004E740000}"/>
    <cellStyle name="Normal 2 42 2 2 3" xfId="29946" xr:uid="{00000000-0005-0000-0000-00004F740000}"/>
    <cellStyle name="Normal 2 42 2 3" xfId="29947" xr:uid="{00000000-0005-0000-0000-000050740000}"/>
    <cellStyle name="Normal 2 42 2 4" xfId="29948" xr:uid="{00000000-0005-0000-0000-000051740000}"/>
    <cellStyle name="Normal 2 42 3" xfId="29949" xr:uid="{00000000-0005-0000-0000-000052740000}"/>
    <cellStyle name="Normal 2 42 3 2" xfId="29950" xr:uid="{00000000-0005-0000-0000-000053740000}"/>
    <cellStyle name="Normal 2 42 3 3" xfId="29951" xr:uid="{00000000-0005-0000-0000-000054740000}"/>
    <cellStyle name="Normal 2 42 4" xfId="29952" xr:uid="{00000000-0005-0000-0000-000055740000}"/>
    <cellStyle name="Normal 2 43" xfId="29953" xr:uid="{00000000-0005-0000-0000-000056740000}"/>
    <cellStyle name="Normal 2 43 2" xfId="29954" xr:uid="{00000000-0005-0000-0000-000057740000}"/>
    <cellStyle name="Normal 2 43 2 2" xfId="29955" xr:uid="{00000000-0005-0000-0000-000058740000}"/>
    <cellStyle name="Normal 2 43 2 2 2" xfId="29956" xr:uid="{00000000-0005-0000-0000-000059740000}"/>
    <cellStyle name="Normal 2 43 2 2 3" xfId="29957" xr:uid="{00000000-0005-0000-0000-00005A740000}"/>
    <cellStyle name="Normal 2 43 2 3" xfId="29958" xr:uid="{00000000-0005-0000-0000-00005B740000}"/>
    <cellStyle name="Normal 2 43 2 4" xfId="29959" xr:uid="{00000000-0005-0000-0000-00005C740000}"/>
    <cellStyle name="Normal 2 43 3" xfId="29960" xr:uid="{00000000-0005-0000-0000-00005D740000}"/>
    <cellStyle name="Normal 2 43 3 2" xfId="29961" xr:uid="{00000000-0005-0000-0000-00005E740000}"/>
    <cellStyle name="Normal 2 43 3 3" xfId="29962" xr:uid="{00000000-0005-0000-0000-00005F740000}"/>
    <cellStyle name="Normal 2 43 4" xfId="29963" xr:uid="{00000000-0005-0000-0000-000060740000}"/>
    <cellStyle name="Normal 2 44" xfId="29964" xr:uid="{00000000-0005-0000-0000-000061740000}"/>
    <cellStyle name="Normal 2 44 2" xfId="29965" xr:uid="{00000000-0005-0000-0000-000062740000}"/>
    <cellStyle name="Normal 2 44 2 2" xfId="29966" xr:uid="{00000000-0005-0000-0000-000063740000}"/>
    <cellStyle name="Normal 2 44 2 2 2" xfId="29967" xr:uid="{00000000-0005-0000-0000-000064740000}"/>
    <cellStyle name="Normal 2 44 2 2 3" xfId="29968" xr:uid="{00000000-0005-0000-0000-000065740000}"/>
    <cellStyle name="Normal 2 44 2 3" xfId="29969" xr:uid="{00000000-0005-0000-0000-000066740000}"/>
    <cellStyle name="Normal 2 44 2 4" xfId="29970" xr:uid="{00000000-0005-0000-0000-000067740000}"/>
    <cellStyle name="Normal 2 44 3" xfId="29971" xr:uid="{00000000-0005-0000-0000-000068740000}"/>
    <cellStyle name="Normal 2 44 3 2" xfId="29972" xr:uid="{00000000-0005-0000-0000-000069740000}"/>
    <cellStyle name="Normal 2 44 3 3" xfId="29973" xr:uid="{00000000-0005-0000-0000-00006A740000}"/>
    <cellStyle name="Normal 2 44 4" xfId="29974" xr:uid="{00000000-0005-0000-0000-00006B740000}"/>
    <cellStyle name="Normal 2 45" xfId="29975" xr:uid="{00000000-0005-0000-0000-00006C740000}"/>
    <cellStyle name="Normal 2 45 2" xfId="29976" xr:uid="{00000000-0005-0000-0000-00006D740000}"/>
    <cellStyle name="Normal 2 45 2 2" xfId="29977" xr:uid="{00000000-0005-0000-0000-00006E740000}"/>
    <cellStyle name="Normal 2 45 2 2 2" xfId="29978" xr:uid="{00000000-0005-0000-0000-00006F740000}"/>
    <cellStyle name="Normal 2 45 2 2 3" xfId="29979" xr:uid="{00000000-0005-0000-0000-000070740000}"/>
    <cellStyle name="Normal 2 45 2 3" xfId="29980" xr:uid="{00000000-0005-0000-0000-000071740000}"/>
    <cellStyle name="Normal 2 45 2 4" xfId="29981" xr:uid="{00000000-0005-0000-0000-000072740000}"/>
    <cellStyle name="Normal 2 45 3" xfId="29982" xr:uid="{00000000-0005-0000-0000-000073740000}"/>
    <cellStyle name="Normal 2 45 3 2" xfId="29983" xr:uid="{00000000-0005-0000-0000-000074740000}"/>
    <cellStyle name="Normal 2 45 3 3" xfId="29984" xr:uid="{00000000-0005-0000-0000-000075740000}"/>
    <cellStyle name="Normal 2 45 4" xfId="29985" xr:uid="{00000000-0005-0000-0000-000076740000}"/>
    <cellStyle name="Normal 2 46" xfId="29986" xr:uid="{00000000-0005-0000-0000-000077740000}"/>
    <cellStyle name="Normal 2 46 2" xfId="29987" xr:uid="{00000000-0005-0000-0000-000078740000}"/>
    <cellStyle name="Normal 2 46 2 2" xfId="29988" xr:uid="{00000000-0005-0000-0000-000079740000}"/>
    <cellStyle name="Normal 2 46 2 2 2" xfId="29989" xr:uid="{00000000-0005-0000-0000-00007A740000}"/>
    <cellStyle name="Normal 2 46 2 2 3" xfId="29990" xr:uid="{00000000-0005-0000-0000-00007B740000}"/>
    <cellStyle name="Normal 2 46 2 3" xfId="29991" xr:uid="{00000000-0005-0000-0000-00007C740000}"/>
    <cellStyle name="Normal 2 46 2 4" xfId="29992" xr:uid="{00000000-0005-0000-0000-00007D740000}"/>
    <cellStyle name="Normal 2 46 3" xfId="29993" xr:uid="{00000000-0005-0000-0000-00007E740000}"/>
    <cellStyle name="Normal 2 46 3 2" xfId="29994" xr:uid="{00000000-0005-0000-0000-00007F740000}"/>
    <cellStyle name="Normal 2 46 3 3" xfId="29995" xr:uid="{00000000-0005-0000-0000-000080740000}"/>
    <cellStyle name="Normal 2 46 4" xfId="29996" xr:uid="{00000000-0005-0000-0000-000081740000}"/>
    <cellStyle name="Normal 2 47" xfId="29997" xr:uid="{00000000-0005-0000-0000-000082740000}"/>
    <cellStyle name="Normal 2 47 2" xfId="29998" xr:uid="{00000000-0005-0000-0000-000083740000}"/>
    <cellStyle name="Normal 2 47 2 2" xfId="29999" xr:uid="{00000000-0005-0000-0000-000084740000}"/>
    <cellStyle name="Normal 2 47 2 2 2" xfId="30000" xr:uid="{00000000-0005-0000-0000-000085740000}"/>
    <cellStyle name="Normal 2 47 2 2 3" xfId="30001" xr:uid="{00000000-0005-0000-0000-000086740000}"/>
    <cellStyle name="Normal 2 47 2 3" xfId="30002" xr:uid="{00000000-0005-0000-0000-000087740000}"/>
    <cellStyle name="Normal 2 47 2 4" xfId="30003" xr:uid="{00000000-0005-0000-0000-000088740000}"/>
    <cellStyle name="Normal 2 47 3" xfId="30004" xr:uid="{00000000-0005-0000-0000-000089740000}"/>
    <cellStyle name="Normal 2 47 3 2" xfId="30005" xr:uid="{00000000-0005-0000-0000-00008A740000}"/>
    <cellStyle name="Normal 2 47 3 3" xfId="30006" xr:uid="{00000000-0005-0000-0000-00008B740000}"/>
    <cellStyle name="Normal 2 47 4" xfId="30007" xr:uid="{00000000-0005-0000-0000-00008C740000}"/>
    <cellStyle name="Normal 2 48" xfId="30008" xr:uid="{00000000-0005-0000-0000-00008D740000}"/>
    <cellStyle name="Normal 2 48 2" xfId="30009" xr:uid="{00000000-0005-0000-0000-00008E740000}"/>
    <cellStyle name="Normal 2 48 2 2" xfId="30010" xr:uid="{00000000-0005-0000-0000-00008F740000}"/>
    <cellStyle name="Normal 2 48 2 2 2" xfId="30011" xr:uid="{00000000-0005-0000-0000-000090740000}"/>
    <cellStyle name="Normal 2 48 2 2 3" xfId="30012" xr:uid="{00000000-0005-0000-0000-000091740000}"/>
    <cellStyle name="Normal 2 48 2 3" xfId="30013" xr:uid="{00000000-0005-0000-0000-000092740000}"/>
    <cellStyle name="Normal 2 48 2 4" xfId="30014" xr:uid="{00000000-0005-0000-0000-000093740000}"/>
    <cellStyle name="Normal 2 48 3" xfId="30015" xr:uid="{00000000-0005-0000-0000-000094740000}"/>
    <cellStyle name="Normal 2 48 3 2" xfId="30016" xr:uid="{00000000-0005-0000-0000-000095740000}"/>
    <cellStyle name="Normal 2 48 3 3" xfId="30017" xr:uid="{00000000-0005-0000-0000-000096740000}"/>
    <cellStyle name="Normal 2 48 4" xfId="30018" xr:uid="{00000000-0005-0000-0000-000097740000}"/>
    <cellStyle name="Normal 2 49" xfId="30019" xr:uid="{00000000-0005-0000-0000-000098740000}"/>
    <cellStyle name="Normal 2 49 2" xfId="30020" xr:uid="{00000000-0005-0000-0000-000099740000}"/>
    <cellStyle name="Normal 2 49 2 2" xfId="30021" xr:uid="{00000000-0005-0000-0000-00009A740000}"/>
    <cellStyle name="Normal 2 49 2 2 2" xfId="30022" xr:uid="{00000000-0005-0000-0000-00009B740000}"/>
    <cellStyle name="Normal 2 49 2 2 3" xfId="30023" xr:uid="{00000000-0005-0000-0000-00009C740000}"/>
    <cellStyle name="Normal 2 49 2 3" xfId="30024" xr:uid="{00000000-0005-0000-0000-00009D740000}"/>
    <cellStyle name="Normal 2 49 2 4" xfId="30025" xr:uid="{00000000-0005-0000-0000-00009E740000}"/>
    <cellStyle name="Normal 2 49 3" xfId="30026" xr:uid="{00000000-0005-0000-0000-00009F740000}"/>
    <cellStyle name="Normal 2 49 3 2" xfId="30027" xr:uid="{00000000-0005-0000-0000-0000A0740000}"/>
    <cellStyle name="Normal 2 49 3 3" xfId="30028" xr:uid="{00000000-0005-0000-0000-0000A1740000}"/>
    <cellStyle name="Normal 2 49 4" xfId="30029" xr:uid="{00000000-0005-0000-0000-0000A2740000}"/>
    <cellStyle name="Normal 2 5" xfId="275" xr:uid="{00000000-0005-0000-0000-0000A3740000}"/>
    <cellStyle name="Normal 2 5 10" xfId="30030" xr:uid="{00000000-0005-0000-0000-0000A4740000}"/>
    <cellStyle name="Normal 2 5 10 2" xfId="30031" xr:uid="{00000000-0005-0000-0000-0000A5740000}"/>
    <cellStyle name="Normal 2 5 10 2 2" xfId="30032" xr:uid="{00000000-0005-0000-0000-0000A6740000}"/>
    <cellStyle name="Normal 2 5 10 2 2 2" xfId="30033" xr:uid="{00000000-0005-0000-0000-0000A7740000}"/>
    <cellStyle name="Normal 2 5 10 2 2 3" xfId="30034" xr:uid="{00000000-0005-0000-0000-0000A8740000}"/>
    <cellStyle name="Normal 2 5 10 2 3" xfId="30035" xr:uid="{00000000-0005-0000-0000-0000A9740000}"/>
    <cellStyle name="Normal 2 5 10 2 4" xfId="30036" xr:uid="{00000000-0005-0000-0000-0000AA740000}"/>
    <cellStyle name="Normal 2 5 10 3" xfId="30037" xr:uid="{00000000-0005-0000-0000-0000AB740000}"/>
    <cellStyle name="Normal 2 5 10 3 2" xfId="30038" xr:uid="{00000000-0005-0000-0000-0000AC740000}"/>
    <cellStyle name="Normal 2 5 10 3 3" xfId="30039" xr:uid="{00000000-0005-0000-0000-0000AD740000}"/>
    <cellStyle name="Normal 2 5 10 4" xfId="30040" xr:uid="{00000000-0005-0000-0000-0000AE740000}"/>
    <cellStyle name="Normal 2 5 11" xfId="30041" xr:uid="{00000000-0005-0000-0000-0000AF740000}"/>
    <cellStyle name="Normal 2 5 11 2" xfId="30042" xr:uid="{00000000-0005-0000-0000-0000B0740000}"/>
    <cellStyle name="Normal 2 5 11 2 2" xfId="30043" xr:uid="{00000000-0005-0000-0000-0000B1740000}"/>
    <cellStyle name="Normal 2 5 11 2 2 2" xfId="30044" xr:uid="{00000000-0005-0000-0000-0000B2740000}"/>
    <cellStyle name="Normal 2 5 11 2 2 3" xfId="30045" xr:uid="{00000000-0005-0000-0000-0000B3740000}"/>
    <cellStyle name="Normal 2 5 11 2 3" xfId="30046" xr:uid="{00000000-0005-0000-0000-0000B4740000}"/>
    <cellStyle name="Normal 2 5 11 2 4" xfId="30047" xr:uid="{00000000-0005-0000-0000-0000B5740000}"/>
    <cellStyle name="Normal 2 5 11 3" xfId="30048" xr:uid="{00000000-0005-0000-0000-0000B6740000}"/>
    <cellStyle name="Normal 2 5 11 3 2" xfId="30049" xr:uid="{00000000-0005-0000-0000-0000B7740000}"/>
    <cellStyle name="Normal 2 5 11 3 3" xfId="30050" xr:uid="{00000000-0005-0000-0000-0000B8740000}"/>
    <cellStyle name="Normal 2 5 11 4" xfId="30051" xr:uid="{00000000-0005-0000-0000-0000B9740000}"/>
    <cellStyle name="Normal 2 5 12" xfId="30052" xr:uid="{00000000-0005-0000-0000-0000BA740000}"/>
    <cellStyle name="Normal 2 5 12 2" xfId="30053" xr:uid="{00000000-0005-0000-0000-0000BB740000}"/>
    <cellStyle name="Normal 2 5 12 2 2" xfId="30054" xr:uid="{00000000-0005-0000-0000-0000BC740000}"/>
    <cellStyle name="Normal 2 5 12 2 2 2" xfId="30055" xr:uid="{00000000-0005-0000-0000-0000BD740000}"/>
    <cellStyle name="Normal 2 5 12 2 2 3" xfId="30056" xr:uid="{00000000-0005-0000-0000-0000BE740000}"/>
    <cellStyle name="Normal 2 5 12 2 3" xfId="30057" xr:uid="{00000000-0005-0000-0000-0000BF740000}"/>
    <cellStyle name="Normal 2 5 12 2 4" xfId="30058" xr:uid="{00000000-0005-0000-0000-0000C0740000}"/>
    <cellStyle name="Normal 2 5 12 3" xfId="30059" xr:uid="{00000000-0005-0000-0000-0000C1740000}"/>
    <cellStyle name="Normal 2 5 12 3 2" xfId="30060" xr:uid="{00000000-0005-0000-0000-0000C2740000}"/>
    <cellStyle name="Normal 2 5 12 3 3" xfId="30061" xr:uid="{00000000-0005-0000-0000-0000C3740000}"/>
    <cellStyle name="Normal 2 5 12 4" xfId="30062" xr:uid="{00000000-0005-0000-0000-0000C4740000}"/>
    <cellStyle name="Normal 2 5 13" xfId="30063" xr:uid="{00000000-0005-0000-0000-0000C5740000}"/>
    <cellStyle name="Normal 2 5 13 2" xfId="30064" xr:uid="{00000000-0005-0000-0000-0000C6740000}"/>
    <cellStyle name="Normal 2 5 13 2 2" xfId="30065" xr:uid="{00000000-0005-0000-0000-0000C7740000}"/>
    <cellStyle name="Normal 2 5 13 2 2 2" xfId="30066" xr:uid="{00000000-0005-0000-0000-0000C8740000}"/>
    <cellStyle name="Normal 2 5 13 2 2 3" xfId="30067" xr:uid="{00000000-0005-0000-0000-0000C9740000}"/>
    <cellStyle name="Normal 2 5 13 2 3" xfId="30068" xr:uid="{00000000-0005-0000-0000-0000CA740000}"/>
    <cellStyle name="Normal 2 5 13 2 4" xfId="30069" xr:uid="{00000000-0005-0000-0000-0000CB740000}"/>
    <cellStyle name="Normal 2 5 13 3" xfId="30070" xr:uid="{00000000-0005-0000-0000-0000CC740000}"/>
    <cellStyle name="Normal 2 5 13 3 2" xfId="30071" xr:uid="{00000000-0005-0000-0000-0000CD740000}"/>
    <cellStyle name="Normal 2 5 13 3 3" xfId="30072" xr:uid="{00000000-0005-0000-0000-0000CE740000}"/>
    <cellStyle name="Normal 2 5 13 4" xfId="30073" xr:uid="{00000000-0005-0000-0000-0000CF740000}"/>
    <cellStyle name="Normal 2 5 14" xfId="30074" xr:uid="{00000000-0005-0000-0000-0000D0740000}"/>
    <cellStyle name="Normal 2 5 14 2" xfId="30075" xr:uid="{00000000-0005-0000-0000-0000D1740000}"/>
    <cellStyle name="Normal 2 5 14 2 2" xfId="30076" xr:uid="{00000000-0005-0000-0000-0000D2740000}"/>
    <cellStyle name="Normal 2 5 14 2 2 2" xfId="30077" xr:uid="{00000000-0005-0000-0000-0000D3740000}"/>
    <cellStyle name="Normal 2 5 14 2 2 3" xfId="30078" xr:uid="{00000000-0005-0000-0000-0000D4740000}"/>
    <cellStyle name="Normal 2 5 14 2 3" xfId="30079" xr:uid="{00000000-0005-0000-0000-0000D5740000}"/>
    <cellStyle name="Normal 2 5 14 2 4" xfId="30080" xr:uid="{00000000-0005-0000-0000-0000D6740000}"/>
    <cellStyle name="Normal 2 5 14 3" xfId="30081" xr:uid="{00000000-0005-0000-0000-0000D7740000}"/>
    <cellStyle name="Normal 2 5 14 3 2" xfId="30082" xr:uid="{00000000-0005-0000-0000-0000D8740000}"/>
    <cellStyle name="Normal 2 5 14 3 3" xfId="30083" xr:uid="{00000000-0005-0000-0000-0000D9740000}"/>
    <cellStyle name="Normal 2 5 14 4" xfId="30084" xr:uid="{00000000-0005-0000-0000-0000DA740000}"/>
    <cellStyle name="Normal 2 5 15" xfId="30085" xr:uid="{00000000-0005-0000-0000-0000DB740000}"/>
    <cellStyle name="Normal 2 5 15 2" xfId="30086" xr:uid="{00000000-0005-0000-0000-0000DC740000}"/>
    <cellStyle name="Normal 2 5 15 2 2" xfId="30087" xr:uid="{00000000-0005-0000-0000-0000DD740000}"/>
    <cellStyle name="Normal 2 5 15 2 2 2" xfId="30088" xr:uid="{00000000-0005-0000-0000-0000DE740000}"/>
    <cellStyle name="Normal 2 5 15 2 2 3" xfId="30089" xr:uid="{00000000-0005-0000-0000-0000DF740000}"/>
    <cellStyle name="Normal 2 5 15 2 3" xfId="30090" xr:uid="{00000000-0005-0000-0000-0000E0740000}"/>
    <cellStyle name="Normal 2 5 15 2 4" xfId="30091" xr:uid="{00000000-0005-0000-0000-0000E1740000}"/>
    <cellStyle name="Normal 2 5 15 3" xfId="30092" xr:uid="{00000000-0005-0000-0000-0000E2740000}"/>
    <cellStyle name="Normal 2 5 15 3 2" xfId="30093" xr:uid="{00000000-0005-0000-0000-0000E3740000}"/>
    <cellStyle name="Normal 2 5 15 3 3" xfId="30094" xr:uid="{00000000-0005-0000-0000-0000E4740000}"/>
    <cellStyle name="Normal 2 5 15 4" xfId="30095" xr:uid="{00000000-0005-0000-0000-0000E5740000}"/>
    <cellStyle name="Normal 2 5 16" xfId="30096" xr:uid="{00000000-0005-0000-0000-0000E6740000}"/>
    <cellStyle name="Normal 2 5 16 2" xfId="30097" xr:uid="{00000000-0005-0000-0000-0000E7740000}"/>
    <cellStyle name="Normal 2 5 16 2 2" xfId="30098" xr:uid="{00000000-0005-0000-0000-0000E8740000}"/>
    <cellStyle name="Normal 2 5 16 2 2 2" xfId="30099" xr:uid="{00000000-0005-0000-0000-0000E9740000}"/>
    <cellStyle name="Normal 2 5 16 2 2 3" xfId="30100" xr:uid="{00000000-0005-0000-0000-0000EA740000}"/>
    <cellStyle name="Normal 2 5 16 2 3" xfId="30101" xr:uid="{00000000-0005-0000-0000-0000EB740000}"/>
    <cellStyle name="Normal 2 5 16 2 4" xfId="30102" xr:uid="{00000000-0005-0000-0000-0000EC740000}"/>
    <cellStyle name="Normal 2 5 16 3" xfId="30103" xr:uid="{00000000-0005-0000-0000-0000ED740000}"/>
    <cellStyle name="Normal 2 5 16 3 2" xfId="30104" xr:uid="{00000000-0005-0000-0000-0000EE740000}"/>
    <cellStyle name="Normal 2 5 16 3 3" xfId="30105" xr:uid="{00000000-0005-0000-0000-0000EF740000}"/>
    <cellStyle name="Normal 2 5 16 4" xfId="30106" xr:uid="{00000000-0005-0000-0000-0000F0740000}"/>
    <cellStyle name="Normal 2 5 17" xfId="30107" xr:uid="{00000000-0005-0000-0000-0000F1740000}"/>
    <cellStyle name="Normal 2 5 17 2" xfId="30108" xr:uid="{00000000-0005-0000-0000-0000F2740000}"/>
    <cellStyle name="Normal 2 5 17 2 2" xfId="30109" xr:uid="{00000000-0005-0000-0000-0000F3740000}"/>
    <cellStyle name="Normal 2 5 17 2 2 2" xfId="30110" xr:uid="{00000000-0005-0000-0000-0000F4740000}"/>
    <cellStyle name="Normal 2 5 17 2 2 3" xfId="30111" xr:uid="{00000000-0005-0000-0000-0000F5740000}"/>
    <cellStyle name="Normal 2 5 17 2 3" xfId="30112" xr:uid="{00000000-0005-0000-0000-0000F6740000}"/>
    <cellStyle name="Normal 2 5 17 2 4" xfId="30113" xr:uid="{00000000-0005-0000-0000-0000F7740000}"/>
    <cellStyle name="Normal 2 5 17 3" xfId="30114" xr:uid="{00000000-0005-0000-0000-0000F8740000}"/>
    <cellStyle name="Normal 2 5 17 3 2" xfId="30115" xr:uid="{00000000-0005-0000-0000-0000F9740000}"/>
    <cellStyle name="Normal 2 5 17 3 3" xfId="30116" xr:uid="{00000000-0005-0000-0000-0000FA740000}"/>
    <cellStyle name="Normal 2 5 17 4" xfId="30117" xr:uid="{00000000-0005-0000-0000-0000FB740000}"/>
    <cellStyle name="Normal 2 5 18" xfId="30118" xr:uid="{00000000-0005-0000-0000-0000FC740000}"/>
    <cellStyle name="Normal 2 5 18 2" xfId="30119" xr:uid="{00000000-0005-0000-0000-0000FD740000}"/>
    <cellStyle name="Normal 2 5 18 2 2" xfId="30120" xr:uid="{00000000-0005-0000-0000-0000FE740000}"/>
    <cellStyle name="Normal 2 5 18 2 2 2" xfId="30121" xr:uid="{00000000-0005-0000-0000-0000FF740000}"/>
    <cellStyle name="Normal 2 5 18 2 2 3" xfId="30122" xr:uid="{00000000-0005-0000-0000-000000750000}"/>
    <cellStyle name="Normal 2 5 18 2 3" xfId="30123" xr:uid="{00000000-0005-0000-0000-000001750000}"/>
    <cellStyle name="Normal 2 5 18 2 4" xfId="30124" xr:uid="{00000000-0005-0000-0000-000002750000}"/>
    <cellStyle name="Normal 2 5 18 3" xfId="30125" xr:uid="{00000000-0005-0000-0000-000003750000}"/>
    <cellStyle name="Normal 2 5 18 3 2" xfId="30126" xr:uid="{00000000-0005-0000-0000-000004750000}"/>
    <cellStyle name="Normal 2 5 18 3 3" xfId="30127" xr:uid="{00000000-0005-0000-0000-000005750000}"/>
    <cellStyle name="Normal 2 5 18 4" xfId="30128" xr:uid="{00000000-0005-0000-0000-000006750000}"/>
    <cellStyle name="Normal 2 5 19" xfId="30129" xr:uid="{00000000-0005-0000-0000-000007750000}"/>
    <cellStyle name="Normal 2 5 19 2" xfId="30130" xr:uid="{00000000-0005-0000-0000-000008750000}"/>
    <cellStyle name="Normal 2 5 19 2 2" xfId="30131" xr:uid="{00000000-0005-0000-0000-000009750000}"/>
    <cellStyle name="Normal 2 5 19 2 2 2" xfId="30132" xr:uid="{00000000-0005-0000-0000-00000A750000}"/>
    <cellStyle name="Normal 2 5 19 2 2 3" xfId="30133" xr:uid="{00000000-0005-0000-0000-00000B750000}"/>
    <cellStyle name="Normal 2 5 19 2 3" xfId="30134" xr:uid="{00000000-0005-0000-0000-00000C750000}"/>
    <cellStyle name="Normal 2 5 19 2 4" xfId="30135" xr:uid="{00000000-0005-0000-0000-00000D750000}"/>
    <cellStyle name="Normal 2 5 19 3" xfId="30136" xr:uid="{00000000-0005-0000-0000-00000E750000}"/>
    <cellStyle name="Normal 2 5 19 3 2" xfId="30137" xr:uid="{00000000-0005-0000-0000-00000F750000}"/>
    <cellStyle name="Normal 2 5 19 3 3" xfId="30138" xr:uid="{00000000-0005-0000-0000-000010750000}"/>
    <cellStyle name="Normal 2 5 19 4" xfId="30139" xr:uid="{00000000-0005-0000-0000-000011750000}"/>
    <cellStyle name="Normal 2 5 2" xfId="276" xr:uid="{00000000-0005-0000-0000-000012750000}"/>
    <cellStyle name="Normal 2 5 2 10" xfId="30140" xr:uid="{00000000-0005-0000-0000-000013750000}"/>
    <cellStyle name="Normal 2 5 2 10 2" xfId="30141" xr:uid="{00000000-0005-0000-0000-000014750000}"/>
    <cellStyle name="Normal 2 5 2 10 2 2" xfId="30142" xr:uid="{00000000-0005-0000-0000-000015750000}"/>
    <cellStyle name="Normal 2 5 2 10 2 2 2" xfId="30143" xr:uid="{00000000-0005-0000-0000-000016750000}"/>
    <cellStyle name="Normal 2 5 2 10 2 2 3" xfId="30144" xr:uid="{00000000-0005-0000-0000-000017750000}"/>
    <cellStyle name="Normal 2 5 2 10 2 3" xfId="30145" xr:uid="{00000000-0005-0000-0000-000018750000}"/>
    <cellStyle name="Normal 2 5 2 10 2 4" xfId="30146" xr:uid="{00000000-0005-0000-0000-000019750000}"/>
    <cellStyle name="Normal 2 5 2 10 3" xfId="30147" xr:uid="{00000000-0005-0000-0000-00001A750000}"/>
    <cellStyle name="Normal 2 5 2 10 3 2" xfId="30148" xr:uid="{00000000-0005-0000-0000-00001B750000}"/>
    <cellStyle name="Normal 2 5 2 10 3 3" xfId="30149" xr:uid="{00000000-0005-0000-0000-00001C750000}"/>
    <cellStyle name="Normal 2 5 2 10 4" xfId="30150" xr:uid="{00000000-0005-0000-0000-00001D750000}"/>
    <cellStyle name="Normal 2 5 2 11" xfId="30151" xr:uid="{00000000-0005-0000-0000-00001E750000}"/>
    <cellStyle name="Normal 2 5 2 11 2" xfId="30152" xr:uid="{00000000-0005-0000-0000-00001F750000}"/>
    <cellStyle name="Normal 2 5 2 11 2 2" xfId="30153" xr:uid="{00000000-0005-0000-0000-000020750000}"/>
    <cellStyle name="Normal 2 5 2 11 2 2 2" xfId="30154" xr:uid="{00000000-0005-0000-0000-000021750000}"/>
    <cellStyle name="Normal 2 5 2 11 2 2 3" xfId="30155" xr:uid="{00000000-0005-0000-0000-000022750000}"/>
    <cellStyle name="Normal 2 5 2 11 2 3" xfId="30156" xr:uid="{00000000-0005-0000-0000-000023750000}"/>
    <cellStyle name="Normal 2 5 2 11 2 4" xfId="30157" xr:uid="{00000000-0005-0000-0000-000024750000}"/>
    <cellStyle name="Normal 2 5 2 11 3" xfId="30158" xr:uid="{00000000-0005-0000-0000-000025750000}"/>
    <cellStyle name="Normal 2 5 2 11 3 2" xfId="30159" xr:uid="{00000000-0005-0000-0000-000026750000}"/>
    <cellStyle name="Normal 2 5 2 11 3 3" xfId="30160" xr:uid="{00000000-0005-0000-0000-000027750000}"/>
    <cellStyle name="Normal 2 5 2 11 4" xfId="30161" xr:uid="{00000000-0005-0000-0000-000028750000}"/>
    <cellStyle name="Normal 2 5 2 12" xfId="30162" xr:uid="{00000000-0005-0000-0000-000029750000}"/>
    <cellStyle name="Normal 2 5 2 12 2" xfId="30163" xr:uid="{00000000-0005-0000-0000-00002A750000}"/>
    <cellStyle name="Normal 2 5 2 12 2 2" xfId="30164" xr:uid="{00000000-0005-0000-0000-00002B750000}"/>
    <cellStyle name="Normal 2 5 2 12 2 2 2" xfId="30165" xr:uid="{00000000-0005-0000-0000-00002C750000}"/>
    <cellStyle name="Normal 2 5 2 12 2 2 3" xfId="30166" xr:uid="{00000000-0005-0000-0000-00002D750000}"/>
    <cellStyle name="Normal 2 5 2 12 2 3" xfId="30167" xr:uid="{00000000-0005-0000-0000-00002E750000}"/>
    <cellStyle name="Normal 2 5 2 12 2 4" xfId="30168" xr:uid="{00000000-0005-0000-0000-00002F750000}"/>
    <cellStyle name="Normal 2 5 2 12 3" xfId="30169" xr:uid="{00000000-0005-0000-0000-000030750000}"/>
    <cellStyle name="Normal 2 5 2 12 3 2" xfId="30170" xr:uid="{00000000-0005-0000-0000-000031750000}"/>
    <cellStyle name="Normal 2 5 2 12 3 3" xfId="30171" xr:uid="{00000000-0005-0000-0000-000032750000}"/>
    <cellStyle name="Normal 2 5 2 12 4" xfId="30172" xr:uid="{00000000-0005-0000-0000-000033750000}"/>
    <cellStyle name="Normal 2 5 2 13" xfId="30173" xr:uid="{00000000-0005-0000-0000-000034750000}"/>
    <cellStyle name="Normal 2 5 2 13 2" xfId="30174" xr:uid="{00000000-0005-0000-0000-000035750000}"/>
    <cellStyle name="Normal 2 5 2 13 2 2" xfId="30175" xr:uid="{00000000-0005-0000-0000-000036750000}"/>
    <cellStyle name="Normal 2 5 2 13 2 2 2" xfId="30176" xr:uid="{00000000-0005-0000-0000-000037750000}"/>
    <cellStyle name="Normal 2 5 2 13 2 2 3" xfId="30177" xr:uid="{00000000-0005-0000-0000-000038750000}"/>
    <cellStyle name="Normal 2 5 2 13 2 3" xfId="30178" xr:uid="{00000000-0005-0000-0000-000039750000}"/>
    <cellStyle name="Normal 2 5 2 13 2 4" xfId="30179" xr:uid="{00000000-0005-0000-0000-00003A750000}"/>
    <cellStyle name="Normal 2 5 2 13 3" xfId="30180" xr:uid="{00000000-0005-0000-0000-00003B750000}"/>
    <cellStyle name="Normal 2 5 2 13 3 2" xfId="30181" xr:uid="{00000000-0005-0000-0000-00003C750000}"/>
    <cellStyle name="Normal 2 5 2 13 3 3" xfId="30182" xr:uid="{00000000-0005-0000-0000-00003D750000}"/>
    <cellStyle name="Normal 2 5 2 13 4" xfId="30183" xr:uid="{00000000-0005-0000-0000-00003E750000}"/>
    <cellStyle name="Normal 2 5 2 14" xfId="30184" xr:uid="{00000000-0005-0000-0000-00003F750000}"/>
    <cellStyle name="Normal 2 5 2 14 2" xfId="30185" xr:uid="{00000000-0005-0000-0000-000040750000}"/>
    <cellStyle name="Normal 2 5 2 14 2 2" xfId="30186" xr:uid="{00000000-0005-0000-0000-000041750000}"/>
    <cellStyle name="Normal 2 5 2 14 2 2 2" xfId="30187" xr:uid="{00000000-0005-0000-0000-000042750000}"/>
    <cellStyle name="Normal 2 5 2 14 2 2 3" xfId="30188" xr:uid="{00000000-0005-0000-0000-000043750000}"/>
    <cellStyle name="Normal 2 5 2 14 2 3" xfId="30189" xr:uid="{00000000-0005-0000-0000-000044750000}"/>
    <cellStyle name="Normal 2 5 2 14 2 4" xfId="30190" xr:uid="{00000000-0005-0000-0000-000045750000}"/>
    <cellStyle name="Normal 2 5 2 14 3" xfId="30191" xr:uid="{00000000-0005-0000-0000-000046750000}"/>
    <cellStyle name="Normal 2 5 2 14 3 2" xfId="30192" xr:uid="{00000000-0005-0000-0000-000047750000}"/>
    <cellStyle name="Normal 2 5 2 14 3 3" xfId="30193" xr:uid="{00000000-0005-0000-0000-000048750000}"/>
    <cellStyle name="Normal 2 5 2 14 4" xfId="30194" xr:uid="{00000000-0005-0000-0000-000049750000}"/>
    <cellStyle name="Normal 2 5 2 15" xfId="30195" xr:uid="{00000000-0005-0000-0000-00004A750000}"/>
    <cellStyle name="Normal 2 5 2 15 2" xfId="30196" xr:uid="{00000000-0005-0000-0000-00004B750000}"/>
    <cellStyle name="Normal 2 5 2 15 2 2" xfId="30197" xr:uid="{00000000-0005-0000-0000-00004C750000}"/>
    <cellStyle name="Normal 2 5 2 15 2 2 2" xfId="30198" xr:uid="{00000000-0005-0000-0000-00004D750000}"/>
    <cellStyle name="Normal 2 5 2 15 2 2 3" xfId="30199" xr:uid="{00000000-0005-0000-0000-00004E750000}"/>
    <cellStyle name="Normal 2 5 2 15 2 3" xfId="30200" xr:uid="{00000000-0005-0000-0000-00004F750000}"/>
    <cellStyle name="Normal 2 5 2 15 2 4" xfId="30201" xr:uid="{00000000-0005-0000-0000-000050750000}"/>
    <cellStyle name="Normal 2 5 2 15 3" xfId="30202" xr:uid="{00000000-0005-0000-0000-000051750000}"/>
    <cellStyle name="Normal 2 5 2 15 3 2" xfId="30203" xr:uid="{00000000-0005-0000-0000-000052750000}"/>
    <cellStyle name="Normal 2 5 2 15 3 3" xfId="30204" xr:uid="{00000000-0005-0000-0000-000053750000}"/>
    <cellStyle name="Normal 2 5 2 15 4" xfId="30205" xr:uid="{00000000-0005-0000-0000-000054750000}"/>
    <cellStyle name="Normal 2 5 2 16" xfId="30206" xr:uid="{00000000-0005-0000-0000-000055750000}"/>
    <cellStyle name="Normal 2 5 2 16 2" xfId="30207" xr:uid="{00000000-0005-0000-0000-000056750000}"/>
    <cellStyle name="Normal 2 5 2 16 2 2" xfId="30208" xr:uid="{00000000-0005-0000-0000-000057750000}"/>
    <cellStyle name="Normal 2 5 2 16 2 2 2" xfId="30209" xr:uid="{00000000-0005-0000-0000-000058750000}"/>
    <cellStyle name="Normal 2 5 2 16 2 2 3" xfId="30210" xr:uid="{00000000-0005-0000-0000-000059750000}"/>
    <cellStyle name="Normal 2 5 2 16 2 3" xfId="30211" xr:uid="{00000000-0005-0000-0000-00005A750000}"/>
    <cellStyle name="Normal 2 5 2 16 2 4" xfId="30212" xr:uid="{00000000-0005-0000-0000-00005B750000}"/>
    <cellStyle name="Normal 2 5 2 16 3" xfId="30213" xr:uid="{00000000-0005-0000-0000-00005C750000}"/>
    <cellStyle name="Normal 2 5 2 16 3 2" xfId="30214" xr:uid="{00000000-0005-0000-0000-00005D750000}"/>
    <cellStyle name="Normal 2 5 2 16 3 3" xfId="30215" xr:uid="{00000000-0005-0000-0000-00005E750000}"/>
    <cellStyle name="Normal 2 5 2 16 4" xfId="30216" xr:uid="{00000000-0005-0000-0000-00005F750000}"/>
    <cellStyle name="Normal 2 5 2 17" xfId="30217" xr:uid="{00000000-0005-0000-0000-000060750000}"/>
    <cellStyle name="Normal 2 5 2 17 2" xfId="30218" xr:uid="{00000000-0005-0000-0000-000061750000}"/>
    <cellStyle name="Normal 2 5 2 17 2 2" xfId="30219" xr:uid="{00000000-0005-0000-0000-000062750000}"/>
    <cellStyle name="Normal 2 5 2 17 2 2 2" xfId="30220" xr:uid="{00000000-0005-0000-0000-000063750000}"/>
    <cellStyle name="Normal 2 5 2 17 2 2 3" xfId="30221" xr:uid="{00000000-0005-0000-0000-000064750000}"/>
    <cellStyle name="Normal 2 5 2 17 2 3" xfId="30222" xr:uid="{00000000-0005-0000-0000-000065750000}"/>
    <cellStyle name="Normal 2 5 2 17 2 4" xfId="30223" xr:uid="{00000000-0005-0000-0000-000066750000}"/>
    <cellStyle name="Normal 2 5 2 17 3" xfId="30224" xr:uid="{00000000-0005-0000-0000-000067750000}"/>
    <cellStyle name="Normal 2 5 2 17 3 2" xfId="30225" xr:uid="{00000000-0005-0000-0000-000068750000}"/>
    <cellStyle name="Normal 2 5 2 17 3 3" xfId="30226" xr:uid="{00000000-0005-0000-0000-000069750000}"/>
    <cellStyle name="Normal 2 5 2 17 4" xfId="30227" xr:uid="{00000000-0005-0000-0000-00006A750000}"/>
    <cellStyle name="Normal 2 5 2 18" xfId="30228" xr:uid="{00000000-0005-0000-0000-00006B750000}"/>
    <cellStyle name="Normal 2 5 2 18 2" xfId="30229" xr:uid="{00000000-0005-0000-0000-00006C750000}"/>
    <cellStyle name="Normal 2 5 2 18 2 2" xfId="30230" xr:uid="{00000000-0005-0000-0000-00006D750000}"/>
    <cellStyle name="Normal 2 5 2 18 2 2 2" xfId="30231" xr:uid="{00000000-0005-0000-0000-00006E750000}"/>
    <cellStyle name="Normal 2 5 2 18 2 2 3" xfId="30232" xr:uid="{00000000-0005-0000-0000-00006F750000}"/>
    <cellStyle name="Normal 2 5 2 18 2 3" xfId="30233" xr:uid="{00000000-0005-0000-0000-000070750000}"/>
    <cellStyle name="Normal 2 5 2 18 2 4" xfId="30234" xr:uid="{00000000-0005-0000-0000-000071750000}"/>
    <cellStyle name="Normal 2 5 2 18 3" xfId="30235" xr:uid="{00000000-0005-0000-0000-000072750000}"/>
    <cellStyle name="Normal 2 5 2 18 3 2" xfId="30236" xr:uid="{00000000-0005-0000-0000-000073750000}"/>
    <cellStyle name="Normal 2 5 2 18 3 3" xfId="30237" xr:uid="{00000000-0005-0000-0000-000074750000}"/>
    <cellStyle name="Normal 2 5 2 18 4" xfId="30238" xr:uid="{00000000-0005-0000-0000-000075750000}"/>
    <cellStyle name="Normal 2 5 2 19" xfId="30239" xr:uid="{00000000-0005-0000-0000-000076750000}"/>
    <cellStyle name="Normal 2 5 2 19 2" xfId="30240" xr:uid="{00000000-0005-0000-0000-000077750000}"/>
    <cellStyle name="Normal 2 5 2 19 2 2" xfId="30241" xr:uid="{00000000-0005-0000-0000-000078750000}"/>
    <cellStyle name="Normal 2 5 2 19 2 2 2" xfId="30242" xr:uid="{00000000-0005-0000-0000-000079750000}"/>
    <cellStyle name="Normal 2 5 2 19 2 2 3" xfId="30243" xr:uid="{00000000-0005-0000-0000-00007A750000}"/>
    <cellStyle name="Normal 2 5 2 19 2 3" xfId="30244" xr:uid="{00000000-0005-0000-0000-00007B750000}"/>
    <cellStyle name="Normal 2 5 2 19 2 4" xfId="30245" xr:uid="{00000000-0005-0000-0000-00007C750000}"/>
    <cellStyle name="Normal 2 5 2 19 3" xfId="30246" xr:uid="{00000000-0005-0000-0000-00007D750000}"/>
    <cellStyle name="Normal 2 5 2 19 3 2" xfId="30247" xr:uid="{00000000-0005-0000-0000-00007E750000}"/>
    <cellStyle name="Normal 2 5 2 19 3 3" xfId="30248" xr:uid="{00000000-0005-0000-0000-00007F750000}"/>
    <cellStyle name="Normal 2 5 2 19 4" xfId="30249" xr:uid="{00000000-0005-0000-0000-000080750000}"/>
    <cellStyle name="Normal 2 5 2 2" xfId="30250" xr:uid="{00000000-0005-0000-0000-000081750000}"/>
    <cellStyle name="Normal 2 5 2 2 10" xfId="30251" xr:uid="{00000000-0005-0000-0000-000082750000}"/>
    <cellStyle name="Normal 2 5 2 2 10 2" xfId="30252" xr:uid="{00000000-0005-0000-0000-000083750000}"/>
    <cellStyle name="Normal 2 5 2 2 10 2 2" xfId="30253" xr:uid="{00000000-0005-0000-0000-000084750000}"/>
    <cellStyle name="Normal 2 5 2 2 10 2 2 2" xfId="30254" xr:uid="{00000000-0005-0000-0000-000085750000}"/>
    <cellStyle name="Normal 2 5 2 2 10 2 2 3" xfId="30255" xr:uid="{00000000-0005-0000-0000-000086750000}"/>
    <cellStyle name="Normal 2 5 2 2 10 2 3" xfId="30256" xr:uid="{00000000-0005-0000-0000-000087750000}"/>
    <cellStyle name="Normal 2 5 2 2 10 2 4" xfId="30257" xr:uid="{00000000-0005-0000-0000-000088750000}"/>
    <cellStyle name="Normal 2 5 2 2 10 3" xfId="30258" xr:uid="{00000000-0005-0000-0000-000089750000}"/>
    <cellStyle name="Normal 2 5 2 2 10 3 2" xfId="30259" xr:uid="{00000000-0005-0000-0000-00008A750000}"/>
    <cellStyle name="Normal 2 5 2 2 10 3 3" xfId="30260" xr:uid="{00000000-0005-0000-0000-00008B750000}"/>
    <cellStyle name="Normal 2 5 2 2 10 4" xfId="30261" xr:uid="{00000000-0005-0000-0000-00008C750000}"/>
    <cellStyle name="Normal 2 5 2 2 11" xfId="30262" xr:uid="{00000000-0005-0000-0000-00008D750000}"/>
    <cellStyle name="Normal 2 5 2 2 11 2" xfId="30263" xr:uid="{00000000-0005-0000-0000-00008E750000}"/>
    <cellStyle name="Normal 2 5 2 2 11 2 2" xfId="30264" xr:uid="{00000000-0005-0000-0000-00008F750000}"/>
    <cellStyle name="Normal 2 5 2 2 11 2 2 2" xfId="30265" xr:uid="{00000000-0005-0000-0000-000090750000}"/>
    <cellStyle name="Normal 2 5 2 2 11 2 2 3" xfId="30266" xr:uid="{00000000-0005-0000-0000-000091750000}"/>
    <cellStyle name="Normal 2 5 2 2 11 2 3" xfId="30267" xr:uid="{00000000-0005-0000-0000-000092750000}"/>
    <cellStyle name="Normal 2 5 2 2 11 2 4" xfId="30268" xr:uid="{00000000-0005-0000-0000-000093750000}"/>
    <cellStyle name="Normal 2 5 2 2 11 3" xfId="30269" xr:uid="{00000000-0005-0000-0000-000094750000}"/>
    <cellStyle name="Normal 2 5 2 2 11 3 2" xfId="30270" xr:uid="{00000000-0005-0000-0000-000095750000}"/>
    <cellStyle name="Normal 2 5 2 2 11 3 3" xfId="30271" xr:uid="{00000000-0005-0000-0000-000096750000}"/>
    <cellStyle name="Normal 2 5 2 2 11 4" xfId="30272" xr:uid="{00000000-0005-0000-0000-000097750000}"/>
    <cellStyle name="Normal 2 5 2 2 12" xfId="30273" xr:uid="{00000000-0005-0000-0000-000098750000}"/>
    <cellStyle name="Normal 2 5 2 2 12 2" xfId="30274" xr:uid="{00000000-0005-0000-0000-000099750000}"/>
    <cellStyle name="Normal 2 5 2 2 12 2 2" xfId="30275" xr:uid="{00000000-0005-0000-0000-00009A750000}"/>
    <cellStyle name="Normal 2 5 2 2 12 2 2 2" xfId="30276" xr:uid="{00000000-0005-0000-0000-00009B750000}"/>
    <cellStyle name="Normal 2 5 2 2 12 2 2 3" xfId="30277" xr:uid="{00000000-0005-0000-0000-00009C750000}"/>
    <cellStyle name="Normal 2 5 2 2 12 2 3" xfId="30278" xr:uid="{00000000-0005-0000-0000-00009D750000}"/>
    <cellStyle name="Normal 2 5 2 2 12 2 4" xfId="30279" xr:uid="{00000000-0005-0000-0000-00009E750000}"/>
    <cellStyle name="Normal 2 5 2 2 12 3" xfId="30280" xr:uid="{00000000-0005-0000-0000-00009F750000}"/>
    <cellStyle name="Normal 2 5 2 2 12 3 2" xfId="30281" xr:uid="{00000000-0005-0000-0000-0000A0750000}"/>
    <cellStyle name="Normal 2 5 2 2 12 3 3" xfId="30282" xr:uid="{00000000-0005-0000-0000-0000A1750000}"/>
    <cellStyle name="Normal 2 5 2 2 12 4" xfId="30283" xr:uid="{00000000-0005-0000-0000-0000A2750000}"/>
    <cellStyle name="Normal 2 5 2 2 13" xfId="30284" xr:uid="{00000000-0005-0000-0000-0000A3750000}"/>
    <cellStyle name="Normal 2 5 2 2 13 2" xfId="30285" xr:uid="{00000000-0005-0000-0000-0000A4750000}"/>
    <cellStyle name="Normal 2 5 2 2 13 2 2" xfId="30286" xr:uid="{00000000-0005-0000-0000-0000A5750000}"/>
    <cellStyle name="Normal 2 5 2 2 13 2 2 2" xfId="30287" xr:uid="{00000000-0005-0000-0000-0000A6750000}"/>
    <cellStyle name="Normal 2 5 2 2 13 2 2 3" xfId="30288" xr:uid="{00000000-0005-0000-0000-0000A7750000}"/>
    <cellStyle name="Normal 2 5 2 2 13 2 3" xfId="30289" xr:uid="{00000000-0005-0000-0000-0000A8750000}"/>
    <cellStyle name="Normal 2 5 2 2 13 2 4" xfId="30290" xr:uid="{00000000-0005-0000-0000-0000A9750000}"/>
    <cellStyle name="Normal 2 5 2 2 13 3" xfId="30291" xr:uid="{00000000-0005-0000-0000-0000AA750000}"/>
    <cellStyle name="Normal 2 5 2 2 13 3 2" xfId="30292" xr:uid="{00000000-0005-0000-0000-0000AB750000}"/>
    <cellStyle name="Normal 2 5 2 2 13 3 3" xfId="30293" xr:uid="{00000000-0005-0000-0000-0000AC750000}"/>
    <cellStyle name="Normal 2 5 2 2 13 4" xfId="30294" xr:uid="{00000000-0005-0000-0000-0000AD750000}"/>
    <cellStyle name="Normal 2 5 2 2 14" xfId="30295" xr:uid="{00000000-0005-0000-0000-0000AE750000}"/>
    <cellStyle name="Normal 2 5 2 2 14 2" xfId="30296" xr:uid="{00000000-0005-0000-0000-0000AF750000}"/>
    <cellStyle name="Normal 2 5 2 2 14 2 2" xfId="30297" xr:uid="{00000000-0005-0000-0000-0000B0750000}"/>
    <cellStyle name="Normal 2 5 2 2 14 2 2 2" xfId="30298" xr:uid="{00000000-0005-0000-0000-0000B1750000}"/>
    <cellStyle name="Normal 2 5 2 2 14 2 2 3" xfId="30299" xr:uid="{00000000-0005-0000-0000-0000B2750000}"/>
    <cellStyle name="Normal 2 5 2 2 14 2 3" xfId="30300" xr:uid="{00000000-0005-0000-0000-0000B3750000}"/>
    <cellStyle name="Normal 2 5 2 2 14 2 4" xfId="30301" xr:uid="{00000000-0005-0000-0000-0000B4750000}"/>
    <cellStyle name="Normal 2 5 2 2 14 3" xfId="30302" xr:uid="{00000000-0005-0000-0000-0000B5750000}"/>
    <cellStyle name="Normal 2 5 2 2 14 3 2" xfId="30303" xr:uid="{00000000-0005-0000-0000-0000B6750000}"/>
    <cellStyle name="Normal 2 5 2 2 14 3 3" xfId="30304" xr:uid="{00000000-0005-0000-0000-0000B7750000}"/>
    <cellStyle name="Normal 2 5 2 2 14 4" xfId="30305" xr:uid="{00000000-0005-0000-0000-0000B8750000}"/>
    <cellStyle name="Normal 2 5 2 2 15" xfId="30306" xr:uid="{00000000-0005-0000-0000-0000B9750000}"/>
    <cellStyle name="Normal 2 5 2 2 15 2" xfId="30307" xr:uid="{00000000-0005-0000-0000-0000BA750000}"/>
    <cellStyle name="Normal 2 5 2 2 15 2 2" xfId="30308" xr:uid="{00000000-0005-0000-0000-0000BB750000}"/>
    <cellStyle name="Normal 2 5 2 2 15 2 2 2" xfId="30309" xr:uid="{00000000-0005-0000-0000-0000BC750000}"/>
    <cellStyle name="Normal 2 5 2 2 15 2 2 3" xfId="30310" xr:uid="{00000000-0005-0000-0000-0000BD750000}"/>
    <cellStyle name="Normal 2 5 2 2 15 2 3" xfId="30311" xr:uid="{00000000-0005-0000-0000-0000BE750000}"/>
    <cellStyle name="Normal 2 5 2 2 15 2 4" xfId="30312" xr:uid="{00000000-0005-0000-0000-0000BF750000}"/>
    <cellStyle name="Normal 2 5 2 2 15 3" xfId="30313" xr:uid="{00000000-0005-0000-0000-0000C0750000}"/>
    <cellStyle name="Normal 2 5 2 2 15 3 2" xfId="30314" xr:uid="{00000000-0005-0000-0000-0000C1750000}"/>
    <cellStyle name="Normal 2 5 2 2 15 3 3" xfId="30315" xr:uid="{00000000-0005-0000-0000-0000C2750000}"/>
    <cellStyle name="Normal 2 5 2 2 15 4" xfId="30316" xr:uid="{00000000-0005-0000-0000-0000C3750000}"/>
    <cellStyle name="Normal 2 5 2 2 16" xfId="30317" xr:uid="{00000000-0005-0000-0000-0000C4750000}"/>
    <cellStyle name="Normal 2 5 2 2 16 2" xfId="30318" xr:uid="{00000000-0005-0000-0000-0000C5750000}"/>
    <cellStyle name="Normal 2 5 2 2 16 2 2" xfId="30319" xr:uid="{00000000-0005-0000-0000-0000C6750000}"/>
    <cellStyle name="Normal 2 5 2 2 16 2 2 2" xfId="30320" xr:uid="{00000000-0005-0000-0000-0000C7750000}"/>
    <cellStyle name="Normal 2 5 2 2 16 2 2 3" xfId="30321" xr:uid="{00000000-0005-0000-0000-0000C8750000}"/>
    <cellStyle name="Normal 2 5 2 2 16 2 3" xfId="30322" xr:uid="{00000000-0005-0000-0000-0000C9750000}"/>
    <cellStyle name="Normal 2 5 2 2 16 2 4" xfId="30323" xr:uid="{00000000-0005-0000-0000-0000CA750000}"/>
    <cellStyle name="Normal 2 5 2 2 16 3" xfId="30324" xr:uid="{00000000-0005-0000-0000-0000CB750000}"/>
    <cellStyle name="Normal 2 5 2 2 16 3 2" xfId="30325" xr:uid="{00000000-0005-0000-0000-0000CC750000}"/>
    <cellStyle name="Normal 2 5 2 2 16 3 3" xfId="30326" xr:uid="{00000000-0005-0000-0000-0000CD750000}"/>
    <cellStyle name="Normal 2 5 2 2 16 4" xfId="30327" xr:uid="{00000000-0005-0000-0000-0000CE750000}"/>
    <cellStyle name="Normal 2 5 2 2 17" xfId="30328" xr:uid="{00000000-0005-0000-0000-0000CF750000}"/>
    <cellStyle name="Normal 2 5 2 2 17 2" xfId="30329" xr:uid="{00000000-0005-0000-0000-0000D0750000}"/>
    <cellStyle name="Normal 2 5 2 2 17 2 2" xfId="30330" xr:uid="{00000000-0005-0000-0000-0000D1750000}"/>
    <cellStyle name="Normal 2 5 2 2 17 2 2 2" xfId="30331" xr:uid="{00000000-0005-0000-0000-0000D2750000}"/>
    <cellStyle name="Normal 2 5 2 2 17 2 2 3" xfId="30332" xr:uid="{00000000-0005-0000-0000-0000D3750000}"/>
    <cellStyle name="Normal 2 5 2 2 17 2 3" xfId="30333" xr:uid="{00000000-0005-0000-0000-0000D4750000}"/>
    <cellStyle name="Normal 2 5 2 2 17 2 4" xfId="30334" xr:uid="{00000000-0005-0000-0000-0000D5750000}"/>
    <cellStyle name="Normal 2 5 2 2 17 3" xfId="30335" xr:uid="{00000000-0005-0000-0000-0000D6750000}"/>
    <cellStyle name="Normal 2 5 2 2 17 3 2" xfId="30336" xr:uid="{00000000-0005-0000-0000-0000D7750000}"/>
    <cellStyle name="Normal 2 5 2 2 17 3 3" xfId="30337" xr:uid="{00000000-0005-0000-0000-0000D8750000}"/>
    <cellStyle name="Normal 2 5 2 2 17 4" xfId="30338" xr:uid="{00000000-0005-0000-0000-0000D9750000}"/>
    <cellStyle name="Normal 2 5 2 2 18" xfId="30339" xr:uid="{00000000-0005-0000-0000-0000DA750000}"/>
    <cellStyle name="Normal 2 5 2 2 18 2" xfId="30340" xr:uid="{00000000-0005-0000-0000-0000DB750000}"/>
    <cellStyle name="Normal 2 5 2 2 18 2 2" xfId="30341" xr:uid="{00000000-0005-0000-0000-0000DC750000}"/>
    <cellStyle name="Normal 2 5 2 2 18 2 2 2" xfId="30342" xr:uid="{00000000-0005-0000-0000-0000DD750000}"/>
    <cellStyle name="Normal 2 5 2 2 18 2 2 3" xfId="30343" xr:uid="{00000000-0005-0000-0000-0000DE750000}"/>
    <cellStyle name="Normal 2 5 2 2 18 2 3" xfId="30344" xr:uid="{00000000-0005-0000-0000-0000DF750000}"/>
    <cellStyle name="Normal 2 5 2 2 18 2 4" xfId="30345" xr:uid="{00000000-0005-0000-0000-0000E0750000}"/>
    <cellStyle name="Normal 2 5 2 2 18 3" xfId="30346" xr:uid="{00000000-0005-0000-0000-0000E1750000}"/>
    <cellStyle name="Normal 2 5 2 2 18 3 2" xfId="30347" xr:uid="{00000000-0005-0000-0000-0000E2750000}"/>
    <cellStyle name="Normal 2 5 2 2 18 3 3" xfId="30348" xr:uid="{00000000-0005-0000-0000-0000E3750000}"/>
    <cellStyle name="Normal 2 5 2 2 18 4" xfId="30349" xr:uid="{00000000-0005-0000-0000-0000E4750000}"/>
    <cellStyle name="Normal 2 5 2 2 19" xfId="30350" xr:uid="{00000000-0005-0000-0000-0000E5750000}"/>
    <cellStyle name="Normal 2 5 2 2 19 2" xfId="30351" xr:uid="{00000000-0005-0000-0000-0000E6750000}"/>
    <cellStyle name="Normal 2 5 2 2 19 2 2" xfId="30352" xr:uid="{00000000-0005-0000-0000-0000E7750000}"/>
    <cellStyle name="Normal 2 5 2 2 19 2 2 2" xfId="30353" xr:uid="{00000000-0005-0000-0000-0000E8750000}"/>
    <cellStyle name="Normal 2 5 2 2 19 2 2 3" xfId="30354" xr:uid="{00000000-0005-0000-0000-0000E9750000}"/>
    <cellStyle name="Normal 2 5 2 2 19 2 3" xfId="30355" xr:uid="{00000000-0005-0000-0000-0000EA750000}"/>
    <cellStyle name="Normal 2 5 2 2 19 2 4" xfId="30356" xr:uid="{00000000-0005-0000-0000-0000EB750000}"/>
    <cellStyle name="Normal 2 5 2 2 19 3" xfId="30357" xr:uid="{00000000-0005-0000-0000-0000EC750000}"/>
    <cellStyle name="Normal 2 5 2 2 19 3 2" xfId="30358" xr:uid="{00000000-0005-0000-0000-0000ED750000}"/>
    <cellStyle name="Normal 2 5 2 2 19 3 3" xfId="30359" xr:uid="{00000000-0005-0000-0000-0000EE750000}"/>
    <cellStyle name="Normal 2 5 2 2 19 4" xfId="30360" xr:uid="{00000000-0005-0000-0000-0000EF750000}"/>
    <cellStyle name="Normal 2 5 2 2 2" xfId="30361" xr:uid="{00000000-0005-0000-0000-0000F0750000}"/>
    <cellStyle name="Normal 2 5 2 2 2 2" xfId="30362" xr:uid="{00000000-0005-0000-0000-0000F1750000}"/>
    <cellStyle name="Normal 2 5 2 2 2 2 2" xfId="30363" xr:uid="{00000000-0005-0000-0000-0000F2750000}"/>
    <cellStyle name="Normal 2 5 2 2 2 2 2 2" xfId="30364" xr:uid="{00000000-0005-0000-0000-0000F3750000}"/>
    <cellStyle name="Normal 2 5 2 2 2 2 2 3" xfId="30365" xr:uid="{00000000-0005-0000-0000-0000F4750000}"/>
    <cellStyle name="Normal 2 5 2 2 2 2 3" xfId="30366" xr:uid="{00000000-0005-0000-0000-0000F5750000}"/>
    <cellStyle name="Normal 2 5 2 2 2 2 4" xfId="30367" xr:uid="{00000000-0005-0000-0000-0000F6750000}"/>
    <cellStyle name="Normal 2 5 2 2 2 3" xfId="30368" xr:uid="{00000000-0005-0000-0000-0000F7750000}"/>
    <cellStyle name="Normal 2 5 2 2 2 3 2" xfId="30369" xr:uid="{00000000-0005-0000-0000-0000F8750000}"/>
    <cellStyle name="Normal 2 5 2 2 2 3 3" xfId="30370" xr:uid="{00000000-0005-0000-0000-0000F9750000}"/>
    <cellStyle name="Normal 2 5 2 2 2 4" xfId="30371" xr:uid="{00000000-0005-0000-0000-0000FA750000}"/>
    <cellStyle name="Normal 2 5 2 2 20" xfId="30372" xr:uid="{00000000-0005-0000-0000-0000FB750000}"/>
    <cellStyle name="Normal 2 5 2 2 20 2" xfId="30373" xr:uid="{00000000-0005-0000-0000-0000FC750000}"/>
    <cellStyle name="Normal 2 5 2 2 20 2 2" xfId="30374" xr:uid="{00000000-0005-0000-0000-0000FD750000}"/>
    <cellStyle name="Normal 2 5 2 2 20 2 2 2" xfId="30375" xr:uid="{00000000-0005-0000-0000-0000FE750000}"/>
    <cellStyle name="Normal 2 5 2 2 20 2 2 3" xfId="30376" xr:uid="{00000000-0005-0000-0000-0000FF750000}"/>
    <cellStyle name="Normal 2 5 2 2 20 2 3" xfId="30377" xr:uid="{00000000-0005-0000-0000-000000760000}"/>
    <cellStyle name="Normal 2 5 2 2 20 2 4" xfId="30378" xr:uid="{00000000-0005-0000-0000-000001760000}"/>
    <cellStyle name="Normal 2 5 2 2 20 3" xfId="30379" xr:uid="{00000000-0005-0000-0000-000002760000}"/>
    <cellStyle name="Normal 2 5 2 2 20 3 2" xfId="30380" xr:uid="{00000000-0005-0000-0000-000003760000}"/>
    <cellStyle name="Normal 2 5 2 2 20 3 3" xfId="30381" xr:uid="{00000000-0005-0000-0000-000004760000}"/>
    <cellStyle name="Normal 2 5 2 2 20 4" xfId="30382" xr:uid="{00000000-0005-0000-0000-000005760000}"/>
    <cellStyle name="Normal 2 5 2 2 21" xfId="30383" xr:uid="{00000000-0005-0000-0000-000006760000}"/>
    <cellStyle name="Normal 2 5 2 2 21 2" xfId="30384" xr:uid="{00000000-0005-0000-0000-000007760000}"/>
    <cellStyle name="Normal 2 5 2 2 21 2 2" xfId="30385" xr:uid="{00000000-0005-0000-0000-000008760000}"/>
    <cellStyle name="Normal 2 5 2 2 21 2 2 2" xfId="30386" xr:uid="{00000000-0005-0000-0000-000009760000}"/>
    <cellStyle name="Normal 2 5 2 2 21 2 2 3" xfId="30387" xr:uid="{00000000-0005-0000-0000-00000A760000}"/>
    <cellStyle name="Normal 2 5 2 2 21 2 3" xfId="30388" xr:uid="{00000000-0005-0000-0000-00000B760000}"/>
    <cellStyle name="Normal 2 5 2 2 21 2 4" xfId="30389" xr:uid="{00000000-0005-0000-0000-00000C760000}"/>
    <cellStyle name="Normal 2 5 2 2 21 3" xfId="30390" xr:uid="{00000000-0005-0000-0000-00000D760000}"/>
    <cellStyle name="Normal 2 5 2 2 21 3 2" xfId="30391" xr:uid="{00000000-0005-0000-0000-00000E760000}"/>
    <cellStyle name="Normal 2 5 2 2 21 3 3" xfId="30392" xr:uid="{00000000-0005-0000-0000-00000F760000}"/>
    <cellStyle name="Normal 2 5 2 2 21 4" xfId="30393" xr:uid="{00000000-0005-0000-0000-000010760000}"/>
    <cellStyle name="Normal 2 5 2 2 22" xfId="30394" xr:uid="{00000000-0005-0000-0000-000011760000}"/>
    <cellStyle name="Normal 2 5 2 2 22 2" xfId="30395" xr:uid="{00000000-0005-0000-0000-000012760000}"/>
    <cellStyle name="Normal 2 5 2 2 22 2 2" xfId="30396" xr:uid="{00000000-0005-0000-0000-000013760000}"/>
    <cellStyle name="Normal 2 5 2 2 22 2 2 2" xfId="30397" xr:uid="{00000000-0005-0000-0000-000014760000}"/>
    <cellStyle name="Normal 2 5 2 2 22 2 2 3" xfId="30398" xr:uid="{00000000-0005-0000-0000-000015760000}"/>
    <cellStyle name="Normal 2 5 2 2 22 2 3" xfId="30399" xr:uid="{00000000-0005-0000-0000-000016760000}"/>
    <cellStyle name="Normal 2 5 2 2 22 2 4" xfId="30400" xr:uid="{00000000-0005-0000-0000-000017760000}"/>
    <cellStyle name="Normal 2 5 2 2 22 3" xfId="30401" xr:uid="{00000000-0005-0000-0000-000018760000}"/>
    <cellStyle name="Normal 2 5 2 2 22 3 2" xfId="30402" xr:uid="{00000000-0005-0000-0000-000019760000}"/>
    <cellStyle name="Normal 2 5 2 2 22 3 3" xfId="30403" xr:uid="{00000000-0005-0000-0000-00001A760000}"/>
    <cellStyle name="Normal 2 5 2 2 22 4" xfId="30404" xr:uid="{00000000-0005-0000-0000-00001B760000}"/>
    <cellStyle name="Normal 2 5 2 2 23" xfId="30405" xr:uid="{00000000-0005-0000-0000-00001C760000}"/>
    <cellStyle name="Normal 2 5 2 2 23 2" xfId="30406" xr:uid="{00000000-0005-0000-0000-00001D760000}"/>
    <cellStyle name="Normal 2 5 2 2 23 2 2" xfId="30407" xr:uid="{00000000-0005-0000-0000-00001E760000}"/>
    <cellStyle name="Normal 2 5 2 2 23 2 2 2" xfId="30408" xr:uid="{00000000-0005-0000-0000-00001F760000}"/>
    <cellStyle name="Normal 2 5 2 2 23 2 2 3" xfId="30409" xr:uid="{00000000-0005-0000-0000-000020760000}"/>
    <cellStyle name="Normal 2 5 2 2 23 2 3" xfId="30410" xr:uid="{00000000-0005-0000-0000-000021760000}"/>
    <cellStyle name="Normal 2 5 2 2 23 2 4" xfId="30411" xr:uid="{00000000-0005-0000-0000-000022760000}"/>
    <cellStyle name="Normal 2 5 2 2 23 3" xfId="30412" xr:uid="{00000000-0005-0000-0000-000023760000}"/>
    <cellStyle name="Normal 2 5 2 2 23 3 2" xfId="30413" xr:uid="{00000000-0005-0000-0000-000024760000}"/>
    <cellStyle name="Normal 2 5 2 2 23 3 3" xfId="30414" xr:uid="{00000000-0005-0000-0000-000025760000}"/>
    <cellStyle name="Normal 2 5 2 2 23 4" xfId="30415" xr:uid="{00000000-0005-0000-0000-000026760000}"/>
    <cellStyle name="Normal 2 5 2 2 24" xfId="30416" xr:uid="{00000000-0005-0000-0000-000027760000}"/>
    <cellStyle name="Normal 2 5 2 2 24 2" xfId="30417" xr:uid="{00000000-0005-0000-0000-000028760000}"/>
    <cellStyle name="Normal 2 5 2 2 24 2 2" xfId="30418" xr:uid="{00000000-0005-0000-0000-000029760000}"/>
    <cellStyle name="Normal 2 5 2 2 24 2 2 2" xfId="30419" xr:uid="{00000000-0005-0000-0000-00002A760000}"/>
    <cellStyle name="Normal 2 5 2 2 24 2 2 3" xfId="30420" xr:uid="{00000000-0005-0000-0000-00002B760000}"/>
    <cellStyle name="Normal 2 5 2 2 24 2 3" xfId="30421" xr:uid="{00000000-0005-0000-0000-00002C760000}"/>
    <cellStyle name="Normal 2 5 2 2 24 2 4" xfId="30422" xr:uid="{00000000-0005-0000-0000-00002D760000}"/>
    <cellStyle name="Normal 2 5 2 2 24 3" xfId="30423" xr:uid="{00000000-0005-0000-0000-00002E760000}"/>
    <cellStyle name="Normal 2 5 2 2 24 3 2" xfId="30424" xr:uid="{00000000-0005-0000-0000-00002F760000}"/>
    <cellStyle name="Normal 2 5 2 2 24 3 3" xfId="30425" xr:uid="{00000000-0005-0000-0000-000030760000}"/>
    <cellStyle name="Normal 2 5 2 2 24 4" xfId="30426" xr:uid="{00000000-0005-0000-0000-000031760000}"/>
    <cellStyle name="Normal 2 5 2 2 25" xfId="30427" xr:uid="{00000000-0005-0000-0000-000032760000}"/>
    <cellStyle name="Normal 2 5 2 2 25 2" xfId="30428" xr:uid="{00000000-0005-0000-0000-000033760000}"/>
    <cellStyle name="Normal 2 5 2 2 25 2 2" xfId="30429" xr:uid="{00000000-0005-0000-0000-000034760000}"/>
    <cellStyle name="Normal 2 5 2 2 25 2 2 2" xfId="30430" xr:uid="{00000000-0005-0000-0000-000035760000}"/>
    <cellStyle name="Normal 2 5 2 2 25 2 2 3" xfId="30431" xr:uid="{00000000-0005-0000-0000-000036760000}"/>
    <cellStyle name="Normal 2 5 2 2 25 2 3" xfId="30432" xr:uid="{00000000-0005-0000-0000-000037760000}"/>
    <cellStyle name="Normal 2 5 2 2 25 2 4" xfId="30433" xr:uid="{00000000-0005-0000-0000-000038760000}"/>
    <cellStyle name="Normal 2 5 2 2 25 3" xfId="30434" xr:uid="{00000000-0005-0000-0000-000039760000}"/>
    <cellStyle name="Normal 2 5 2 2 25 3 2" xfId="30435" xr:uid="{00000000-0005-0000-0000-00003A760000}"/>
    <cellStyle name="Normal 2 5 2 2 25 3 3" xfId="30436" xr:uid="{00000000-0005-0000-0000-00003B760000}"/>
    <cellStyle name="Normal 2 5 2 2 25 4" xfId="30437" xr:uid="{00000000-0005-0000-0000-00003C760000}"/>
    <cellStyle name="Normal 2 5 2 2 26" xfId="30438" xr:uid="{00000000-0005-0000-0000-00003D760000}"/>
    <cellStyle name="Normal 2 5 2 2 26 2" xfId="30439" xr:uid="{00000000-0005-0000-0000-00003E760000}"/>
    <cellStyle name="Normal 2 5 2 2 26 2 2" xfId="30440" xr:uid="{00000000-0005-0000-0000-00003F760000}"/>
    <cellStyle name="Normal 2 5 2 2 26 2 2 2" xfId="30441" xr:uid="{00000000-0005-0000-0000-000040760000}"/>
    <cellStyle name="Normal 2 5 2 2 26 2 2 3" xfId="30442" xr:uid="{00000000-0005-0000-0000-000041760000}"/>
    <cellStyle name="Normal 2 5 2 2 26 2 3" xfId="30443" xr:uid="{00000000-0005-0000-0000-000042760000}"/>
    <cellStyle name="Normal 2 5 2 2 26 2 4" xfId="30444" xr:uid="{00000000-0005-0000-0000-000043760000}"/>
    <cellStyle name="Normal 2 5 2 2 26 3" xfId="30445" xr:uid="{00000000-0005-0000-0000-000044760000}"/>
    <cellStyle name="Normal 2 5 2 2 26 3 2" xfId="30446" xr:uid="{00000000-0005-0000-0000-000045760000}"/>
    <cellStyle name="Normal 2 5 2 2 26 3 3" xfId="30447" xr:uid="{00000000-0005-0000-0000-000046760000}"/>
    <cellStyle name="Normal 2 5 2 2 26 4" xfId="30448" xr:uid="{00000000-0005-0000-0000-000047760000}"/>
    <cellStyle name="Normal 2 5 2 2 27" xfId="30449" xr:uid="{00000000-0005-0000-0000-000048760000}"/>
    <cellStyle name="Normal 2 5 2 2 27 2" xfId="30450" xr:uid="{00000000-0005-0000-0000-000049760000}"/>
    <cellStyle name="Normal 2 5 2 2 27 2 2" xfId="30451" xr:uid="{00000000-0005-0000-0000-00004A760000}"/>
    <cellStyle name="Normal 2 5 2 2 27 2 2 2" xfId="30452" xr:uid="{00000000-0005-0000-0000-00004B760000}"/>
    <cellStyle name="Normal 2 5 2 2 27 2 2 3" xfId="30453" xr:uid="{00000000-0005-0000-0000-00004C760000}"/>
    <cellStyle name="Normal 2 5 2 2 27 2 3" xfId="30454" xr:uid="{00000000-0005-0000-0000-00004D760000}"/>
    <cellStyle name="Normal 2 5 2 2 27 2 4" xfId="30455" xr:uid="{00000000-0005-0000-0000-00004E760000}"/>
    <cellStyle name="Normal 2 5 2 2 27 3" xfId="30456" xr:uid="{00000000-0005-0000-0000-00004F760000}"/>
    <cellStyle name="Normal 2 5 2 2 27 3 2" xfId="30457" xr:uid="{00000000-0005-0000-0000-000050760000}"/>
    <cellStyle name="Normal 2 5 2 2 27 3 3" xfId="30458" xr:uid="{00000000-0005-0000-0000-000051760000}"/>
    <cellStyle name="Normal 2 5 2 2 27 4" xfId="30459" xr:uid="{00000000-0005-0000-0000-000052760000}"/>
    <cellStyle name="Normal 2 5 2 2 28" xfId="30460" xr:uid="{00000000-0005-0000-0000-000053760000}"/>
    <cellStyle name="Normal 2 5 2 2 28 2" xfId="30461" xr:uid="{00000000-0005-0000-0000-000054760000}"/>
    <cellStyle name="Normal 2 5 2 2 28 2 2" xfId="30462" xr:uid="{00000000-0005-0000-0000-000055760000}"/>
    <cellStyle name="Normal 2 5 2 2 28 2 2 2" xfId="30463" xr:uid="{00000000-0005-0000-0000-000056760000}"/>
    <cellStyle name="Normal 2 5 2 2 28 2 2 3" xfId="30464" xr:uid="{00000000-0005-0000-0000-000057760000}"/>
    <cellStyle name="Normal 2 5 2 2 28 2 3" xfId="30465" xr:uid="{00000000-0005-0000-0000-000058760000}"/>
    <cellStyle name="Normal 2 5 2 2 28 2 4" xfId="30466" xr:uid="{00000000-0005-0000-0000-000059760000}"/>
    <cellStyle name="Normal 2 5 2 2 28 3" xfId="30467" xr:uid="{00000000-0005-0000-0000-00005A760000}"/>
    <cellStyle name="Normal 2 5 2 2 28 3 2" xfId="30468" xr:uid="{00000000-0005-0000-0000-00005B760000}"/>
    <cellStyle name="Normal 2 5 2 2 28 3 3" xfId="30469" xr:uid="{00000000-0005-0000-0000-00005C760000}"/>
    <cellStyle name="Normal 2 5 2 2 28 4" xfId="30470" xr:uid="{00000000-0005-0000-0000-00005D760000}"/>
    <cellStyle name="Normal 2 5 2 2 29" xfId="30471" xr:uid="{00000000-0005-0000-0000-00005E760000}"/>
    <cellStyle name="Normal 2 5 2 2 29 2" xfId="30472" xr:uid="{00000000-0005-0000-0000-00005F760000}"/>
    <cellStyle name="Normal 2 5 2 2 29 2 2" xfId="30473" xr:uid="{00000000-0005-0000-0000-000060760000}"/>
    <cellStyle name="Normal 2 5 2 2 29 2 2 2" xfId="30474" xr:uid="{00000000-0005-0000-0000-000061760000}"/>
    <cellStyle name="Normal 2 5 2 2 29 2 2 3" xfId="30475" xr:uid="{00000000-0005-0000-0000-000062760000}"/>
    <cellStyle name="Normal 2 5 2 2 29 2 3" xfId="30476" xr:uid="{00000000-0005-0000-0000-000063760000}"/>
    <cellStyle name="Normal 2 5 2 2 29 2 4" xfId="30477" xr:uid="{00000000-0005-0000-0000-000064760000}"/>
    <cellStyle name="Normal 2 5 2 2 29 3" xfId="30478" xr:uid="{00000000-0005-0000-0000-000065760000}"/>
    <cellStyle name="Normal 2 5 2 2 29 3 2" xfId="30479" xr:uid="{00000000-0005-0000-0000-000066760000}"/>
    <cellStyle name="Normal 2 5 2 2 29 3 3" xfId="30480" xr:uid="{00000000-0005-0000-0000-000067760000}"/>
    <cellStyle name="Normal 2 5 2 2 29 4" xfId="30481" xr:uid="{00000000-0005-0000-0000-000068760000}"/>
    <cellStyle name="Normal 2 5 2 2 3" xfId="30482" xr:uid="{00000000-0005-0000-0000-000069760000}"/>
    <cellStyle name="Normal 2 5 2 2 3 2" xfId="30483" xr:uid="{00000000-0005-0000-0000-00006A760000}"/>
    <cellStyle name="Normal 2 5 2 2 3 2 2" xfId="30484" xr:uid="{00000000-0005-0000-0000-00006B760000}"/>
    <cellStyle name="Normal 2 5 2 2 3 2 2 2" xfId="30485" xr:uid="{00000000-0005-0000-0000-00006C760000}"/>
    <cellStyle name="Normal 2 5 2 2 3 2 2 3" xfId="30486" xr:uid="{00000000-0005-0000-0000-00006D760000}"/>
    <cellStyle name="Normal 2 5 2 2 3 2 3" xfId="30487" xr:uid="{00000000-0005-0000-0000-00006E760000}"/>
    <cellStyle name="Normal 2 5 2 2 3 2 4" xfId="30488" xr:uid="{00000000-0005-0000-0000-00006F760000}"/>
    <cellStyle name="Normal 2 5 2 2 3 3" xfId="30489" xr:uid="{00000000-0005-0000-0000-000070760000}"/>
    <cellStyle name="Normal 2 5 2 2 3 3 2" xfId="30490" xr:uid="{00000000-0005-0000-0000-000071760000}"/>
    <cellStyle name="Normal 2 5 2 2 3 3 3" xfId="30491" xr:uid="{00000000-0005-0000-0000-000072760000}"/>
    <cellStyle name="Normal 2 5 2 2 3 4" xfId="30492" xr:uid="{00000000-0005-0000-0000-000073760000}"/>
    <cellStyle name="Normal 2 5 2 2 30" xfId="30493" xr:uid="{00000000-0005-0000-0000-000074760000}"/>
    <cellStyle name="Normal 2 5 2 2 30 2" xfId="30494" xr:uid="{00000000-0005-0000-0000-000075760000}"/>
    <cellStyle name="Normal 2 5 2 2 30 2 2" xfId="30495" xr:uid="{00000000-0005-0000-0000-000076760000}"/>
    <cellStyle name="Normal 2 5 2 2 30 2 2 2" xfId="30496" xr:uid="{00000000-0005-0000-0000-000077760000}"/>
    <cellStyle name="Normal 2 5 2 2 30 2 2 3" xfId="30497" xr:uid="{00000000-0005-0000-0000-000078760000}"/>
    <cellStyle name="Normal 2 5 2 2 30 2 3" xfId="30498" xr:uid="{00000000-0005-0000-0000-000079760000}"/>
    <cellStyle name="Normal 2 5 2 2 30 2 4" xfId="30499" xr:uid="{00000000-0005-0000-0000-00007A760000}"/>
    <cellStyle name="Normal 2 5 2 2 30 3" xfId="30500" xr:uid="{00000000-0005-0000-0000-00007B760000}"/>
    <cellStyle name="Normal 2 5 2 2 30 3 2" xfId="30501" xr:uid="{00000000-0005-0000-0000-00007C760000}"/>
    <cellStyle name="Normal 2 5 2 2 30 3 3" xfId="30502" xr:uid="{00000000-0005-0000-0000-00007D760000}"/>
    <cellStyle name="Normal 2 5 2 2 30 4" xfId="30503" xr:uid="{00000000-0005-0000-0000-00007E760000}"/>
    <cellStyle name="Normal 2 5 2 2 31" xfId="30504" xr:uid="{00000000-0005-0000-0000-00007F760000}"/>
    <cellStyle name="Normal 2 5 2 2 31 2" xfId="30505" xr:uid="{00000000-0005-0000-0000-000080760000}"/>
    <cellStyle name="Normal 2 5 2 2 31 2 2" xfId="30506" xr:uid="{00000000-0005-0000-0000-000081760000}"/>
    <cellStyle name="Normal 2 5 2 2 31 2 2 2" xfId="30507" xr:uid="{00000000-0005-0000-0000-000082760000}"/>
    <cellStyle name="Normal 2 5 2 2 31 2 2 3" xfId="30508" xr:uid="{00000000-0005-0000-0000-000083760000}"/>
    <cellStyle name="Normal 2 5 2 2 31 2 3" xfId="30509" xr:uid="{00000000-0005-0000-0000-000084760000}"/>
    <cellStyle name="Normal 2 5 2 2 31 2 4" xfId="30510" xr:uid="{00000000-0005-0000-0000-000085760000}"/>
    <cellStyle name="Normal 2 5 2 2 31 3" xfId="30511" xr:uid="{00000000-0005-0000-0000-000086760000}"/>
    <cellStyle name="Normal 2 5 2 2 31 3 2" xfId="30512" xr:uid="{00000000-0005-0000-0000-000087760000}"/>
    <cellStyle name="Normal 2 5 2 2 31 3 3" xfId="30513" xr:uid="{00000000-0005-0000-0000-000088760000}"/>
    <cellStyle name="Normal 2 5 2 2 31 4" xfId="30514" xr:uid="{00000000-0005-0000-0000-000089760000}"/>
    <cellStyle name="Normal 2 5 2 2 32" xfId="30515" xr:uid="{00000000-0005-0000-0000-00008A760000}"/>
    <cellStyle name="Normal 2 5 2 2 32 2" xfId="30516" xr:uid="{00000000-0005-0000-0000-00008B760000}"/>
    <cellStyle name="Normal 2 5 2 2 32 2 2" xfId="30517" xr:uid="{00000000-0005-0000-0000-00008C760000}"/>
    <cellStyle name="Normal 2 5 2 2 32 2 2 2" xfId="30518" xr:uid="{00000000-0005-0000-0000-00008D760000}"/>
    <cellStyle name="Normal 2 5 2 2 32 2 2 3" xfId="30519" xr:uid="{00000000-0005-0000-0000-00008E760000}"/>
    <cellStyle name="Normal 2 5 2 2 32 2 3" xfId="30520" xr:uid="{00000000-0005-0000-0000-00008F760000}"/>
    <cellStyle name="Normal 2 5 2 2 32 2 4" xfId="30521" xr:uid="{00000000-0005-0000-0000-000090760000}"/>
    <cellStyle name="Normal 2 5 2 2 32 3" xfId="30522" xr:uid="{00000000-0005-0000-0000-000091760000}"/>
    <cellStyle name="Normal 2 5 2 2 32 3 2" xfId="30523" xr:uid="{00000000-0005-0000-0000-000092760000}"/>
    <cellStyle name="Normal 2 5 2 2 32 3 3" xfId="30524" xr:uid="{00000000-0005-0000-0000-000093760000}"/>
    <cellStyle name="Normal 2 5 2 2 32 4" xfId="30525" xr:uid="{00000000-0005-0000-0000-000094760000}"/>
    <cellStyle name="Normal 2 5 2 2 33" xfId="30526" xr:uid="{00000000-0005-0000-0000-000095760000}"/>
    <cellStyle name="Normal 2 5 2 2 33 2" xfId="30527" xr:uid="{00000000-0005-0000-0000-000096760000}"/>
    <cellStyle name="Normal 2 5 2 2 33 2 2" xfId="30528" xr:uid="{00000000-0005-0000-0000-000097760000}"/>
    <cellStyle name="Normal 2 5 2 2 33 2 2 2" xfId="30529" xr:uid="{00000000-0005-0000-0000-000098760000}"/>
    <cellStyle name="Normal 2 5 2 2 33 2 2 3" xfId="30530" xr:uid="{00000000-0005-0000-0000-000099760000}"/>
    <cellStyle name="Normal 2 5 2 2 33 2 3" xfId="30531" xr:uid="{00000000-0005-0000-0000-00009A760000}"/>
    <cellStyle name="Normal 2 5 2 2 33 2 4" xfId="30532" xr:uid="{00000000-0005-0000-0000-00009B760000}"/>
    <cellStyle name="Normal 2 5 2 2 33 3" xfId="30533" xr:uid="{00000000-0005-0000-0000-00009C760000}"/>
    <cellStyle name="Normal 2 5 2 2 33 3 2" xfId="30534" xr:uid="{00000000-0005-0000-0000-00009D760000}"/>
    <cellStyle name="Normal 2 5 2 2 33 3 3" xfId="30535" xr:uid="{00000000-0005-0000-0000-00009E760000}"/>
    <cellStyle name="Normal 2 5 2 2 33 4" xfId="30536" xr:uid="{00000000-0005-0000-0000-00009F760000}"/>
    <cellStyle name="Normal 2 5 2 2 34" xfId="30537" xr:uid="{00000000-0005-0000-0000-0000A0760000}"/>
    <cellStyle name="Normal 2 5 2 2 34 2" xfId="30538" xr:uid="{00000000-0005-0000-0000-0000A1760000}"/>
    <cellStyle name="Normal 2 5 2 2 34 2 2" xfId="30539" xr:uid="{00000000-0005-0000-0000-0000A2760000}"/>
    <cellStyle name="Normal 2 5 2 2 34 2 2 2" xfId="30540" xr:uid="{00000000-0005-0000-0000-0000A3760000}"/>
    <cellStyle name="Normal 2 5 2 2 34 2 2 3" xfId="30541" xr:uid="{00000000-0005-0000-0000-0000A4760000}"/>
    <cellStyle name="Normal 2 5 2 2 34 2 3" xfId="30542" xr:uid="{00000000-0005-0000-0000-0000A5760000}"/>
    <cellStyle name="Normal 2 5 2 2 34 2 4" xfId="30543" xr:uid="{00000000-0005-0000-0000-0000A6760000}"/>
    <cellStyle name="Normal 2 5 2 2 34 3" xfId="30544" xr:uid="{00000000-0005-0000-0000-0000A7760000}"/>
    <cellStyle name="Normal 2 5 2 2 34 3 2" xfId="30545" xr:uid="{00000000-0005-0000-0000-0000A8760000}"/>
    <cellStyle name="Normal 2 5 2 2 34 3 3" xfId="30546" xr:uid="{00000000-0005-0000-0000-0000A9760000}"/>
    <cellStyle name="Normal 2 5 2 2 34 4" xfId="30547" xr:uid="{00000000-0005-0000-0000-0000AA760000}"/>
    <cellStyle name="Normal 2 5 2 2 35" xfId="30548" xr:uid="{00000000-0005-0000-0000-0000AB760000}"/>
    <cellStyle name="Normal 2 5 2 2 35 2" xfId="30549" xr:uid="{00000000-0005-0000-0000-0000AC760000}"/>
    <cellStyle name="Normal 2 5 2 2 35 2 2" xfId="30550" xr:uid="{00000000-0005-0000-0000-0000AD760000}"/>
    <cellStyle name="Normal 2 5 2 2 35 2 2 2" xfId="30551" xr:uid="{00000000-0005-0000-0000-0000AE760000}"/>
    <cellStyle name="Normal 2 5 2 2 35 2 2 3" xfId="30552" xr:uid="{00000000-0005-0000-0000-0000AF760000}"/>
    <cellStyle name="Normal 2 5 2 2 35 2 3" xfId="30553" xr:uid="{00000000-0005-0000-0000-0000B0760000}"/>
    <cellStyle name="Normal 2 5 2 2 35 2 4" xfId="30554" xr:uid="{00000000-0005-0000-0000-0000B1760000}"/>
    <cellStyle name="Normal 2 5 2 2 35 3" xfId="30555" xr:uid="{00000000-0005-0000-0000-0000B2760000}"/>
    <cellStyle name="Normal 2 5 2 2 35 3 2" xfId="30556" xr:uid="{00000000-0005-0000-0000-0000B3760000}"/>
    <cellStyle name="Normal 2 5 2 2 35 3 3" xfId="30557" xr:uid="{00000000-0005-0000-0000-0000B4760000}"/>
    <cellStyle name="Normal 2 5 2 2 35 4" xfId="30558" xr:uid="{00000000-0005-0000-0000-0000B5760000}"/>
    <cellStyle name="Normal 2 5 2 2 36" xfId="30559" xr:uid="{00000000-0005-0000-0000-0000B6760000}"/>
    <cellStyle name="Normal 2 5 2 2 36 2" xfId="30560" xr:uid="{00000000-0005-0000-0000-0000B7760000}"/>
    <cellStyle name="Normal 2 5 2 2 36 2 2" xfId="30561" xr:uid="{00000000-0005-0000-0000-0000B8760000}"/>
    <cellStyle name="Normal 2 5 2 2 36 2 2 2" xfId="30562" xr:uid="{00000000-0005-0000-0000-0000B9760000}"/>
    <cellStyle name="Normal 2 5 2 2 36 2 2 3" xfId="30563" xr:uid="{00000000-0005-0000-0000-0000BA760000}"/>
    <cellStyle name="Normal 2 5 2 2 36 2 3" xfId="30564" xr:uid="{00000000-0005-0000-0000-0000BB760000}"/>
    <cellStyle name="Normal 2 5 2 2 36 2 4" xfId="30565" xr:uid="{00000000-0005-0000-0000-0000BC760000}"/>
    <cellStyle name="Normal 2 5 2 2 36 3" xfId="30566" xr:uid="{00000000-0005-0000-0000-0000BD760000}"/>
    <cellStyle name="Normal 2 5 2 2 36 3 2" xfId="30567" xr:uid="{00000000-0005-0000-0000-0000BE760000}"/>
    <cellStyle name="Normal 2 5 2 2 36 3 3" xfId="30568" xr:uid="{00000000-0005-0000-0000-0000BF760000}"/>
    <cellStyle name="Normal 2 5 2 2 36 4" xfId="30569" xr:uid="{00000000-0005-0000-0000-0000C0760000}"/>
    <cellStyle name="Normal 2 5 2 2 37" xfId="30570" xr:uid="{00000000-0005-0000-0000-0000C1760000}"/>
    <cellStyle name="Normal 2 5 2 2 37 2" xfId="30571" xr:uid="{00000000-0005-0000-0000-0000C2760000}"/>
    <cellStyle name="Normal 2 5 2 2 37 2 2" xfId="30572" xr:uid="{00000000-0005-0000-0000-0000C3760000}"/>
    <cellStyle name="Normal 2 5 2 2 37 2 2 2" xfId="30573" xr:uid="{00000000-0005-0000-0000-0000C4760000}"/>
    <cellStyle name="Normal 2 5 2 2 37 2 2 3" xfId="30574" xr:uid="{00000000-0005-0000-0000-0000C5760000}"/>
    <cellStyle name="Normal 2 5 2 2 37 2 3" xfId="30575" xr:uid="{00000000-0005-0000-0000-0000C6760000}"/>
    <cellStyle name="Normal 2 5 2 2 37 2 4" xfId="30576" xr:uid="{00000000-0005-0000-0000-0000C7760000}"/>
    <cellStyle name="Normal 2 5 2 2 37 3" xfId="30577" xr:uid="{00000000-0005-0000-0000-0000C8760000}"/>
    <cellStyle name="Normal 2 5 2 2 37 3 2" xfId="30578" xr:uid="{00000000-0005-0000-0000-0000C9760000}"/>
    <cellStyle name="Normal 2 5 2 2 37 3 3" xfId="30579" xr:uid="{00000000-0005-0000-0000-0000CA760000}"/>
    <cellStyle name="Normal 2 5 2 2 37 4" xfId="30580" xr:uid="{00000000-0005-0000-0000-0000CB760000}"/>
    <cellStyle name="Normal 2 5 2 2 38" xfId="30581" xr:uid="{00000000-0005-0000-0000-0000CC760000}"/>
    <cellStyle name="Normal 2 5 2 2 38 2" xfId="30582" xr:uid="{00000000-0005-0000-0000-0000CD760000}"/>
    <cellStyle name="Normal 2 5 2 2 38 2 2" xfId="30583" xr:uid="{00000000-0005-0000-0000-0000CE760000}"/>
    <cellStyle name="Normal 2 5 2 2 38 2 2 2" xfId="30584" xr:uid="{00000000-0005-0000-0000-0000CF760000}"/>
    <cellStyle name="Normal 2 5 2 2 38 2 2 3" xfId="30585" xr:uid="{00000000-0005-0000-0000-0000D0760000}"/>
    <cellStyle name="Normal 2 5 2 2 38 2 3" xfId="30586" xr:uid="{00000000-0005-0000-0000-0000D1760000}"/>
    <cellStyle name="Normal 2 5 2 2 38 2 4" xfId="30587" xr:uid="{00000000-0005-0000-0000-0000D2760000}"/>
    <cellStyle name="Normal 2 5 2 2 38 3" xfId="30588" xr:uid="{00000000-0005-0000-0000-0000D3760000}"/>
    <cellStyle name="Normal 2 5 2 2 38 3 2" xfId="30589" xr:uid="{00000000-0005-0000-0000-0000D4760000}"/>
    <cellStyle name="Normal 2 5 2 2 38 3 3" xfId="30590" xr:uid="{00000000-0005-0000-0000-0000D5760000}"/>
    <cellStyle name="Normal 2 5 2 2 38 4" xfId="30591" xr:uid="{00000000-0005-0000-0000-0000D6760000}"/>
    <cellStyle name="Normal 2 5 2 2 39" xfId="30592" xr:uid="{00000000-0005-0000-0000-0000D7760000}"/>
    <cellStyle name="Normal 2 5 2 2 39 2" xfId="30593" xr:uid="{00000000-0005-0000-0000-0000D8760000}"/>
    <cellStyle name="Normal 2 5 2 2 39 2 2" xfId="30594" xr:uid="{00000000-0005-0000-0000-0000D9760000}"/>
    <cellStyle name="Normal 2 5 2 2 39 2 2 2" xfId="30595" xr:uid="{00000000-0005-0000-0000-0000DA760000}"/>
    <cellStyle name="Normal 2 5 2 2 39 2 2 3" xfId="30596" xr:uid="{00000000-0005-0000-0000-0000DB760000}"/>
    <cellStyle name="Normal 2 5 2 2 39 2 3" xfId="30597" xr:uid="{00000000-0005-0000-0000-0000DC760000}"/>
    <cellStyle name="Normal 2 5 2 2 39 2 4" xfId="30598" xr:uid="{00000000-0005-0000-0000-0000DD760000}"/>
    <cellStyle name="Normal 2 5 2 2 39 3" xfId="30599" xr:uid="{00000000-0005-0000-0000-0000DE760000}"/>
    <cellStyle name="Normal 2 5 2 2 39 3 2" xfId="30600" xr:uid="{00000000-0005-0000-0000-0000DF760000}"/>
    <cellStyle name="Normal 2 5 2 2 39 3 3" xfId="30601" xr:uid="{00000000-0005-0000-0000-0000E0760000}"/>
    <cellStyle name="Normal 2 5 2 2 39 4" xfId="30602" xr:uid="{00000000-0005-0000-0000-0000E1760000}"/>
    <cellStyle name="Normal 2 5 2 2 4" xfId="30603" xr:uid="{00000000-0005-0000-0000-0000E2760000}"/>
    <cellStyle name="Normal 2 5 2 2 4 2" xfId="30604" xr:uid="{00000000-0005-0000-0000-0000E3760000}"/>
    <cellStyle name="Normal 2 5 2 2 4 2 2" xfId="30605" xr:uid="{00000000-0005-0000-0000-0000E4760000}"/>
    <cellStyle name="Normal 2 5 2 2 4 2 2 2" xfId="30606" xr:uid="{00000000-0005-0000-0000-0000E5760000}"/>
    <cellStyle name="Normal 2 5 2 2 4 2 2 3" xfId="30607" xr:uid="{00000000-0005-0000-0000-0000E6760000}"/>
    <cellStyle name="Normal 2 5 2 2 4 2 3" xfId="30608" xr:uid="{00000000-0005-0000-0000-0000E7760000}"/>
    <cellStyle name="Normal 2 5 2 2 4 2 4" xfId="30609" xr:uid="{00000000-0005-0000-0000-0000E8760000}"/>
    <cellStyle name="Normal 2 5 2 2 4 3" xfId="30610" xr:uid="{00000000-0005-0000-0000-0000E9760000}"/>
    <cellStyle name="Normal 2 5 2 2 4 3 2" xfId="30611" xr:uid="{00000000-0005-0000-0000-0000EA760000}"/>
    <cellStyle name="Normal 2 5 2 2 4 3 3" xfId="30612" xr:uid="{00000000-0005-0000-0000-0000EB760000}"/>
    <cellStyle name="Normal 2 5 2 2 4 4" xfId="30613" xr:uid="{00000000-0005-0000-0000-0000EC760000}"/>
    <cellStyle name="Normal 2 5 2 2 40" xfId="30614" xr:uid="{00000000-0005-0000-0000-0000ED760000}"/>
    <cellStyle name="Normal 2 5 2 2 40 2" xfId="30615" xr:uid="{00000000-0005-0000-0000-0000EE760000}"/>
    <cellStyle name="Normal 2 5 2 2 40 2 2" xfId="30616" xr:uid="{00000000-0005-0000-0000-0000EF760000}"/>
    <cellStyle name="Normal 2 5 2 2 40 2 2 2" xfId="30617" xr:uid="{00000000-0005-0000-0000-0000F0760000}"/>
    <cellStyle name="Normal 2 5 2 2 40 2 2 3" xfId="30618" xr:uid="{00000000-0005-0000-0000-0000F1760000}"/>
    <cellStyle name="Normal 2 5 2 2 40 2 3" xfId="30619" xr:uid="{00000000-0005-0000-0000-0000F2760000}"/>
    <cellStyle name="Normal 2 5 2 2 40 2 4" xfId="30620" xr:uid="{00000000-0005-0000-0000-0000F3760000}"/>
    <cellStyle name="Normal 2 5 2 2 40 3" xfId="30621" xr:uid="{00000000-0005-0000-0000-0000F4760000}"/>
    <cellStyle name="Normal 2 5 2 2 40 3 2" xfId="30622" xr:uid="{00000000-0005-0000-0000-0000F5760000}"/>
    <cellStyle name="Normal 2 5 2 2 40 3 3" xfId="30623" xr:uid="{00000000-0005-0000-0000-0000F6760000}"/>
    <cellStyle name="Normal 2 5 2 2 40 4" xfId="30624" xr:uid="{00000000-0005-0000-0000-0000F7760000}"/>
    <cellStyle name="Normal 2 5 2 2 41" xfId="30625" xr:uid="{00000000-0005-0000-0000-0000F8760000}"/>
    <cellStyle name="Normal 2 5 2 2 41 2" xfId="30626" xr:uid="{00000000-0005-0000-0000-0000F9760000}"/>
    <cellStyle name="Normal 2 5 2 2 41 2 2" xfId="30627" xr:uid="{00000000-0005-0000-0000-0000FA760000}"/>
    <cellStyle name="Normal 2 5 2 2 41 2 2 2" xfId="30628" xr:uid="{00000000-0005-0000-0000-0000FB760000}"/>
    <cellStyle name="Normal 2 5 2 2 41 2 2 3" xfId="30629" xr:uid="{00000000-0005-0000-0000-0000FC760000}"/>
    <cellStyle name="Normal 2 5 2 2 41 2 3" xfId="30630" xr:uid="{00000000-0005-0000-0000-0000FD760000}"/>
    <cellStyle name="Normal 2 5 2 2 41 2 4" xfId="30631" xr:uid="{00000000-0005-0000-0000-0000FE760000}"/>
    <cellStyle name="Normal 2 5 2 2 41 3" xfId="30632" xr:uid="{00000000-0005-0000-0000-0000FF760000}"/>
    <cellStyle name="Normal 2 5 2 2 41 3 2" xfId="30633" xr:uid="{00000000-0005-0000-0000-000000770000}"/>
    <cellStyle name="Normal 2 5 2 2 41 3 3" xfId="30634" xr:uid="{00000000-0005-0000-0000-000001770000}"/>
    <cellStyle name="Normal 2 5 2 2 41 4" xfId="30635" xr:uid="{00000000-0005-0000-0000-000002770000}"/>
    <cellStyle name="Normal 2 5 2 2 42" xfId="30636" xr:uid="{00000000-0005-0000-0000-000003770000}"/>
    <cellStyle name="Normal 2 5 2 2 42 2" xfId="30637" xr:uid="{00000000-0005-0000-0000-000004770000}"/>
    <cellStyle name="Normal 2 5 2 2 42 2 2" xfId="30638" xr:uid="{00000000-0005-0000-0000-000005770000}"/>
    <cellStyle name="Normal 2 5 2 2 42 2 2 2" xfId="30639" xr:uid="{00000000-0005-0000-0000-000006770000}"/>
    <cellStyle name="Normal 2 5 2 2 42 2 2 3" xfId="30640" xr:uid="{00000000-0005-0000-0000-000007770000}"/>
    <cellStyle name="Normal 2 5 2 2 42 2 3" xfId="30641" xr:uid="{00000000-0005-0000-0000-000008770000}"/>
    <cellStyle name="Normal 2 5 2 2 42 2 4" xfId="30642" xr:uid="{00000000-0005-0000-0000-000009770000}"/>
    <cellStyle name="Normal 2 5 2 2 42 3" xfId="30643" xr:uid="{00000000-0005-0000-0000-00000A770000}"/>
    <cellStyle name="Normal 2 5 2 2 42 3 2" xfId="30644" xr:uid="{00000000-0005-0000-0000-00000B770000}"/>
    <cellStyle name="Normal 2 5 2 2 42 3 3" xfId="30645" xr:uid="{00000000-0005-0000-0000-00000C770000}"/>
    <cellStyle name="Normal 2 5 2 2 42 4" xfId="30646" xr:uid="{00000000-0005-0000-0000-00000D770000}"/>
    <cellStyle name="Normal 2 5 2 2 43" xfId="30647" xr:uid="{00000000-0005-0000-0000-00000E770000}"/>
    <cellStyle name="Normal 2 5 2 2 43 2" xfId="30648" xr:uid="{00000000-0005-0000-0000-00000F770000}"/>
    <cellStyle name="Normal 2 5 2 2 43 2 2" xfId="30649" xr:uid="{00000000-0005-0000-0000-000010770000}"/>
    <cellStyle name="Normal 2 5 2 2 43 2 2 2" xfId="30650" xr:uid="{00000000-0005-0000-0000-000011770000}"/>
    <cellStyle name="Normal 2 5 2 2 43 2 2 3" xfId="30651" xr:uid="{00000000-0005-0000-0000-000012770000}"/>
    <cellStyle name="Normal 2 5 2 2 43 2 3" xfId="30652" xr:uid="{00000000-0005-0000-0000-000013770000}"/>
    <cellStyle name="Normal 2 5 2 2 43 2 4" xfId="30653" xr:uid="{00000000-0005-0000-0000-000014770000}"/>
    <cellStyle name="Normal 2 5 2 2 43 3" xfId="30654" xr:uid="{00000000-0005-0000-0000-000015770000}"/>
    <cellStyle name="Normal 2 5 2 2 43 3 2" xfId="30655" xr:uid="{00000000-0005-0000-0000-000016770000}"/>
    <cellStyle name="Normal 2 5 2 2 43 3 3" xfId="30656" xr:uid="{00000000-0005-0000-0000-000017770000}"/>
    <cellStyle name="Normal 2 5 2 2 43 4" xfId="30657" xr:uid="{00000000-0005-0000-0000-000018770000}"/>
    <cellStyle name="Normal 2 5 2 2 44" xfId="30658" xr:uid="{00000000-0005-0000-0000-000019770000}"/>
    <cellStyle name="Normal 2 5 2 2 44 2" xfId="30659" xr:uid="{00000000-0005-0000-0000-00001A770000}"/>
    <cellStyle name="Normal 2 5 2 2 44 2 2" xfId="30660" xr:uid="{00000000-0005-0000-0000-00001B770000}"/>
    <cellStyle name="Normal 2 5 2 2 44 2 2 2" xfId="30661" xr:uid="{00000000-0005-0000-0000-00001C770000}"/>
    <cellStyle name="Normal 2 5 2 2 44 2 2 3" xfId="30662" xr:uid="{00000000-0005-0000-0000-00001D770000}"/>
    <cellStyle name="Normal 2 5 2 2 44 2 3" xfId="30663" xr:uid="{00000000-0005-0000-0000-00001E770000}"/>
    <cellStyle name="Normal 2 5 2 2 44 2 4" xfId="30664" xr:uid="{00000000-0005-0000-0000-00001F770000}"/>
    <cellStyle name="Normal 2 5 2 2 44 3" xfId="30665" xr:uid="{00000000-0005-0000-0000-000020770000}"/>
    <cellStyle name="Normal 2 5 2 2 44 3 2" xfId="30666" xr:uid="{00000000-0005-0000-0000-000021770000}"/>
    <cellStyle name="Normal 2 5 2 2 44 3 3" xfId="30667" xr:uid="{00000000-0005-0000-0000-000022770000}"/>
    <cellStyle name="Normal 2 5 2 2 44 4" xfId="30668" xr:uid="{00000000-0005-0000-0000-000023770000}"/>
    <cellStyle name="Normal 2 5 2 2 45" xfId="30669" xr:uid="{00000000-0005-0000-0000-000024770000}"/>
    <cellStyle name="Normal 2 5 2 2 45 2" xfId="30670" xr:uid="{00000000-0005-0000-0000-000025770000}"/>
    <cellStyle name="Normal 2 5 2 2 45 2 2" xfId="30671" xr:uid="{00000000-0005-0000-0000-000026770000}"/>
    <cellStyle name="Normal 2 5 2 2 45 2 2 2" xfId="30672" xr:uid="{00000000-0005-0000-0000-000027770000}"/>
    <cellStyle name="Normal 2 5 2 2 45 2 2 3" xfId="30673" xr:uid="{00000000-0005-0000-0000-000028770000}"/>
    <cellStyle name="Normal 2 5 2 2 45 2 3" xfId="30674" xr:uid="{00000000-0005-0000-0000-000029770000}"/>
    <cellStyle name="Normal 2 5 2 2 45 2 4" xfId="30675" xr:uid="{00000000-0005-0000-0000-00002A770000}"/>
    <cellStyle name="Normal 2 5 2 2 45 3" xfId="30676" xr:uid="{00000000-0005-0000-0000-00002B770000}"/>
    <cellStyle name="Normal 2 5 2 2 45 3 2" xfId="30677" xr:uid="{00000000-0005-0000-0000-00002C770000}"/>
    <cellStyle name="Normal 2 5 2 2 45 3 3" xfId="30678" xr:uid="{00000000-0005-0000-0000-00002D770000}"/>
    <cellStyle name="Normal 2 5 2 2 45 4" xfId="30679" xr:uid="{00000000-0005-0000-0000-00002E770000}"/>
    <cellStyle name="Normal 2 5 2 2 46" xfId="30680" xr:uid="{00000000-0005-0000-0000-00002F770000}"/>
    <cellStyle name="Normal 2 5 2 2 46 2" xfId="30681" xr:uid="{00000000-0005-0000-0000-000030770000}"/>
    <cellStyle name="Normal 2 5 2 2 46 2 2" xfId="30682" xr:uid="{00000000-0005-0000-0000-000031770000}"/>
    <cellStyle name="Normal 2 5 2 2 46 2 2 2" xfId="30683" xr:uid="{00000000-0005-0000-0000-000032770000}"/>
    <cellStyle name="Normal 2 5 2 2 46 2 2 3" xfId="30684" xr:uid="{00000000-0005-0000-0000-000033770000}"/>
    <cellStyle name="Normal 2 5 2 2 46 2 3" xfId="30685" xr:uid="{00000000-0005-0000-0000-000034770000}"/>
    <cellStyle name="Normal 2 5 2 2 46 2 4" xfId="30686" xr:uid="{00000000-0005-0000-0000-000035770000}"/>
    <cellStyle name="Normal 2 5 2 2 46 3" xfId="30687" xr:uid="{00000000-0005-0000-0000-000036770000}"/>
    <cellStyle name="Normal 2 5 2 2 46 3 2" xfId="30688" xr:uid="{00000000-0005-0000-0000-000037770000}"/>
    <cellStyle name="Normal 2 5 2 2 46 3 3" xfId="30689" xr:uid="{00000000-0005-0000-0000-000038770000}"/>
    <cellStyle name="Normal 2 5 2 2 46 4" xfId="30690" xr:uid="{00000000-0005-0000-0000-000039770000}"/>
    <cellStyle name="Normal 2 5 2 2 47" xfId="30691" xr:uid="{00000000-0005-0000-0000-00003A770000}"/>
    <cellStyle name="Normal 2 5 2 2 47 2" xfId="30692" xr:uid="{00000000-0005-0000-0000-00003B770000}"/>
    <cellStyle name="Normal 2 5 2 2 47 2 2" xfId="30693" xr:uid="{00000000-0005-0000-0000-00003C770000}"/>
    <cellStyle name="Normal 2 5 2 2 47 2 2 2" xfId="30694" xr:uid="{00000000-0005-0000-0000-00003D770000}"/>
    <cellStyle name="Normal 2 5 2 2 47 2 2 3" xfId="30695" xr:uid="{00000000-0005-0000-0000-00003E770000}"/>
    <cellStyle name="Normal 2 5 2 2 47 2 3" xfId="30696" xr:uid="{00000000-0005-0000-0000-00003F770000}"/>
    <cellStyle name="Normal 2 5 2 2 47 2 4" xfId="30697" xr:uid="{00000000-0005-0000-0000-000040770000}"/>
    <cellStyle name="Normal 2 5 2 2 47 3" xfId="30698" xr:uid="{00000000-0005-0000-0000-000041770000}"/>
    <cellStyle name="Normal 2 5 2 2 47 3 2" xfId="30699" xr:uid="{00000000-0005-0000-0000-000042770000}"/>
    <cellStyle name="Normal 2 5 2 2 47 3 3" xfId="30700" xr:uid="{00000000-0005-0000-0000-000043770000}"/>
    <cellStyle name="Normal 2 5 2 2 47 4" xfId="30701" xr:uid="{00000000-0005-0000-0000-000044770000}"/>
    <cellStyle name="Normal 2 5 2 2 48" xfId="30702" xr:uid="{00000000-0005-0000-0000-000045770000}"/>
    <cellStyle name="Normal 2 5 2 2 48 2" xfId="30703" xr:uid="{00000000-0005-0000-0000-000046770000}"/>
    <cellStyle name="Normal 2 5 2 2 48 2 2" xfId="30704" xr:uid="{00000000-0005-0000-0000-000047770000}"/>
    <cellStyle name="Normal 2 5 2 2 48 2 2 2" xfId="30705" xr:uid="{00000000-0005-0000-0000-000048770000}"/>
    <cellStyle name="Normal 2 5 2 2 48 2 2 3" xfId="30706" xr:uid="{00000000-0005-0000-0000-000049770000}"/>
    <cellStyle name="Normal 2 5 2 2 48 2 3" xfId="30707" xr:uid="{00000000-0005-0000-0000-00004A770000}"/>
    <cellStyle name="Normal 2 5 2 2 48 2 4" xfId="30708" xr:uid="{00000000-0005-0000-0000-00004B770000}"/>
    <cellStyle name="Normal 2 5 2 2 48 3" xfId="30709" xr:uid="{00000000-0005-0000-0000-00004C770000}"/>
    <cellStyle name="Normal 2 5 2 2 48 3 2" xfId="30710" xr:uid="{00000000-0005-0000-0000-00004D770000}"/>
    <cellStyle name="Normal 2 5 2 2 48 3 3" xfId="30711" xr:uid="{00000000-0005-0000-0000-00004E770000}"/>
    <cellStyle name="Normal 2 5 2 2 48 4" xfId="30712" xr:uid="{00000000-0005-0000-0000-00004F770000}"/>
    <cellStyle name="Normal 2 5 2 2 49" xfId="30713" xr:uid="{00000000-0005-0000-0000-000050770000}"/>
    <cellStyle name="Normal 2 5 2 2 49 2" xfId="30714" xr:uid="{00000000-0005-0000-0000-000051770000}"/>
    <cellStyle name="Normal 2 5 2 2 49 2 2" xfId="30715" xr:uid="{00000000-0005-0000-0000-000052770000}"/>
    <cellStyle name="Normal 2 5 2 2 49 2 2 2" xfId="30716" xr:uid="{00000000-0005-0000-0000-000053770000}"/>
    <cellStyle name="Normal 2 5 2 2 49 2 2 3" xfId="30717" xr:uid="{00000000-0005-0000-0000-000054770000}"/>
    <cellStyle name="Normal 2 5 2 2 49 2 3" xfId="30718" xr:uid="{00000000-0005-0000-0000-000055770000}"/>
    <cellStyle name="Normal 2 5 2 2 49 2 4" xfId="30719" xr:uid="{00000000-0005-0000-0000-000056770000}"/>
    <cellStyle name="Normal 2 5 2 2 49 3" xfId="30720" xr:uid="{00000000-0005-0000-0000-000057770000}"/>
    <cellStyle name="Normal 2 5 2 2 49 3 2" xfId="30721" xr:uid="{00000000-0005-0000-0000-000058770000}"/>
    <cellStyle name="Normal 2 5 2 2 49 3 3" xfId="30722" xr:uid="{00000000-0005-0000-0000-000059770000}"/>
    <cellStyle name="Normal 2 5 2 2 49 4" xfId="30723" xr:uid="{00000000-0005-0000-0000-00005A770000}"/>
    <cellStyle name="Normal 2 5 2 2 5" xfId="30724" xr:uid="{00000000-0005-0000-0000-00005B770000}"/>
    <cellStyle name="Normal 2 5 2 2 5 2" xfId="30725" xr:uid="{00000000-0005-0000-0000-00005C770000}"/>
    <cellStyle name="Normal 2 5 2 2 5 2 2" xfId="30726" xr:uid="{00000000-0005-0000-0000-00005D770000}"/>
    <cellStyle name="Normal 2 5 2 2 5 2 2 2" xfId="30727" xr:uid="{00000000-0005-0000-0000-00005E770000}"/>
    <cellStyle name="Normal 2 5 2 2 5 2 2 3" xfId="30728" xr:uid="{00000000-0005-0000-0000-00005F770000}"/>
    <cellStyle name="Normal 2 5 2 2 5 2 3" xfId="30729" xr:uid="{00000000-0005-0000-0000-000060770000}"/>
    <cellStyle name="Normal 2 5 2 2 5 2 4" xfId="30730" xr:uid="{00000000-0005-0000-0000-000061770000}"/>
    <cellStyle name="Normal 2 5 2 2 5 3" xfId="30731" xr:uid="{00000000-0005-0000-0000-000062770000}"/>
    <cellStyle name="Normal 2 5 2 2 5 3 2" xfId="30732" xr:uid="{00000000-0005-0000-0000-000063770000}"/>
    <cellStyle name="Normal 2 5 2 2 5 3 3" xfId="30733" xr:uid="{00000000-0005-0000-0000-000064770000}"/>
    <cellStyle name="Normal 2 5 2 2 5 4" xfId="30734" xr:uid="{00000000-0005-0000-0000-000065770000}"/>
    <cellStyle name="Normal 2 5 2 2 50" xfId="30735" xr:uid="{00000000-0005-0000-0000-000066770000}"/>
    <cellStyle name="Normal 2 5 2 2 50 2" xfId="30736" xr:uid="{00000000-0005-0000-0000-000067770000}"/>
    <cellStyle name="Normal 2 5 2 2 50 2 2" xfId="30737" xr:uid="{00000000-0005-0000-0000-000068770000}"/>
    <cellStyle name="Normal 2 5 2 2 50 2 2 2" xfId="30738" xr:uid="{00000000-0005-0000-0000-000069770000}"/>
    <cellStyle name="Normal 2 5 2 2 50 2 2 3" xfId="30739" xr:uid="{00000000-0005-0000-0000-00006A770000}"/>
    <cellStyle name="Normal 2 5 2 2 50 2 3" xfId="30740" xr:uid="{00000000-0005-0000-0000-00006B770000}"/>
    <cellStyle name="Normal 2 5 2 2 50 2 4" xfId="30741" xr:uid="{00000000-0005-0000-0000-00006C770000}"/>
    <cellStyle name="Normal 2 5 2 2 50 3" xfId="30742" xr:uid="{00000000-0005-0000-0000-00006D770000}"/>
    <cellStyle name="Normal 2 5 2 2 50 3 2" xfId="30743" xr:uid="{00000000-0005-0000-0000-00006E770000}"/>
    <cellStyle name="Normal 2 5 2 2 50 3 3" xfId="30744" xr:uid="{00000000-0005-0000-0000-00006F770000}"/>
    <cellStyle name="Normal 2 5 2 2 50 4" xfId="30745" xr:uid="{00000000-0005-0000-0000-000070770000}"/>
    <cellStyle name="Normal 2 5 2 2 51" xfId="30746" xr:uid="{00000000-0005-0000-0000-000071770000}"/>
    <cellStyle name="Normal 2 5 2 2 51 2" xfId="30747" xr:uid="{00000000-0005-0000-0000-000072770000}"/>
    <cellStyle name="Normal 2 5 2 2 51 2 2" xfId="30748" xr:uid="{00000000-0005-0000-0000-000073770000}"/>
    <cellStyle name="Normal 2 5 2 2 51 2 2 2" xfId="30749" xr:uid="{00000000-0005-0000-0000-000074770000}"/>
    <cellStyle name="Normal 2 5 2 2 51 2 2 3" xfId="30750" xr:uid="{00000000-0005-0000-0000-000075770000}"/>
    <cellStyle name="Normal 2 5 2 2 51 2 3" xfId="30751" xr:uid="{00000000-0005-0000-0000-000076770000}"/>
    <cellStyle name="Normal 2 5 2 2 51 2 4" xfId="30752" xr:uid="{00000000-0005-0000-0000-000077770000}"/>
    <cellStyle name="Normal 2 5 2 2 51 3" xfId="30753" xr:uid="{00000000-0005-0000-0000-000078770000}"/>
    <cellStyle name="Normal 2 5 2 2 51 3 2" xfId="30754" xr:uid="{00000000-0005-0000-0000-000079770000}"/>
    <cellStyle name="Normal 2 5 2 2 51 3 3" xfId="30755" xr:uid="{00000000-0005-0000-0000-00007A770000}"/>
    <cellStyle name="Normal 2 5 2 2 51 4" xfId="30756" xr:uid="{00000000-0005-0000-0000-00007B770000}"/>
    <cellStyle name="Normal 2 5 2 2 52" xfId="30757" xr:uid="{00000000-0005-0000-0000-00007C770000}"/>
    <cellStyle name="Normal 2 5 2 2 52 2" xfId="30758" xr:uid="{00000000-0005-0000-0000-00007D770000}"/>
    <cellStyle name="Normal 2 5 2 2 52 2 2" xfId="30759" xr:uid="{00000000-0005-0000-0000-00007E770000}"/>
    <cellStyle name="Normal 2 5 2 2 52 2 2 2" xfId="30760" xr:uid="{00000000-0005-0000-0000-00007F770000}"/>
    <cellStyle name="Normal 2 5 2 2 52 2 2 3" xfId="30761" xr:uid="{00000000-0005-0000-0000-000080770000}"/>
    <cellStyle name="Normal 2 5 2 2 52 2 3" xfId="30762" xr:uid="{00000000-0005-0000-0000-000081770000}"/>
    <cellStyle name="Normal 2 5 2 2 52 2 4" xfId="30763" xr:uid="{00000000-0005-0000-0000-000082770000}"/>
    <cellStyle name="Normal 2 5 2 2 52 3" xfId="30764" xr:uid="{00000000-0005-0000-0000-000083770000}"/>
    <cellStyle name="Normal 2 5 2 2 52 3 2" xfId="30765" xr:uid="{00000000-0005-0000-0000-000084770000}"/>
    <cellStyle name="Normal 2 5 2 2 52 3 3" xfId="30766" xr:uid="{00000000-0005-0000-0000-000085770000}"/>
    <cellStyle name="Normal 2 5 2 2 52 4" xfId="30767" xr:uid="{00000000-0005-0000-0000-000086770000}"/>
    <cellStyle name="Normal 2 5 2 2 53" xfId="30768" xr:uid="{00000000-0005-0000-0000-000087770000}"/>
    <cellStyle name="Normal 2 5 2 2 53 2" xfId="30769" xr:uid="{00000000-0005-0000-0000-000088770000}"/>
    <cellStyle name="Normal 2 5 2 2 53 2 2" xfId="30770" xr:uid="{00000000-0005-0000-0000-000089770000}"/>
    <cellStyle name="Normal 2 5 2 2 53 2 2 2" xfId="30771" xr:uid="{00000000-0005-0000-0000-00008A770000}"/>
    <cellStyle name="Normal 2 5 2 2 53 2 2 3" xfId="30772" xr:uid="{00000000-0005-0000-0000-00008B770000}"/>
    <cellStyle name="Normal 2 5 2 2 53 2 3" xfId="30773" xr:uid="{00000000-0005-0000-0000-00008C770000}"/>
    <cellStyle name="Normal 2 5 2 2 53 2 4" xfId="30774" xr:uid="{00000000-0005-0000-0000-00008D770000}"/>
    <cellStyle name="Normal 2 5 2 2 53 3" xfId="30775" xr:uid="{00000000-0005-0000-0000-00008E770000}"/>
    <cellStyle name="Normal 2 5 2 2 53 3 2" xfId="30776" xr:uid="{00000000-0005-0000-0000-00008F770000}"/>
    <cellStyle name="Normal 2 5 2 2 53 3 3" xfId="30777" xr:uid="{00000000-0005-0000-0000-000090770000}"/>
    <cellStyle name="Normal 2 5 2 2 53 4" xfId="30778" xr:uid="{00000000-0005-0000-0000-000091770000}"/>
    <cellStyle name="Normal 2 5 2 2 54" xfId="30779" xr:uid="{00000000-0005-0000-0000-000092770000}"/>
    <cellStyle name="Normal 2 5 2 2 54 2" xfId="30780" xr:uid="{00000000-0005-0000-0000-000093770000}"/>
    <cellStyle name="Normal 2 5 2 2 54 2 2" xfId="30781" xr:uid="{00000000-0005-0000-0000-000094770000}"/>
    <cellStyle name="Normal 2 5 2 2 54 2 2 2" xfId="30782" xr:uid="{00000000-0005-0000-0000-000095770000}"/>
    <cellStyle name="Normal 2 5 2 2 54 2 2 3" xfId="30783" xr:uid="{00000000-0005-0000-0000-000096770000}"/>
    <cellStyle name="Normal 2 5 2 2 54 2 3" xfId="30784" xr:uid="{00000000-0005-0000-0000-000097770000}"/>
    <cellStyle name="Normal 2 5 2 2 54 2 4" xfId="30785" xr:uid="{00000000-0005-0000-0000-000098770000}"/>
    <cellStyle name="Normal 2 5 2 2 54 3" xfId="30786" xr:uid="{00000000-0005-0000-0000-000099770000}"/>
    <cellStyle name="Normal 2 5 2 2 54 3 2" xfId="30787" xr:uid="{00000000-0005-0000-0000-00009A770000}"/>
    <cellStyle name="Normal 2 5 2 2 54 3 3" xfId="30788" xr:uid="{00000000-0005-0000-0000-00009B770000}"/>
    <cellStyle name="Normal 2 5 2 2 54 4" xfId="30789" xr:uid="{00000000-0005-0000-0000-00009C770000}"/>
    <cellStyle name="Normal 2 5 2 2 55" xfId="30790" xr:uid="{00000000-0005-0000-0000-00009D770000}"/>
    <cellStyle name="Normal 2 5 2 2 55 2" xfId="30791" xr:uid="{00000000-0005-0000-0000-00009E770000}"/>
    <cellStyle name="Normal 2 5 2 2 55 2 2" xfId="30792" xr:uid="{00000000-0005-0000-0000-00009F770000}"/>
    <cellStyle name="Normal 2 5 2 2 55 2 2 2" xfId="30793" xr:uid="{00000000-0005-0000-0000-0000A0770000}"/>
    <cellStyle name="Normal 2 5 2 2 55 2 2 3" xfId="30794" xr:uid="{00000000-0005-0000-0000-0000A1770000}"/>
    <cellStyle name="Normal 2 5 2 2 55 2 3" xfId="30795" xr:uid="{00000000-0005-0000-0000-0000A2770000}"/>
    <cellStyle name="Normal 2 5 2 2 55 2 4" xfId="30796" xr:uid="{00000000-0005-0000-0000-0000A3770000}"/>
    <cellStyle name="Normal 2 5 2 2 55 3" xfId="30797" xr:uid="{00000000-0005-0000-0000-0000A4770000}"/>
    <cellStyle name="Normal 2 5 2 2 55 3 2" xfId="30798" xr:uid="{00000000-0005-0000-0000-0000A5770000}"/>
    <cellStyle name="Normal 2 5 2 2 55 3 3" xfId="30799" xr:uid="{00000000-0005-0000-0000-0000A6770000}"/>
    <cellStyle name="Normal 2 5 2 2 55 4" xfId="30800" xr:uid="{00000000-0005-0000-0000-0000A7770000}"/>
    <cellStyle name="Normal 2 5 2 2 56" xfId="30801" xr:uid="{00000000-0005-0000-0000-0000A8770000}"/>
    <cellStyle name="Normal 2 5 2 2 56 2" xfId="30802" xr:uid="{00000000-0005-0000-0000-0000A9770000}"/>
    <cellStyle name="Normal 2 5 2 2 56 2 2" xfId="30803" xr:uid="{00000000-0005-0000-0000-0000AA770000}"/>
    <cellStyle name="Normal 2 5 2 2 56 2 3" xfId="30804" xr:uid="{00000000-0005-0000-0000-0000AB770000}"/>
    <cellStyle name="Normal 2 5 2 2 56 3" xfId="30805" xr:uid="{00000000-0005-0000-0000-0000AC770000}"/>
    <cellStyle name="Normal 2 5 2 2 56 4" xfId="30806" xr:uid="{00000000-0005-0000-0000-0000AD770000}"/>
    <cellStyle name="Normal 2 5 2 2 57" xfId="30807" xr:uid="{00000000-0005-0000-0000-0000AE770000}"/>
    <cellStyle name="Normal 2 5 2 2 57 2" xfId="30808" xr:uid="{00000000-0005-0000-0000-0000AF770000}"/>
    <cellStyle name="Normal 2 5 2 2 57 3" xfId="30809" xr:uid="{00000000-0005-0000-0000-0000B0770000}"/>
    <cellStyle name="Normal 2 5 2 2 58" xfId="30810" xr:uid="{00000000-0005-0000-0000-0000B1770000}"/>
    <cellStyle name="Normal 2 5 2 2 6" xfId="30811" xr:uid="{00000000-0005-0000-0000-0000B2770000}"/>
    <cellStyle name="Normal 2 5 2 2 6 2" xfId="30812" xr:uid="{00000000-0005-0000-0000-0000B3770000}"/>
    <cellStyle name="Normal 2 5 2 2 6 2 2" xfId="30813" xr:uid="{00000000-0005-0000-0000-0000B4770000}"/>
    <cellStyle name="Normal 2 5 2 2 6 2 2 2" xfId="30814" xr:uid="{00000000-0005-0000-0000-0000B5770000}"/>
    <cellStyle name="Normal 2 5 2 2 6 2 2 3" xfId="30815" xr:uid="{00000000-0005-0000-0000-0000B6770000}"/>
    <cellStyle name="Normal 2 5 2 2 6 2 3" xfId="30816" xr:uid="{00000000-0005-0000-0000-0000B7770000}"/>
    <cellStyle name="Normal 2 5 2 2 6 2 4" xfId="30817" xr:uid="{00000000-0005-0000-0000-0000B8770000}"/>
    <cellStyle name="Normal 2 5 2 2 6 3" xfId="30818" xr:uid="{00000000-0005-0000-0000-0000B9770000}"/>
    <cellStyle name="Normal 2 5 2 2 6 3 2" xfId="30819" xr:uid="{00000000-0005-0000-0000-0000BA770000}"/>
    <cellStyle name="Normal 2 5 2 2 6 3 3" xfId="30820" xr:uid="{00000000-0005-0000-0000-0000BB770000}"/>
    <cellStyle name="Normal 2 5 2 2 6 4" xfId="30821" xr:uid="{00000000-0005-0000-0000-0000BC770000}"/>
    <cellStyle name="Normal 2 5 2 2 7" xfId="30822" xr:uid="{00000000-0005-0000-0000-0000BD770000}"/>
    <cellStyle name="Normal 2 5 2 2 7 2" xfId="30823" xr:uid="{00000000-0005-0000-0000-0000BE770000}"/>
    <cellStyle name="Normal 2 5 2 2 7 2 2" xfId="30824" xr:uid="{00000000-0005-0000-0000-0000BF770000}"/>
    <cellStyle name="Normal 2 5 2 2 7 2 2 2" xfId="30825" xr:uid="{00000000-0005-0000-0000-0000C0770000}"/>
    <cellStyle name="Normal 2 5 2 2 7 2 2 3" xfId="30826" xr:uid="{00000000-0005-0000-0000-0000C1770000}"/>
    <cellStyle name="Normal 2 5 2 2 7 2 3" xfId="30827" xr:uid="{00000000-0005-0000-0000-0000C2770000}"/>
    <cellStyle name="Normal 2 5 2 2 7 2 4" xfId="30828" xr:uid="{00000000-0005-0000-0000-0000C3770000}"/>
    <cellStyle name="Normal 2 5 2 2 7 3" xfId="30829" xr:uid="{00000000-0005-0000-0000-0000C4770000}"/>
    <cellStyle name="Normal 2 5 2 2 7 3 2" xfId="30830" xr:uid="{00000000-0005-0000-0000-0000C5770000}"/>
    <cellStyle name="Normal 2 5 2 2 7 3 3" xfId="30831" xr:uid="{00000000-0005-0000-0000-0000C6770000}"/>
    <cellStyle name="Normal 2 5 2 2 7 4" xfId="30832" xr:uid="{00000000-0005-0000-0000-0000C7770000}"/>
    <cellStyle name="Normal 2 5 2 2 8" xfId="30833" xr:uid="{00000000-0005-0000-0000-0000C8770000}"/>
    <cellStyle name="Normal 2 5 2 2 8 2" xfId="30834" xr:uid="{00000000-0005-0000-0000-0000C9770000}"/>
    <cellStyle name="Normal 2 5 2 2 8 2 2" xfId="30835" xr:uid="{00000000-0005-0000-0000-0000CA770000}"/>
    <cellStyle name="Normal 2 5 2 2 8 2 2 2" xfId="30836" xr:uid="{00000000-0005-0000-0000-0000CB770000}"/>
    <cellStyle name="Normal 2 5 2 2 8 2 2 3" xfId="30837" xr:uid="{00000000-0005-0000-0000-0000CC770000}"/>
    <cellStyle name="Normal 2 5 2 2 8 2 3" xfId="30838" xr:uid="{00000000-0005-0000-0000-0000CD770000}"/>
    <cellStyle name="Normal 2 5 2 2 8 2 4" xfId="30839" xr:uid="{00000000-0005-0000-0000-0000CE770000}"/>
    <cellStyle name="Normal 2 5 2 2 8 3" xfId="30840" xr:uid="{00000000-0005-0000-0000-0000CF770000}"/>
    <cellStyle name="Normal 2 5 2 2 8 3 2" xfId="30841" xr:uid="{00000000-0005-0000-0000-0000D0770000}"/>
    <cellStyle name="Normal 2 5 2 2 8 3 3" xfId="30842" xr:uid="{00000000-0005-0000-0000-0000D1770000}"/>
    <cellStyle name="Normal 2 5 2 2 8 4" xfId="30843" xr:uid="{00000000-0005-0000-0000-0000D2770000}"/>
    <cellStyle name="Normal 2 5 2 2 9" xfId="30844" xr:uid="{00000000-0005-0000-0000-0000D3770000}"/>
    <cellStyle name="Normal 2 5 2 2 9 2" xfId="30845" xr:uid="{00000000-0005-0000-0000-0000D4770000}"/>
    <cellStyle name="Normal 2 5 2 2 9 2 2" xfId="30846" xr:uid="{00000000-0005-0000-0000-0000D5770000}"/>
    <cellStyle name="Normal 2 5 2 2 9 2 2 2" xfId="30847" xr:uid="{00000000-0005-0000-0000-0000D6770000}"/>
    <cellStyle name="Normal 2 5 2 2 9 2 2 3" xfId="30848" xr:uid="{00000000-0005-0000-0000-0000D7770000}"/>
    <cellStyle name="Normal 2 5 2 2 9 2 3" xfId="30849" xr:uid="{00000000-0005-0000-0000-0000D8770000}"/>
    <cellStyle name="Normal 2 5 2 2 9 2 4" xfId="30850" xr:uid="{00000000-0005-0000-0000-0000D9770000}"/>
    <cellStyle name="Normal 2 5 2 2 9 3" xfId="30851" xr:uid="{00000000-0005-0000-0000-0000DA770000}"/>
    <cellStyle name="Normal 2 5 2 2 9 3 2" xfId="30852" xr:uid="{00000000-0005-0000-0000-0000DB770000}"/>
    <cellStyle name="Normal 2 5 2 2 9 3 3" xfId="30853" xr:uid="{00000000-0005-0000-0000-0000DC770000}"/>
    <cellStyle name="Normal 2 5 2 2 9 4" xfId="30854" xr:uid="{00000000-0005-0000-0000-0000DD770000}"/>
    <cellStyle name="Normal 2 5 2 20" xfId="30855" xr:uid="{00000000-0005-0000-0000-0000DE770000}"/>
    <cellStyle name="Normal 2 5 2 20 2" xfId="30856" xr:uid="{00000000-0005-0000-0000-0000DF770000}"/>
    <cellStyle name="Normal 2 5 2 20 2 2" xfId="30857" xr:uid="{00000000-0005-0000-0000-0000E0770000}"/>
    <cellStyle name="Normal 2 5 2 20 2 2 2" xfId="30858" xr:uid="{00000000-0005-0000-0000-0000E1770000}"/>
    <cellStyle name="Normal 2 5 2 20 2 2 3" xfId="30859" xr:uid="{00000000-0005-0000-0000-0000E2770000}"/>
    <cellStyle name="Normal 2 5 2 20 2 3" xfId="30860" xr:uid="{00000000-0005-0000-0000-0000E3770000}"/>
    <cellStyle name="Normal 2 5 2 20 2 4" xfId="30861" xr:uid="{00000000-0005-0000-0000-0000E4770000}"/>
    <cellStyle name="Normal 2 5 2 20 3" xfId="30862" xr:uid="{00000000-0005-0000-0000-0000E5770000}"/>
    <cellStyle name="Normal 2 5 2 20 3 2" xfId="30863" xr:uid="{00000000-0005-0000-0000-0000E6770000}"/>
    <cellStyle name="Normal 2 5 2 20 3 3" xfId="30864" xr:uid="{00000000-0005-0000-0000-0000E7770000}"/>
    <cellStyle name="Normal 2 5 2 20 4" xfId="30865" xr:uid="{00000000-0005-0000-0000-0000E8770000}"/>
    <cellStyle name="Normal 2 5 2 21" xfId="30866" xr:uid="{00000000-0005-0000-0000-0000E9770000}"/>
    <cellStyle name="Normal 2 5 2 21 2" xfId="30867" xr:uid="{00000000-0005-0000-0000-0000EA770000}"/>
    <cellStyle name="Normal 2 5 2 21 2 2" xfId="30868" xr:uid="{00000000-0005-0000-0000-0000EB770000}"/>
    <cellStyle name="Normal 2 5 2 21 2 2 2" xfId="30869" xr:uid="{00000000-0005-0000-0000-0000EC770000}"/>
    <cellStyle name="Normal 2 5 2 21 2 2 3" xfId="30870" xr:uid="{00000000-0005-0000-0000-0000ED770000}"/>
    <cellStyle name="Normal 2 5 2 21 2 3" xfId="30871" xr:uid="{00000000-0005-0000-0000-0000EE770000}"/>
    <cellStyle name="Normal 2 5 2 21 2 4" xfId="30872" xr:uid="{00000000-0005-0000-0000-0000EF770000}"/>
    <cellStyle name="Normal 2 5 2 21 3" xfId="30873" xr:uid="{00000000-0005-0000-0000-0000F0770000}"/>
    <cellStyle name="Normal 2 5 2 21 3 2" xfId="30874" xr:uid="{00000000-0005-0000-0000-0000F1770000}"/>
    <cellStyle name="Normal 2 5 2 21 3 3" xfId="30875" xr:uid="{00000000-0005-0000-0000-0000F2770000}"/>
    <cellStyle name="Normal 2 5 2 21 4" xfId="30876" xr:uid="{00000000-0005-0000-0000-0000F3770000}"/>
    <cellStyle name="Normal 2 5 2 22" xfId="30877" xr:uid="{00000000-0005-0000-0000-0000F4770000}"/>
    <cellStyle name="Normal 2 5 2 22 2" xfId="30878" xr:uid="{00000000-0005-0000-0000-0000F5770000}"/>
    <cellStyle name="Normal 2 5 2 22 2 2" xfId="30879" xr:uid="{00000000-0005-0000-0000-0000F6770000}"/>
    <cellStyle name="Normal 2 5 2 22 2 2 2" xfId="30880" xr:uid="{00000000-0005-0000-0000-0000F7770000}"/>
    <cellStyle name="Normal 2 5 2 22 2 2 3" xfId="30881" xr:uid="{00000000-0005-0000-0000-0000F8770000}"/>
    <cellStyle name="Normal 2 5 2 22 2 3" xfId="30882" xr:uid="{00000000-0005-0000-0000-0000F9770000}"/>
    <cellStyle name="Normal 2 5 2 22 2 4" xfId="30883" xr:uid="{00000000-0005-0000-0000-0000FA770000}"/>
    <cellStyle name="Normal 2 5 2 22 3" xfId="30884" xr:uid="{00000000-0005-0000-0000-0000FB770000}"/>
    <cellStyle name="Normal 2 5 2 22 3 2" xfId="30885" xr:uid="{00000000-0005-0000-0000-0000FC770000}"/>
    <cellStyle name="Normal 2 5 2 22 3 3" xfId="30886" xr:uid="{00000000-0005-0000-0000-0000FD770000}"/>
    <cellStyle name="Normal 2 5 2 22 4" xfId="30887" xr:uid="{00000000-0005-0000-0000-0000FE770000}"/>
    <cellStyle name="Normal 2 5 2 23" xfId="30888" xr:uid="{00000000-0005-0000-0000-0000FF770000}"/>
    <cellStyle name="Normal 2 5 2 23 2" xfId="30889" xr:uid="{00000000-0005-0000-0000-000000780000}"/>
    <cellStyle name="Normal 2 5 2 23 2 2" xfId="30890" xr:uid="{00000000-0005-0000-0000-000001780000}"/>
    <cellStyle name="Normal 2 5 2 23 2 2 2" xfId="30891" xr:uid="{00000000-0005-0000-0000-000002780000}"/>
    <cellStyle name="Normal 2 5 2 23 2 2 3" xfId="30892" xr:uid="{00000000-0005-0000-0000-000003780000}"/>
    <cellStyle name="Normal 2 5 2 23 2 3" xfId="30893" xr:uid="{00000000-0005-0000-0000-000004780000}"/>
    <cellStyle name="Normal 2 5 2 23 2 4" xfId="30894" xr:uid="{00000000-0005-0000-0000-000005780000}"/>
    <cellStyle name="Normal 2 5 2 23 3" xfId="30895" xr:uid="{00000000-0005-0000-0000-000006780000}"/>
    <cellStyle name="Normal 2 5 2 23 3 2" xfId="30896" xr:uid="{00000000-0005-0000-0000-000007780000}"/>
    <cellStyle name="Normal 2 5 2 23 3 3" xfId="30897" xr:uid="{00000000-0005-0000-0000-000008780000}"/>
    <cellStyle name="Normal 2 5 2 23 4" xfId="30898" xr:uid="{00000000-0005-0000-0000-000009780000}"/>
    <cellStyle name="Normal 2 5 2 24" xfId="30899" xr:uid="{00000000-0005-0000-0000-00000A780000}"/>
    <cellStyle name="Normal 2 5 2 24 2" xfId="30900" xr:uid="{00000000-0005-0000-0000-00000B780000}"/>
    <cellStyle name="Normal 2 5 2 24 2 2" xfId="30901" xr:uid="{00000000-0005-0000-0000-00000C780000}"/>
    <cellStyle name="Normal 2 5 2 24 2 2 2" xfId="30902" xr:uid="{00000000-0005-0000-0000-00000D780000}"/>
    <cellStyle name="Normal 2 5 2 24 2 2 3" xfId="30903" xr:uid="{00000000-0005-0000-0000-00000E780000}"/>
    <cellStyle name="Normal 2 5 2 24 2 3" xfId="30904" xr:uid="{00000000-0005-0000-0000-00000F780000}"/>
    <cellStyle name="Normal 2 5 2 24 2 4" xfId="30905" xr:uid="{00000000-0005-0000-0000-000010780000}"/>
    <cellStyle name="Normal 2 5 2 24 3" xfId="30906" xr:uid="{00000000-0005-0000-0000-000011780000}"/>
    <cellStyle name="Normal 2 5 2 24 3 2" xfId="30907" xr:uid="{00000000-0005-0000-0000-000012780000}"/>
    <cellStyle name="Normal 2 5 2 24 3 3" xfId="30908" xr:uid="{00000000-0005-0000-0000-000013780000}"/>
    <cellStyle name="Normal 2 5 2 24 4" xfId="30909" xr:uid="{00000000-0005-0000-0000-000014780000}"/>
    <cellStyle name="Normal 2 5 2 25" xfId="30910" xr:uid="{00000000-0005-0000-0000-000015780000}"/>
    <cellStyle name="Normal 2 5 2 25 2" xfId="30911" xr:uid="{00000000-0005-0000-0000-000016780000}"/>
    <cellStyle name="Normal 2 5 2 25 2 2" xfId="30912" xr:uid="{00000000-0005-0000-0000-000017780000}"/>
    <cellStyle name="Normal 2 5 2 25 2 2 2" xfId="30913" xr:uid="{00000000-0005-0000-0000-000018780000}"/>
    <cellStyle name="Normal 2 5 2 25 2 2 3" xfId="30914" xr:uid="{00000000-0005-0000-0000-000019780000}"/>
    <cellStyle name="Normal 2 5 2 25 2 3" xfId="30915" xr:uid="{00000000-0005-0000-0000-00001A780000}"/>
    <cellStyle name="Normal 2 5 2 25 2 4" xfId="30916" xr:uid="{00000000-0005-0000-0000-00001B780000}"/>
    <cellStyle name="Normal 2 5 2 25 3" xfId="30917" xr:uid="{00000000-0005-0000-0000-00001C780000}"/>
    <cellStyle name="Normal 2 5 2 25 3 2" xfId="30918" xr:uid="{00000000-0005-0000-0000-00001D780000}"/>
    <cellStyle name="Normal 2 5 2 25 3 3" xfId="30919" xr:uid="{00000000-0005-0000-0000-00001E780000}"/>
    <cellStyle name="Normal 2 5 2 25 4" xfId="30920" xr:uid="{00000000-0005-0000-0000-00001F780000}"/>
    <cellStyle name="Normal 2 5 2 26" xfId="30921" xr:uid="{00000000-0005-0000-0000-000020780000}"/>
    <cellStyle name="Normal 2 5 2 26 2" xfId="30922" xr:uid="{00000000-0005-0000-0000-000021780000}"/>
    <cellStyle name="Normal 2 5 2 26 2 2" xfId="30923" xr:uid="{00000000-0005-0000-0000-000022780000}"/>
    <cellStyle name="Normal 2 5 2 26 2 2 2" xfId="30924" xr:uid="{00000000-0005-0000-0000-000023780000}"/>
    <cellStyle name="Normal 2 5 2 26 2 2 3" xfId="30925" xr:uid="{00000000-0005-0000-0000-000024780000}"/>
    <cellStyle name="Normal 2 5 2 26 2 3" xfId="30926" xr:uid="{00000000-0005-0000-0000-000025780000}"/>
    <cellStyle name="Normal 2 5 2 26 2 4" xfId="30927" xr:uid="{00000000-0005-0000-0000-000026780000}"/>
    <cellStyle name="Normal 2 5 2 26 3" xfId="30928" xr:uid="{00000000-0005-0000-0000-000027780000}"/>
    <cellStyle name="Normal 2 5 2 26 3 2" xfId="30929" xr:uid="{00000000-0005-0000-0000-000028780000}"/>
    <cellStyle name="Normal 2 5 2 26 3 3" xfId="30930" xr:uid="{00000000-0005-0000-0000-000029780000}"/>
    <cellStyle name="Normal 2 5 2 26 4" xfId="30931" xr:uid="{00000000-0005-0000-0000-00002A780000}"/>
    <cellStyle name="Normal 2 5 2 27" xfId="30932" xr:uid="{00000000-0005-0000-0000-00002B780000}"/>
    <cellStyle name="Normal 2 5 2 27 2" xfId="30933" xr:uid="{00000000-0005-0000-0000-00002C780000}"/>
    <cellStyle name="Normal 2 5 2 27 2 2" xfId="30934" xr:uid="{00000000-0005-0000-0000-00002D780000}"/>
    <cellStyle name="Normal 2 5 2 27 2 2 2" xfId="30935" xr:uid="{00000000-0005-0000-0000-00002E780000}"/>
    <cellStyle name="Normal 2 5 2 27 2 2 3" xfId="30936" xr:uid="{00000000-0005-0000-0000-00002F780000}"/>
    <cellStyle name="Normal 2 5 2 27 2 3" xfId="30937" xr:uid="{00000000-0005-0000-0000-000030780000}"/>
    <cellStyle name="Normal 2 5 2 27 2 4" xfId="30938" xr:uid="{00000000-0005-0000-0000-000031780000}"/>
    <cellStyle name="Normal 2 5 2 27 3" xfId="30939" xr:uid="{00000000-0005-0000-0000-000032780000}"/>
    <cellStyle name="Normal 2 5 2 27 3 2" xfId="30940" xr:uid="{00000000-0005-0000-0000-000033780000}"/>
    <cellStyle name="Normal 2 5 2 27 3 3" xfId="30941" xr:uid="{00000000-0005-0000-0000-000034780000}"/>
    <cellStyle name="Normal 2 5 2 27 4" xfId="30942" xr:uid="{00000000-0005-0000-0000-000035780000}"/>
    <cellStyle name="Normal 2 5 2 28" xfId="30943" xr:uid="{00000000-0005-0000-0000-000036780000}"/>
    <cellStyle name="Normal 2 5 2 28 2" xfId="30944" xr:uid="{00000000-0005-0000-0000-000037780000}"/>
    <cellStyle name="Normal 2 5 2 28 2 2" xfId="30945" xr:uid="{00000000-0005-0000-0000-000038780000}"/>
    <cellStyle name="Normal 2 5 2 28 2 2 2" xfId="30946" xr:uid="{00000000-0005-0000-0000-000039780000}"/>
    <cellStyle name="Normal 2 5 2 28 2 2 3" xfId="30947" xr:uid="{00000000-0005-0000-0000-00003A780000}"/>
    <cellStyle name="Normal 2 5 2 28 2 3" xfId="30948" xr:uid="{00000000-0005-0000-0000-00003B780000}"/>
    <cellStyle name="Normal 2 5 2 28 2 4" xfId="30949" xr:uid="{00000000-0005-0000-0000-00003C780000}"/>
    <cellStyle name="Normal 2 5 2 28 3" xfId="30950" xr:uid="{00000000-0005-0000-0000-00003D780000}"/>
    <cellStyle name="Normal 2 5 2 28 3 2" xfId="30951" xr:uid="{00000000-0005-0000-0000-00003E780000}"/>
    <cellStyle name="Normal 2 5 2 28 3 3" xfId="30952" xr:uid="{00000000-0005-0000-0000-00003F780000}"/>
    <cellStyle name="Normal 2 5 2 28 4" xfId="30953" xr:uid="{00000000-0005-0000-0000-000040780000}"/>
    <cellStyle name="Normal 2 5 2 29" xfId="30954" xr:uid="{00000000-0005-0000-0000-000041780000}"/>
    <cellStyle name="Normal 2 5 2 29 2" xfId="30955" xr:uid="{00000000-0005-0000-0000-000042780000}"/>
    <cellStyle name="Normal 2 5 2 29 2 2" xfId="30956" xr:uid="{00000000-0005-0000-0000-000043780000}"/>
    <cellStyle name="Normal 2 5 2 29 2 2 2" xfId="30957" xr:uid="{00000000-0005-0000-0000-000044780000}"/>
    <cellStyle name="Normal 2 5 2 29 2 2 3" xfId="30958" xr:uid="{00000000-0005-0000-0000-000045780000}"/>
    <cellStyle name="Normal 2 5 2 29 2 3" xfId="30959" xr:uid="{00000000-0005-0000-0000-000046780000}"/>
    <cellStyle name="Normal 2 5 2 29 2 4" xfId="30960" xr:uid="{00000000-0005-0000-0000-000047780000}"/>
    <cellStyle name="Normal 2 5 2 29 3" xfId="30961" xr:uid="{00000000-0005-0000-0000-000048780000}"/>
    <cellStyle name="Normal 2 5 2 29 3 2" xfId="30962" xr:uid="{00000000-0005-0000-0000-000049780000}"/>
    <cellStyle name="Normal 2 5 2 29 3 3" xfId="30963" xr:uid="{00000000-0005-0000-0000-00004A780000}"/>
    <cellStyle name="Normal 2 5 2 29 4" xfId="30964" xr:uid="{00000000-0005-0000-0000-00004B780000}"/>
    <cellStyle name="Normal 2 5 2 3" xfId="30965" xr:uid="{00000000-0005-0000-0000-00004C780000}"/>
    <cellStyle name="Normal 2 5 2 3 2" xfId="30966" xr:uid="{00000000-0005-0000-0000-00004D780000}"/>
    <cellStyle name="Normal 2 5 2 3 2 2" xfId="30967" xr:uid="{00000000-0005-0000-0000-00004E780000}"/>
    <cellStyle name="Normal 2 5 2 3 2 2 2" xfId="30968" xr:uid="{00000000-0005-0000-0000-00004F780000}"/>
    <cellStyle name="Normal 2 5 2 3 2 2 3" xfId="30969" xr:uid="{00000000-0005-0000-0000-000050780000}"/>
    <cellStyle name="Normal 2 5 2 3 2 3" xfId="30970" xr:uid="{00000000-0005-0000-0000-000051780000}"/>
    <cellStyle name="Normal 2 5 2 3 2 4" xfId="30971" xr:uid="{00000000-0005-0000-0000-000052780000}"/>
    <cellStyle name="Normal 2 5 2 3 3" xfId="30972" xr:uid="{00000000-0005-0000-0000-000053780000}"/>
    <cellStyle name="Normal 2 5 2 3 3 2" xfId="30973" xr:uid="{00000000-0005-0000-0000-000054780000}"/>
    <cellStyle name="Normal 2 5 2 3 3 3" xfId="30974" xr:uid="{00000000-0005-0000-0000-000055780000}"/>
    <cellStyle name="Normal 2 5 2 3 4" xfId="30975" xr:uid="{00000000-0005-0000-0000-000056780000}"/>
    <cellStyle name="Normal 2 5 2 30" xfId="30976" xr:uid="{00000000-0005-0000-0000-000057780000}"/>
    <cellStyle name="Normal 2 5 2 30 2" xfId="30977" xr:uid="{00000000-0005-0000-0000-000058780000}"/>
    <cellStyle name="Normal 2 5 2 30 2 2" xfId="30978" xr:uid="{00000000-0005-0000-0000-000059780000}"/>
    <cellStyle name="Normal 2 5 2 30 2 2 2" xfId="30979" xr:uid="{00000000-0005-0000-0000-00005A780000}"/>
    <cellStyle name="Normal 2 5 2 30 2 2 3" xfId="30980" xr:uid="{00000000-0005-0000-0000-00005B780000}"/>
    <cellStyle name="Normal 2 5 2 30 2 3" xfId="30981" xr:uid="{00000000-0005-0000-0000-00005C780000}"/>
    <cellStyle name="Normal 2 5 2 30 2 4" xfId="30982" xr:uid="{00000000-0005-0000-0000-00005D780000}"/>
    <cellStyle name="Normal 2 5 2 30 3" xfId="30983" xr:uid="{00000000-0005-0000-0000-00005E780000}"/>
    <cellStyle name="Normal 2 5 2 30 3 2" xfId="30984" xr:uid="{00000000-0005-0000-0000-00005F780000}"/>
    <cellStyle name="Normal 2 5 2 30 3 3" xfId="30985" xr:uid="{00000000-0005-0000-0000-000060780000}"/>
    <cellStyle name="Normal 2 5 2 30 4" xfId="30986" xr:uid="{00000000-0005-0000-0000-000061780000}"/>
    <cellStyle name="Normal 2 5 2 31" xfId="30987" xr:uid="{00000000-0005-0000-0000-000062780000}"/>
    <cellStyle name="Normal 2 5 2 31 2" xfId="30988" xr:uid="{00000000-0005-0000-0000-000063780000}"/>
    <cellStyle name="Normal 2 5 2 31 2 2" xfId="30989" xr:uid="{00000000-0005-0000-0000-000064780000}"/>
    <cellStyle name="Normal 2 5 2 31 2 2 2" xfId="30990" xr:uid="{00000000-0005-0000-0000-000065780000}"/>
    <cellStyle name="Normal 2 5 2 31 2 2 3" xfId="30991" xr:uid="{00000000-0005-0000-0000-000066780000}"/>
    <cellStyle name="Normal 2 5 2 31 2 3" xfId="30992" xr:uid="{00000000-0005-0000-0000-000067780000}"/>
    <cellStyle name="Normal 2 5 2 31 2 4" xfId="30993" xr:uid="{00000000-0005-0000-0000-000068780000}"/>
    <cellStyle name="Normal 2 5 2 31 3" xfId="30994" xr:uid="{00000000-0005-0000-0000-000069780000}"/>
    <cellStyle name="Normal 2 5 2 31 3 2" xfId="30995" xr:uid="{00000000-0005-0000-0000-00006A780000}"/>
    <cellStyle name="Normal 2 5 2 31 3 3" xfId="30996" xr:uid="{00000000-0005-0000-0000-00006B780000}"/>
    <cellStyle name="Normal 2 5 2 31 4" xfId="30997" xr:uid="{00000000-0005-0000-0000-00006C780000}"/>
    <cellStyle name="Normal 2 5 2 32" xfId="30998" xr:uid="{00000000-0005-0000-0000-00006D780000}"/>
    <cellStyle name="Normal 2 5 2 32 2" xfId="30999" xr:uid="{00000000-0005-0000-0000-00006E780000}"/>
    <cellStyle name="Normal 2 5 2 32 2 2" xfId="31000" xr:uid="{00000000-0005-0000-0000-00006F780000}"/>
    <cellStyle name="Normal 2 5 2 32 2 2 2" xfId="31001" xr:uid="{00000000-0005-0000-0000-000070780000}"/>
    <cellStyle name="Normal 2 5 2 32 2 2 3" xfId="31002" xr:uid="{00000000-0005-0000-0000-000071780000}"/>
    <cellStyle name="Normal 2 5 2 32 2 3" xfId="31003" xr:uid="{00000000-0005-0000-0000-000072780000}"/>
    <cellStyle name="Normal 2 5 2 32 2 4" xfId="31004" xr:uid="{00000000-0005-0000-0000-000073780000}"/>
    <cellStyle name="Normal 2 5 2 32 3" xfId="31005" xr:uid="{00000000-0005-0000-0000-000074780000}"/>
    <cellStyle name="Normal 2 5 2 32 3 2" xfId="31006" xr:uid="{00000000-0005-0000-0000-000075780000}"/>
    <cellStyle name="Normal 2 5 2 32 3 3" xfId="31007" xr:uid="{00000000-0005-0000-0000-000076780000}"/>
    <cellStyle name="Normal 2 5 2 32 4" xfId="31008" xr:uid="{00000000-0005-0000-0000-000077780000}"/>
    <cellStyle name="Normal 2 5 2 33" xfId="31009" xr:uid="{00000000-0005-0000-0000-000078780000}"/>
    <cellStyle name="Normal 2 5 2 33 2" xfId="31010" xr:uid="{00000000-0005-0000-0000-000079780000}"/>
    <cellStyle name="Normal 2 5 2 33 2 2" xfId="31011" xr:uid="{00000000-0005-0000-0000-00007A780000}"/>
    <cellStyle name="Normal 2 5 2 33 2 2 2" xfId="31012" xr:uid="{00000000-0005-0000-0000-00007B780000}"/>
    <cellStyle name="Normal 2 5 2 33 2 2 3" xfId="31013" xr:uid="{00000000-0005-0000-0000-00007C780000}"/>
    <cellStyle name="Normal 2 5 2 33 2 3" xfId="31014" xr:uid="{00000000-0005-0000-0000-00007D780000}"/>
    <cellStyle name="Normal 2 5 2 33 2 4" xfId="31015" xr:uid="{00000000-0005-0000-0000-00007E780000}"/>
    <cellStyle name="Normal 2 5 2 33 3" xfId="31016" xr:uid="{00000000-0005-0000-0000-00007F780000}"/>
    <cellStyle name="Normal 2 5 2 33 3 2" xfId="31017" xr:uid="{00000000-0005-0000-0000-000080780000}"/>
    <cellStyle name="Normal 2 5 2 33 3 3" xfId="31018" xr:uid="{00000000-0005-0000-0000-000081780000}"/>
    <cellStyle name="Normal 2 5 2 33 4" xfId="31019" xr:uid="{00000000-0005-0000-0000-000082780000}"/>
    <cellStyle name="Normal 2 5 2 34" xfId="31020" xr:uid="{00000000-0005-0000-0000-000083780000}"/>
    <cellStyle name="Normal 2 5 2 34 2" xfId="31021" xr:uid="{00000000-0005-0000-0000-000084780000}"/>
    <cellStyle name="Normal 2 5 2 34 2 2" xfId="31022" xr:uid="{00000000-0005-0000-0000-000085780000}"/>
    <cellStyle name="Normal 2 5 2 34 2 3" xfId="31023" xr:uid="{00000000-0005-0000-0000-000086780000}"/>
    <cellStyle name="Normal 2 5 2 34 3" xfId="31024" xr:uid="{00000000-0005-0000-0000-000087780000}"/>
    <cellStyle name="Normal 2 5 2 34 4" xfId="31025" xr:uid="{00000000-0005-0000-0000-000088780000}"/>
    <cellStyle name="Normal 2 5 2 35" xfId="31026" xr:uid="{00000000-0005-0000-0000-000089780000}"/>
    <cellStyle name="Normal 2 5 2 35 2" xfId="31027" xr:uid="{00000000-0005-0000-0000-00008A780000}"/>
    <cellStyle name="Normal 2 5 2 35 3" xfId="31028" xr:uid="{00000000-0005-0000-0000-00008B780000}"/>
    <cellStyle name="Normal 2 5 2 36" xfId="31029" xr:uid="{00000000-0005-0000-0000-00008C780000}"/>
    <cellStyle name="Normal 2 5 2 37" xfId="31030" xr:uid="{00000000-0005-0000-0000-00008D780000}"/>
    <cellStyle name="Normal 2 5 2 4" xfId="31031" xr:uid="{00000000-0005-0000-0000-00008E780000}"/>
    <cellStyle name="Normal 2 5 2 4 2" xfId="31032" xr:uid="{00000000-0005-0000-0000-00008F780000}"/>
    <cellStyle name="Normal 2 5 2 4 2 2" xfId="31033" xr:uid="{00000000-0005-0000-0000-000090780000}"/>
    <cellStyle name="Normal 2 5 2 4 2 2 2" xfId="31034" xr:uid="{00000000-0005-0000-0000-000091780000}"/>
    <cellStyle name="Normal 2 5 2 4 2 2 3" xfId="31035" xr:uid="{00000000-0005-0000-0000-000092780000}"/>
    <cellStyle name="Normal 2 5 2 4 2 3" xfId="31036" xr:uid="{00000000-0005-0000-0000-000093780000}"/>
    <cellStyle name="Normal 2 5 2 4 2 4" xfId="31037" xr:uid="{00000000-0005-0000-0000-000094780000}"/>
    <cellStyle name="Normal 2 5 2 4 3" xfId="31038" xr:uid="{00000000-0005-0000-0000-000095780000}"/>
    <cellStyle name="Normal 2 5 2 4 3 2" xfId="31039" xr:uid="{00000000-0005-0000-0000-000096780000}"/>
    <cellStyle name="Normal 2 5 2 4 3 3" xfId="31040" xr:uid="{00000000-0005-0000-0000-000097780000}"/>
    <cellStyle name="Normal 2 5 2 4 4" xfId="31041" xr:uid="{00000000-0005-0000-0000-000098780000}"/>
    <cellStyle name="Normal 2 5 2 5" xfId="31042" xr:uid="{00000000-0005-0000-0000-000099780000}"/>
    <cellStyle name="Normal 2 5 2 5 2" xfId="31043" xr:uid="{00000000-0005-0000-0000-00009A780000}"/>
    <cellStyle name="Normal 2 5 2 5 2 2" xfId="31044" xr:uid="{00000000-0005-0000-0000-00009B780000}"/>
    <cellStyle name="Normal 2 5 2 5 2 2 2" xfId="31045" xr:uid="{00000000-0005-0000-0000-00009C780000}"/>
    <cellStyle name="Normal 2 5 2 5 2 2 3" xfId="31046" xr:uid="{00000000-0005-0000-0000-00009D780000}"/>
    <cellStyle name="Normal 2 5 2 5 2 3" xfId="31047" xr:uid="{00000000-0005-0000-0000-00009E780000}"/>
    <cellStyle name="Normal 2 5 2 5 2 4" xfId="31048" xr:uid="{00000000-0005-0000-0000-00009F780000}"/>
    <cellStyle name="Normal 2 5 2 5 3" xfId="31049" xr:uid="{00000000-0005-0000-0000-0000A0780000}"/>
    <cellStyle name="Normal 2 5 2 5 3 2" xfId="31050" xr:uid="{00000000-0005-0000-0000-0000A1780000}"/>
    <cellStyle name="Normal 2 5 2 5 3 3" xfId="31051" xr:uid="{00000000-0005-0000-0000-0000A2780000}"/>
    <cellStyle name="Normal 2 5 2 5 4" xfId="31052" xr:uid="{00000000-0005-0000-0000-0000A3780000}"/>
    <cellStyle name="Normal 2 5 2 6" xfId="31053" xr:uid="{00000000-0005-0000-0000-0000A4780000}"/>
    <cellStyle name="Normal 2 5 2 6 2" xfId="31054" xr:uid="{00000000-0005-0000-0000-0000A5780000}"/>
    <cellStyle name="Normal 2 5 2 6 2 2" xfId="31055" xr:uid="{00000000-0005-0000-0000-0000A6780000}"/>
    <cellStyle name="Normal 2 5 2 6 2 2 2" xfId="31056" xr:uid="{00000000-0005-0000-0000-0000A7780000}"/>
    <cellStyle name="Normal 2 5 2 6 2 2 3" xfId="31057" xr:uid="{00000000-0005-0000-0000-0000A8780000}"/>
    <cellStyle name="Normal 2 5 2 6 2 3" xfId="31058" xr:uid="{00000000-0005-0000-0000-0000A9780000}"/>
    <cellStyle name="Normal 2 5 2 6 2 4" xfId="31059" xr:uid="{00000000-0005-0000-0000-0000AA780000}"/>
    <cellStyle name="Normal 2 5 2 6 3" xfId="31060" xr:uid="{00000000-0005-0000-0000-0000AB780000}"/>
    <cellStyle name="Normal 2 5 2 6 3 2" xfId="31061" xr:uid="{00000000-0005-0000-0000-0000AC780000}"/>
    <cellStyle name="Normal 2 5 2 6 3 3" xfId="31062" xr:uid="{00000000-0005-0000-0000-0000AD780000}"/>
    <cellStyle name="Normal 2 5 2 6 4" xfId="31063" xr:uid="{00000000-0005-0000-0000-0000AE780000}"/>
    <cellStyle name="Normal 2 5 2 7" xfId="31064" xr:uid="{00000000-0005-0000-0000-0000AF780000}"/>
    <cellStyle name="Normal 2 5 2 7 2" xfId="31065" xr:uid="{00000000-0005-0000-0000-0000B0780000}"/>
    <cellStyle name="Normal 2 5 2 7 2 2" xfId="31066" xr:uid="{00000000-0005-0000-0000-0000B1780000}"/>
    <cellStyle name="Normal 2 5 2 7 2 2 2" xfId="31067" xr:uid="{00000000-0005-0000-0000-0000B2780000}"/>
    <cellStyle name="Normal 2 5 2 7 2 2 3" xfId="31068" xr:uid="{00000000-0005-0000-0000-0000B3780000}"/>
    <cellStyle name="Normal 2 5 2 7 2 3" xfId="31069" xr:uid="{00000000-0005-0000-0000-0000B4780000}"/>
    <cellStyle name="Normal 2 5 2 7 2 4" xfId="31070" xr:uid="{00000000-0005-0000-0000-0000B5780000}"/>
    <cellStyle name="Normal 2 5 2 7 3" xfId="31071" xr:uid="{00000000-0005-0000-0000-0000B6780000}"/>
    <cellStyle name="Normal 2 5 2 7 3 2" xfId="31072" xr:uid="{00000000-0005-0000-0000-0000B7780000}"/>
    <cellStyle name="Normal 2 5 2 7 3 3" xfId="31073" xr:uid="{00000000-0005-0000-0000-0000B8780000}"/>
    <cellStyle name="Normal 2 5 2 7 4" xfId="31074" xr:uid="{00000000-0005-0000-0000-0000B9780000}"/>
    <cellStyle name="Normal 2 5 2 8" xfId="31075" xr:uid="{00000000-0005-0000-0000-0000BA780000}"/>
    <cellStyle name="Normal 2 5 2 8 2" xfId="31076" xr:uid="{00000000-0005-0000-0000-0000BB780000}"/>
    <cellStyle name="Normal 2 5 2 8 2 2" xfId="31077" xr:uid="{00000000-0005-0000-0000-0000BC780000}"/>
    <cellStyle name="Normal 2 5 2 8 2 2 2" xfId="31078" xr:uid="{00000000-0005-0000-0000-0000BD780000}"/>
    <cellStyle name="Normal 2 5 2 8 2 2 3" xfId="31079" xr:uid="{00000000-0005-0000-0000-0000BE780000}"/>
    <cellStyle name="Normal 2 5 2 8 2 3" xfId="31080" xr:uid="{00000000-0005-0000-0000-0000BF780000}"/>
    <cellStyle name="Normal 2 5 2 8 2 4" xfId="31081" xr:uid="{00000000-0005-0000-0000-0000C0780000}"/>
    <cellStyle name="Normal 2 5 2 8 3" xfId="31082" xr:uid="{00000000-0005-0000-0000-0000C1780000}"/>
    <cellStyle name="Normal 2 5 2 8 3 2" xfId="31083" xr:uid="{00000000-0005-0000-0000-0000C2780000}"/>
    <cellStyle name="Normal 2 5 2 8 3 3" xfId="31084" xr:uid="{00000000-0005-0000-0000-0000C3780000}"/>
    <cellStyle name="Normal 2 5 2 8 4" xfId="31085" xr:uid="{00000000-0005-0000-0000-0000C4780000}"/>
    <cellStyle name="Normal 2 5 2 9" xfId="31086" xr:uid="{00000000-0005-0000-0000-0000C5780000}"/>
    <cellStyle name="Normal 2 5 2 9 2" xfId="31087" xr:uid="{00000000-0005-0000-0000-0000C6780000}"/>
    <cellStyle name="Normal 2 5 2 9 2 2" xfId="31088" xr:uid="{00000000-0005-0000-0000-0000C7780000}"/>
    <cellStyle name="Normal 2 5 2 9 2 2 2" xfId="31089" xr:uid="{00000000-0005-0000-0000-0000C8780000}"/>
    <cellStyle name="Normal 2 5 2 9 2 2 3" xfId="31090" xr:uid="{00000000-0005-0000-0000-0000C9780000}"/>
    <cellStyle name="Normal 2 5 2 9 2 3" xfId="31091" xr:uid="{00000000-0005-0000-0000-0000CA780000}"/>
    <cellStyle name="Normal 2 5 2 9 2 4" xfId="31092" xr:uid="{00000000-0005-0000-0000-0000CB780000}"/>
    <cellStyle name="Normal 2 5 2 9 3" xfId="31093" xr:uid="{00000000-0005-0000-0000-0000CC780000}"/>
    <cellStyle name="Normal 2 5 2 9 3 2" xfId="31094" xr:uid="{00000000-0005-0000-0000-0000CD780000}"/>
    <cellStyle name="Normal 2 5 2 9 3 3" xfId="31095" xr:uid="{00000000-0005-0000-0000-0000CE780000}"/>
    <cellStyle name="Normal 2 5 2 9 4" xfId="31096" xr:uid="{00000000-0005-0000-0000-0000CF780000}"/>
    <cellStyle name="Normal 2 5 20" xfId="31097" xr:uid="{00000000-0005-0000-0000-0000D0780000}"/>
    <cellStyle name="Normal 2 5 20 2" xfId="31098" xr:uid="{00000000-0005-0000-0000-0000D1780000}"/>
    <cellStyle name="Normal 2 5 20 2 2" xfId="31099" xr:uid="{00000000-0005-0000-0000-0000D2780000}"/>
    <cellStyle name="Normal 2 5 20 2 2 2" xfId="31100" xr:uid="{00000000-0005-0000-0000-0000D3780000}"/>
    <cellStyle name="Normal 2 5 20 2 2 3" xfId="31101" xr:uid="{00000000-0005-0000-0000-0000D4780000}"/>
    <cellStyle name="Normal 2 5 20 2 3" xfId="31102" xr:uid="{00000000-0005-0000-0000-0000D5780000}"/>
    <cellStyle name="Normal 2 5 20 2 4" xfId="31103" xr:uid="{00000000-0005-0000-0000-0000D6780000}"/>
    <cellStyle name="Normal 2 5 20 3" xfId="31104" xr:uid="{00000000-0005-0000-0000-0000D7780000}"/>
    <cellStyle name="Normal 2 5 20 3 2" xfId="31105" xr:uid="{00000000-0005-0000-0000-0000D8780000}"/>
    <cellStyle name="Normal 2 5 20 3 3" xfId="31106" xr:uid="{00000000-0005-0000-0000-0000D9780000}"/>
    <cellStyle name="Normal 2 5 20 4" xfId="31107" xr:uid="{00000000-0005-0000-0000-0000DA780000}"/>
    <cellStyle name="Normal 2 5 21" xfId="31108" xr:uid="{00000000-0005-0000-0000-0000DB780000}"/>
    <cellStyle name="Normal 2 5 21 2" xfId="31109" xr:uid="{00000000-0005-0000-0000-0000DC780000}"/>
    <cellStyle name="Normal 2 5 21 2 2" xfId="31110" xr:uid="{00000000-0005-0000-0000-0000DD780000}"/>
    <cellStyle name="Normal 2 5 21 2 2 2" xfId="31111" xr:uid="{00000000-0005-0000-0000-0000DE780000}"/>
    <cellStyle name="Normal 2 5 21 2 2 3" xfId="31112" xr:uid="{00000000-0005-0000-0000-0000DF780000}"/>
    <cellStyle name="Normal 2 5 21 2 3" xfId="31113" xr:uid="{00000000-0005-0000-0000-0000E0780000}"/>
    <cellStyle name="Normal 2 5 21 2 4" xfId="31114" xr:uid="{00000000-0005-0000-0000-0000E1780000}"/>
    <cellStyle name="Normal 2 5 21 3" xfId="31115" xr:uid="{00000000-0005-0000-0000-0000E2780000}"/>
    <cellStyle name="Normal 2 5 21 3 2" xfId="31116" xr:uid="{00000000-0005-0000-0000-0000E3780000}"/>
    <cellStyle name="Normal 2 5 21 3 3" xfId="31117" xr:uid="{00000000-0005-0000-0000-0000E4780000}"/>
    <cellStyle name="Normal 2 5 21 4" xfId="31118" xr:uid="{00000000-0005-0000-0000-0000E5780000}"/>
    <cellStyle name="Normal 2 5 22" xfId="31119" xr:uid="{00000000-0005-0000-0000-0000E6780000}"/>
    <cellStyle name="Normal 2 5 22 2" xfId="31120" xr:uid="{00000000-0005-0000-0000-0000E7780000}"/>
    <cellStyle name="Normal 2 5 22 2 2" xfId="31121" xr:uid="{00000000-0005-0000-0000-0000E8780000}"/>
    <cellStyle name="Normal 2 5 22 2 2 2" xfId="31122" xr:uid="{00000000-0005-0000-0000-0000E9780000}"/>
    <cellStyle name="Normal 2 5 22 2 2 3" xfId="31123" xr:uid="{00000000-0005-0000-0000-0000EA780000}"/>
    <cellStyle name="Normal 2 5 22 2 3" xfId="31124" xr:uid="{00000000-0005-0000-0000-0000EB780000}"/>
    <cellStyle name="Normal 2 5 22 2 4" xfId="31125" xr:uid="{00000000-0005-0000-0000-0000EC780000}"/>
    <cellStyle name="Normal 2 5 22 3" xfId="31126" xr:uid="{00000000-0005-0000-0000-0000ED780000}"/>
    <cellStyle name="Normal 2 5 22 3 2" xfId="31127" xr:uid="{00000000-0005-0000-0000-0000EE780000}"/>
    <cellStyle name="Normal 2 5 22 3 3" xfId="31128" xr:uid="{00000000-0005-0000-0000-0000EF780000}"/>
    <cellStyle name="Normal 2 5 22 4" xfId="31129" xr:uid="{00000000-0005-0000-0000-0000F0780000}"/>
    <cellStyle name="Normal 2 5 23" xfId="31130" xr:uid="{00000000-0005-0000-0000-0000F1780000}"/>
    <cellStyle name="Normal 2 5 23 2" xfId="31131" xr:uid="{00000000-0005-0000-0000-0000F2780000}"/>
    <cellStyle name="Normal 2 5 23 2 2" xfId="31132" xr:uid="{00000000-0005-0000-0000-0000F3780000}"/>
    <cellStyle name="Normal 2 5 23 2 2 2" xfId="31133" xr:uid="{00000000-0005-0000-0000-0000F4780000}"/>
    <cellStyle name="Normal 2 5 23 2 2 3" xfId="31134" xr:uid="{00000000-0005-0000-0000-0000F5780000}"/>
    <cellStyle name="Normal 2 5 23 2 3" xfId="31135" xr:uid="{00000000-0005-0000-0000-0000F6780000}"/>
    <cellStyle name="Normal 2 5 23 2 4" xfId="31136" xr:uid="{00000000-0005-0000-0000-0000F7780000}"/>
    <cellStyle name="Normal 2 5 23 3" xfId="31137" xr:uid="{00000000-0005-0000-0000-0000F8780000}"/>
    <cellStyle name="Normal 2 5 23 3 2" xfId="31138" xr:uid="{00000000-0005-0000-0000-0000F9780000}"/>
    <cellStyle name="Normal 2 5 23 3 3" xfId="31139" xr:uid="{00000000-0005-0000-0000-0000FA780000}"/>
    <cellStyle name="Normal 2 5 23 4" xfId="31140" xr:uid="{00000000-0005-0000-0000-0000FB780000}"/>
    <cellStyle name="Normal 2 5 24" xfId="31141" xr:uid="{00000000-0005-0000-0000-0000FC780000}"/>
    <cellStyle name="Normal 2 5 24 2" xfId="31142" xr:uid="{00000000-0005-0000-0000-0000FD780000}"/>
    <cellStyle name="Normal 2 5 24 2 2" xfId="31143" xr:uid="{00000000-0005-0000-0000-0000FE780000}"/>
    <cellStyle name="Normal 2 5 24 2 2 2" xfId="31144" xr:uid="{00000000-0005-0000-0000-0000FF780000}"/>
    <cellStyle name="Normal 2 5 24 2 2 3" xfId="31145" xr:uid="{00000000-0005-0000-0000-000000790000}"/>
    <cellStyle name="Normal 2 5 24 2 3" xfId="31146" xr:uid="{00000000-0005-0000-0000-000001790000}"/>
    <cellStyle name="Normal 2 5 24 2 4" xfId="31147" xr:uid="{00000000-0005-0000-0000-000002790000}"/>
    <cellStyle name="Normal 2 5 24 3" xfId="31148" xr:uid="{00000000-0005-0000-0000-000003790000}"/>
    <cellStyle name="Normal 2 5 24 3 2" xfId="31149" xr:uid="{00000000-0005-0000-0000-000004790000}"/>
    <cellStyle name="Normal 2 5 24 3 3" xfId="31150" xr:uid="{00000000-0005-0000-0000-000005790000}"/>
    <cellStyle name="Normal 2 5 24 4" xfId="31151" xr:uid="{00000000-0005-0000-0000-000006790000}"/>
    <cellStyle name="Normal 2 5 25" xfId="31152" xr:uid="{00000000-0005-0000-0000-000007790000}"/>
    <cellStyle name="Normal 2 5 25 2" xfId="31153" xr:uid="{00000000-0005-0000-0000-000008790000}"/>
    <cellStyle name="Normal 2 5 25 2 2" xfId="31154" xr:uid="{00000000-0005-0000-0000-000009790000}"/>
    <cellStyle name="Normal 2 5 25 2 2 2" xfId="31155" xr:uid="{00000000-0005-0000-0000-00000A790000}"/>
    <cellStyle name="Normal 2 5 25 2 2 3" xfId="31156" xr:uid="{00000000-0005-0000-0000-00000B790000}"/>
    <cellStyle name="Normal 2 5 25 2 3" xfId="31157" xr:uid="{00000000-0005-0000-0000-00000C790000}"/>
    <cellStyle name="Normal 2 5 25 2 4" xfId="31158" xr:uid="{00000000-0005-0000-0000-00000D790000}"/>
    <cellStyle name="Normal 2 5 25 3" xfId="31159" xr:uid="{00000000-0005-0000-0000-00000E790000}"/>
    <cellStyle name="Normal 2 5 25 3 2" xfId="31160" xr:uid="{00000000-0005-0000-0000-00000F790000}"/>
    <cellStyle name="Normal 2 5 25 3 3" xfId="31161" xr:uid="{00000000-0005-0000-0000-000010790000}"/>
    <cellStyle name="Normal 2 5 25 4" xfId="31162" xr:uid="{00000000-0005-0000-0000-000011790000}"/>
    <cellStyle name="Normal 2 5 26" xfId="31163" xr:uid="{00000000-0005-0000-0000-000012790000}"/>
    <cellStyle name="Normal 2 5 26 2" xfId="31164" xr:uid="{00000000-0005-0000-0000-000013790000}"/>
    <cellStyle name="Normal 2 5 26 2 2" xfId="31165" xr:uid="{00000000-0005-0000-0000-000014790000}"/>
    <cellStyle name="Normal 2 5 26 2 2 2" xfId="31166" xr:uid="{00000000-0005-0000-0000-000015790000}"/>
    <cellStyle name="Normal 2 5 26 2 2 3" xfId="31167" xr:uid="{00000000-0005-0000-0000-000016790000}"/>
    <cellStyle name="Normal 2 5 26 2 3" xfId="31168" xr:uid="{00000000-0005-0000-0000-000017790000}"/>
    <cellStyle name="Normal 2 5 26 2 4" xfId="31169" xr:uid="{00000000-0005-0000-0000-000018790000}"/>
    <cellStyle name="Normal 2 5 26 3" xfId="31170" xr:uid="{00000000-0005-0000-0000-000019790000}"/>
    <cellStyle name="Normal 2 5 26 3 2" xfId="31171" xr:uid="{00000000-0005-0000-0000-00001A790000}"/>
    <cellStyle name="Normal 2 5 26 3 3" xfId="31172" xr:uid="{00000000-0005-0000-0000-00001B790000}"/>
    <cellStyle name="Normal 2 5 26 4" xfId="31173" xr:uid="{00000000-0005-0000-0000-00001C790000}"/>
    <cellStyle name="Normal 2 5 27" xfId="31174" xr:uid="{00000000-0005-0000-0000-00001D790000}"/>
    <cellStyle name="Normal 2 5 27 2" xfId="31175" xr:uid="{00000000-0005-0000-0000-00001E790000}"/>
    <cellStyle name="Normal 2 5 27 2 2" xfId="31176" xr:uid="{00000000-0005-0000-0000-00001F790000}"/>
    <cellStyle name="Normal 2 5 27 2 2 2" xfId="31177" xr:uid="{00000000-0005-0000-0000-000020790000}"/>
    <cellStyle name="Normal 2 5 27 2 2 3" xfId="31178" xr:uid="{00000000-0005-0000-0000-000021790000}"/>
    <cellStyle name="Normal 2 5 27 2 3" xfId="31179" xr:uid="{00000000-0005-0000-0000-000022790000}"/>
    <cellStyle name="Normal 2 5 27 2 4" xfId="31180" xr:uid="{00000000-0005-0000-0000-000023790000}"/>
    <cellStyle name="Normal 2 5 27 3" xfId="31181" xr:uid="{00000000-0005-0000-0000-000024790000}"/>
    <cellStyle name="Normal 2 5 27 3 2" xfId="31182" xr:uid="{00000000-0005-0000-0000-000025790000}"/>
    <cellStyle name="Normal 2 5 27 3 3" xfId="31183" xr:uid="{00000000-0005-0000-0000-000026790000}"/>
    <cellStyle name="Normal 2 5 27 4" xfId="31184" xr:uid="{00000000-0005-0000-0000-000027790000}"/>
    <cellStyle name="Normal 2 5 28" xfId="31185" xr:uid="{00000000-0005-0000-0000-000028790000}"/>
    <cellStyle name="Normal 2 5 28 2" xfId="31186" xr:uid="{00000000-0005-0000-0000-000029790000}"/>
    <cellStyle name="Normal 2 5 28 2 2" xfId="31187" xr:uid="{00000000-0005-0000-0000-00002A790000}"/>
    <cellStyle name="Normal 2 5 28 2 2 2" xfId="31188" xr:uid="{00000000-0005-0000-0000-00002B790000}"/>
    <cellStyle name="Normal 2 5 28 2 2 3" xfId="31189" xr:uid="{00000000-0005-0000-0000-00002C790000}"/>
    <cellStyle name="Normal 2 5 28 2 3" xfId="31190" xr:uid="{00000000-0005-0000-0000-00002D790000}"/>
    <cellStyle name="Normal 2 5 28 2 4" xfId="31191" xr:uid="{00000000-0005-0000-0000-00002E790000}"/>
    <cellStyle name="Normal 2 5 28 3" xfId="31192" xr:uid="{00000000-0005-0000-0000-00002F790000}"/>
    <cellStyle name="Normal 2 5 28 3 2" xfId="31193" xr:uid="{00000000-0005-0000-0000-000030790000}"/>
    <cellStyle name="Normal 2 5 28 3 3" xfId="31194" xr:uid="{00000000-0005-0000-0000-000031790000}"/>
    <cellStyle name="Normal 2 5 28 4" xfId="31195" xr:uid="{00000000-0005-0000-0000-000032790000}"/>
    <cellStyle name="Normal 2 5 29" xfId="31196" xr:uid="{00000000-0005-0000-0000-000033790000}"/>
    <cellStyle name="Normal 2 5 29 2" xfId="31197" xr:uid="{00000000-0005-0000-0000-000034790000}"/>
    <cellStyle name="Normal 2 5 29 2 2" xfId="31198" xr:uid="{00000000-0005-0000-0000-000035790000}"/>
    <cellStyle name="Normal 2 5 29 2 2 2" xfId="31199" xr:uid="{00000000-0005-0000-0000-000036790000}"/>
    <cellStyle name="Normal 2 5 29 2 2 3" xfId="31200" xr:uid="{00000000-0005-0000-0000-000037790000}"/>
    <cellStyle name="Normal 2 5 29 2 3" xfId="31201" xr:uid="{00000000-0005-0000-0000-000038790000}"/>
    <cellStyle name="Normal 2 5 29 2 4" xfId="31202" xr:uid="{00000000-0005-0000-0000-000039790000}"/>
    <cellStyle name="Normal 2 5 29 3" xfId="31203" xr:uid="{00000000-0005-0000-0000-00003A790000}"/>
    <cellStyle name="Normal 2 5 29 3 2" xfId="31204" xr:uid="{00000000-0005-0000-0000-00003B790000}"/>
    <cellStyle name="Normal 2 5 29 3 3" xfId="31205" xr:uid="{00000000-0005-0000-0000-00003C790000}"/>
    <cellStyle name="Normal 2 5 29 4" xfId="31206" xr:uid="{00000000-0005-0000-0000-00003D790000}"/>
    <cellStyle name="Normal 2 5 3" xfId="31207" xr:uid="{00000000-0005-0000-0000-00003E790000}"/>
    <cellStyle name="Normal 2 5 3 2" xfId="31208" xr:uid="{00000000-0005-0000-0000-00003F790000}"/>
    <cellStyle name="Normal 2 5 3 2 2" xfId="31209" xr:uid="{00000000-0005-0000-0000-000040790000}"/>
    <cellStyle name="Normal 2 5 3 2 2 2" xfId="31210" xr:uid="{00000000-0005-0000-0000-000041790000}"/>
    <cellStyle name="Normal 2 5 3 2 2 3" xfId="31211" xr:uid="{00000000-0005-0000-0000-000042790000}"/>
    <cellStyle name="Normal 2 5 3 2 3" xfId="31212" xr:uid="{00000000-0005-0000-0000-000043790000}"/>
    <cellStyle name="Normal 2 5 3 2 4" xfId="31213" xr:uid="{00000000-0005-0000-0000-000044790000}"/>
    <cellStyle name="Normal 2 5 3 3" xfId="31214" xr:uid="{00000000-0005-0000-0000-000045790000}"/>
    <cellStyle name="Normal 2 5 3 3 2" xfId="31215" xr:uid="{00000000-0005-0000-0000-000046790000}"/>
    <cellStyle name="Normal 2 5 3 3 3" xfId="31216" xr:uid="{00000000-0005-0000-0000-000047790000}"/>
    <cellStyle name="Normal 2 5 3 4" xfId="31217" xr:uid="{00000000-0005-0000-0000-000048790000}"/>
    <cellStyle name="Normal 2 5 30" xfId="31218" xr:uid="{00000000-0005-0000-0000-000049790000}"/>
    <cellStyle name="Normal 2 5 30 2" xfId="31219" xr:uid="{00000000-0005-0000-0000-00004A790000}"/>
    <cellStyle name="Normal 2 5 30 2 2" xfId="31220" xr:uid="{00000000-0005-0000-0000-00004B790000}"/>
    <cellStyle name="Normal 2 5 30 2 2 2" xfId="31221" xr:uid="{00000000-0005-0000-0000-00004C790000}"/>
    <cellStyle name="Normal 2 5 30 2 2 3" xfId="31222" xr:uid="{00000000-0005-0000-0000-00004D790000}"/>
    <cellStyle name="Normal 2 5 30 2 3" xfId="31223" xr:uid="{00000000-0005-0000-0000-00004E790000}"/>
    <cellStyle name="Normal 2 5 30 2 4" xfId="31224" xr:uid="{00000000-0005-0000-0000-00004F790000}"/>
    <cellStyle name="Normal 2 5 30 3" xfId="31225" xr:uid="{00000000-0005-0000-0000-000050790000}"/>
    <cellStyle name="Normal 2 5 30 3 2" xfId="31226" xr:uid="{00000000-0005-0000-0000-000051790000}"/>
    <cellStyle name="Normal 2 5 30 3 3" xfId="31227" xr:uid="{00000000-0005-0000-0000-000052790000}"/>
    <cellStyle name="Normal 2 5 30 4" xfId="31228" xr:uid="{00000000-0005-0000-0000-000053790000}"/>
    <cellStyle name="Normal 2 5 31" xfId="31229" xr:uid="{00000000-0005-0000-0000-000054790000}"/>
    <cellStyle name="Normal 2 5 31 2" xfId="31230" xr:uid="{00000000-0005-0000-0000-000055790000}"/>
    <cellStyle name="Normal 2 5 31 2 2" xfId="31231" xr:uid="{00000000-0005-0000-0000-000056790000}"/>
    <cellStyle name="Normal 2 5 31 2 2 2" xfId="31232" xr:uid="{00000000-0005-0000-0000-000057790000}"/>
    <cellStyle name="Normal 2 5 31 2 2 3" xfId="31233" xr:uid="{00000000-0005-0000-0000-000058790000}"/>
    <cellStyle name="Normal 2 5 31 2 3" xfId="31234" xr:uid="{00000000-0005-0000-0000-000059790000}"/>
    <cellStyle name="Normal 2 5 31 2 4" xfId="31235" xr:uid="{00000000-0005-0000-0000-00005A790000}"/>
    <cellStyle name="Normal 2 5 31 3" xfId="31236" xr:uid="{00000000-0005-0000-0000-00005B790000}"/>
    <cellStyle name="Normal 2 5 31 3 2" xfId="31237" xr:uid="{00000000-0005-0000-0000-00005C790000}"/>
    <cellStyle name="Normal 2 5 31 3 3" xfId="31238" xr:uid="{00000000-0005-0000-0000-00005D790000}"/>
    <cellStyle name="Normal 2 5 31 4" xfId="31239" xr:uid="{00000000-0005-0000-0000-00005E790000}"/>
    <cellStyle name="Normal 2 5 32" xfId="31240" xr:uid="{00000000-0005-0000-0000-00005F790000}"/>
    <cellStyle name="Normal 2 5 32 2" xfId="31241" xr:uid="{00000000-0005-0000-0000-000060790000}"/>
    <cellStyle name="Normal 2 5 32 2 2" xfId="31242" xr:uid="{00000000-0005-0000-0000-000061790000}"/>
    <cellStyle name="Normal 2 5 32 2 2 2" xfId="31243" xr:uid="{00000000-0005-0000-0000-000062790000}"/>
    <cellStyle name="Normal 2 5 32 2 2 3" xfId="31244" xr:uid="{00000000-0005-0000-0000-000063790000}"/>
    <cellStyle name="Normal 2 5 32 2 3" xfId="31245" xr:uid="{00000000-0005-0000-0000-000064790000}"/>
    <cellStyle name="Normal 2 5 32 2 4" xfId="31246" xr:uid="{00000000-0005-0000-0000-000065790000}"/>
    <cellStyle name="Normal 2 5 32 3" xfId="31247" xr:uid="{00000000-0005-0000-0000-000066790000}"/>
    <cellStyle name="Normal 2 5 32 3 2" xfId="31248" xr:uid="{00000000-0005-0000-0000-000067790000}"/>
    <cellStyle name="Normal 2 5 32 3 3" xfId="31249" xr:uid="{00000000-0005-0000-0000-000068790000}"/>
    <cellStyle name="Normal 2 5 32 4" xfId="31250" xr:uid="{00000000-0005-0000-0000-000069790000}"/>
    <cellStyle name="Normal 2 5 33" xfId="31251" xr:uid="{00000000-0005-0000-0000-00006A790000}"/>
    <cellStyle name="Normal 2 5 33 2" xfId="31252" xr:uid="{00000000-0005-0000-0000-00006B790000}"/>
    <cellStyle name="Normal 2 5 33 2 2" xfId="31253" xr:uid="{00000000-0005-0000-0000-00006C790000}"/>
    <cellStyle name="Normal 2 5 33 2 2 2" xfId="31254" xr:uid="{00000000-0005-0000-0000-00006D790000}"/>
    <cellStyle name="Normal 2 5 33 2 2 3" xfId="31255" xr:uid="{00000000-0005-0000-0000-00006E790000}"/>
    <cellStyle name="Normal 2 5 33 2 3" xfId="31256" xr:uid="{00000000-0005-0000-0000-00006F790000}"/>
    <cellStyle name="Normal 2 5 33 2 4" xfId="31257" xr:uid="{00000000-0005-0000-0000-000070790000}"/>
    <cellStyle name="Normal 2 5 33 3" xfId="31258" xr:uid="{00000000-0005-0000-0000-000071790000}"/>
    <cellStyle name="Normal 2 5 33 3 2" xfId="31259" xr:uid="{00000000-0005-0000-0000-000072790000}"/>
    <cellStyle name="Normal 2 5 33 3 3" xfId="31260" xr:uid="{00000000-0005-0000-0000-000073790000}"/>
    <cellStyle name="Normal 2 5 33 4" xfId="31261" xr:uid="{00000000-0005-0000-0000-000074790000}"/>
    <cellStyle name="Normal 2 5 34" xfId="31262" xr:uid="{00000000-0005-0000-0000-000075790000}"/>
    <cellStyle name="Normal 2 5 34 2" xfId="31263" xr:uid="{00000000-0005-0000-0000-000076790000}"/>
    <cellStyle name="Normal 2 5 34 2 2" xfId="31264" xr:uid="{00000000-0005-0000-0000-000077790000}"/>
    <cellStyle name="Normal 2 5 34 2 2 2" xfId="31265" xr:uid="{00000000-0005-0000-0000-000078790000}"/>
    <cellStyle name="Normal 2 5 34 2 2 3" xfId="31266" xr:uid="{00000000-0005-0000-0000-000079790000}"/>
    <cellStyle name="Normal 2 5 34 2 3" xfId="31267" xr:uid="{00000000-0005-0000-0000-00007A790000}"/>
    <cellStyle name="Normal 2 5 34 2 4" xfId="31268" xr:uid="{00000000-0005-0000-0000-00007B790000}"/>
    <cellStyle name="Normal 2 5 34 3" xfId="31269" xr:uid="{00000000-0005-0000-0000-00007C790000}"/>
    <cellStyle name="Normal 2 5 34 3 2" xfId="31270" xr:uid="{00000000-0005-0000-0000-00007D790000}"/>
    <cellStyle name="Normal 2 5 34 3 3" xfId="31271" xr:uid="{00000000-0005-0000-0000-00007E790000}"/>
    <cellStyle name="Normal 2 5 34 4" xfId="31272" xr:uid="{00000000-0005-0000-0000-00007F790000}"/>
    <cellStyle name="Normal 2 5 35" xfId="31273" xr:uid="{00000000-0005-0000-0000-000080790000}"/>
    <cellStyle name="Normal 2 5 35 2" xfId="31274" xr:uid="{00000000-0005-0000-0000-000081790000}"/>
    <cellStyle name="Normal 2 5 35 2 2" xfId="31275" xr:uid="{00000000-0005-0000-0000-000082790000}"/>
    <cellStyle name="Normal 2 5 35 2 2 2" xfId="31276" xr:uid="{00000000-0005-0000-0000-000083790000}"/>
    <cellStyle name="Normal 2 5 35 2 2 3" xfId="31277" xr:uid="{00000000-0005-0000-0000-000084790000}"/>
    <cellStyle name="Normal 2 5 35 2 3" xfId="31278" xr:uid="{00000000-0005-0000-0000-000085790000}"/>
    <cellStyle name="Normal 2 5 35 2 4" xfId="31279" xr:uid="{00000000-0005-0000-0000-000086790000}"/>
    <cellStyle name="Normal 2 5 35 3" xfId="31280" xr:uid="{00000000-0005-0000-0000-000087790000}"/>
    <cellStyle name="Normal 2 5 35 3 2" xfId="31281" xr:uid="{00000000-0005-0000-0000-000088790000}"/>
    <cellStyle name="Normal 2 5 35 3 3" xfId="31282" xr:uid="{00000000-0005-0000-0000-000089790000}"/>
    <cellStyle name="Normal 2 5 35 4" xfId="31283" xr:uid="{00000000-0005-0000-0000-00008A790000}"/>
    <cellStyle name="Normal 2 5 36" xfId="31284" xr:uid="{00000000-0005-0000-0000-00008B790000}"/>
    <cellStyle name="Normal 2 5 36 2" xfId="31285" xr:uid="{00000000-0005-0000-0000-00008C790000}"/>
    <cellStyle name="Normal 2 5 36 2 2" xfId="31286" xr:uid="{00000000-0005-0000-0000-00008D790000}"/>
    <cellStyle name="Normal 2 5 36 2 2 2" xfId="31287" xr:uid="{00000000-0005-0000-0000-00008E790000}"/>
    <cellStyle name="Normal 2 5 36 2 2 3" xfId="31288" xr:uid="{00000000-0005-0000-0000-00008F790000}"/>
    <cellStyle name="Normal 2 5 36 2 3" xfId="31289" xr:uid="{00000000-0005-0000-0000-000090790000}"/>
    <cellStyle name="Normal 2 5 36 2 4" xfId="31290" xr:uid="{00000000-0005-0000-0000-000091790000}"/>
    <cellStyle name="Normal 2 5 36 3" xfId="31291" xr:uid="{00000000-0005-0000-0000-000092790000}"/>
    <cellStyle name="Normal 2 5 36 3 2" xfId="31292" xr:uid="{00000000-0005-0000-0000-000093790000}"/>
    <cellStyle name="Normal 2 5 36 3 3" xfId="31293" xr:uid="{00000000-0005-0000-0000-000094790000}"/>
    <cellStyle name="Normal 2 5 36 4" xfId="31294" xr:uid="{00000000-0005-0000-0000-000095790000}"/>
    <cellStyle name="Normal 2 5 37" xfId="31295" xr:uid="{00000000-0005-0000-0000-000096790000}"/>
    <cellStyle name="Normal 2 5 37 2" xfId="31296" xr:uid="{00000000-0005-0000-0000-000097790000}"/>
    <cellStyle name="Normal 2 5 37 2 2" xfId="31297" xr:uid="{00000000-0005-0000-0000-000098790000}"/>
    <cellStyle name="Normal 2 5 37 2 2 2" xfId="31298" xr:uid="{00000000-0005-0000-0000-000099790000}"/>
    <cellStyle name="Normal 2 5 37 2 2 3" xfId="31299" xr:uid="{00000000-0005-0000-0000-00009A790000}"/>
    <cellStyle name="Normal 2 5 37 2 3" xfId="31300" xr:uid="{00000000-0005-0000-0000-00009B790000}"/>
    <cellStyle name="Normal 2 5 37 2 4" xfId="31301" xr:uid="{00000000-0005-0000-0000-00009C790000}"/>
    <cellStyle name="Normal 2 5 37 3" xfId="31302" xr:uid="{00000000-0005-0000-0000-00009D790000}"/>
    <cellStyle name="Normal 2 5 37 3 2" xfId="31303" xr:uid="{00000000-0005-0000-0000-00009E790000}"/>
    <cellStyle name="Normal 2 5 37 3 3" xfId="31304" xr:uid="{00000000-0005-0000-0000-00009F790000}"/>
    <cellStyle name="Normal 2 5 37 4" xfId="31305" xr:uid="{00000000-0005-0000-0000-0000A0790000}"/>
    <cellStyle name="Normal 2 5 38" xfId="31306" xr:uid="{00000000-0005-0000-0000-0000A1790000}"/>
    <cellStyle name="Normal 2 5 38 2" xfId="31307" xr:uid="{00000000-0005-0000-0000-0000A2790000}"/>
    <cellStyle name="Normal 2 5 38 2 2" xfId="31308" xr:uid="{00000000-0005-0000-0000-0000A3790000}"/>
    <cellStyle name="Normal 2 5 38 2 2 2" xfId="31309" xr:uid="{00000000-0005-0000-0000-0000A4790000}"/>
    <cellStyle name="Normal 2 5 38 2 2 3" xfId="31310" xr:uid="{00000000-0005-0000-0000-0000A5790000}"/>
    <cellStyle name="Normal 2 5 38 2 3" xfId="31311" xr:uid="{00000000-0005-0000-0000-0000A6790000}"/>
    <cellStyle name="Normal 2 5 38 2 4" xfId="31312" xr:uid="{00000000-0005-0000-0000-0000A7790000}"/>
    <cellStyle name="Normal 2 5 38 3" xfId="31313" xr:uid="{00000000-0005-0000-0000-0000A8790000}"/>
    <cellStyle name="Normal 2 5 38 3 2" xfId="31314" xr:uid="{00000000-0005-0000-0000-0000A9790000}"/>
    <cellStyle name="Normal 2 5 38 3 3" xfId="31315" xr:uid="{00000000-0005-0000-0000-0000AA790000}"/>
    <cellStyle name="Normal 2 5 38 4" xfId="31316" xr:uid="{00000000-0005-0000-0000-0000AB790000}"/>
    <cellStyle name="Normal 2 5 39" xfId="31317" xr:uid="{00000000-0005-0000-0000-0000AC790000}"/>
    <cellStyle name="Normal 2 5 39 2" xfId="31318" xr:uid="{00000000-0005-0000-0000-0000AD790000}"/>
    <cellStyle name="Normal 2 5 39 2 2" xfId="31319" xr:uid="{00000000-0005-0000-0000-0000AE790000}"/>
    <cellStyle name="Normal 2 5 39 2 2 2" xfId="31320" xr:uid="{00000000-0005-0000-0000-0000AF790000}"/>
    <cellStyle name="Normal 2 5 39 2 2 3" xfId="31321" xr:uid="{00000000-0005-0000-0000-0000B0790000}"/>
    <cellStyle name="Normal 2 5 39 2 3" xfId="31322" xr:uid="{00000000-0005-0000-0000-0000B1790000}"/>
    <cellStyle name="Normal 2 5 39 2 4" xfId="31323" xr:uid="{00000000-0005-0000-0000-0000B2790000}"/>
    <cellStyle name="Normal 2 5 39 3" xfId="31324" xr:uid="{00000000-0005-0000-0000-0000B3790000}"/>
    <cellStyle name="Normal 2 5 39 3 2" xfId="31325" xr:uid="{00000000-0005-0000-0000-0000B4790000}"/>
    <cellStyle name="Normal 2 5 39 3 3" xfId="31326" xr:uid="{00000000-0005-0000-0000-0000B5790000}"/>
    <cellStyle name="Normal 2 5 39 4" xfId="31327" xr:uid="{00000000-0005-0000-0000-0000B6790000}"/>
    <cellStyle name="Normal 2 5 4" xfId="31328" xr:uid="{00000000-0005-0000-0000-0000B7790000}"/>
    <cellStyle name="Normal 2 5 4 2" xfId="31329" xr:uid="{00000000-0005-0000-0000-0000B8790000}"/>
    <cellStyle name="Normal 2 5 4 2 2" xfId="31330" xr:uid="{00000000-0005-0000-0000-0000B9790000}"/>
    <cellStyle name="Normal 2 5 4 2 2 2" xfId="31331" xr:uid="{00000000-0005-0000-0000-0000BA790000}"/>
    <cellStyle name="Normal 2 5 4 2 2 3" xfId="31332" xr:uid="{00000000-0005-0000-0000-0000BB790000}"/>
    <cellStyle name="Normal 2 5 4 2 3" xfId="31333" xr:uid="{00000000-0005-0000-0000-0000BC790000}"/>
    <cellStyle name="Normal 2 5 4 2 4" xfId="31334" xr:uid="{00000000-0005-0000-0000-0000BD790000}"/>
    <cellStyle name="Normal 2 5 4 3" xfId="31335" xr:uid="{00000000-0005-0000-0000-0000BE790000}"/>
    <cellStyle name="Normal 2 5 4 3 2" xfId="31336" xr:uid="{00000000-0005-0000-0000-0000BF790000}"/>
    <cellStyle name="Normal 2 5 4 3 3" xfId="31337" xr:uid="{00000000-0005-0000-0000-0000C0790000}"/>
    <cellStyle name="Normal 2 5 4 4" xfId="31338" xr:uid="{00000000-0005-0000-0000-0000C1790000}"/>
    <cellStyle name="Normal 2 5 40" xfId="31339" xr:uid="{00000000-0005-0000-0000-0000C2790000}"/>
    <cellStyle name="Normal 2 5 40 2" xfId="31340" xr:uid="{00000000-0005-0000-0000-0000C3790000}"/>
    <cellStyle name="Normal 2 5 40 2 2" xfId="31341" xr:uid="{00000000-0005-0000-0000-0000C4790000}"/>
    <cellStyle name="Normal 2 5 40 2 2 2" xfId="31342" xr:uid="{00000000-0005-0000-0000-0000C5790000}"/>
    <cellStyle name="Normal 2 5 40 2 2 3" xfId="31343" xr:uid="{00000000-0005-0000-0000-0000C6790000}"/>
    <cellStyle name="Normal 2 5 40 2 3" xfId="31344" xr:uid="{00000000-0005-0000-0000-0000C7790000}"/>
    <cellStyle name="Normal 2 5 40 2 4" xfId="31345" xr:uid="{00000000-0005-0000-0000-0000C8790000}"/>
    <cellStyle name="Normal 2 5 40 3" xfId="31346" xr:uid="{00000000-0005-0000-0000-0000C9790000}"/>
    <cellStyle name="Normal 2 5 40 3 2" xfId="31347" xr:uid="{00000000-0005-0000-0000-0000CA790000}"/>
    <cellStyle name="Normal 2 5 40 3 3" xfId="31348" xr:uid="{00000000-0005-0000-0000-0000CB790000}"/>
    <cellStyle name="Normal 2 5 40 4" xfId="31349" xr:uid="{00000000-0005-0000-0000-0000CC790000}"/>
    <cellStyle name="Normal 2 5 41" xfId="31350" xr:uid="{00000000-0005-0000-0000-0000CD790000}"/>
    <cellStyle name="Normal 2 5 41 2" xfId="31351" xr:uid="{00000000-0005-0000-0000-0000CE790000}"/>
    <cellStyle name="Normal 2 5 41 2 2" xfId="31352" xr:uid="{00000000-0005-0000-0000-0000CF790000}"/>
    <cellStyle name="Normal 2 5 41 2 2 2" xfId="31353" xr:uid="{00000000-0005-0000-0000-0000D0790000}"/>
    <cellStyle name="Normal 2 5 41 2 2 3" xfId="31354" xr:uid="{00000000-0005-0000-0000-0000D1790000}"/>
    <cellStyle name="Normal 2 5 41 2 3" xfId="31355" xr:uid="{00000000-0005-0000-0000-0000D2790000}"/>
    <cellStyle name="Normal 2 5 41 2 4" xfId="31356" xr:uid="{00000000-0005-0000-0000-0000D3790000}"/>
    <cellStyle name="Normal 2 5 41 3" xfId="31357" xr:uid="{00000000-0005-0000-0000-0000D4790000}"/>
    <cellStyle name="Normal 2 5 41 3 2" xfId="31358" xr:uid="{00000000-0005-0000-0000-0000D5790000}"/>
    <cellStyle name="Normal 2 5 41 3 3" xfId="31359" xr:uid="{00000000-0005-0000-0000-0000D6790000}"/>
    <cellStyle name="Normal 2 5 41 4" xfId="31360" xr:uid="{00000000-0005-0000-0000-0000D7790000}"/>
    <cellStyle name="Normal 2 5 42" xfId="31361" xr:uid="{00000000-0005-0000-0000-0000D8790000}"/>
    <cellStyle name="Normal 2 5 42 2" xfId="31362" xr:uid="{00000000-0005-0000-0000-0000D9790000}"/>
    <cellStyle name="Normal 2 5 42 2 2" xfId="31363" xr:uid="{00000000-0005-0000-0000-0000DA790000}"/>
    <cellStyle name="Normal 2 5 42 2 2 2" xfId="31364" xr:uid="{00000000-0005-0000-0000-0000DB790000}"/>
    <cellStyle name="Normal 2 5 42 2 2 3" xfId="31365" xr:uid="{00000000-0005-0000-0000-0000DC790000}"/>
    <cellStyle name="Normal 2 5 42 2 3" xfId="31366" xr:uid="{00000000-0005-0000-0000-0000DD790000}"/>
    <cellStyle name="Normal 2 5 42 2 4" xfId="31367" xr:uid="{00000000-0005-0000-0000-0000DE790000}"/>
    <cellStyle name="Normal 2 5 42 3" xfId="31368" xr:uid="{00000000-0005-0000-0000-0000DF790000}"/>
    <cellStyle name="Normal 2 5 42 3 2" xfId="31369" xr:uid="{00000000-0005-0000-0000-0000E0790000}"/>
    <cellStyle name="Normal 2 5 42 3 3" xfId="31370" xr:uid="{00000000-0005-0000-0000-0000E1790000}"/>
    <cellStyle name="Normal 2 5 42 4" xfId="31371" xr:uid="{00000000-0005-0000-0000-0000E2790000}"/>
    <cellStyle name="Normal 2 5 43" xfId="31372" xr:uid="{00000000-0005-0000-0000-0000E3790000}"/>
    <cellStyle name="Normal 2 5 43 2" xfId="31373" xr:uid="{00000000-0005-0000-0000-0000E4790000}"/>
    <cellStyle name="Normal 2 5 43 2 2" xfId="31374" xr:uid="{00000000-0005-0000-0000-0000E5790000}"/>
    <cellStyle name="Normal 2 5 43 2 2 2" xfId="31375" xr:uid="{00000000-0005-0000-0000-0000E6790000}"/>
    <cellStyle name="Normal 2 5 43 2 2 3" xfId="31376" xr:uid="{00000000-0005-0000-0000-0000E7790000}"/>
    <cellStyle name="Normal 2 5 43 2 3" xfId="31377" xr:uid="{00000000-0005-0000-0000-0000E8790000}"/>
    <cellStyle name="Normal 2 5 43 2 4" xfId="31378" xr:uid="{00000000-0005-0000-0000-0000E9790000}"/>
    <cellStyle name="Normal 2 5 43 3" xfId="31379" xr:uid="{00000000-0005-0000-0000-0000EA790000}"/>
    <cellStyle name="Normal 2 5 43 3 2" xfId="31380" xr:uid="{00000000-0005-0000-0000-0000EB790000}"/>
    <cellStyle name="Normal 2 5 43 3 3" xfId="31381" xr:uid="{00000000-0005-0000-0000-0000EC790000}"/>
    <cellStyle name="Normal 2 5 43 4" xfId="31382" xr:uid="{00000000-0005-0000-0000-0000ED790000}"/>
    <cellStyle name="Normal 2 5 44" xfId="31383" xr:uid="{00000000-0005-0000-0000-0000EE790000}"/>
    <cellStyle name="Normal 2 5 44 2" xfId="31384" xr:uid="{00000000-0005-0000-0000-0000EF790000}"/>
    <cellStyle name="Normal 2 5 44 2 2" xfId="31385" xr:uid="{00000000-0005-0000-0000-0000F0790000}"/>
    <cellStyle name="Normal 2 5 44 2 2 2" xfId="31386" xr:uid="{00000000-0005-0000-0000-0000F1790000}"/>
    <cellStyle name="Normal 2 5 44 2 2 3" xfId="31387" xr:uid="{00000000-0005-0000-0000-0000F2790000}"/>
    <cellStyle name="Normal 2 5 44 2 3" xfId="31388" xr:uid="{00000000-0005-0000-0000-0000F3790000}"/>
    <cellStyle name="Normal 2 5 44 2 4" xfId="31389" xr:uid="{00000000-0005-0000-0000-0000F4790000}"/>
    <cellStyle name="Normal 2 5 44 3" xfId="31390" xr:uid="{00000000-0005-0000-0000-0000F5790000}"/>
    <cellStyle name="Normal 2 5 44 3 2" xfId="31391" xr:uid="{00000000-0005-0000-0000-0000F6790000}"/>
    <cellStyle name="Normal 2 5 44 3 3" xfId="31392" xr:uid="{00000000-0005-0000-0000-0000F7790000}"/>
    <cellStyle name="Normal 2 5 44 4" xfId="31393" xr:uid="{00000000-0005-0000-0000-0000F8790000}"/>
    <cellStyle name="Normal 2 5 45" xfId="31394" xr:uid="{00000000-0005-0000-0000-0000F9790000}"/>
    <cellStyle name="Normal 2 5 45 2" xfId="31395" xr:uid="{00000000-0005-0000-0000-0000FA790000}"/>
    <cellStyle name="Normal 2 5 45 2 2" xfId="31396" xr:uid="{00000000-0005-0000-0000-0000FB790000}"/>
    <cellStyle name="Normal 2 5 45 2 2 2" xfId="31397" xr:uid="{00000000-0005-0000-0000-0000FC790000}"/>
    <cellStyle name="Normal 2 5 45 2 2 3" xfId="31398" xr:uid="{00000000-0005-0000-0000-0000FD790000}"/>
    <cellStyle name="Normal 2 5 45 2 3" xfId="31399" xr:uid="{00000000-0005-0000-0000-0000FE790000}"/>
    <cellStyle name="Normal 2 5 45 2 4" xfId="31400" xr:uid="{00000000-0005-0000-0000-0000FF790000}"/>
    <cellStyle name="Normal 2 5 45 3" xfId="31401" xr:uid="{00000000-0005-0000-0000-0000007A0000}"/>
    <cellStyle name="Normal 2 5 45 3 2" xfId="31402" xr:uid="{00000000-0005-0000-0000-0000017A0000}"/>
    <cellStyle name="Normal 2 5 45 3 3" xfId="31403" xr:uid="{00000000-0005-0000-0000-0000027A0000}"/>
    <cellStyle name="Normal 2 5 45 4" xfId="31404" xr:uid="{00000000-0005-0000-0000-0000037A0000}"/>
    <cellStyle name="Normal 2 5 46" xfId="31405" xr:uid="{00000000-0005-0000-0000-0000047A0000}"/>
    <cellStyle name="Normal 2 5 46 2" xfId="31406" xr:uid="{00000000-0005-0000-0000-0000057A0000}"/>
    <cellStyle name="Normal 2 5 46 2 2" xfId="31407" xr:uid="{00000000-0005-0000-0000-0000067A0000}"/>
    <cellStyle name="Normal 2 5 46 2 2 2" xfId="31408" xr:uid="{00000000-0005-0000-0000-0000077A0000}"/>
    <cellStyle name="Normal 2 5 46 2 2 3" xfId="31409" xr:uid="{00000000-0005-0000-0000-0000087A0000}"/>
    <cellStyle name="Normal 2 5 46 2 3" xfId="31410" xr:uid="{00000000-0005-0000-0000-0000097A0000}"/>
    <cellStyle name="Normal 2 5 46 2 4" xfId="31411" xr:uid="{00000000-0005-0000-0000-00000A7A0000}"/>
    <cellStyle name="Normal 2 5 46 3" xfId="31412" xr:uid="{00000000-0005-0000-0000-00000B7A0000}"/>
    <cellStyle name="Normal 2 5 46 3 2" xfId="31413" xr:uid="{00000000-0005-0000-0000-00000C7A0000}"/>
    <cellStyle name="Normal 2 5 46 3 3" xfId="31414" xr:uid="{00000000-0005-0000-0000-00000D7A0000}"/>
    <cellStyle name="Normal 2 5 46 4" xfId="31415" xr:uid="{00000000-0005-0000-0000-00000E7A0000}"/>
    <cellStyle name="Normal 2 5 47" xfId="31416" xr:uid="{00000000-0005-0000-0000-00000F7A0000}"/>
    <cellStyle name="Normal 2 5 47 2" xfId="31417" xr:uid="{00000000-0005-0000-0000-0000107A0000}"/>
    <cellStyle name="Normal 2 5 47 2 2" xfId="31418" xr:uid="{00000000-0005-0000-0000-0000117A0000}"/>
    <cellStyle name="Normal 2 5 47 2 2 2" xfId="31419" xr:uid="{00000000-0005-0000-0000-0000127A0000}"/>
    <cellStyle name="Normal 2 5 47 2 2 3" xfId="31420" xr:uid="{00000000-0005-0000-0000-0000137A0000}"/>
    <cellStyle name="Normal 2 5 47 2 3" xfId="31421" xr:uid="{00000000-0005-0000-0000-0000147A0000}"/>
    <cellStyle name="Normal 2 5 47 2 4" xfId="31422" xr:uid="{00000000-0005-0000-0000-0000157A0000}"/>
    <cellStyle name="Normal 2 5 47 3" xfId="31423" xr:uid="{00000000-0005-0000-0000-0000167A0000}"/>
    <cellStyle name="Normal 2 5 47 3 2" xfId="31424" xr:uid="{00000000-0005-0000-0000-0000177A0000}"/>
    <cellStyle name="Normal 2 5 47 3 3" xfId="31425" xr:uid="{00000000-0005-0000-0000-0000187A0000}"/>
    <cellStyle name="Normal 2 5 47 4" xfId="31426" xr:uid="{00000000-0005-0000-0000-0000197A0000}"/>
    <cellStyle name="Normal 2 5 48" xfId="31427" xr:uid="{00000000-0005-0000-0000-00001A7A0000}"/>
    <cellStyle name="Normal 2 5 48 2" xfId="31428" xr:uid="{00000000-0005-0000-0000-00001B7A0000}"/>
    <cellStyle name="Normal 2 5 48 2 2" xfId="31429" xr:uid="{00000000-0005-0000-0000-00001C7A0000}"/>
    <cellStyle name="Normal 2 5 48 2 2 2" xfId="31430" xr:uid="{00000000-0005-0000-0000-00001D7A0000}"/>
    <cellStyle name="Normal 2 5 48 2 2 3" xfId="31431" xr:uid="{00000000-0005-0000-0000-00001E7A0000}"/>
    <cellStyle name="Normal 2 5 48 2 3" xfId="31432" xr:uid="{00000000-0005-0000-0000-00001F7A0000}"/>
    <cellStyle name="Normal 2 5 48 2 4" xfId="31433" xr:uid="{00000000-0005-0000-0000-0000207A0000}"/>
    <cellStyle name="Normal 2 5 48 3" xfId="31434" xr:uid="{00000000-0005-0000-0000-0000217A0000}"/>
    <cellStyle name="Normal 2 5 48 3 2" xfId="31435" xr:uid="{00000000-0005-0000-0000-0000227A0000}"/>
    <cellStyle name="Normal 2 5 48 3 3" xfId="31436" xr:uid="{00000000-0005-0000-0000-0000237A0000}"/>
    <cellStyle name="Normal 2 5 48 4" xfId="31437" xr:uid="{00000000-0005-0000-0000-0000247A0000}"/>
    <cellStyle name="Normal 2 5 49" xfId="31438" xr:uid="{00000000-0005-0000-0000-0000257A0000}"/>
    <cellStyle name="Normal 2 5 49 2" xfId="31439" xr:uid="{00000000-0005-0000-0000-0000267A0000}"/>
    <cellStyle name="Normal 2 5 49 2 2" xfId="31440" xr:uid="{00000000-0005-0000-0000-0000277A0000}"/>
    <cellStyle name="Normal 2 5 49 2 2 2" xfId="31441" xr:uid="{00000000-0005-0000-0000-0000287A0000}"/>
    <cellStyle name="Normal 2 5 49 2 2 3" xfId="31442" xr:uid="{00000000-0005-0000-0000-0000297A0000}"/>
    <cellStyle name="Normal 2 5 49 2 3" xfId="31443" xr:uid="{00000000-0005-0000-0000-00002A7A0000}"/>
    <cellStyle name="Normal 2 5 49 2 4" xfId="31444" xr:uid="{00000000-0005-0000-0000-00002B7A0000}"/>
    <cellStyle name="Normal 2 5 49 3" xfId="31445" xr:uid="{00000000-0005-0000-0000-00002C7A0000}"/>
    <cellStyle name="Normal 2 5 49 3 2" xfId="31446" xr:uid="{00000000-0005-0000-0000-00002D7A0000}"/>
    <cellStyle name="Normal 2 5 49 3 3" xfId="31447" xr:uid="{00000000-0005-0000-0000-00002E7A0000}"/>
    <cellStyle name="Normal 2 5 49 4" xfId="31448" xr:uid="{00000000-0005-0000-0000-00002F7A0000}"/>
    <cellStyle name="Normal 2 5 5" xfId="31449" xr:uid="{00000000-0005-0000-0000-0000307A0000}"/>
    <cellStyle name="Normal 2 5 5 2" xfId="31450" xr:uid="{00000000-0005-0000-0000-0000317A0000}"/>
    <cellStyle name="Normal 2 5 5 2 2" xfId="31451" xr:uid="{00000000-0005-0000-0000-0000327A0000}"/>
    <cellStyle name="Normal 2 5 5 2 2 2" xfId="31452" xr:uid="{00000000-0005-0000-0000-0000337A0000}"/>
    <cellStyle name="Normal 2 5 5 2 2 3" xfId="31453" xr:uid="{00000000-0005-0000-0000-0000347A0000}"/>
    <cellStyle name="Normal 2 5 5 2 3" xfId="31454" xr:uid="{00000000-0005-0000-0000-0000357A0000}"/>
    <cellStyle name="Normal 2 5 5 2 4" xfId="31455" xr:uid="{00000000-0005-0000-0000-0000367A0000}"/>
    <cellStyle name="Normal 2 5 5 3" xfId="31456" xr:uid="{00000000-0005-0000-0000-0000377A0000}"/>
    <cellStyle name="Normal 2 5 5 3 2" xfId="31457" xr:uid="{00000000-0005-0000-0000-0000387A0000}"/>
    <cellStyle name="Normal 2 5 5 3 3" xfId="31458" xr:uid="{00000000-0005-0000-0000-0000397A0000}"/>
    <cellStyle name="Normal 2 5 5 4" xfId="31459" xr:uid="{00000000-0005-0000-0000-00003A7A0000}"/>
    <cellStyle name="Normal 2 5 50" xfId="31460" xr:uid="{00000000-0005-0000-0000-00003B7A0000}"/>
    <cellStyle name="Normal 2 5 50 2" xfId="31461" xr:uid="{00000000-0005-0000-0000-00003C7A0000}"/>
    <cellStyle name="Normal 2 5 50 2 2" xfId="31462" xr:uid="{00000000-0005-0000-0000-00003D7A0000}"/>
    <cellStyle name="Normal 2 5 50 2 2 2" xfId="31463" xr:uid="{00000000-0005-0000-0000-00003E7A0000}"/>
    <cellStyle name="Normal 2 5 50 2 2 3" xfId="31464" xr:uid="{00000000-0005-0000-0000-00003F7A0000}"/>
    <cellStyle name="Normal 2 5 50 2 3" xfId="31465" xr:uid="{00000000-0005-0000-0000-0000407A0000}"/>
    <cellStyle name="Normal 2 5 50 2 4" xfId="31466" xr:uid="{00000000-0005-0000-0000-0000417A0000}"/>
    <cellStyle name="Normal 2 5 50 3" xfId="31467" xr:uid="{00000000-0005-0000-0000-0000427A0000}"/>
    <cellStyle name="Normal 2 5 50 3 2" xfId="31468" xr:uid="{00000000-0005-0000-0000-0000437A0000}"/>
    <cellStyle name="Normal 2 5 50 3 3" xfId="31469" xr:uid="{00000000-0005-0000-0000-0000447A0000}"/>
    <cellStyle name="Normal 2 5 50 4" xfId="31470" xr:uid="{00000000-0005-0000-0000-0000457A0000}"/>
    <cellStyle name="Normal 2 5 51" xfId="31471" xr:uid="{00000000-0005-0000-0000-0000467A0000}"/>
    <cellStyle name="Normal 2 5 51 2" xfId="31472" xr:uid="{00000000-0005-0000-0000-0000477A0000}"/>
    <cellStyle name="Normal 2 5 51 2 2" xfId="31473" xr:uid="{00000000-0005-0000-0000-0000487A0000}"/>
    <cellStyle name="Normal 2 5 51 2 2 2" xfId="31474" xr:uid="{00000000-0005-0000-0000-0000497A0000}"/>
    <cellStyle name="Normal 2 5 51 2 2 3" xfId="31475" xr:uid="{00000000-0005-0000-0000-00004A7A0000}"/>
    <cellStyle name="Normal 2 5 51 2 3" xfId="31476" xr:uid="{00000000-0005-0000-0000-00004B7A0000}"/>
    <cellStyle name="Normal 2 5 51 2 4" xfId="31477" xr:uid="{00000000-0005-0000-0000-00004C7A0000}"/>
    <cellStyle name="Normal 2 5 51 3" xfId="31478" xr:uid="{00000000-0005-0000-0000-00004D7A0000}"/>
    <cellStyle name="Normal 2 5 51 3 2" xfId="31479" xr:uid="{00000000-0005-0000-0000-00004E7A0000}"/>
    <cellStyle name="Normal 2 5 51 3 3" xfId="31480" xr:uid="{00000000-0005-0000-0000-00004F7A0000}"/>
    <cellStyle name="Normal 2 5 51 4" xfId="31481" xr:uid="{00000000-0005-0000-0000-0000507A0000}"/>
    <cellStyle name="Normal 2 5 52" xfId="31482" xr:uid="{00000000-0005-0000-0000-0000517A0000}"/>
    <cellStyle name="Normal 2 5 52 2" xfId="31483" xr:uid="{00000000-0005-0000-0000-0000527A0000}"/>
    <cellStyle name="Normal 2 5 52 2 2" xfId="31484" xr:uid="{00000000-0005-0000-0000-0000537A0000}"/>
    <cellStyle name="Normal 2 5 52 2 2 2" xfId="31485" xr:uid="{00000000-0005-0000-0000-0000547A0000}"/>
    <cellStyle name="Normal 2 5 52 2 2 3" xfId="31486" xr:uid="{00000000-0005-0000-0000-0000557A0000}"/>
    <cellStyle name="Normal 2 5 52 2 3" xfId="31487" xr:uid="{00000000-0005-0000-0000-0000567A0000}"/>
    <cellStyle name="Normal 2 5 52 2 4" xfId="31488" xr:uid="{00000000-0005-0000-0000-0000577A0000}"/>
    <cellStyle name="Normal 2 5 52 3" xfId="31489" xr:uid="{00000000-0005-0000-0000-0000587A0000}"/>
    <cellStyle name="Normal 2 5 52 3 2" xfId="31490" xr:uid="{00000000-0005-0000-0000-0000597A0000}"/>
    <cellStyle name="Normal 2 5 52 3 3" xfId="31491" xr:uid="{00000000-0005-0000-0000-00005A7A0000}"/>
    <cellStyle name="Normal 2 5 52 4" xfId="31492" xr:uid="{00000000-0005-0000-0000-00005B7A0000}"/>
    <cellStyle name="Normal 2 5 53" xfId="31493" xr:uid="{00000000-0005-0000-0000-00005C7A0000}"/>
    <cellStyle name="Normal 2 5 53 2" xfId="31494" xr:uid="{00000000-0005-0000-0000-00005D7A0000}"/>
    <cellStyle name="Normal 2 5 53 2 2" xfId="31495" xr:uid="{00000000-0005-0000-0000-00005E7A0000}"/>
    <cellStyle name="Normal 2 5 53 2 2 2" xfId="31496" xr:uid="{00000000-0005-0000-0000-00005F7A0000}"/>
    <cellStyle name="Normal 2 5 53 2 2 3" xfId="31497" xr:uid="{00000000-0005-0000-0000-0000607A0000}"/>
    <cellStyle name="Normal 2 5 53 2 3" xfId="31498" xr:uid="{00000000-0005-0000-0000-0000617A0000}"/>
    <cellStyle name="Normal 2 5 53 2 4" xfId="31499" xr:uid="{00000000-0005-0000-0000-0000627A0000}"/>
    <cellStyle name="Normal 2 5 53 3" xfId="31500" xr:uid="{00000000-0005-0000-0000-0000637A0000}"/>
    <cellStyle name="Normal 2 5 53 3 2" xfId="31501" xr:uid="{00000000-0005-0000-0000-0000647A0000}"/>
    <cellStyle name="Normal 2 5 53 3 3" xfId="31502" xr:uid="{00000000-0005-0000-0000-0000657A0000}"/>
    <cellStyle name="Normal 2 5 53 4" xfId="31503" xr:uid="{00000000-0005-0000-0000-0000667A0000}"/>
    <cellStyle name="Normal 2 5 54" xfId="31504" xr:uid="{00000000-0005-0000-0000-0000677A0000}"/>
    <cellStyle name="Normal 2 5 54 2" xfId="31505" xr:uid="{00000000-0005-0000-0000-0000687A0000}"/>
    <cellStyle name="Normal 2 5 54 2 2" xfId="31506" xr:uid="{00000000-0005-0000-0000-0000697A0000}"/>
    <cellStyle name="Normal 2 5 54 2 2 2" xfId="31507" xr:uid="{00000000-0005-0000-0000-00006A7A0000}"/>
    <cellStyle name="Normal 2 5 54 2 2 3" xfId="31508" xr:uid="{00000000-0005-0000-0000-00006B7A0000}"/>
    <cellStyle name="Normal 2 5 54 2 3" xfId="31509" xr:uid="{00000000-0005-0000-0000-00006C7A0000}"/>
    <cellStyle name="Normal 2 5 54 2 4" xfId="31510" xr:uid="{00000000-0005-0000-0000-00006D7A0000}"/>
    <cellStyle name="Normal 2 5 54 3" xfId="31511" xr:uid="{00000000-0005-0000-0000-00006E7A0000}"/>
    <cellStyle name="Normal 2 5 54 3 2" xfId="31512" xr:uid="{00000000-0005-0000-0000-00006F7A0000}"/>
    <cellStyle name="Normal 2 5 54 3 3" xfId="31513" xr:uid="{00000000-0005-0000-0000-0000707A0000}"/>
    <cellStyle name="Normal 2 5 54 4" xfId="31514" xr:uid="{00000000-0005-0000-0000-0000717A0000}"/>
    <cellStyle name="Normal 2 5 55" xfId="31515" xr:uid="{00000000-0005-0000-0000-0000727A0000}"/>
    <cellStyle name="Normal 2 5 55 2" xfId="31516" xr:uid="{00000000-0005-0000-0000-0000737A0000}"/>
    <cellStyle name="Normal 2 5 55 2 2" xfId="31517" xr:uid="{00000000-0005-0000-0000-0000747A0000}"/>
    <cellStyle name="Normal 2 5 55 2 2 2" xfId="31518" xr:uid="{00000000-0005-0000-0000-0000757A0000}"/>
    <cellStyle name="Normal 2 5 55 2 2 3" xfId="31519" xr:uid="{00000000-0005-0000-0000-0000767A0000}"/>
    <cellStyle name="Normal 2 5 55 2 3" xfId="31520" xr:uid="{00000000-0005-0000-0000-0000777A0000}"/>
    <cellStyle name="Normal 2 5 55 2 4" xfId="31521" xr:uid="{00000000-0005-0000-0000-0000787A0000}"/>
    <cellStyle name="Normal 2 5 55 3" xfId="31522" xr:uid="{00000000-0005-0000-0000-0000797A0000}"/>
    <cellStyle name="Normal 2 5 55 3 2" xfId="31523" xr:uid="{00000000-0005-0000-0000-00007A7A0000}"/>
    <cellStyle name="Normal 2 5 55 3 3" xfId="31524" xr:uid="{00000000-0005-0000-0000-00007B7A0000}"/>
    <cellStyle name="Normal 2 5 55 4" xfId="31525" xr:uid="{00000000-0005-0000-0000-00007C7A0000}"/>
    <cellStyle name="Normal 2 5 56" xfId="31526" xr:uid="{00000000-0005-0000-0000-00007D7A0000}"/>
    <cellStyle name="Normal 2 5 56 2" xfId="31527" xr:uid="{00000000-0005-0000-0000-00007E7A0000}"/>
    <cellStyle name="Normal 2 5 56 2 2" xfId="31528" xr:uid="{00000000-0005-0000-0000-00007F7A0000}"/>
    <cellStyle name="Normal 2 5 56 2 2 2" xfId="31529" xr:uid="{00000000-0005-0000-0000-0000807A0000}"/>
    <cellStyle name="Normal 2 5 56 2 2 3" xfId="31530" xr:uid="{00000000-0005-0000-0000-0000817A0000}"/>
    <cellStyle name="Normal 2 5 56 2 3" xfId="31531" xr:uid="{00000000-0005-0000-0000-0000827A0000}"/>
    <cellStyle name="Normal 2 5 56 2 4" xfId="31532" xr:uid="{00000000-0005-0000-0000-0000837A0000}"/>
    <cellStyle name="Normal 2 5 56 3" xfId="31533" xr:uid="{00000000-0005-0000-0000-0000847A0000}"/>
    <cellStyle name="Normal 2 5 56 3 2" xfId="31534" xr:uid="{00000000-0005-0000-0000-0000857A0000}"/>
    <cellStyle name="Normal 2 5 56 3 3" xfId="31535" xr:uid="{00000000-0005-0000-0000-0000867A0000}"/>
    <cellStyle name="Normal 2 5 56 4" xfId="31536" xr:uid="{00000000-0005-0000-0000-0000877A0000}"/>
    <cellStyle name="Normal 2 5 57" xfId="31537" xr:uid="{00000000-0005-0000-0000-0000887A0000}"/>
    <cellStyle name="Normal 2 5 57 2" xfId="31538" xr:uid="{00000000-0005-0000-0000-0000897A0000}"/>
    <cellStyle name="Normal 2 5 57 2 2" xfId="31539" xr:uid="{00000000-0005-0000-0000-00008A7A0000}"/>
    <cellStyle name="Normal 2 5 57 2 2 2" xfId="31540" xr:uid="{00000000-0005-0000-0000-00008B7A0000}"/>
    <cellStyle name="Normal 2 5 57 2 2 3" xfId="31541" xr:uid="{00000000-0005-0000-0000-00008C7A0000}"/>
    <cellStyle name="Normal 2 5 57 2 3" xfId="31542" xr:uid="{00000000-0005-0000-0000-00008D7A0000}"/>
    <cellStyle name="Normal 2 5 57 2 4" xfId="31543" xr:uid="{00000000-0005-0000-0000-00008E7A0000}"/>
    <cellStyle name="Normal 2 5 57 3" xfId="31544" xr:uid="{00000000-0005-0000-0000-00008F7A0000}"/>
    <cellStyle name="Normal 2 5 57 3 2" xfId="31545" xr:uid="{00000000-0005-0000-0000-0000907A0000}"/>
    <cellStyle name="Normal 2 5 57 3 3" xfId="31546" xr:uid="{00000000-0005-0000-0000-0000917A0000}"/>
    <cellStyle name="Normal 2 5 57 4" xfId="31547" xr:uid="{00000000-0005-0000-0000-0000927A0000}"/>
    <cellStyle name="Normal 2 5 58" xfId="31548" xr:uid="{00000000-0005-0000-0000-0000937A0000}"/>
    <cellStyle name="Normal 2 5 58 2" xfId="31549" xr:uid="{00000000-0005-0000-0000-0000947A0000}"/>
    <cellStyle name="Normal 2 5 58 2 2" xfId="31550" xr:uid="{00000000-0005-0000-0000-0000957A0000}"/>
    <cellStyle name="Normal 2 5 58 2 2 2" xfId="31551" xr:uid="{00000000-0005-0000-0000-0000967A0000}"/>
    <cellStyle name="Normal 2 5 58 2 2 3" xfId="31552" xr:uid="{00000000-0005-0000-0000-0000977A0000}"/>
    <cellStyle name="Normal 2 5 58 2 3" xfId="31553" xr:uid="{00000000-0005-0000-0000-0000987A0000}"/>
    <cellStyle name="Normal 2 5 58 2 4" xfId="31554" xr:uid="{00000000-0005-0000-0000-0000997A0000}"/>
    <cellStyle name="Normal 2 5 58 3" xfId="31555" xr:uid="{00000000-0005-0000-0000-00009A7A0000}"/>
    <cellStyle name="Normal 2 5 58 3 2" xfId="31556" xr:uid="{00000000-0005-0000-0000-00009B7A0000}"/>
    <cellStyle name="Normal 2 5 58 3 3" xfId="31557" xr:uid="{00000000-0005-0000-0000-00009C7A0000}"/>
    <cellStyle name="Normal 2 5 58 4" xfId="31558" xr:uid="{00000000-0005-0000-0000-00009D7A0000}"/>
    <cellStyle name="Normal 2 5 59" xfId="31559" xr:uid="{00000000-0005-0000-0000-00009E7A0000}"/>
    <cellStyle name="Normal 2 5 59 2" xfId="31560" xr:uid="{00000000-0005-0000-0000-00009F7A0000}"/>
    <cellStyle name="Normal 2 5 59 2 2" xfId="31561" xr:uid="{00000000-0005-0000-0000-0000A07A0000}"/>
    <cellStyle name="Normal 2 5 59 2 2 2" xfId="31562" xr:uid="{00000000-0005-0000-0000-0000A17A0000}"/>
    <cellStyle name="Normal 2 5 59 2 2 3" xfId="31563" xr:uid="{00000000-0005-0000-0000-0000A27A0000}"/>
    <cellStyle name="Normal 2 5 59 2 3" xfId="31564" xr:uid="{00000000-0005-0000-0000-0000A37A0000}"/>
    <cellStyle name="Normal 2 5 59 2 4" xfId="31565" xr:uid="{00000000-0005-0000-0000-0000A47A0000}"/>
    <cellStyle name="Normal 2 5 59 3" xfId="31566" xr:uid="{00000000-0005-0000-0000-0000A57A0000}"/>
    <cellStyle name="Normal 2 5 59 3 2" xfId="31567" xr:uid="{00000000-0005-0000-0000-0000A67A0000}"/>
    <cellStyle name="Normal 2 5 59 3 3" xfId="31568" xr:uid="{00000000-0005-0000-0000-0000A77A0000}"/>
    <cellStyle name="Normal 2 5 59 4" xfId="31569" xr:uid="{00000000-0005-0000-0000-0000A87A0000}"/>
    <cellStyle name="Normal 2 5 6" xfId="31570" xr:uid="{00000000-0005-0000-0000-0000A97A0000}"/>
    <cellStyle name="Normal 2 5 6 2" xfId="31571" xr:uid="{00000000-0005-0000-0000-0000AA7A0000}"/>
    <cellStyle name="Normal 2 5 6 2 2" xfId="31572" xr:uid="{00000000-0005-0000-0000-0000AB7A0000}"/>
    <cellStyle name="Normal 2 5 6 2 2 2" xfId="31573" xr:uid="{00000000-0005-0000-0000-0000AC7A0000}"/>
    <cellStyle name="Normal 2 5 6 2 2 3" xfId="31574" xr:uid="{00000000-0005-0000-0000-0000AD7A0000}"/>
    <cellStyle name="Normal 2 5 6 2 3" xfId="31575" xr:uid="{00000000-0005-0000-0000-0000AE7A0000}"/>
    <cellStyle name="Normal 2 5 6 2 4" xfId="31576" xr:uid="{00000000-0005-0000-0000-0000AF7A0000}"/>
    <cellStyle name="Normal 2 5 6 3" xfId="31577" xr:uid="{00000000-0005-0000-0000-0000B07A0000}"/>
    <cellStyle name="Normal 2 5 6 3 2" xfId="31578" xr:uid="{00000000-0005-0000-0000-0000B17A0000}"/>
    <cellStyle name="Normal 2 5 6 3 3" xfId="31579" xr:uid="{00000000-0005-0000-0000-0000B27A0000}"/>
    <cellStyle name="Normal 2 5 6 4" xfId="31580" xr:uid="{00000000-0005-0000-0000-0000B37A0000}"/>
    <cellStyle name="Normal 2 5 60" xfId="31581" xr:uid="{00000000-0005-0000-0000-0000B47A0000}"/>
    <cellStyle name="Normal 2 5 60 2" xfId="31582" xr:uid="{00000000-0005-0000-0000-0000B57A0000}"/>
    <cellStyle name="Normal 2 5 60 2 2" xfId="31583" xr:uid="{00000000-0005-0000-0000-0000B67A0000}"/>
    <cellStyle name="Normal 2 5 60 2 2 2" xfId="31584" xr:uid="{00000000-0005-0000-0000-0000B77A0000}"/>
    <cellStyle name="Normal 2 5 60 2 2 3" xfId="31585" xr:uid="{00000000-0005-0000-0000-0000B87A0000}"/>
    <cellStyle name="Normal 2 5 60 2 3" xfId="31586" xr:uid="{00000000-0005-0000-0000-0000B97A0000}"/>
    <cellStyle name="Normal 2 5 60 2 4" xfId="31587" xr:uid="{00000000-0005-0000-0000-0000BA7A0000}"/>
    <cellStyle name="Normal 2 5 60 3" xfId="31588" xr:uid="{00000000-0005-0000-0000-0000BB7A0000}"/>
    <cellStyle name="Normal 2 5 60 3 2" xfId="31589" xr:uid="{00000000-0005-0000-0000-0000BC7A0000}"/>
    <cellStyle name="Normal 2 5 60 3 3" xfId="31590" xr:uid="{00000000-0005-0000-0000-0000BD7A0000}"/>
    <cellStyle name="Normal 2 5 60 4" xfId="31591" xr:uid="{00000000-0005-0000-0000-0000BE7A0000}"/>
    <cellStyle name="Normal 2 5 61" xfId="31592" xr:uid="{00000000-0005-0000-0000-0000BF7A0000}"/>
    <cellStyle name="Normal 2 5 61 2" xfId="31593" xr:uid="{00000000-0005-0000-0000-0000C07A0000}"/>
    <cellStyle name="Normal 2 5 61 2 2" xfId="31594" xr:uid="{00000000-0005-0000-0000-0000C17A0000}"/>
    <cellStyle name="Normal 2 5 61 2 2 2" xfId="31595" xr:uid="{00000000-0005-0000-0000-0000C27A0000}"/>
    <cellStyle name="Normal 2 5 61 2 2 3" xfId="31596" xr:uid="{00000000-0005-0000-0000-0000C37A0000}"/>
    <cellStyle name="Normal 2 5 61 2 3" xfId="31597" xr:uid="{00000000-0005-0000-0000-0000C47A0000}"/>
    <cellStyle name="Normal 2 5 61 2 4" xfId="31598" xr:uid="{00000000-0005-0000-0000-0000C57A0000}"/>
    <cellStyle name="Normal 2 5 61 3" xfId="31599" xr:uid="{00000000-0005-0000-0000-0000C67A0000}"/>
    <cellStyle name="Normal 2 5 61 3 2" xfId="31600" xr:uid="{00000000-0005-0000-0000-0000C77A0000}"/>
    <cellStyle name="Normal 2 5 61 3 3" xfId="31601" xr:uid="{00000000-0005-0000-0000-0000C87A0000}"/>
    <cellStyle name="Normal 2 5 61 4" xfId="31602" xr:uid="{00000000-0005-0000-0000-0000C97A0000}"/>
    <cellStyle name="Normal 2 5 62" xfId="31603" xr:uid="{00000000-0005-0000-0000-0000CA7A0000}"/>
    <cellStyle name="Normal 2 5 62 2" xfId="31604" xr:uid="{00000000-0005-0000-0000-0000CB7A0000}"/>
    <cellStyle name="Normal 2 5 62 2 2" xfId="31605" xr:uid="{00000000-0005-0000-0000-0000CC7A0000}"/>
    <cellStyle name="Normal 2 5 62 2 2 2" xfId="31606" xr:uid="{00000000-0005-0000-0000-0000CD7A0000}"/>
    <cellStyle name="Normal 2 5 62 2 2 3" xfId="31607" xr:uid="{00000000-0005-0000-0000-0000CE7A0000}"/>
    <cellStyle name="Normal 2 5 62 2 3" xfId="31608" xr:uid="{00000000-0005-0000-0000-0000CF7A0000}"/>
    <cellStyle name="Normal 2 5 62 2 4" xfId="31609" xr:uid="{00000000-0005-0000-0000-0000D07A0000}"/>
    <cellStyle name="Normal 2 5 62 3" xfId="31610" xr:uid="{00000000-0005-0000-0000-0000D17A0000}"/>
    <cellStyle name="Normal 2 5 62 3 2" xfId="31611" xr:uid="{00000000-0005-0000-0000-0000D27A0000}"/>
    <cellStyle name="Normal 2 5 62 3 3" xfId="31612" xr:uid="{00000000-0005-0000-0000-0000D37A0000}"/>
    <cellStyle name="Normal 2 5 62 4" xfId="31613" xr:uid="{00000000-0005-0000-0000-0000D47A0000}"/>
    <cellStyle name="Normal 2 5 63" xfId="31614" xr:uid="{00000000-0005-0000-0000-0000D57A0000}"/>
    <cellStyle name="Normal 2 5 63 2" xfId="31615" xr:uid="{00000000-0005-0000-0000-0000D67A0000}"/>
    <cellStyle name="Normal 2 5 63 2 2" xfId="31616" xr:uid="{00000000-0005-0000-0000-0000D77A0000}"/>
    <cellStyle name="Normal 2 5 63 2 2 2" xfId="31617" xr:uid="{00000000-0005-0000-0000-0000D87A0000}"/>
    <cellStyle name="Normal 2 5 63 2 2 3" xfId="31618" xr:uid="{00000000-0005-0000-0000-0000D97A0000}"/>
    <cellStyle name="Normal 2 5 63 2 3" xfId="31619" xr:uid="{00000000-0005-0000-0000-0000DA7A0000}"/>
    <cellStyle name="Normal 2 5 63 2 4" xfId="31620" xr:uid="{00000000-0005-0000-0000-0000DB7A0000}"/>
    <cellStyle name="Normal 2 5 63 3" xfId="31621" xr:uid="{00000000-0005-0000-0000-0000DC7A0000}"/>
    <cellStyle name="Normal 2 5 63 3 2" xfId="31622" xr:uid="{00000000-0005-0000-0000-0000DD7A0000}"/>
    <cellStyle name="Normal 2 5 63 3 3" xfId="31623" xr:uid="{00000000-0005-0000-0000-0000DE7A0000}"/>
    <cellStyle name="Normal 2 5 63 4" xfId="31624" xr:uid="{00000000-0005-0000-0000-0000DF7A0000}"/>
    <cellStyle name="Normal 2 5 64" xfId="31625" xr:uid="{00000000-0005-0000-0000-0000E07A0000}"/>
    <cellStyle name="Normal 2 5 64 2" xfId="31626" xr:uid="{00000000-0005-0000-0000-0000E17A0000}"/>
    <cellStyle name="Normal 2 5 64 2 2" xfId="31627" xr:uid="{00000000-0005-0000-0000-0000E27A0000}"/>
    <cellStyle name="Normal 2 5 64 2 2 2" xfId="31628" xr:uid="{00000000-0005-0000-0000-0000E37A0000}"/>
    <cellStyle name="Normal 2 5 64 2 2 3" xfId="31629" xr:uid="{00000000-0005-0000-0000-0000E47A0000}"/>
    <cellStyle name="Normal 2 5 64 2 3" xfId="31630" xr:uid="{00000000-0005-0000-0000-0000E57A0000}"/>
    <cellStyle name="Normal 2 5 64 2 4" xfId="31631" xr:uid="{00000000-0005-0000-0000-0000E67A0000}"/>
    <cellStyle name="Normal 2 5 64 3" xfId="31632" xr:uid="{00000000-0005-0000-0000-0000E77A0000}"/>
    <cellStyle name="Normal 2 5 64 3 2" xfId="31633" xr:uid="{00000000-0005-0000-0000-0000E87A0000}"/>
    <cellStyle name="Normal 2 5 64 3 3" xfId="31634" xr:uid="{00000000-0005-0000-0000-0000E97A0000}"/>
    <cellStyle name="Normal 2 5 64 4" xfId="31635" xr:uid="{00000000-0005-0000-0000-0000EA7A0000}"/>
    <cellStyle name="Normal 2 5 65" xfId="31636" xr:uid="{00000000-0005-0000-0000-0000EB7A0000}"/>
    <cellStyle name="Normal 2 5 65 2" xfId="31637" xr:uid="{00000000-0005-0000-0000-0000EC7A0000}"/>
    <cellStyle name="Normal 2 5 65 2 2" xfId="31638" xr:uid="{00000000-0005-0000-0000-0000ED7A0000}"/>
    <cellStyle name="Normal 2 5 65 2 2 2" xfId="31639" xr:uid="{00000000-0005-0000-0000-0000EE7A0000}"/>
    <cellStyle name="Normal 2 5 65 2 2 3" xfId="31640" xr:uid="{00000000-0005-0000-0000-0000EF7A0000}"/>
    <cellStyle name="Normal 2 5 65 2 3" xfId="31641" xr:uid="{00000000-0005-0000-0000-0000F07A0000}"/>
    <cellStyle name="Normal 2 5 65 2 4" xfId="31642" xr:uid="{00000000-0005-0000-0000-0000F17A0000}"/>
    <cellStyle name="Normal 2 5 65 3" xfId="31643" xr:uid="{00000000-0005-0000-0000-0000F27A0000}"/>
    <cellStyle name="Normal 2 5 65 3 2" xfId="31644" xr:uid="{00000000-0005-0000-0000-0000F37A0000}"/>
    <cellStyle name="Normal 2 5 65 3 3" xfId="31645" xr:uid="{00000000-0005-0000-0000-0000F47A0000}"/>
    <cellStyle name="Normal 2 5 65 4" xfId="31646" xr:uid="{00000000-0005-0000-0000-0000F57A0000}"/>
    <cellStyle name="Normal 2 5 66" xfId="31647" xr:uid="{00000000-0005-0000-0000-0000F67A0000}"/>
    <cellStyle name="Normal 2 5 66 2" xfId="31648" xr:uid="{00000000-0005-0000-0000-0000F77A0000}"/>
    <cellStyle name="Normal 2 5 66 2 2" xfId="31649" xr:uid="{00000000-0005-0000-0000-0000F87A0000}"/>
    <cellStyle name="Normal 2 5 66 2 2 2" xfId="31650" xr:uid="{00000000-0005-0000-0000-0000F97A0000}"/>
    <cellStyle name="Normal 2 5 66 2 2 3" xfId="31651" xr:uid="{00000000-0005-0000-0000-0000FA7A0000}"/>
    <cellStyle name="Normal 2 5 66 2 3" xfId="31652" xr:uid="{00000000-0005-0000-0000-0000FB7A0000}"/>
    <cellStyle name="Normal 2 5 66 2 4" xfId="31653" xr:uid="{00000000-0005-0000-0000-0000FC7A0000}"/>
    <cellStyle name="Normal 2 5 66 3" xfId="31654" xr:uid="{00000000-0005-0000-0000-0000FD7A0000}"/>
    <cellStyle name="Normal 2 5 66 3 2" xfId="31655" xr:uid="{00000000-0005-0000-0000-0000FE7A0000}"/>
    <cellStyle name="Normal 2 5 66 3 3" xfId="31656" xr:uid="{00000000-0005-0000-0000-0000FF7A0000}"/>
    <cellStyle name="Normal 2 5 66 4" xfId="31657" xr:uid="{00000000-0005-0000-0000-0000007B0000}"/>
    <cellStyle name="Normal 2 5 67" xfId="31658" xr:uid="{00000000-0005-0000-0000-0000017B0000}"/>
    <cellStyle name="Normal 2 5 67 2" xfId="31659" xr:uid="{00000000-0005-0000-0000-0000027B0000}"/>
    <cellStyle name="Normal 2 5 67 2 2" xfId="31660" xr:uid="{00000000-0005-0000-0000-0000037B0000}"/>
    <cellStyle name="Normal 2 5 67 2 2 2" xfId="31661" xr:uid="{00000000-0005-0000-0000-0000047B0000}"/>
    <cellStyle name="Normal 2 5 67 2 2 3" xfId="31662" xr:uid="{00000000-0005-0000-0000-0000057B0000}"/>
    <cellStyle name="Normal 2 5 67 2 3" xfId="31663" xr:uid="{00000000-0005-0000-0000-0000067B0000}"/>
    <cellStyle name="Normal 2 5 67 2 4" xfId="31664" xr:uid="{00000000-0005-0000-0000-0000077B0000}"/>
    <cellStyle name="Normal 2 5 67 3" xfId="31665" xr:uid="{00000000-0005-0000-0000-0000087B0000}"/>
    <cellStyle name="Normal 2 5 67 3 2" xfId="31666" xr:uid="{00000000-0005-0000-0000-0000097B0000}"/>
    <cellStyle name="Normal 2 5 67 3 3" xfId="31667" xr:uid="{00000000-0005-0000-0000-00000A7B0000}"/>
    <cellStyle name="Normal 2 5 67 4" xfId="31668" xr:uid="{00000000-0005-0000-0000-00000B7B0000}"/>
    <cellStyle name="Normal 2 5 68" xfId="31669" xr:uid="{00000000-0005-0000-0000-00000C7B0000}"/>
    <cellStyle name="Normal 2 5 68 2" xfId="31670" xr:uid="{00000000-0005-0000-0000-00000D7B0000}"/>
    <cellStyle name="Normal 2 5 68 2 2" xfId="31671" xr:uid="{00000000-0005-0000-0000-00000E7B0000}"/>
    <cellStyle name="Normal 2 5 68 2 2 2" xfId="31672" xr:uid="{00000000-0005-0000-0000-00000F7B0000}"/>
    <cellStyle name="Normal 2 5 68 2 2 3" xfId="31673" xr:uid="{00000000-0005-0000-0000-0000107B0000}"/>
    <cellStyle name="Normal 2 5 68 2 3" xfId="31674" xr:uid="{00000000-0005-0000-0000-0000117B0000}"/>
    <cellStyle name="Normal 2 5 68 2 4" xfId="31675" xr:uid="{00000000-0005-0000-0000-0000127B0000}"/>
    <cellStyle name="Normal 2 5 68 3" xfId="31676" xr:uid="{00000000-0005-0000-0000-0000137B0000}"/>
    <cellStyle name="Normal 2 5 68 3 2" xfId="31677" xr:uid="{00000000-0005-0000-0000-0000147B0000}"/>
    <cellStyle name="Normal 2 5 68 3 3" xfId="31678" xr:uid="{00000000-0005-0000-0000-0000157B0000}"/>
    <cellStyle name="Normal 2 5 68 4" xfId="31679" xr:uid="{00000000-0005-0000-0000-0000167B0000}"/>
    <cellStyle name="Normal 2 5 69" xfId="31680" xr:uid="{00000000-0005-0000-0000-0000177B0000}"/>
    <cellStyle name="Normal 2 5 69 2" xfId="31681" xr:uid="{00000000-0005-0000-0000-0000187B0000}"/>
    <cellStyle name="Normal 2 5 69 2 2" xfId="31682" xr:uid="{00000000-0005-0000-0000-0000197B0000}"/>
    <cellStyle name="Normal 2 5 69 2 2 2" xfId="31683" xr:uid="{00000000-0005-0000-0000-00001A7B0000}"/>
    <cellStyle name="Normal 2 5 69 2 2 3" xfId="31684" xr:uid="{00000000-0005-0000-0000-00001B7B0000}"/>
    <cellStyle name="Normal 2 5 69 2 3" xfId="31685" xr:uid="{00000000-0005-0000-0000-00001C7B0000}"/>
    <cellStyle name="Normal 2 5 69 2 4" xfId="31686" xr:uid="{00000000-0005-0000-0000-00001D7B0000}"/>
    <cellStyle name="Normal 2 5 69 3" xfId="31687" xr:uid="{00000000-0005-0000-0000-00001E7B0000}"/>
    <cellStyle name="Normal 2 5 69 3 2" xfId="31688" xr:uid="{00000000-0005-0000-0000-00001F7B0000}"/>
    <cellStyle name="Normal 2 5 69 3 3" xfId="31689" xr:uid="{00000000-0005-0000-0000-0000207B0000}"/>
    <cellStyle name="Normal 2 5 69 4" xfId="31690" xr:uid="{00000000-0005-0000-0000-0000217B0000}"/>
    <cellStyle name="Normal 2 5 7" xfId="31691" xr:uid="{00000000-0005-0000-0000-0000227B0000}"/>
    <cellStyle name="Normal 2 5 7 2" xfId="31692" xr:uid="{00000000-0005-0000-0000-0000237B0000}"/>
    <cellStyle name="Normal 2 5 7 2 2" xfId="31693" xr:uid="{00000000-0005-0000-0000-0000247B0000}"/>
    <cellStyle name="Normal 2 5 7 2 2 2" xfId="31694" xr:uid="{00000000-0005-0000-0000-0000257B0000}"/>
    <cellStyle name="Normal 2 5 7 2 2 3" xfId="31695" xr:uid="{00000000-0005-0000-0000-0000267B0000}"/>
    <cellStyle name="Normal 2 5 7 2 3" xfId="31696" xr:uid="{00000000-0005-0000-0000-0000277B0000}"/>
    <cellStyle name="Normal 2 5 7 2 4" xfId="31697" xr:uid="{00000000-0005-0000-0000-0000287B0000}"/>
    <cellStyle name="Normal 2 5 7 3" xfId="31698" xr:uid="{00000000-0005-0000-0000-0000297B0000}"/>
    <cellStyle name="Normal 2 5 7 3 2" xfId="31699" xr:uid="{00000000-0005-0000-0000-00002A7B0000}"/>
    <cellStyle name="Normal 2 5 7 3 3" xfId="31700" xr:uid="{00000000-0005-0000-0000-00002B7B0000}"/>
    <cellStyle name="Normal 2 5 7 4" xfId="31701" xr:uid="{00000000-0005-0000-0000-00002C7B0000}"/>
    <cellStyle name="Normal 2 5 70" xfId="31702" xr:uid="{00000000-0005-0000-0000-00002D7B0000}"/>
    <cellStyle name="Normal 2 5 70 2" xfId="31703" xr:uid="{00000000-0005-0000-0000-00002E7B0000}"/>
    <cellStyle name="Normal 2 5 70 2 2" xfId="31704" xr:uid="{00000000-0005-0000-0000-00002F7B0000}"/>
    <cellStyle name="Normal 2 5 70 2 2 2" xfId="31705" xr:uid="{00000000-0005-0000-0000-0000307B0000}"/>
    <cellStyle name="Normal 2 5 70 2 2 3" xfId="31706" xr:uid="{00000000-0005-0000-0000-0000317B0000}"/>
    <cellStyle name="Normal 2 5 70 2 3" xfId="31707" xr:uid="{00000000-0005-0000-0000-0000327B0000}"/>
    <cellStyle name="Normal 2 5 70 2 4" xfId="31708" xr:uid="{00000000-0005-0000-0000-0000337B0000}"/>
    <cellStyle name="Normal 2 5 70 3" xfId="31709" xr:uid="{00000000-0005-0000-0000-0000347B0000}"/>
    <cellStyle name="Normal 2 5 70 3 2" xfId="31710" xr:uid="{00000000-0005-0000-0000-0000357B0000}"/>
    <cellStyle name="Normal 2 5 70 3 3" xfId="31711" xr:uid="{00000000-0005-0000-0000-0000367B0000}"/>
    <cellStyle name="Normal 2 5 70 4" xfId="31712" xr:uid="{00000000-0005-0000-0000-0000377B0000}"/>
    <cellStyle name="Normal 2 5 71" xfId="31713" xr:uid="{00000000-0005-0000-0000-0000387B0000}"/>
    <cellStyle name="Normal 2 5 71 2" xfId="31714" xr:uid="{00000000-0005-0000-0000-0000397B0000}"/>
    <cellStyle name="Normal 2 5 71 2 2" xfId="31715" xr:uid="{00000000-0005-0000-0000-00003A7B0000}"/>
    <cellStyle name="Normal 2 5 71 2 2 2" xfId="31716" xr:uid="{00000000-0005-0000-0000-00003B7B0000}"/>
    <cellStyle name="Normal 2 5 71 2 2 3" xfId="31717" xr:uid="{00000000-0005-0000-0000-00003C7B0000}"/>
    <cellStyle name="Normal 2 5 71 2 3" xfId="31718" xr:uid="{00000000-0005-0000-0000-00003D7B0000}"/>
    <cellStyle name="Normal 2 5 71 2 4" xfId="31719" xr:uid="{00000000-0005-0000-0000-00003E7B0000}"/>
    <cellStyle name="Normal 2 5 71 3" xfId="31720" xr:uid="{00000000-0005-0000-0000-00003F7B0000}"/>
    <cellStyle name="Normal 2 5 71 3 2" xfId="31721" xr:uid="{00000000-0005-0000-0000-0000407B0000}"/>
    <cellStyle name="Normal 2 5 71 3 3" xfId="31722" xr:uid="{00000000-0005-0000-0000-0000417B0000}"/>
    <cellStyle name="Normal 2 5 71 4" xfId="31723" xr:uid="{00000000-0005-0000-0000-0000427B0000}"/>
    <cellStyle name="Normal 2 5 72" xfId="31724" xr:uid="{00000000-0005-0000-0000-0000437B0000}"/>
    <cellStyle name="Normal 2 5 72 2" xfId="31725" xr:uid="{00000000-0005-0000-0000-0000447B0000}"/>
    <cellStyle name="Normal 2 5 72 2 2" xfId="31726" xr:uid="{00000000-0005-0000-0000-0000457B0000}"/>
    <cellStyle name="Normal 2 5 72 2 2 2" xfId="31727" xr:uid="{00000000-0005-0000-0000-0000467B0000}"/>
    <cellStyle name="Normal 2 5 72 2 2 3" xfId="31728" xr:uid="{00000000-0005-0000-0000-0000477B0000}"/>
    <cellStyle name="Normal 2 5 72 2 3" xfId="31729" xr:uid="{00000000-0005-0000-0000-0000487B0000}"/>
    <cellStyle name="Normal 2 5 72 2 4" xfId="31730" xr:uid="{00000000-0005-0000-0000-0000497B0000}"/>
    <cellStyle name="Normal 2 5 72 3" xfId="31731" xr:uid="{00000000-0005-0000-0000-00004A7B0000}"/>
    <cellStyle name="Normal 2 5 72 3 2" xfId="31732" xr:uid="{00000000-0005-0000-0000-00004B7B0000}"/>
    <cellStyle name="Normal 2 5 72 3 3" xfId="31733" xr:uid="{00000000-0005-0000-0000-00004C7B0000}"/>
    <cellStyle name="Normal 2 5 72 4" xfId="31734" xr:uid="{00000000-0005-0000-0000-00004D7B0000}"/>
    <cellStyle name="Normal 2 5 73" xfId="31735" xr:uid="{00000000-0005-0000-0000-00004E7B0000}"/>
    <cellStyle name="Normal 2 5 73 2" xfId="31736" xr:uid="{00000000-0005-0000-0000-00004F7B0000}"/>
    <cellStyle name="Normal 2 5 73 2 2" xfId="31737" xr:uid="{00000000-0005-0000-0000-0000507B0000}"/>
    <cellStyle name="Normal 2 5 73 2 2 2" xfId="31738" xr:uid="{00000000-0005-0000-0000-0000517B0000}"/>
    <cellStyle name="Normal 2 5 73 2 2 3" xfId="31739" xr:uid="{00000000-0005-0000-0000-0000527B0000}"/>
    <cellStyle name="Normal 2 5 73 2 3" xfId="31740" xr:uid="{00000000-0005-0000-0000-0000537B0000}"/>
    <cellStyle name="Normal 2 5 73 2 4" xfId="31741" xr:uid="{00000000-0005-0000-0000-0000547B0000}"/>
    <cellStyle name="Normal 2 5 73 3" xfId="31742" xr:uid="{00000000-0005-0000-0000-0000557B0000}"/>
    <cellStyle name="Normal 2 5 73 3 2" xfId="31743" xr:uid="{00000000-0005-0000-0000-0000567B0000}"/>
    <cellStyle name="Normal 2 5 73 3 3" xfId="31744" xr:uid="{00000000-0005-0000-0000-0000577B0000}"/>
    <cellStyle name="Normal 2 5 73 4" xfId="31745" xr:uid="{00000000-0005-0000-0000-0000587B0000}"/>
    <cellStyle name="Normal 2 5 74" xfId="31746" xr:uid="{00000000-0005-0000-0000-0000597B0000}"/>
    <cellStyle name="Normal 2 5 74 2" xfId="31747" xr:uid="{00000000-0005-0000-0000-00005A7B0000}"/>
    <cellStyle name="Normal 2 5 74 2 2" xfId="31748" xr:uid="{00000000-0005-0000-0000-00005B7B0000}"/>
    <cellStyle name="Normal 2 5 74 2 2 2" xfId="31749" xr:uid="{00000000-0005-0000-0000-00005C7B0000}"/>
    <cellStyle name="Normal 2 5 74 2 2 3" xfId="31750" xr:uid="{00000000-0005-0000-0000-00005D7B0000}"/>
    <cellStyle name="Normal 2 5 74 2 3" xfId="31751" xr:uid="{00000000-0005-0000-0000-00005E7B0000}"/>
    <cellStyle name="Normal 2 5 74 2 4" xfId="31752" xr:uid="{00000000-0005-0000-0000-00005F7B0000}"/>
    <cellStyle name="Normal 2 5 74 3" xfId="31753" xr:uid="{00000000-0005-0000-0000-0000607B0000}"/>
    <cellStyle name="Normal 2 5 74 3 2" xfId="31754" xr:uid="{00000000-0005-0000-0000-0000617B0000}"/>
    <cellStyle name="Normal 2 5 74 3 3" xfId="31755" xr:uid="{00000000-0005-0000-0000-0000627B0000}"/>
    <cellStyle name="Normal 2 5 74 4" xfId="31756" xr:uid="{00000000-0005-0000-0000-0000637B0000}"/>
    <cellStyle name="Normal 2 5 75" xfId="31757" xr:uid="{00000000-0005-0000-0000-0000647B0000}"/>
    <cellStyle name="Normal 2 5 75 2" xfId="31758" xr:uid="{00000000-0005-0000-0000-0000657B0000}"/>
    <cellStyle name="Normal 2 5 75 2 2" xfId="31759" xr:uid="{00000000-0005-0000-0000-0000667B0000}"/>
    <cellStyle name="Normal 2 5 75 2 2 2" xfId="31760" xr:uid="{00000000-0005-0000-0000-0000677B0000}"/>
    <cellStyle name="Normal 2 5 75 2 2 3" xfId="31761" xr:uid="{00000000-0005-0000-0000-0000687B0000}"/>
    <cellStyle name="Normal 2 5 75 2 3" xfId="31762" xr:uid="{00000000-0005-0000-0000-0000697B0000}"/>
    <cellStyle name="Normal 2 5 75 2 4" xfId="31763" xr:uid="{00000000-0005-0000-0000-00006A7B0000}"/>
    <cellStyle name="Normal 2 5 75 3" xfId="31764" xr:uid="{00000000-0005-0000-0000-00006B7B0000}"/>
    <cellStyle name="Normal 2 5 75 3 2" xfId="31765" xr:uid="{00000000-0005-0000-0000-00006C7B0000}"/>
    <cellStyle name="Normal 2 5 75 3 3" xfId="31766" xr:uid="{00000000-0005-0000-0000-00006D7B0000}"/>
    <cellStyle name="Normal 2 5 75 4" xfId="31767" xr:uid="{00000000-0005-0000-0000-00006E7B0000}"/>
    <cellStyle name="Normal 2 5 76" xfId="31768" xr:uid="{00000000-0005-0000-0000-00006F7B0000}"/>
    <cellStyle name="Normal 2 5 76 2" xfId="31769" xr:uid="{00000000-0005-0000-0000-0000707B0000}"/>
    <cellStyle name="Normal 2 5 76 2 2" xfId="31770" xr:uid="{00000000-0005-0000-0000-0000717B0000}"/>
    <cellStyle name="Normal 2 5 76 2 2 2" xfId="31771" xr:uid="{00000000-0005-0000-0000-0000727B0000}"/>
    <cellStyle name="Normal 2 5 76 2 2 3" xfId="31772" xr:uid="{00000000-0005-0000-0000-0000737B0000}"/>
    <cellStyle name="Normal 2 5 76 2 3" xfId="31773" xr:uid="{00000000-0005-0000-0000-0000747B0000}"/>
    <cellStyle name="Normal 2 5 76 2 4" xfId="31774" xr:uid="{00000000-0005-0000-0000-0000757B0000}"/>
    <cellStyle name="Normal 2 5 76 3" xfId="31775" xr:uid="{00000000-0005-0000-0000-0000767B0000}"/>
    <cellStyle name="Normal 2 5 76 3 2" xfId="31776" xr:uid="{00000000-0005-0000-0000-0000777B0000}"/>
    <cellStyle name="Normal 2 5 76 3 3" xfId="31777" xr:uid="{00000000-0005-0000-0000-0000787B0000}"/>
    <cellStyle name="Normal 2 5 76 4" xfId="31778" xr:uid="{00000000-0005-0000-0000-0000797B0000}"/>
    <cellStyle name="Normal 2 5 77" xfId="31779" xr:uid="{00000000-0005-0000-0000-00007A7B0000}"/>
    <cellStyle name="Normal 2 5 77 2" xfId="31780" xr:uid="{00000000-0005-0000-0000-00007B7B0000}"/>
    <cellStyle name="Normal 2 5 77 2 2" xfId="31781" xr:uid="{00000000-0005-0000-0000-00007C7B0000}"/>
    <cellStyle name="Normal 2 5 77 2 2 2" xfId="31782" xr:uid="{00000000-0005-0000-0000-00007D7B0000}"/>
    <cellStyle name="Normal 2 5 77 2 2 3" xfId="31783" xr:uid="{00000000-0005-0000-0000-00007E7B0000}"/>
    <cellStyle name="Normal 2 5 77 2 3" xfId="31784" xr:uid="{00000000-0005-0000-0000-00007F7B0000}"/>
    <cellStyle name="Normal 2 5 77 2 4" xfId="31785" xr:uid="{00000000-0005-0000-0000-0000807B0000}"/>
    <cellStyle name="Normal 2 5 77 3" xfId="31786" xr:uid="{00000000-0005-0000-0000-0000817B0000}"/>
    <cellStyle name="Normal 2 5 77 3 2" xfId="31787" xr:uid="{00000000-0005-0000-0000-0000827B0000}"/>
    <cellStyle name="Normal 2 5 77 3 3" xfId="31788" xr:uid="{00000000-0005-0000-0000-0000837B0000}"/>
    <cellStyle name="Normal 2 5 77 4" xfId="31789" xr:uid="{00000000-0005-0000-0000-0000847B0000}"/>
    <cellStyle name="Normal 2 5 78" xfId="31790" xr:uid="{00000000-0005-0000-0000-0000857B0000}"/>
    <cellStyle name="Normal 2 5 78 2" xfId="31791" xr:uid="{00000000-0005-0000-0000-0000867B0000}"/>
    <cellStyle name="Normal 2 5 78 2 2" xfId="31792" xr:uid="{00000000-0005-0000-0000-0000877B0000}"/>
    <cellStyle name="Normal 2 5 78 2 2 2" xfId="31793" xr:uid="{00000000-0005-0000-0000-0000887B0000}"/>
    <cellStyle name="Normal 2 5 78 2 2 3" xfId="31794" xr:uid="{00000000-0005-0000-0000-0000897B0000}"/>
    <cellStyle name="Normal 2 5 78 2 3" xfId="31795" xr:uid="{00000000-0005-0000-0000-00008A7B0000}"/>
    <cellStyle name="Normal 2 5 78 2 4" xfId="31796" xr:uid="{00000000-0005-0000-0000-00008B7B0000}"/>
    <cellStyle name="Normal 2 5 78 3" xfId="31797" xr:uid="{00000000-0005-0000-0000-00008C7B0000}"/>
    <cellStyle name="Normal 2 5 78 3 2" xfId="31798" xr:uid="{00000000-0005-0000-0000-00008D7B0000}"/>
    <cellStyle name="Normal 2 5 78 3 3" xfId="31799" xr:uid="{00000000-0005-0000-0000-00008E7B0000}"/>
    <cellStyle name="Normal 2 5 78 4" xfId="31800" xr:uid="{00000000-0005-0000-0000-00008F7B0000}"/>
    <cellStyle name="Normal 2 5 79" xfId="31801" xr:uid="{00000000-0005-0000-0000-0000907B0000}"/>
    <cellStyle name="Normal 2 5 79 2" xfId="31802" xr:uid="{00000000-0005-0000-0000-0000917B0000}"/>
    <cellStyle name="Normal 2 5 79 2 2" xfId="31803" xr:uid="{00000000-0005-0000-0000-0000927B0000}"/>
    <cellStyle name="Normal 2 5 79 2 2 2" xfId="31804" xr:uid="{00000000-0005-0000-0000-0000937B0000}"/>
    <cellStyle name="Normal 2 5 79 2 2 3" xfId="31805" xr:uid="{00000000-0005-0000-0000-0000947B0000}"/>
    <cellStyle name="Normal 2 5 79 2 3" xfId="31806" xr:uid="{00000000-0005-0000-0000-0000957B0000}"/>
    <cellStyle name="Normal 2 5 79 2 4" xfId="31807" xr:uid="{00000000-0005-0000-0000-0000967B0000}"/>
    <cellStyle name="Normal 2 5 79 3" xfId="31808" xr:uid="{00000000-0005-0000-0000-0000977B0000}"/>
    <cellStyle name="Normal 2 5 79 3 2" xfId="31809" xr:uid="{00000000-0005-0000-0000-0000987B0000}"/>
    <cellStyle name="Normal 2 5 79 3 3" xfId="31810" xr:uid="{00000000-0005-0000-0000-0000997B0000}"/>
    <cellStyle name="Normal 2 5 79 4" xfId="31811" xr:uid="{00000000-0005-0000-0000-00009A7B0000}"/>
    <cellStyle name="Normal 2 5 8" xfId="31812" xr:uid="{00000000-0005-0000-0000-00009B7B0000}"/>
    <cellStyle name="Normal 2 5 8 2" xfId="31813" xr:uid="{00000000-0005-0000-0000-00009C7B0000}"/>
    <cellStyle name="Normal 2 5 8 2 2" xfId="31814" xr:uid="{00000000-0005-0000-0000-00009D7B0000}"/>
    <cellStyle name="Normal 2 5 8 2 2 2" xfId="31815" xr:uid="{00000000-0005-0000-0000-00009E7B0000}"/>
    <cellStyle name="Normal 2 5 8 2 2 3" xfId="31816" xr:uid="{00000000-0005-0000-0000-00009F7B0000}"/>
    <cellStyle name="Normal 2 5 8 2 3" xfId="31817" xr:uid="{00000000-0005-0000-0000-0000A07B0000}"/>
    <cellStyle name="Normal 2 5 8 2 4" xfId="31818" xr:uid="{00000000-0005-0000-0000-0000A17B0000}"/>
    <cellStyle name="Normal 2 5 8 3" xfId="31819" xr:uid="{00000000-0005-0000-0000-0000A27B0000}"/>
    <cellStyle name="Normal 2 5 8 3 2" xfId="31820" xr:uid="{00000000-0005-0000-0000-0000A37B0000}"/>
    <cellStyle name="Normal 2 5 8 3 3" xfId="31821" xr:uid="{00000000-0005-0000-0000-0000A47B0000}"/>
    <cellStyle name="Normal 2 5 8 4" xfId="31822" xr:uid="{00000000-0005-0000-0000-0000A57B0000}"/>
    <cellStyle name="Normal 2 5 80" xfId="31823" xr:uid="{00000000-0005-0000-0000-0000A67B0000}"/>
    <cellStyle name="Normal 2 5 80 2" xfId="31824" xr:uid="{00000000-0005-0000-0000-0000A77B0000}"/>
    <cellStyle name="Normal 2 5 80 2 2" xfId="31825" xr:uid="{00000000-0005-0000-0000-0000A87B0000}"/>
    <cellStyle name="Normal 2 5 80 2 2 2" xfId="31826" xr:uid="{00000000-0005-0000-0000-0000A97B0000}"/>
    <cellStyle name="Normal 2 5 80 2 2 3" xfId="31827" xr:uid="{00000000-0005-0000-0000-0000AA7B0000}"/>
    <cellStyle name="Normal 2 5 80 2 3" xfId="31828" xr:uid="{00000000-0005-0000-0000-0000AB7B0000}"/>
    <cellStyle name="Normal 2 5 80 2 4" xfId="31829" xr:uid="{00000000-0005-0000-0000-0000AC7B0000}"/>
    <cellStyle name="Normal 2 5 80 3" xfId="31830" xr:uid="{00000000-0005-0000-0000-0000AD7B0000}"/>
    <cellStyle name="Normal 2 5 80 3 2" xfId="31831" xr:uid="{00000000-0005-0000-0000-0000AE7B0000}"/>
    <cellStyle name="Normal 2 5 80 3 3" xfId="31832" xr:uid="{00000000-0005-0000-0000-0000AF7B0000}"/>
    <cellStyle name="Normal 2 5 80 4" xfId="31833" xr:uid="{00000000-0005-0000-0000-0000B07B0000}"/>
    <cellStyle name="Normal 2 5 81" xfId="31834" xr:uid="{00000000-0005-0000-0000-0000B17B0000}"/>
    <cellStyle name="Normal 2 5 81 2" xfId="31835" xr:uid="{00000000-0005-0000-0000-0000B27B0000}"/>
    <cellStyle name="Normal 2 5 81 2 2" xfId="31836" xr:uid="{00000000-0005-0000-0000-0000B37B0000}"/>
    <cellStyle name="Normal 2 5 81 2 2 2" xfId="31837" xr:uid="{00000000-0005-0000-0000-0000B47B0000}"/>
    <cellStyle name="Normal 2 5 81 2 2 3" xfId="31838" xr:uid="{00000000-0005-0000-0000-0000B57B0000}"/>
    <cellStyle name="Normal 2 5 81 2 3" xfId="31839" xr:uid="{00000000-0005-0000-0000-0000B67B0000}"/>
    <cellStyle name="Normal 2 5 81 2 4" xfId="31840" xr:uid="{00000000-0005-0000-0000-0000B77B0000}"/>
    <cellStyle name="Normal 2 5 81 3" xfId="31841" xr:uid="{00000000-0005-0000-0000-0000B87B0000}"/>
    <cellStyle name="Normal 2 5 81 3 2" xfId="31842" xr:uid="{00000000-0005-0000-0000-0000B97B0000}"/>
    <cellStyle name="Normal 2 5 81 3 3" xfId="31843" xr:uid="{00000000-0005-0000-0000-0000BA7B0000}"/>
    <cellStyle name="Normal 2 5 81 4" xfId="31844" xr:uid="{00000000-0005-0000-0000-0000BB7B0000}"/>
    <cellStyle name="Normal 2 5 82" xfId="31845" xr:uid="{00000000-0005-0000-0000-0000BC7B0000}"/>
    <cellStyle name="Normal 2 5 82 2" xfId="31846" xr:uid="{00000000-0005-0000-0000-0000BD7B0000}"/>
    <cellStyle name="Normal 2 5 82 2 2" xfId="31847" xr:uid="{00000000-0005-0000-0000-0000BE7B0000}"/>
    <cellStyle name="Normal 2 5 82 2 2 2" xfId="31848" xr:uid="{00000000-0005-0000-0000-0000BF7B0000}"/>
    <cellStyle name="Normal 2 5 82 2 2 3" xfId="31849" xr:uid="{00000000-0005-0000-0000-0000C07B0000}"/>
    <cellStyle name="Normal 2 5 82 2 3" xfId="31850" xr:uid="{00000000-0005-0000-0000-0000C17B0000}"/>
    <cellStyle name="Normal 2 5 82 2 4" xfId="31851" xr:uid="{00000000-0005-0000-0000-0000C27B0000}"/>
    <cellStyle name="Normal 2 5 82 3" xfId="31852" xr:uid="{00000000-0005-0000-0000-0000C37B0000}"/>
    <cellStyle name="Normal 2 5 82 3 2" xfId="31853" xr:uid="{00000000-0005-0000-0000-0000C47B0000}"/>
    <cellStyle name="Normal 2 5 82 3 3" xfId="31854" xr:uid="{00000000-0005-0000-0000-0000C57B0000}"/>
    <cellStyle name="Normal 2 5 82 4" xfId="31855" xr:uid="{00000000-0005-0000-0000-0000C67B0000}"/>
    <cellStyle name="Normal 2 5 83" xfId="31856" xr:uid="{00000000-0005-0000-0000-0000C77B0000}"/>
    <cellStyle name="Normal 2 5 83 2" xfId="31857" xr:uid="{00000000-0005-0000-0000-0000C87B0000}"/>
    <cellStyle name="Normal 2 5 83 2 2" xfId="31858" xr:uid="{00000000-0005-0000-0000-0000C97B0000}"/>
    <cellStyle name="Normal 2 5 83 2 2 2" xfId="31859" xr:uid="{00000000-0005-0000-0000-0000CA7B0000}"/>
    <cellStyle name="Normal 2 5 83 2 2 3" xfId="31860" xr:uid="{00000000-0005-0000-0000-0000CB7B0000}"/>
    <cellStyle name="Normal 2 5 83 2 3" xfId="31861" xr:uid="{00000000-0005-0000-0000-0000CC7B0000}"/>
    <cellStyle name="Normal 2 5 83 2 4" xfId="31862" xr:uid="{00000000-0005-0000-0000-0000CD7B0000}"/>
    <cellStyle name="Normal 2 5 83 3" xfId="31863" xr:uid="{00000000-0005-0000-0000-0000CE7B0000}"/>
    <cellStyle name="Normal 2 5 83 3 2" xfId="31864" xr:uid="{00000000-0005-0000-0000-0000CF7B0000}"/>
    <cellStyle name="Normal 2 5 83 3 3" xfId="31865" xr:uid="{00000000-0005-0000-0000-0000D07B0000}"/>
    <cellStyle name="Normal 2 5 83 4" xfId="31866" xr:uid="{00000000-0005-0000-0000-0000D17B0000}"/>
    <cellStyle name="Normal 2 5 84" xfId="31867" xr:uid="{00000000-0005-0000-0000-0000D27B0000}"/>
    <cellStyle name="Normal 2 5 84 2" xfId="31868" xr:uid="{00000000-0005-0000-0000-0000D37B0000}"/>
    <cellStyle name="Normal 2 5 84 2 2" xfId="31869" xr:uid="{00000000-0005-0000-0000-0000D47B0000}"/>
    <cellStyle name="Normal 2 5 84 2 2 2" xfId="31870" xr:uid="{00000000-0005-0000-0000-0000D57B0000}"/>
    <cellStyle name="Normal 2 5 84 2 2 3" xfId="31871" xr:uid="{00000000-0005-0000-0000-0000D67B0000}"/>
    <cellStyle name="Normal 2 5 84 2 3" xfId="31872" xr:uid="{00000000-0005-0000-0000-0000D77B0000}"/>
    <cellStyle name="Normal 2 5 84 2 4" xfId="31873" xr:uid="{00000000-0005-0000-0000-0000D87B0000}"/>
    <cellStyle name="Normal 2 5 84 3" xfId="31874" xr:uid="{00000000-0005-0000-0000-0000D97B0000}"/>
    <cellStyle name="Normal 2 5 84 3 2" xfId="31875" xr:uid="{00000000-0005-0000-0000-0000DA7B0000}"/>
    <cellStyle name="Normal 2 5 84 3 3" xfId="31876" xr:uid="{00000000-0005-0000-0000-0000DB7B0000}"/>
    <cellStyle name="Normal 2 5 84 4" xfId="31877" xr:uid="{00000000-0005-0000-0000-0000DC7B0000}"/>
    <cellStyle name="Normal 2 5 85" xfId="31878" xr:uid="{00000000-0005-0000-0000-0000DD7B0000}"/>
    <cellStyle name="Normal 2 5 85 2" xfId="31879" xr:uid="{00000000-0005-0000-0000-0000DE7B0000}"/>
    <cellStyle name="Normal 2 5 85 2 2" xfId="31880" xr:uid="{00000000-0005-0000-0000-0000DF7B0000}"/>
    <cellStyle name="Normal 2 5 85 2 2 2" xfId="31881" xr:uid="{00000000-0005-0000-0000-0000E07B0000}"/>
    <cellStyle name="Normal 2 5 85 2 2 3" xfId="31882" xr:uid="{00000000-0005-0000-0000-0000E17B0000}"/>
    <cellStyle name="Normal 2 5 85 2 3" xfId="31883" xr:uid="{00000000-0005-0000-0000-0000E27B0000}"/>
    <cellStyle name="Normal 2 5 85 2 4" xfId="31884" xr:uid="{00000000-0005-0000-0000-0000E37B0000}"/>
    <cellStyle name="Normal 2 5 85 3" xfId="31885" xr:uid="{00000000-0005-0000-0000-0000E47B0000}"/>
    <cellStyle name="Normal 2 5 85 3 2" xfId="31886" xr:uid="{00000000-0005-0000-0000-0000E57B0000}"/>
    <cellStyle name="Normal 2 5 85 3 3" xfId="31887" xr:uid="{00000000-0005-0000-0000-0000E67B0000}"/>
    <cellStyle name="Normal 2 5 85 4" xfId="31888" xr:uid="{00000000-0005-0000-0000-0000E77B0000}"/>
    <cellStyle name="Normal 2 5 86" xfId="31889" xr:uid="{00000000-0005-0000-0000-0000E87B0000}"/>
    <cellStyle name="Normal 2 5 86 2" xfId="31890" xr:uid="{00000000-0005-0000-0000-0000E97B0000}"/>
    <cellStyle name="Normal 2 5 86 2 2" xfId="31891" xr:uid="{00000000-0005-0000-0000-0000EA7B0000}"/>
    <cellStyle name="Normal 2 5 86 2 2 2" xfId="31892" xr:uid="{00000000-0005-0000-0000-0000EB7B0000}"/>
    <cellStyle name="Normal 2 5 86 2 2 3" xfId="31893" xr:uid="{00000000-0005-0000-0000-0000EC7B0000}"/>
    <cellStyle name="Normal 2 5 86 2 3" xfId="31894" xr:uid="{00000000-0005-0000-0000-0000ED7B0000}"/>
    <cellStyle name="Normal 2 5 86 2 4" xfId="31895" xr:uid="{00000000-0005-0000-0000-0000EE7B0000}"/>
    <cellStyle name="Normal 2 5 86 3" xfId="31896" xr:uid="{00000000-0005-0000-0000-0000EF7B0000}"/>
    <cellStyle name="Normal 2 5 86 3 2" xfId="31897" xr:uid="{00000000-0005-0000-0000-0000F07B0000}"/>
    <cellStyle name="Normal 2 5 86 3 3" xfId="31898" xr:uid="{00000000-0005-0000-0000-0000F17B0000}"/>
    <cellStyle name="Normal 2 5 86 4" xfId="31899" xr:uid="{00000000-0005-0000-0000-0000F27B0000}"/>
    <cellStyle name="Normal 2 5 87" xfId="31900" xr:uid="{00000000-0005-0000-0000-0000F37B0000}"/>
    <cellStyle name="Normal 2 5 87 2" xfId="31901" xr:uid="{00000000-0005-0000-0000-0000F47B0000}"/>
    <cellStyle name="Normal 2 5 87 2 2" xfId="31902" xr:uid="{00000000-0005-0000-0000-0000F57B0000}"/>
    <cellStyle name="Normal 2 5 87 2 2 2" xfId="31903" xr:uid="{00000000-0005-0000-0000-0000F67B0000}"/>
    <cellStyle name="Normal 2 5 87 2 2 3" xfId="31904" xr:uid="{00000000-0005-0000-0000-0000F77B0000}"/>
    <cellStyle name="Normal 2 5 87 2 3" xfId="31905" xr:uid="{00000000-0005-0000-0000-0000F87B0000}"/>
    <cellStyle name="Normal 2 5 87 2 4" xfId="31906" xr:uid="{00000000-0005-0000-0000-0000F97B0000}"/>
    <cellStyle name="Normal 2 5 87 3" xfId="31907" xr:uid="{00000000-0005-0000-0000-0000FA7B0000}"/>
    <cellStyle name="Normal 2 5 87 3 2" xfId="31908" xr:uid="{00000000-0005-0000-0000-0000FB7B0000}"/>
    <cellStyle name="Normal 2 5 87 3 3" xfId="31909" xr:uid="{00000000-0005-0000-0000-0000FC7B0000}"/>
    <cellStyle name="Normal 2 5 87 4" xfId="31910" xr:uid="{00000000-0005-0000-0000-0000FD7B0000}"/>
    <cellStyle name="Normal 2 5 88" xfId="31911" xr:uid="{00000000-0005-0000-0000-0000FE7B0000}"/>
    <cellStyle name="Normal 2 5 88 2" xfId="31912" xr:uid="{00000000-0005-0000-0000-0000FF7B0000}"/>
    <cellStyle name="Normal 2 5 88 2 2" xfId="31913" xr:uid="{00000000-0005-0000-0000-0000007C0000}"/>
    <cellStyle name="Normal 2 5 88 2 3" xfId="31914" xr:uid="{00000000-0005-0000-0000-0000017C0000}"/>
    <cellStyle name="Normal 2 5 88 3" xfId="31915" xr:uid="{00000000-0005-0000-0000-0000027C0000}"/>
    <cellStyle name="Normal 2 5 88 4" xfId="31916" xr:uid="{00000000-0005-0000-0000-0000037C0000}"/>
    <cellStyle name="Normal 2 5 89" xfId="31917" xr:uid="{00000000-0005-0000-0000-0000047C0000}"/>
    <cellStyle name="Normal 2 5 89 2" xfId="31918" xr:uid="{00000000-0005-0000-0000-0000057C0000}"/>
    <cellStyle name="Normal 2 5 89 3" xfId="31919" xr:uid="{00000000-0005-0000-0000-0000067C0000}"/>
    <cellStyle name="Normal 2 5 9" xfId="31920" xr:uid="{00000000-0005-0000-0000-0000077C0000}"/>
    <cellStyle name="Normal 2 5 9 2" xfId="31921" xr:uid="{00000000-0005-0000-0000-0000087C0000}"/>
    <cellStyle name="Normal 2 5 9 2 2" xfId="31922" xr:uid="{00000000-0005-0000-0000-0000097C0000}"/>
    <cellStyle name="Normal 2 5 9 2 2 2" xfId="31923" xr:uid="{00000000-0005-0000-0000-00000A7C0000}"/>
    <cellStyle name="Normal 2 5 9 2 2 3" xfId="31924" xr:uid="{00000000-0005-0000-0000-00000B7C0000}"/>
    <cellStyle name="Normal 2 5 9 2 3" xfId="31925" xr:uid="{00000000-0005-0000-0000-00000C7C0000}"/>
    <cellStyle name="Normal 2 5 9 2 4" xfId="31926" xr:uid="{00000000-0005-0000-0000-00000D7C0000}"/>
    <cellStyle name="Normal 2 5 9 3" xfId="31927" xr:uid="{00000000-0005-0000-0000-00000E7C0000}"/>
    <cellStyle name="Normal 2 5 9 3 2" xfId="31928" xr:uid="{00000000-0005-0000-0000-00000F7C0000}"/>
    <cellStyle name="Normal 2 5 9 3 3" xfId="31929" xr:uid="{00000000-0005-0000-0000-0000107C0000}"/>
    <cellStyle name="Normal 2 5 9 4" xfId="31930" xr:uid="{00000000-0005-0000-0000-0000117C0000}"/>
    <cellStyle name="Normal 2 5 90" xfId="31931" xr:uid="{00000000-0005-0000-0000-0000127C0000}"/>
    <cellStyle name="Normal 2 5 91" xfId="31932" xr:uid="{00000000-0005-0000-0000-0000137C0000}"/>
    <cellStyle name="Normal 2 5_2015 Annual Rpt" xfId="31933" xr:uid="{00000000-0005-0000-0000-0000147C0000}"/>
    <cellStyle name="Normal 2 50" xfId="31934" xr:uid="{00000000-0005-0000-0000-0000157C0000}"/>
    <cellStyle name="Normal 2 50 2" xfId="31935" xr:uid="{00000000-0005-0000-0000-0000167C0000}"/>
    <cellStyle name="Normal 2 50 2 2" xfId="31936" xr:uid="{00000000-0005-0000-0000-0000177C0000}"/>
    <cellStyle name="Normal 2 50 2 2 2" xfId="31937" xr:uid="{00000000-0005-0000-0000-0000187C0000}"/>
    <cellStyle name="Normal 2 50 2 2 3" xfId="31938" xr:uid="{00000000-0005-0000-0000-0000197C0000}"/>
    <cellStyle name="Normal 2 50 2 3" xfId="31939" xr:uid="{00000000-0005-0000-0000-00001A7C0000}"/>
    <cellStyle name="Normal 2 50 2 4" xfId="31940" xr:uid="{00000000-0005-0000-0000-00001B7C0000}"/>
    <cellStyle name="Normal 2 50 3" xfId="31941" xr:uid="{00000000-0005-0000-0000-00001C7C0000}"/>
    <cellStyle name="Normal 2 50 3 2" xfId="31942" xr:uid="{00000000-0005-0000-0000-00001D7C0000}"/>
    <cellStyle name="Normal 2 50 3 3" xfId="31943" xr:uid="{00000000-0005-0000-0000-00001E7C0000}"/>
    <cellStyle name="Normal 2 50 4" xfId="31944" xr:uid="{00000000-0005-0000-0000-00001F7C0000}"/>
    <cellStyle name="Normal 2 51" xfId="31945" xr:uid="{00000000-0005-0000-0000-0000207C0000}"/>
    <cellStyle name="Normal 2 51 2" xfId="31946" xr:uid="{00000000-0005-0000-0000-0000217C0000}"/>
    <cellStyle name="Normal 2 51 2 2" xfId="31947" xr:uid="{00000000-0005-0000-0000-0000227C0000}"/>
    <cellStyle name="Normal 2 51 2 2 2" xfId="31948" xr:uid="{00000000-0005-0000-0000-0000237C0000}"/>
    <cellStyle name="Normal 2 51 2 2 3" xfId="31949" xr:uid="{00000000-0005-0000-0000-0000247C0000}"/>
    <cellStyle name="Normal 2 51 2 3" xfId="31950" xr:uid="{00000000-0005-0000-0000-0000257C0000}"/>
    <cellStyle name="Normal 2 51 2 4" xfId="31951" xr:uid="{00000000-0005-0000-0000-0000267C0000}"/>
    <cellStyle name="Normal 2 51 3" xfId="31952" xr:uid="{00000000-0005-0000-0000-0000277C0000}"/>
    <cellStyle name="Normal 2 51 3 2" xfId="31953" xr:uid="{00000000-0005-0000-0000-0000287C0000}"/>
    <cellStyle name="Normal 2 51 3 3" xfId="31954" xr:uid="{00000000-0005-0000-0000-0000297C0000}"/>
    <cellStyle name="Normal 2 51 4" xfId="31955" xr:uid="{00000000-0005-0000-0000-00002A7C0000}"/>
    <cellStyle name="Normal 2 52" xfId="31956" xr:uid="{00000000-0005-0000-0000-00002B7C0000}"/>
    <cellStyle name="Normal 2 52 2" xfId="31957" xr:uid="{00000000-0005-0000-0000-00002C7C0000}"/>
    <cellStyle name="Normal 2 52 2 2" xfId="31958" xr:uid="{00000000-0005-0000-0000-00002D7C0000}"/>
    <cellStyle name="Normal 2 52 2 2 2" xfId="31959" xr:uid="{00000000-0005-0000-0000-00002E7C0000}"/>
    <cellStyle name="Normal 2 52 2 2 3" xfId="31960" xr:uid="{00000000-0005-0000-0000-00002F7C0000}"/>
    <cellStyle name="Normal 2 52 2 3" xfId="31961" xr:uid="{00000000-0005-0000-0000-0000307C0000}"/>
    <cellStyle name="Normal 2 52 2 4" xfId="31962" xr:uid="{00000000-0005-0000-0000-0000317C0000}"/>
    <cellStyle name="Normal 2 52 3" xfId="31963" xr:uid="{00000000-0005-0000-0000-0000327C0000}"/>
    <cellStyle name="Normal 2 52 3 2" xfId="31964" xr:uid="{00000000-0005-0000-0000-0000337C0000}"/>
    <cellStyle name="Normal 2 52 3 3" xfId="31965" xr:uid="{00000000-0005-0000-0000-0000347C0000}"/>
    <cellStyle name="Normal 2 52 4" xfId="31966" xr:uid="{00000000-0005-0000-0000-0000357C0000}"/>
    <cellStyle name="Normal 2 53" xfId="31967" xr:uid="{00000000-0005-0000-0000-0000367C0000}"/>
    <cellStyle name="Normal 2 53 2" xfId="31968" xr:uid="{00000000-0005-0000-0000-0000377C0000}"/>
    <cellStyle name="Normal 2 53 2 2" xfId="31969" xr:uid="{00000000-0005-0000-0000-0000387C0000}"/>
    <cellStyle name="Normal 2 53 2 2 2" xfId="31970" xr:uid="{00000000-0005-0000-0000-0000397C0000}"/>
    <cellStyle name="Normal 2 53 2 2 3" xfId="31971" xr:uid="{00000000-0005-0000-0000-00003A7C0000}"/>
    <cellStyle name="Normal 2 53 2 3" xfId="31972" xr:uid="{00000000-0005-0000-0000-00003B7C0000}"/>
    <cellStyle name="Normal 2 53 2 4" xfId="31973" xr:uid="{00000000-0005-0000-0000-00003C7C0000}"/>
    <cellStyle name="Normal 2 53 3" xfId="31974" xr:uid="{00000000-0005-0000-0000-00003D7C0000}"/>
    <cellStyle name="Normal 2 53 3 2" xfId="31975" xr:uid="{00000000-0005-0000-0000-00003E7C0000}"/>
    <cellStyle name="Normal 2 53 3 3" xfId="31976" xr:uid="{00000000-0005-0000-0000-00003F7C0000}"/>
    <cellStyle name="Normal 2 53 4" xfId="31977" xr:uid="{00000000-0005-0000-0000-0000407C0000}"/>
    <cellStyle name="Normal 2 54" xfId="31978" xr:uid="{00000000-0005-0000-0000-0000417C0000}"/>
    <cellStyle name="Normal 2 54 2" xfId="31979" xr:uid="{00000000-0005-0000-0000-0000427C0000}"/>
    <cellStyle name="Normal 2 54 2 2" xfId="31980" xr:uid="{00000000-0005-0000-0000-0000437C0000}"/>
    <cellStyle name="Normal 2 54 2 2 2" xfId="31981" xr:uid="{00000000-0005-0000-0000-0000447C0000}"/>
    <cellStyle name="Normal 2 54 2 2 3" xfId="31982" xr:uid="{00000000-0005-0000-0000-0000457C0000}"/>
    <cellStyle name="Normal 2 54 2 3" xfId="31983" xr:uid="{00000000-0005-0000-0000-0000467C0000}"/>
    <cellStyle name="Normal 2 54 2 4" xfId="31984" xr:uid="{00000000-0005-0000-0000-0000477C0000}"/>
    <cellStyle name="Normal 2 54 3" xfId="31985" xr:uid="{00000000-0005-0000-0000-0000487C0000}"/>
    <cellStyle name="Normal 2 54 3 2" xfId="31986" xr:uid="{00000000-0005-0000-0000-0000497C0000}"/>
    <cellStyle name="Normal 2 54 3 3" xfId="31987" xr:uid="{00000000-0005-0000-0000-00004A7C0000}"/>
    <cellStyle name="Normal 2 54 4" xfId="31988" xr:uid="{00000000-0005-0000-0000-00004B7C0000}"/>
    <cellStyle name="Normal 2 55" xfId="31989" xr:uid="{00000000-0005-0000-0000-00004C7C0000}"/>
    <cellStyle name="Normal 2 55 2" xfId="31990" xr:uid="{00000000-0005-0000-0000-00004D7C0000}"/>
    <cellStyle name="Normal 2 55 2 2" xfId="31991" xr:uid="{00000000-0005-0000-0000-00004E7C0000}"/>
    <cellStyle name="Normal 2 55 2 2 2" xfId="31992" xr:uid="{00000000-0005-0000-0000-00004F7C0000}"/>
    <cellStyle name="Normal 2 55 2 2 3" xfId="31993" xr:uid="{00000000-0005-0000-0000-0000507C0000}"/>
    <cellStyle name="Normal 2 55 2 3" xfId="31994" xr:uid="{00000000-0005-0000-0000-0000517C0000}"/>
    <cellStyle name="Normal 2 55 2 4" xfId="31995" xr:uid="{00000000-0005-0000-0000-0000527C0000}"/>
    <cellStyle name="Normal 2 55 3" xfId="31996" xr:uid="{00000000-0005-0000-0000-0000537C0000}"/>
    <cellStyle name="Normal 2 55 3 2" xfId="31997" xr:uid="{00000000-0005-0000-0000-0000547C0000}"/>
    <cellStyle name="Normal 2 55 3 3" xfId="31998" xr:uid="{00000000-0005-0000-0000-0000557C0000}"/>
    <cellStyle name="Normal 2 55 4" xfId="31999" xr:uid="{00000000-0005-0000-0000-0000567C0000}"/>
    <cellStyle name="Normal 2 56" xfId="32000" xr:uid="{00000000-0005-0000-0000-0000577C0000}"/>
    <cellStyle name="Normal 2 56 2" xfId="32001" xr:uid="{00000000-0005-0000-0000-0000587C0000}"/>
    <cellStyle name="Normal 2 56 2 2" xfId="32002" xr:uid="{00000000-0005-0000-0000-0000597C0000}"/>
    <cellStyle name="Normal 2 56 2 2 2" xfId="32003" xr:uid="{00000000-0005-0000-0000-00005A7C0000}"/>
    <cellStyle name="Normal 2 56 2 2 3" xfId="32004" xr:uid="{00000000-0005-0000-0000-00005B7C0000}"/>
    <cellStyle name="Normal 2 56 2 3" xfId="32005" xr:uid="{00000000-0005-0000-0000-00005C7C0000}"/>
    <cellStyle name="Normal 2 56 2 4" xfId="32006" xr:uid="{00000000-0005-0000-0000-00005D7C0000}"/>
    <cellStyle name="Normal 2 56 3" xfId="32007" xr:uid="{00000000-0005-0000-0000-00005E7C0000}"/>
    <cellStyle name="Normal 2 56 3 2" xfId="32008" xr:uid="{00000000-0005-0000-0000-00005F7C0000}"/>
    <cellStyle name="Normal 2 56 3 3" xfId="32009" xr:uid="{00000000-0005-0000-0000-0000607C0000}"/>
    <cellStyle name="Normal 2 56 4" xfId="32010" xr:uid="{00000000-0005-0000-0000-0000617C0000}"/>
    <cellStyle name="Normal 2 57" xfId="32011" xr:uid="{00000000-0005-0000-0000-0000627C0000}"/>
    <cellStyle name="Normal 2 57 2" xfId="32012" xr:uid="{00000000-0005-0000-0000-0000637C0000}"/>
    <cellStyle name="Normal 2 57 2 2" xfId="32013" xr:uid="{00000000-0005-0000-0000-0000647C0000}"/>
    <cellStyle name="Normal 2 57 2 2 2" xfId="32014" xr:uid="{00000000-0005-0000-0000-0000657C0000}"/>
    <cellStyle name="Normal 2 57 2 2 3" xfId="32015" xr:uid="{00000000-0005-0000-0000-0000667C0000}"/>
    <cellStyle name="Normal 2 57 2 3" xfId="32016" xr:uid="{00000000-0005-0000-0000-0000677C0000}"/>
    <cellStyle name="Normal 2 57 2 4" xfId="32017" xr:uid="{00000000-0005-0000-0000-0000687C0000}"/>
    <cellStyle name="Normal 2 57 3" xfId="32018" xr:uid="{00000000-0005-0000-0000-0000697C0000}"/>
    <cellStyle name="Normal 2 57 3 2" xfId="32019" xr:uid="{00000000-0005-0000-0000-00006A7C0000}"/>
    <cellStyle name="Normal 2 57 3 3" xfId="32020" xr:uid="{00000000-0005-0000-0000-00006B7C0000}"/>
    <cellStyle name="Normal 2 57 4" xfId="32021" xr:uid="{00000000-0005-0000-0000-00006C7C0000}"/>
    <cellStyle name="Normal 2 58" xfId="32022" xr:uid="{00000000-0005-0000-0000-00006D7C0000}"/>
    <cellStyle name="Normal 2 58 2" xfId="32023" xr:uid="{00000000-0005-0000-0000-00006E7C0000}"/>
    <cellStyle name="Normal 2 58 2 2" xfId="32024" xr:uid="{00000000-0005-0000-0000-00006F7C0000}"/>
    <cellStyle name="Normal 2 58 2 2 2" xfId="32025" xr:uid="{00000000-0005-0000-0000-0000707C0000}"/>
    <cellStyle name="Normal 2 58 2 2 3" xfId="32026" xr:uid="{00000000-0005-0000-0000-0000717C0000}"/>
    <cellStyle name="Normal 2 58 2 3" xfId="32027" xr:uid="{00000000-0005-0000-0000-0000727C0000}"/>
    <cellStyle name="Normal 2 58 2 4" xfId="32028" xr:uid="{00000000-0005-0000-0000-0000737C0000}"/>
    <cellStyle name="Normal 2 58 3" xfId="32029" xr:uid="{00000000-0005-0000-0000-0000747C0000}"/>
    <cellStyle name="Normal 2 58 3 2" xfId="32030" xr:uid="{00000000-0005-0000-0000-0000757C0000}"/>
    <cellStyle name="Normal 2 58 3 3" xfId="32031" xr:uid="{00000000-0005-0000-0000-0000767C0000}"/>
    <cellStyle name="Normal 2 58 4" xfId="32032" xr:uid="{00000000-0005-0000-0000-0000777C0000}"/>
    <cellStyle name="Normal 2 59" xfId="32033" xr:uid="{00000000-0005-0000-0000-0000787C0000}"/>
    <cellStyle name="Normal 2 59 2" xfId="32034" xr:uid="{00000000-0005-0000-0000-0000797C0000}"/>
    <cellStyle name="Normal 2 59 2 2" xfId="32035" xr:uid="{00000000-0005-0000-0000-00007A7C0000}"/>
    <cellStyle name="Normal 2 59 2 2 2" xfId="32036" xr:uid="{00000000-0005-0000-0000-00007B7C0000}"/>
    <cellStyle name="Normal 2 59 2 2 3" xfId="32037" xr:uid="{00000000-0005-0000-0000-00007C7C0000}"/>
    <cellStyle name="Normal 2 59 2 3" xfId="32038" xr:uid="{00000000-0005-0000-0000-00007D7C0000}"/>
    <cellStyle name="Normal 2 59 2 4" xfId="32039" xr:uid="{00000000-0005-0000-0000-00007E7C0000}"/>
    <cellStyle name="Normal 2 59 3" xfId="32040" xr:uid="{00000000-0005-0000-0000-00007F7C0000}"/>
    <cellStyle name="Normal 2 59 3 2" xfId="32041" xr:uid="{00000000-0005-0000-0000-0000807C0000}"/>
    <cellStyle name="Normal 2 59 3 3" xfId="32042" xr:uid="{00000000-0005-0000-0000-0000817C0000}"/>
    <cellStyle name="Normal 2 59 4" xfId="32043" xr:uid="{00000000-0005-0000-0000-0000827C0000}"/>
    <cellStyle name="Normal 2 6" xfId="277" xr:uid="{00000000-0005-0000-0000-0000837C0000}"/>
    <cellStyle name="Normal 2 6 2" xfId="32044" xr:uid="{00000000-0005-0000-0000-0000847C0000}"/>
    <cellStyle name="Normal 2 6 2 2" xfId="32045" xr:uid="{00000000-0005-0000-0000-0000857C0000}"/>
    <cellStyle name="Normal 2 6 2 2 2" xfId="32046" xr:uid="{00000000-0005-0000-0000-0000867C0000}"/>
    <cellStyle name="Normal 2 6 2 2 3" xfId="32047" xr:uid="{00000000-0005-0000-0000-0000877C0000}"/>
    <cellStyle name="Normal 2 6 2 3" xfId="32048" xr:uid="{00000000-0005-0000-0000-0000887C0000}"/>
    <cellStyle name="Normal 2 6 2 4" xfId="32049" xr:uid="{00000000-0005-0000-0000-0000897C0000}"/>
    <cellStyle name="Normal 2 6 3" xfId="32050" xr:uid="{00000000-0005-0000-0000-00008A7C0000}"/>
    <cellStyle name="Normal 2 6 3 2" xfId="32051" xr:uid="{00000000-0005-0000-0000-00008B7C0000}"/>
    <cellStyle name="Normal 2 6 3 3" xfId="32052" xr:uid="{00000000-0005-0000-0000-00008C7C0000}"/>
    <cellStyle name="Normal 2 6 3 4" xfId="32053" xr:uid="{00000000-0005-0000-0000-00008D7C0000}"/>
    <cellStyle name="Normal 2 6 4" xfId="32054" xr:uid="{00000000-0005-0000-0000-00008E7C0000}"/>
    <cellStyle name="Normal 2 6 5" xfId="32055" xr:uid="{00000000-0005-0000-0000-00008F7C0000}"/>
    <cellStyle name="Normal 2 6_App b.3 Unspent_" xfId="32056" xr:uid="{00000000-0005-0000-0000-0000907C0000}"/>
    <cellStyle name="Normal 2 60" xfId="32057" xr:uid="{00000000-0005-0000-0000-0000917C0000}"/>
    <cellStyle name="Normal 2 60 2" xfId="32058" xr:uid="{00000000-0005-0000-0000-0000927C0000}"/>
    <cellStyle name="Normal 2 60 2 2" xfId="32059" xr:uid="{00000000-0005-0000-0000-0000937C0000}"/>
    <cellStyle name="Normal 2 60 2 2 2" xfId="32060" xr:uid="{00000000-0005-0000-0000-0000947C0000}"/>
    <cellStyle name="Normal 2 60 2 2 3" xfId="32061" xr:uid="{00000000-0005-0000-0000-0000957C0000}"/>
    <cellStyle name="Normal 2 60 2 3" xfId="32062" xr:uid="{00000000-0005-0000-0000-0000967C0000}"/>
    <cellStyle name="Normal 2 60 2 4" xfId="32063" xr:uid="{00000000-0005-0000-0000-0000977C0000}"/>
    <cellStyle name="Normal 2 60 3" xfId="32064" xr:uid="{00000000-0005-0000-0000-0000987C0000}"/>
    <cellStyle name="Normal 2 60 3 2" xfId="32065" xr:uid="{00000000-0005-0000-0000-0000997C0000}"/>
    <cellStyle name="Normal 2 60 3 3" xfId="32066" xr:uid="{00000000-0005-0000-0000-00009A7C0000}"/>
    <cellStyle name="Normal 2 60 4" xfId="32067" xr:uid="{00000000-0005-0000-0000-00009B7C0000}"/>
    <cellStyle name="Normal 2 61" xfId="32068" xr:uid="{00000000-0005-0000-0000-00009C7C0000}"/>
    <cellStyle name="Normal 2 61 2" xfId="32069" xr:uid="{00000000-0005-0000-0000-00009D7C0000}"/>
    <cellStyle name="Normal 2 61 2 2" xfId="32070" xr:uid="{00000000-0005-0000-0000-00009E7C0000}"/>
    <cellStyle name="Normal 2 61 2 2 2" xfId="32071" xr:uid="{00000000-0005-0000-0000-00009F7C0000}"/>
    <cellStyle name="Normal 2 61 2 2 3" xfId="32072" xr:uid="{00000000-0005-0000-0000-0000A07C0000}"/>
    <cellStyle name="Normal 2 61 2 3" xfId="32073" xr:uid="{00000000-0005-0000-0000-0000A17C0000}"/>
    <cellStyle name="Normal 2 61 2 4" xfId="32074" xr:uid="{00000000-0005-0000-0000-0000A27C0000}"/>
    <cellStyle name="Normal 2 61 3" xfId="32075" xr:uid="{00000000-0005-0000-0000-0000A37C0000}"/>
    <cellStyle name="Normal 2 61 3 2" xfId="32076" xr:uid="{00000000-0005-0000-0000-0000A47C0000}"/>
    <cellStyle name="Normal 2 61 3 3" xfId="32077" xr:uid="{00000000-0005-0000-0000-0000A57C0000}"/>
    <cellStyle name="Normal 2 61 4" xfId="32078" xr:uid="{00000000-0005-0000-0000-0000A67C0000}"/>
    <cellStyle name="Normal 2 62" xfId="32079" xr:uid="{00000000-0005-0000-0000-0000A77C0000}"/>
    <cellStyle name="Normal 2 62 2" xfId="32080" xr:uid="{00000000-0005-0000-0000-0000A87C0000}"/>
    <cellStyle name="Normal 2 62 2 2" xfId="32081" xr:uid="{00000000-0005-0000-0000-0000A97C0000}"/>
    <cellStyle name="Normal 2 62 2 2 2" xfId="32082" xr:uid="{00000000-0005-0000-0000-0000AA7C0000}"/>
    <cellStyle name="Normal 2 62 2 2 3" xfId="32083" xr:uid="{00000000-0005-0000-0000-0000AB7C0000}"/>
    <cellStyle name="Normal 2 62 2 3" xfId="32084" xr:uid="{00000000-0005-0000-0000-0000AC7C0000}"/>
    <cellStyle name="Normal 2 62 2 4" xfId="32085" xr:uid="{00000000-0005-0000-0000-0000AD7C0000}"/>
    <cellStyle name="Normal 2 62 3" xfId="32086" xr:uid="{00000000-0005-0000-0000-0000AE7C0000}"/>
    <cellStyle name="Normal 2 62 3 2" xfId="32087" xr:uid="{00000000-0005-0000-0000-0000AF7C0000}"/>
    <cellStyle name="Normal 2 62 3 3" xfId="32088" xr:uid="{00000000-0005-0000-0000-0000B07C0000}"/>
    <cellStyle name="Normal 2 62 4" xfId="32089" xr:uid="{00000000-0005-0000-0000-0000B17C0000}"/>
    <cellStyle name="Normal 2 63" xfId="32090" xr:uid="{00000000-0005-0000-0000-0000B27C0000}"/>
    <cellStyle name="Normal 2 63 2" xfId="32091" xr:uid="{00000000-0005-0000-0000-0000B37C0000}"/>
    <cellStyle name="Normal 2 63 2 2" xfId="32092" xr:uid="{00000000-0005-0000-0000-0000B47C0000}"/>
    <cellStyle name="Normal 2 63 2 2 2" xfId="32093" xr:uid="{00000000-0005-0000-0000-0000B57C0000}"/>
    <cellStyle name="Normal 2 63 2 2 3" xfId="32094" xr:uid="{00000000-0005-0000-0000-0000B67C0000}"/>
    <cellStyle name="Normal 2 63 2 3" xfId="32095" xr:uid="{00000000-0005-0000-0000-0000B77C0000}"/>
    <cellStyle name="Normal 2 63 2 4" xfId="32096" xr:uid="{00000000-0005-0000-0000-0000B87C0000}"/>
    <cellStyle name="Normal 2 63 3" xfId="32097" xr:uid="{00000000-0005-0000-0000-0000B97C0000}"/>
    <cellStyle name="Normal 2 63 3 2" xfId="32098" xr:uid="{00000000-0005-0000-0000-0000BA7C0000}"/>
    <cellStyle name="Normal 2 63 3 3" xfId="32099" xr:uid="{00000000-0005-0000-0000-0000BB7C0000}"/>
    <cellStyle name="Normal 2 63 4" xfId="32100" xr:uid="{00000000-0005-0000-0000-0000BC7C0000}"/>
    <cellStyle name="Normal 2 64" xfId="32101" xr:uid="{00000000-0005-0000-0000-0000BD7C0000}"/>
    <cellStyle name="Normal 2 64 2" xfId="32102" xr:uid="{00000000-0005-0000-0000-0000BE7C0000}"/>
    <cellStyle name="Normal 2 64 2 2" xfId="32103" xr:uid="{00000000-0005-0000-0000-0000BF7C0000}"/>
    <cellStyle name="Normal 2 64 2 2 2" xfId="32104" xr:uid="{00000000-0005-0000-0000-0000C07C0000}"/>
    <cellStyle name="Normal 2 64 2 2 3" xfId="32105" xr:uid="{00000000-0005-0000-0000-0000C17C0000}"/>
    <cellStyle name="Normal 2 64 2 3" xfId="32106" xr:uid="{00000000-0005-0000-0000-0000C27C0000}"/>
    <cellStyle name="Normal 2 64 2 4" xfId="32107" xr:uid="{00000000-0005-0000-0000-0000C37C0000}"/>
    <cellStyle name="Normal 2 64 3" xfId="32108" xr:uid="{00000000-0005-0000-0000-0000C47C0000}"/>
    <cellStyle name="Normal 2 64 3 2" xfId="32109" xr:uid="{00000000-0005-0000-0000-0000C57C0000}"/>
    <cellStyle name="Normal 2 64 3 3" xfId="32110" xr:uid="{00000000-0005-0000-0000-0000C67C0000}"/>
    <cellStyle name="Normal 2 64 4" xfId="32111" xr:uid="{00000000-0005-0000-0000-0000C77C0000}"/>
    <cellStyle name="Normal 2 65" xfId="32112" xr:uid="{00000000-0005-0000-0000-0000C87C0000}"/>
    <cellStyle name="Normal 2 65 2" xfId="32113" xr:uid="{00000000-0005-0000-0000-0000C97C0000}"/>
    <cellStyle name="Normal 2 65 2 2" xfId="32114" xr:uid="{00000000-0005-0000-0000-0000CA7C0000}"/>
    <cellStyle name="Normal 2 65 2 2 2" xfId="32115" xr:uid="{00000000-0005-0000-0000-0000CB7C0000}"/>
    <cellStyle name="Normal 2 65 2 2 3" xfId="32116" xr:uid="{00000000-0005-0000-0000-0000CC7C0000}"/>
    <cellStyle name="Normal 2 65 2 3" xfId="32117" xr:uid="{00000000-0005-0000-0000-0000CD7C0000}"/>
    <cellStyle name="Normal 2 65 2 4" xfId="32118" xr:uid="{00000000-0005-0000-0000-0000CE7C0000}"/>
    <cellStyle name="Normal 2 65 3" xfId="32119" xr:uid="{00000000-0005-0000-0000-0000CF7C0000}"/>
    <cellStyle name="Normal 2 65 3 2" xfId="32120" xr:uid="{00000000-0005-0000-0000-0000D07C0000}"/>
    <cellStyle name="Normal 2 65 3 3" xfId="32121" xr:uid="{00000000-0005-0000-0000-0000D17C0000}"/>
    <cellStyle name="Normal 2 65 4" xfId="32122" xr:uid="{00000000-0005-0000-0000-0000D27C0000}"/>
    <cellStyle name="Normal 2 66" xfId="32123" xr:uid="{00000000-0005-0000-0000-0000D37C0000}"/>
    <cellStyle name="Normal 2 66 2" xfId="32124" xr:uid="{00000000-0005-0000-0000-0000D47C0000}"/>
    <cellStyle name="Normal 2 66 2 2" xfId="32125" xr:uid="{00000000-0005-0000-0000-0000D57C0000}"/>
    <cellStyle name="Normal 2 66 2 2 2" xfId="32126" xr:uid="{00000000-0005-0000-0000-0000D67C0000}"/>
    <cellStyle name="Normal 2 66 2 2 3" xfId="32127" xr:uid="{00000000-0005-0000-0000-0000D77C0000}"/>
    <cellStyle name="Normal 2 66 2 3" xfId="32128" xr:uid="{00000000-0005-0000-0000-0000D87C0000}"/>
    <cellStyle name="Normal 2 66 2 4" xfId="32129" xr:uid="{00000000-0005-0000-0000-0000D97C0000}"/>
    <cellStyle name="Normal 2 66 3" xfId="32130" xr:uid="{00000000-0005-0000-0000-0000DA7C0000}"/>
    <cellStyle name="Normal 2 66 3 2" xfId="32131" xr:uid="{00000000-0005-0000-0000-0000DB7C0000}"/>
    <cellStyle name="Normal 2 66 3 3" xfId="32132" xr:uid="{00000000-0005-0000-0000-0000DC7C0000}"/>
    <cellStyle name="Normal 2 66 4" xfId="32133" xr:uid="{00000000-0005-0000-0000-0000DD7C0000}"/>
    <cellStyle name="Normal 2 67" xfId="32134" xr:uid="{00000000-0005-0000-0000-0000DE7C0000}"/>
    <cellStyle name="Normal 2 67 2" xfId="32135" xr:uid="{00000000-0005-0000-0000-0000DF7C0000}"/>
    <cellStyle name="Normal 2 67 2 2" xfId="32136" xr:uid="{00000000-0005-0000-0000-0000E07C0000}"/>
    <cellStyle name="Normal 2 67 2 2 2" xfId="32137" xr:uid="{00000000-0005-0000-0000-0000E17C0000}"/>
    <cellStyle name="Normal 2 67 2 2 3" xfId="32138" xr:uid="{00000000-0005-0000-0000-0000E27C0000}"/>
    <cellStyle name="Normal 2 67 2 3" xfId="32139" xr:uid="{00000000-0005-0000-0000-0000E37C0000}"/>
    <cellStyle name="Normal 2 67 2 4" xfId="32140" xr:uid="{00000000-0005-0000-0000-0000E47C0000}"/>
    <cellStyle name="Normal 2 67 3" xfId="32141" xr:uid="{00000000-0005-0000-0000-0000E57C0000}"/>
    <cellStyle name="Normal 2 67 3 2" xfId="32142" xr:uid="{00000000-0005-0000-0000-0000E67C0000}"/>
    <cellStyle name="Normal 2 67 3 3" xfId="32143" xr:uid="{00000000-0005-0000-0000-0000E77C0000}"/>
    <cellStyle name="Normal 2 67 4" xfId="32144" xr:uid="{00000000-0005-0000-0000-0000E87C0000}"/>
    <cellStyle name="Normal 2 68" xfId="32145" xr:uid="{00000000-0005-0000-0000-0000E97C0000}"/>
    <cellStyle name="Normal 2 68 2" xfId="32146" xr:uid="{00000000-0005-0000-0000-0000EA7C0000}"/>
    <cellStyle name="Normal 2 68 2 2" xfId="32147" xr:uid="{00000000-0005-0000-0000-0000EB7C0000}"/>
    <cellStyle name="Normal 2 68 2 2 2" xfId="32148" xr:uid="{00000000-0005-0000-0000-0000EC7C0000}"/>
    <cellStyle name="Normal 2 68 2 2 3" xfId="32149" xr:uid="{00000000-0005-0000-0000-0000ED7C0000}"/>
    <cellStyle name="Normal 2 68 2 3" xfId="32150" xr:uid="{00000000-0005-0000-0000-0000EE7C0000}"/>
    <cellStyle name="Normal 2 68 2 4" xfId="32151" xr:uid="{00000000-0005-0000-0000-0000EF7C0000}"/>
    <cellStyle name="Normal 2 68 3" xfId="32152" xr:uid="{00000000-0005-0000-0000-0000F07C0000}"/>
    <cellStyle name="Normal 2 68 3 2" xfId="32153" xr:uid="{00000000-0005-0000-0000-0000F17C0000}"/>
    <cellStyle name="Normal 2 68 3 3" xfId="32154" xr:uid="{00000000-0005-0000-0000-0000F27C0000}"/>
    <cellStyle name="Normal 2 68 4" xfId="32155" xr:uid="{00000000-0005-0000-0000-0000F37C0000}"/>
    <cellStyle name="Normal 2 69" xfId="32156" xr:uid="{00000000-0005-0000-0000-0000F47C0000}"/>
    <cellStyle name="Normal 2 69 2" xfId="32157" xr:uid="{00000000-0005-0000-0000-0000F57C0000}"/>
    <cellStyle name="Normal 2 69 2 2" xfId="32158" xr:uid="{00000000-0005-0000-0000-0000F67C0000}"/>
    <cellStyle name="Normal 2 69 2 2 2" xfId="32159" xr:uid="{00000000-0005-0000-0000-0000F77C0000}"/>
    <cellStyle name="Normal 2 69 2 2 3" xfId="32160" xr:uid="{00000000-0005-0000-0000-0000F87C0000}"/>
    <cellStyle name="Normal 2 69 2 3" xfId="32161" xr:uid="{00000000-0005-0000-0000-0000F97C0000}"/>
    <cellStyle name="Normal 2 69 2 4" xfId="32162" xr:uid="{00000000-0005-0000-0000-0000FA7C0000}"/>
    <cellStyle name="Normal 2 69 3" xfId="32163" xr:uid="{00000000-0005-0000-0000-0000FB7C0000}"/>
    <cellStyle name="Normal 2 69 3 2" xfId="32164" xr:uid="{00000000-0005-0000-0000-0000FC7C0000}"/>
    <cellStyle name="Normal 2 69 3 3" xfId="32165" xr:uid="{00000000-0005-0000-0000-0000FD7C0000}"/>
    <cellStyle name="Normal 2 69 4" xfId="32166" xr:uid="{00000000-0005-0000-0000-0000FE7C0000}"/>
    <cellStyle name="Normal 2 7" xfId="278" xr:uid="{00000000-0005-0000-0000-0000FF7C0000}"/>
    <cellStyle name="Normal 2 7 2" xfId="32167" xr:uid="{00000000-0005-0000-0000-0000007D0000}"/>
    <cellStyle name="Normal 2 7 2 2" xfId="32168" xr:uid="{00000000-0005-0000-0000-0000017D0000}"/>
    <cellStyle name="Normal 2 7 2 2 2" xfId="32169" xr:uid="{00000000-0005-0000-0000-0000027D0000}"/>
    <cellStyle name="Normal 2 7 2 2 3" xfId="32170" xr:uid="{00000000-0005-0000-0000-0000037D0000}"/>
    <cellStyle name="Normal 2 7 2 3" xfId="32171" xr:uid="{00000000-0005-0000-0000-0000047D0000}"/>
    <cellStyle name="Normal 2 7 2 4" xfId="32172" xr:uid="{00000000-0005-0000-0000-0000057D0000}"/>
    <cellStyle name="Normal 2 7 2 5" xfId="32173" xr:uid="{00000000-0005-0000-0000-0000067D0000}"/>
    <cellStyle name="Normal 2 7 3" xfId="32174" xr:uid="{00000000-0005-0000-0000-0000077D0000}"/>
    <cellStyle name="Normal 2 7 3 2" xfId="32175" xr:uid="{00000000-0005-0000-0000-0000087D0000}"/>
    <cellStyle name="Normal 2 7 3 3" xfId="32176" xr:uid="{00000000-0005-0000-0000-0000097D0000}"/>
    <cellStyle name="Normal 2 7 4" xfId="32177" xr:uid="{00000000-0005-0000-0000-00000A7D0000}"/>
    <cellStyle name="Normal 2 7 5" xfId="32178" xr:uid="{00000000-0005-0000-0000-00000B7D0000}"/>
    <cellStyle name="Normal 2 7_2015 Annual Rpt" xfId="32179" xr:uid="{00000000-0005-0000-0000-00000C7D0000}"/>
    <cellStyle name="Normal 2 70" xfId="32180" xr:uid="{00000000-0005-0000-0000-00000D7D0000}"/>
    <cellStyle name="Normal 2 70 2" xfId="32181" xr:uid="{00000000-0005-0000-0000-00000E7D0000}"/>
    <cellStyle name="Normal 2 70 2 2" xfId="32182" xr:uid="{00000000-0005-0000-0000-00000F7D0000}"/>
    <cellStyle name="Normal 2 70 2 2 2" xfId="32183" xr:uid="{00000000-0005-0000-0000-0000107D0000}"/>
    <cellStyle name="Normal 2 70 2 2 3" xfId="32184" xr:uid="{00000000-0005-0000-0000-0000117D0000}"/>
    <cellStyle name="Normal 2 70 2 3" xfId="32185" xr:uid="{00000000-0005-0000-0000-0000127D0000}"/>
    <cellStyle name="Normal 2 70 2 4" xfId="32186" xr:uid="{00000000-0005-0000-0000-0000137D0000}"/>
    <cellStyle name="Normal 2 70 3" xfId="32187" xr:uid="{00000000-0005-0000-0000-0000147D0000}"/>
    <cellStyle name="Normal 2 70 3 2" xfId="32188" xr:uid="{00000000-0005-0000-0000-0000157D0000}"/>
    <cellStyle name="Normal 2 70 3 3" xfId="32189" xr:uid="{00000000-0005-0000-0000-0000167D0000}"/>
    <cellStyle name="Normal 2 70 4" xfId="32190" xr:uid="{00000000-0005-0000-0000-0000177D0000}"/>
    <cellStyle name="Normal 2 71" xfId="32191" xr:uid="{00000000-0005-0000-0000-0000187D0000}"/>
    <cellStyle name="Normal 2 71 2" xfId="32192" xr:uid="{00000000-0005-0000-0000-0000197D0000}"/>
    <cellStyle name="Normal 2 71 2 2" xfId="32193" xr:uid="{00000000-0005-0000-0000-00001A7D0000}"/>
    <cellStyle name="Normal 2 71 2 2 2" xfId="32194" xr:uid="{00000000-0005-0000-0000-00001B7D0000}"/>
    <cellStyle name="Normal 2 71 2 2 3" xfId="32195" xr:uid="{00000000-0005-0000-0000-00001C7D0000}"/>
    <cellStyle name="Normal 2 71 2 3" xfId="32196" xr:uid="{00000000-0005-0000-0000-00001D7D0000}"/>
    <cellStyle name="Normal 2 71 2 4" xfId="32197" xr:uid="{00000000-0005-0000-0000-00001E7D0000}"/>
    <cellStyle name="Normal 2 71 3" xfId="32198" xr:uid="{00000000-0005-0000-0000-00001F7D0000}"/>
    <cellStyle name="Normal 2 71 3 2" xfId="32199" xr:uid="{00000000-0005-0000-0000-0000207D0000}"/>
    <cellStyle name="Normal 2 71 3 3" xfId="32200" xr:uid="{00000000-0005-0000-0000-0000217D0000}"/>
    <cellStyle name="Normal 2 71 4" xfId="32201" xr:uid="{00000000-0005-0000-0000-0000227D0000}"/>
    <cellStyle name="Normal 2 72" xfId="32202" xr:uid="{00000000-0005-0000-0000-0000237D0000}"/>
    <cellStyle name="Normal 2 72 2" xfId="32203" xr:uid="{00000000-0005-0000-0000-0000247D0000}"/>
    <cellStyle name="Normal 2 72 2 2" xfId="32204" xr:uid="{00000000-0005-0000-0000-0000257D0000}"/>
    <cellStyle name="Normal 2 72 2 2 2" xfId="32205" xr:uid="{00000000-0005-0000-0000-0000267D0000}"/>
    <cellStyle name="Normal 2 72 2 2 3" xfId="32206" xr:uid="{00000000-0005-0000-0000-0000277D0000}"/>
    <cellStyle name="Normal 2 72 2 3" xfId="32207" xr:uid="{00000000-0005-0000-0000-0000287D0000}"/>
    <cellStyle name="Normal 2 72 2 4" xfId="32208" xr:uid="{00000000-0005-0000-0000-0000297D0000}"/>
    <cellStyle name="Normal 2 72 3" xfId="32209" xr:uid="{00000000-0005-0000-0000-00002A7D0000}"/>
    <cellStyle name="Normal 2 72 3 2" xfId="32210" xr:uid="{00000000-0005-0000-0000-00002B7D0000}"/>
    <cellStyle name="Normal 2 72 3 3" xfId="32211" xr:uid="{00000000-0005-0000-0000-00002C7D0000}"/>
    <cellStyle name="Normal 2 72 4" xfId="32212" xr:uid="{00000000-0005-0000-0000-00002D7D0000}"/>
    <cellStyle name="Normal 2 73" xfId="32213" xr:uid="{00000000-0005-0000-0000-00002E7D0000}"/>
    <cellStyle name="Normal 2 73 2" xfId="32214" xr:uid="{00000000-0005-0000-0000-00002F7D0000}"/>
    <cellStyle name="Normal 2 73 2 2" xfId="32215" xr:uid="{00000000-0005-0000-0000-0000307D0000}"/>
    <cellStyle name="Normal 2 73 2 2 2" xfId="32216" xr:uid="{00000000-0005-0000-0000-0000317D0000}"/>
    <cellStyle name="Normal 2 73 2 2 3" xfId="32217" xr:uid="{00000000-0005-0000-0000-0000327D0000}"/>
    <cellStyle name="Normal 2 73 2 3" xfId="32218" xr:uid="{00000000-0005-0000-0000-0000337D0000}"/>
    <cellStyle name="Normal 2 73 2 4" xfId="32219" xr:uid="{00000000-0005-0000-0000-0000347D0000}"/>
    <cellStyle name="Normal 2 73 3" xfId="32220" xr:uid="{00000000-0005-0000-0000-0000357D0000}"/>
    <cellStyle name="Normal 2 73 3 2" xfId="32221" xr:uid="{00000000-0005-0000-0000-0000367D0000}"/>
    <cellStyle name="Normal 2 73 3 3" xfId="32222" xr:uid="{00000000-0005-0000-0000-0000377D0000}"/>
    <cellStyle name="Normal 2 73 4" xfId="32223" xr:uid="{00000000-0005-0000-0000-0000387D0000}"/>
    <cellStyle name="Normal 2 74" xfId="32224" xr:uid="{00000000-0005-0000-0000-0000397D0000}"/>
    <cellStyle name="Normal 2 74 2" xfId="32225" xr:uid="{00000000-0005-0000-0000-00003A7D0000}"/>
    <cellStyle name="Normal 2 74 2 2" xfId="32226" xr:uid="{00000000-0005-0000-0000-00003B7D0000}"/>
    <cellStyle name="Normal 2 74 2 2 2" xfId="32227" xr:uid="{00000000-0005-0000-0000-00003C7D0000}"/>
    <cellStyle name="Normal 2 74 2 2 3" xfId="32228" xr:uid="{00000000-0005-0000-0000-00003D7D0000}"/>
    <cellStyle name="Normal 2 74 2 3" xfId="32229" xr:uid="{00000000-0005-0000-0000-00003E7D0000}"/>
    <cellStyle name="Normal 2 74 2 4" xfId="32230" xr:uid="{00000000-0005-0000-0000-00003F7D0000}"/>
    <cellStyle name="Normal 2 74 3" xfId="32231" xr:uid="{00000000-0005-0000-0000-0000407D0000}"/>
    <cellStyle name="Normal 2 74 3 2" xfId="32232" xr:uid="{00000000-0005-0000-0000-0000417D0000}"/>
    <cellStyle name="Normal 2 74 3 3" xfId="32233" xr:uid="{00000000-0005-0000-0000-0000427D0000}"/>
    <cellStyle name="Normal 2 74 4" xfId="32234" xr:uid="{00000000-0005-0000-0000-0000437D0000}"/>
    <cellStyle name="Normal 2 75" xfId="32235" xr:uid="{00000000-0005-0000-0000-0000447D0000}"/>
    <cellStyle name="Normal 2 75 2" xfId="32236" xr:uid="{00000000-0005-0000-0000-0000457D0000}"/>
    <cellStyle name="Normal 2 75 2 2" xfId="32237" xr:uid="{00000000-0005-0000-0000-0000467D0000}"/>
    <cellStyle name="Normal 2 75 2 2 2" xfId="32238" xr:uid="{00000000-0005-0000-0000-0000477D0000}"/>
    <cellStyle name="Normal 2 75 2 2 3" xfId="32239" xr:uid="{00000000-0005-0000-0000-0000487D0000}"/>
    <cellStyle name="Normal 2 75 2 3" xfId="32240" xr:uid="{00000000-0005-0000-0000-0000497D0000}"/>
    <cellStyle name="Normal 2 75 2 4" xfId="32241" xr:uid="{00000000-0005-0000-0000-00004A7D0000}"/>
    <cellStyle name="Normal 2 75 3" xfId="32242" xr:uid="{00000000-0005-0000-0000-00004B7D0000}"/>
    <cellStyle name="Normal 2 75 3 2" xfId="32243" xr:uid="{00000000-0005-0000-0000-00004C7D0000}"/>
    <cellStyle name="Normal 2 75 3 3" xfId="32244" xr:uid="{00000000-0005-0000-0000-00004D7D0000}"/>
    <cellStyle name="Normal 2 75 4" xfId="32245" xr:uid="{00000000-0005-0000-0000-00004E7D0000}"/>
    <cellStyle name="Normal 2 76" xfId="32246" xr:uid="{00000000-0005-0000-0000-00004F7D0000}"/>
    <cellStyle name="Normal 2 76 2" xfId="32247" xr:uid="{00000000-0005-0000-0000-0000507D0000}"/>
    <cellStyle name="Normal 2 76 2 2" xfId="32248" xr:uid="{00000000-0005-0000-0000-0000517D0000}"/>
    <cellStyle name="Normal 2 76 2 2 2" xfId="32249" xr:uid="{00000000-0005-0000-0000-0000527D0000}"/>
    <cellStyle name="Normal 2 76 2 2 3" xfId="32250" xr:uid="{00000000-0005-0000-0000-0000537D0000}"/>
    <cellStyle name="Normal 2 76 2 3" xfId="32251" xr:uid="{00000000-0005-0000-0000-0000547D0000}"/>
    <cellStyle name="Normal 2 76 2 4" xfId="32252" xr:uid="{00000000-0005-0000-0000-0000557D0000}"/>
    <cellStyle name="Normal 2 76 3" xfId="32253" xr:uid="{00000000-0005-0000-0000-0000567D0000}"/>
    <cellStyle name="Normal 2 76 3 2" xfId="32254" xr:uid="{00000000-0005-0000-0000-0000577D0000}"/>
    <cellStyle name="Normal 2 76 3 3" xfId="32255" xr:uid="{00000000-0005-0000-0000-0000587D0000}"/>
    <cellStyle name="Normal 2 76 4" xfId="32256" xr:uid="{00000000-0005-0000-0000-0000597D0000}"/>
    <cellStyle name="Normal 2 77" xfId="32257" xr:uid="{00000000-0005-0000-0000-00005A7D0000}"/>
    <cellStyle name="Normal 2 77 2" xfId="32258" xr:uid="{00000000-0005-0000-0000-00005B7D0000}"/>
    <cellStyle name="Normal 2 77 2 2" xfId="32259" xr:uid="{00000000-0005-0000-0000-00005C7D0000}"/>
    <cellStyle name="Normal 2 77 2 2 2" xfId="32260" xr:uid="{00000000-0005-0000-0000-00005D7D0000}"/>
    <cellStyle name="Normal 2 77 2 2 3" xfId="32261" xr:uid="{00000000-0005-0000-0000-00005E7D0000}"/>
    <cellStyle name="Normal 2 77 2 3" xfId="32262" xr:uid="{00000000-0005-0000-0000-00005F7D0000}"/>
    <cellStyle name="Normal 2 77 2 4" xfId="32263" xr:uid="{00000000-0005-0000-0000-0000607D0000}"/>
    <cellStyle name="Normal 2 77 3" xfId="32264" xr:uid="{00000000-0005-0000-0000-0000617D0000}"/>
    <cellStyle name="Normal 2 77 3 2" xfId="32265" xr:uid="{00000000-0005-0000-0000-0000627D0000}"/>
    <cellStyle name="Normal 2 77 3 3" xfId="32266" xr:uid="{00000000-0005-0000-0000-0000637D0000}"/>
    <cellStyle name="Normal 2 77 4" xfId="32267" xr:uid="{00000000-0005-0000-0000-0000647D0000}"/>
    <cellStyle name="Normal 2 78" xfId="32268" xr:uid="{00000000-0005-0000-0000-0000657D0000}"/>
    <cellStyle name="Normal 2 78 2" xfId="32269" xr:uid="{00000000-0005-0000-0000-0000667D0000}"/>
    <cellStyle name="Normal 2 78 2 2" xfId="32270" xr:uid="{00000000-0005-0000-0000-0000677D0000}"/>
    <cellStyle name="Normal 2 78 2 2 2" xfId="32271" xr:uid="{00000000-0005-0000-0000-0000687D0000}"/>
    <cellStyle name="Normal 2 78 2 2 3" xfId="32272" xr:uid="{00000000-0005-0000-0000-0000697D0000}"/>
    <cellStyle name="Normal 2 78 2 3" xfId="32273" xr:uid="{00000000-0005-0000-0000-00006A7D0000}"/>
    <cellStyle name="Normal 2 78 2 4" xfId="32274" xr:uid="{00000000-0005-0000-0000-00006B7D0000}"/>
    <cellStyle name="Normal 2 78 3" xfId="32275" xr:uid="{00000000-0005-0000-0000-00006C7D0000}"/>
    <cellStyle name="Normal 2 78 3 2" xfId="32276" xr:uid="{00000000-0005-0000-0000-00006D7D0000}"/>
    <cellStyle name="Normal 2 78 3 3" xfId="32277" xr:uid="{00000000-0005-0000-0000-00006E7D0000}"/>
    <cellStyle name="Normal 2 78 4" xfId="32278" xr:uid="{00000000-0005-0000-0000-00006F7D0000}"/>
    <cellStyle name="Normal 2 79" xfId="32279" xr:uid="{00000000-0005-0000-0000-0000707D0000}"/>
    <cellStyle name="Normal 2 79 2" xfId="32280" xr:uid="{00000000-0005-0000-0000-0000717D0000}"/>
    <cellStyle name="Normal 2 79 2 2" xfId="32281" xr:uid="{00000000-0005-0000-0000-0000727D0000}"/>
    <cellStyle name="Normal 2 79 2 2 2" xfId="32282" xr:uid="{00000000-0005-0000-0000-0000737D0000}"/>
    <cellStyle name="Normal 2 79 2 2 3" xfId="32283" xr:uid="{00000000-0005-0000-0000-0000747D0000}"/>
    <cellStyle name="Normal 2 79 2 3" xfId="32284" xr:uid="{00000000-0005-0000-0000-0000757D0000}"/>
    <cellStyle name="Normal 2 79 2 4" xfId="32285" xr:uid="{00000000-0005-0000-0000-0000767D0000}"/>
    <cellStyle name="Normal 2 79 3" xfId="32286" xr:uid="{00000000-0005-0000-0000-0000777D0000}"/>
    <cellStyle name="Normal 2 79 3 2" xfId="32287" xr:uid="{00000000-0005-0000-0000-0000787D0000}"/>
    <cellStyle name="Normal 2 79 3 3" xfId="32288" xr:uid="{00000000-0005-0000-0000-0000797D0000}"/>
    <cellStyle name="Normal 2 79 4" xfId="32289" xr:uid="{00000000-0005-0000-0000-00007A7D0000}"/>
    <cellStyle name="Normal 2 8" xfId="279" xr:uid="{00000000-0005-0000-0000-00007B7D0000}"/>
    <cellStyle name="Normal 2 8 10" xfId="32290" xr:uid="{00000000-0005-0000-0000-00007C7D0000}"/>
    <cellStyle name="Normal 2 8 10 2" xfId="32291" xr:uid="{00000000-0005-0000-0000-00007D7D0000}"/>
    <cellStyle name="Normal 2 8 10 2 2" xfId="32292" xr:uid="{00000000-0005-0000-0000-00007E7D0000}"/>
    <cellStyle name="Normal 2 8 10 2 2 2" xfId="32293" xr:uid="{00000000-0005-0000-0000-00007F7D0000}"/>
    <cellStyle name="Normal 2 8 10 2 2 3" xfId="32294" xr:uid="{00000000-0005-0000-0000-0000807D0000}"/>
    <cellStyle name="Normal 2 8 10 2 3" xfId="32295" xr:uid="{00000000-0005-0000-0000-0000817D0000}"/>
    <cellStyle name="Normal 2 8 10 2 4" xfId="32296" xr:uid="{00000000-0005-0000-0000-0000827D0000}"/>
    <cellStyle name="Normal 2 8 10 3" xfId="32297" xr:uid="{00000000-0005-0000-0000-0000837D0000}"/>
    <cellStyle name="Normal 2 8 10 3 2" xfId="32298" xr:uid="{00000000-0005-0000-0000-0000847D0000}"/>
    <cellStyle name="Normal 2 8 10 3 3" xfId="32299" xr:uid="{00000000-0005-0000-0000-0000857D0000}"/>
    <cellStyle name="Normal 2 8 10 4" xfId="32300" xr:uid="{00000000-0005-0000-0000-0000867D0000}"/>
    <cellStyle name="Normal 2 8 11" xfId="32301" xr:uid="{00000000-0005-0000-0000-0000877D0000}"/>
    <cellStyle name="Normal 2 8 11 2" xfId="32302" xr:uid="{00000000-0005-0000-0000-0000887D0000}"/>
    <cellStyle name="Normal 2 8 11 2 2" xfId="32303" xr:uid="{00000000-0005-0000-0000-0000897D0000}"/>
    <cellStyle name="Normal 2 8 11 2 2 2" xfId="32304" xr:uid="{00000000-0005-0000-0000-00008A7D0000}"/>
    <cellStyle name="Normal 2 8 11 2 2 3" xfId="32305" xr:uid="{00000000-0005-0000-0000-00008B7D0000}"/>
    <cellStyle name="Normal 2 8 11 2 3" xfId="32306" xr:uid="{00000000-0005-0000-0000-00008C7D0000}"/>
    <cellStyle name="Normal 2 8 11 2 4" xfId="32307" xr:uid="{00000000-0005-0000-0000-00008D7D0000}"/>
    <cellStyle name="Normal 2 8 11 3" xfId="32308" xr:uid="{00000000-0005-0000-0000-00008E7D0000}"/>
    <cellStyle name="Normal 2 8 11 3 2" xfId="32309" xr:uid="{00000000-0005-0000-0000-00008F7D0000}"/>
    <cellStyle name="Normal 2 8 11 3 3" xfId="32310" xr:uid="{00000000-0005-0000-0000-0000907D0000}"/>
    <cellStyle name="Normal 2 8 11 4" xfId="32311" xr:uid="{00000000-0005-0000-0000-0000917D0000}"/>
    <cellStyle name="Normal 2 8 12" xfId="32312" xr:uid="{00000000-0005-0000-0000-0000927D0000}"/>
    <cellStyle name="Normal 2 8 12 2" xfId="32313" xr:uid="{00000000-0005-0000-0000-0000937D0000}"/>
    <cellStyle name="Normal 2 8 12 2 2" xfId="32314" xr:uid="{00000000-0005-0000-0000-0000947D0000}"/>
    <cellStyle name="Normal 2 8 12 2 2 2" xfId="32315" xr:uid="{00000000-0005-0000-0000-0000957D0000}"/>
    <cellStyle name="Normal 2 8 12 2 2 3" xfId="32316" xr:uid="{00000000-0005-0000-0000-0000967D0000}"/>
    <cellStyle name="Normal 2 8 12 2 3" xfId="32317" xr:uid="{00000000-0005-0000-0000-0000977D0000}"/>
    <cellStyle name="Normal 2 8 12 2 4" xfId="32318" xr:uid="{00000000-0005-0000-0000-0000987D0000}"/>
    <cellStyle name="Normal 2 8 12 3" xfId="32319" xr:uid="{00000000-0005-0000-0000-0000997D0000}"/>
    <cellStyle name="Normal 2 8 12 3 2" xfId="32320" xr:uid="{00000000-0005-0000-0000-00009A7D0000}"/>
    <cellStyle name="Normal 2 8 12 3 3" xfId="32321" xr:uid="{00000000-0005-0000-0000-00009B7D0000}"/>
    <cellStyle name="Normal 2 8 12 4" xfId="32322" xr:uid="{00000000-0005-0000-0000-00009C7D0000}"/>
    <cellStyle name="Normal 2 8 13" xfId="32323" xr:uid="{00000000-0005-0000-0000-00009D7D0000}"/>
    <cellStyle name="Normal 2 8 13 2" xfId="32324" xr:uid="{00000000-0005-0000-0000-00009E7D0000}"/>
    <cellStyle name="Normal 2 8 13 2 2" xfId="32325" xr:uid="{00000000-0005-0000-0000-00009F7D0000}"/>
    <cellStyle name="Normal 2 8 13 2 2 2" xfId="32326" xr:uid="{00000000-0005-0000-0000-0000A07D0000}"/>
    <cellStyle name="Normal 2 8 13 2 2 3" xfId="32327" xr:uid="{00000000-0005-0000-0000-0000A17D0000}"/>
    <cellStyle name="Normal 2 8 13 2 3" xfId="32328" xr:uid="{00000000-0005-0000-0000-0000A27D0000}"/>
    <cellStyle name="Normal 2 8 13 2 4" xfId="32329" xr:uid="{00000000-0005-0000-0000-0000A37D0000}"/>
    <cellStyle name="Normal 2 8 13 3" xfId="32330" xr:uid="{00000000-0005-0000-0000-0000A47D0000}"/>
    <cellStyle name="Normal 2 8 13 3 2" xfId="32331" xr:uid="{00000000-0005-0000-0000-0000A57D0000}"/>
    <cellStyle name="Normal 2 8 13 3 3" xfId="32332" xr:uid="{00000000-0005-0000-0000-0000A67D0000}"/>
    <cellStyle name="Normal 2 8 13 4" xfId="32333" xr:uid="{00000000-0005-0000-0000-0000A77D0000}"/>
    <cellStyle name="Normal 2 8 14" xfId="32334" xr:uid="{00000000-0005-0000-0000-0000A87D0000}"/>
    <cellStyle name="Normal 2 8 14 2" xfId="32335" xr:uid="{00000000-0005-0000-0000-0000A97D0000}"/>
    <cellStyle name="Normal 2 8 14 2 2" xfId="32336" xr:uid="{00000000-0005-0000-0000-0000AA7D0000}"/>
    <cellStyle name="Normal 2 8 14 2 2 2" xfId="32337" xr:uid="{00000000-0005-0000-0000-0000AB7D0000}"/>
    <cellStyle name="Normal 2 8 14 2 2 3" xfId="32338" xr:uid="{00000000-0005-0000-0000-0000AC7D0000}"/>
    <cellStyle name="Normal 2 8 14 2 3" xfId="32339" xr:uid="{00000000-0005-0000-0000-0000AD7D0000}"/>
    <cellStyle name="Normal 2 8 14 2 4" xfId="32340" xr:uid="{00000000-0005-0000-0000-0000AE7D0000}"/>
    <cellStyle name="Normal 2 8 14 3" xfId="32341" xr:uid="{00000000-0005-0000-0000-0000AF7D0000}"/>
    <cellStyle name="Normal 2 8 14 3 2" xfId="32342" xr:uid="{00000000-0005-0000-0000-0000B07D0000}"/>
    <cellStyle name="Normal 2 8 14 3 3" xfId="32343" xr:uid="{00000000-0005-0000-0000-0000B17D0000}"/>
    <cellStyle name="Normal 2 8 14 4" xfId="32344" xr:uid="{00000000-0005-0000-0000-0000B27D0000}"/>
    <cellStyle name="Normal 2 8 15" xfId="32345" xr:uid="{00000000-0005-0000-0000-0000B37D0000}"/>
    <cellStyle name="Normal 2 8 15 2" xfId="32346" xr:uid="{00000000-0005-0000-0000-0000B47D0000}"/>
    <cellStyle name="Normal 2 8 15 2 2" xfId="32347" xr:uid="{00000000-0005-0000-0000-0000B57D0000}"/>
    <cellStyle name="Normal 2 8 15 2 2 2" xfId="32348" xr:uid="{00000000-0005-0000-0000-0000B67D0000}"/>
    <cellStyle name="Normal 2 8 15 2 2 3" xfId="32349" xr:uid="{00000000-0005-0000-0000-0000B77D0000}"/>
    <cellStyle name="Normal 2 8 15 2 3" xfId="32350" xr:uid="{00000000-0005-0000-0000-0000B87D0000}"/>
    <cellStyle name="Normal 2 8 15 2 4" xfId="32351" xr:uid="{00000000-0005-0000-0000-0000B97D0000}"/>
    <cellStyle name="Normal 2 8 15 3" xfId="32352" xr:uid="{00000000-0005-0000-0000-0000BA7D0000}"/>
    <cellStyle name="Normal 2 8 15 3 2" xfId="32353" xr:uid="{00000000-0005-0000-0000-0000BB7D0000}"/>
    <cellStyle name="Normal 2 8 15 3 3" xfId="32354" xr:uid="{00000000-0005-0000-0000-0000BC7D0000}"/>
    <cellStyle name="Normal 2 8 15 4" xfId="32355" xr:uid="{00000000-0005-0000-0000-0000BD7D0000}"/>
    <cellStyle name="Normal 2 8 16" xfId="32356" xr:uid="{00000000-0005-0000-0000-0000BE7D0000}"/>
    <cellStyle name="Normal 2 8 16 2" xfId="32357" xr:uid="{00000000-0005-0000-0000-0000BF7D0000}"/>
    <cellStyle name="Normal 2 8 16 2 2" xfId="32358" xr:uid="{00000000-0005-0000-0000-0000C07D0000}"/>
    <cellStyle name="Normal 2 8 16 2 2 2" xfId="32359" xr:uid="{00000000-0005-0000-0000-0000C17D0000}"/>
    <cellStyle name="Normal 2 8 16 2 2 3" xfId="32360" xr:uid="{00000000-0005-0000-0000-0000C27D0000}"/>
    <cellStyle name="Normal 2 8 16 2 3" xfId="32361" xr:uid="{00000000-0005-0000-0000-0000C37D0000}"/>
    <cellStyle name="Normal 2 8 16 2 4" xfId="32362" xr:uid="{00000000-0005-0000-0000-0000C47D0000}"/>
    <cellStyle name="Normal 2 8 16 3" xfId="32363" xr:uid="{00000000-0005-0000-0000-0000C57D0000}"/>
    <cellStyle name="Normal 2 8 16 3 2" xfId="32364" xr:uid="{00000000-0005-0000-0000-0000C67D0000}"/>
    <cellStyle name="Normal 2 8 16 3 3" xfId="32365" xr:uid="{00000000-0005-0000-0000-0000C77D0000}"/>
    <cellStyle name="Normal 2 8 16 4" xfId="32366" xr:uid="{00000000-0005-0000-0000-0000C87D0000}"/>
    <cellStyle name="Normal 2 8 17" xfId="32367" xr:uid="{00000000-0005-0000-0000-0000C97D0000}"/>
    <cellStyle name="Normal 2 8 17 2" xfId="32368" xr:uid="{00000000-0005-0000-0000-0000CA7D0000}"/>
    <cellStyle name="Normal 2 8 17 2 2" xfId="32369" xr:uid="{00000000-0005-0000-0000-0000CB7D0000}"/>
    <cellStyle name="Normal 2 8 17 2 2 2" xfId="32370" xr:uid="{00000000-0005-0000-0000-0000CC7D0000}"/>
    <cellStyle name="Normal 2 8 17 2 2 3" xfId="32371" xr:uid="{00000000-0005-0000-0000-0000CD7D0000}"/>
    <cellStyle name="Normal 2 8 17 2 3" xfId="32372" xr:uid="{00000000-0005-0000-0000-0000CE7D0000}"/>
    <cellStyle name="Normal 2 8 17 2 4" xfId="32373" xr:uid="{00000000-0005-0000-0000-0000CF7D0000}"/>
    <cellStyle name="Normal 2 8 17 3" xfId="32374" xr:uid="{00000000-0005-0000-0000-0000D07D0000}"/>
    <cellStyle name="Normal 2 8 17 3 2" xfId="32375" xr:uid="{00000000-0005-0000-0000-0000D17D0000}"/>
    <cellStyle name="Normal 2 8 17 3 3" xfId="32376" xr:uid="{00000000-0005-0000-0000-0000D27D0000}"/>
    <cellStyle name="Normal 2 8 17 4" xfId="32377" xr:uid="{00000000-0005-0000-0000-0000D37D0000}"/>
    <cellStyle name="Normal 2 8 18" xfId="32378" xr:uid="{00000000-0005-0000-0000-0000D47D0000}"/>
    <cellStyle name="Normal 2 8 18 2" xfId="32379" xr:uid="{00000000-0005-0000-0000-0000D57D0000}"/>
    <cellStyle name="Normal 2 8 18 2 2" xfId="32380" xr:uid="{00000000-0005-0000-0000-0000D67D0000}"/>
    <cellStyle name="Normal 2 8 18 2 2 2" xfId="32381" xr:uid="{00000000-0005-0000-0000-0000D77D0000}"/>
    <cellStyle name="Normal 2 8 18 2 2 3" xfId="32382" xr:uid="{00000000-0005-0000-0000-0000D87D0000}"/>
    <cellStyle name="Normal 2 8 18 2 3" xfId="32383" xr:uid="{00000000-0005-0000-0000-0000D97D0000}"/>
    <cellStyle name="Normal 2 8 18 2 4" xfId="32384" xr:uid="{00000000-0005-0000-0000-0000DA7D0000}"/>
    <cellStyle name="Normal 2 8 18 3" xfId="32385" xr:uid="{00000000-0005-0000-0000-0000DB7D0000}"/>
    <cellStyle name="Normal 2 8 18 3 2" xfId="32386" xr:uid="{00000000-0005-0000-0000-0000DC7D0000}"/>
    <cellStyle name="Normal 2 8 18 3 3" xfId="32387" xr:uid="{00000000-0005-0000-0000-0000DD7D0000}"/>
    <cellStyle name="Normal 2 8 18 4" xfId="32388" xr:uid="{00000000-0005-0000-0000-0000DE7D0000}"/>
    <cellStyle name="Normal 2 8 19" xfId="32389" xr:uid="{00000000-0005-0000-0000-0000DF7D0000}"/>
    <cellStyle name="Normal 2 8 19 2" xfId="32390" xr:uid="{00000000-0005-0000-0000-0000E07D0000}"/>
    <cellStyle name="Normal 2 8 19 2 2" xfId="32391" xr:uid="{00000000-0005-0000-0000-0000E17D0000}"/>
    <cellStyle name="Normal 2 8 19 2 2 2" xfId="32392" xr:uid="{00000000-0005-0000-0000-0000E27D0000}"/>
    <cellStyle name="Normal 2 8 19 2 2 3" xfId="32393" xr:uid="{00000000-0005-0000-0000-0000E37D0000}"/>
    <cellStyle name="Normal 2 8 19 2 3" xfId="32394" xr:uid="{00000000-0005-0000-0000-0000E47D0000}"/>
    <cellStyle name="Normal 2 8 19 2 4" xfId="32395" xr:uid="{00000000-0005-0000-0000-0000E57D0000}"/>
    <cellStyle name="Normal 2 8 19 3" xfId="32396" xr:uid="{00000000-0005-0000-0000-0000E67D0000}"/>
    <cellStyle name="Normal 2 8 19 3 2" xfId="32397" xr:uid="{00000000-0005-0000-0000-0000E77D0000}"/>
    <cellStyle name="Normal 2 8 19 3 3" xfId="32398" xr:uid="{00000000-0005-0000-0000-0000E87D0000}"/>
    <cellStyle name="Normal 2 8 19 4" xfId="32399" xr:uid="{00000000-0005-0000-0000-0000E97D0000}"/>
    <cellStyle name="Normal 2 8 2" xfId="32400" xr:uid="{00000000-0005-0000-0000-0000EA7D0000}"/>
    <cellStyle name="Normal 2 8 2 2" xfId="32401" xr:uid="{00000000-0005-0000-0000-0000EB7D0000}"/>
    <cellStyle name="Normal 2 8 2 2 2" xfId="32402" xr:uid="{00000000-0005-0000-0000-0000EC7D0000}"/>
    <cellStyle name="Normal 2 8 2 2 2 2" xfId="32403" xr:uid="{00000000-0005-0000-0000-0000ED7D0000}"/>
    <cellStyle name="Normal 2 8 2 2 2 3" xfId="32404" xr:uid="{00000000-0005-0000-0000-0000EE7D0000}"/>
    <cellStyle name="Normal 2 8 2 2 3" xfId="32405" xr:uid="{00000000-0005-0000-0000-0000EF7D0000}"/>
    <cellStyle name="Normal 2 8 2 2 4" xfId="32406" xr:uid="{00000000-0005-0000-0000-0000F07D0000}"/>
    <cellStyle name="Normal 2 8 2 3" xfId="32407" xr:uid="{00000000-0005-0000-0000-0000F17D0000}"/>
    <cellStyle name="Normal 2 8 2 3 2" xfId="32408" xr:uid="{00000000-0005-0000-0000-0000F27D0000}"/>
    <cellStyle name="Normal 2 8 2 3 3" xfId="32409" xr:uid="{00000000-0005-0000-0000-0000F37D0000}"/>
    <cellStyle name="Normal 2 8 2 4" xfId="32410" xr:uid="{00000000-0005-0000-0000-0000F47D0000}"/>
    <cellStyle name="Normal 2 8 2 5" xfId="32411" xr:uid="{00000000-0005-0000-0000-0000F57D0000}"/>
    <cellStyle name="Normal 2 8 20" xfId="32412" xr:uid="{00000000-0005-0000-0000-0000F67D0000}"/>
    <cellStyle name="Normal 2 8 20 2" xfId="32413" xr:uid="{00000000-0005-0000-0000-0000F77D0000}"/>
    <cellStyle name="Normal 2 8 20 2 2" xfId="32414" xr:uid="{00000000-0005-0000-0000-0000F87D0000}"/>
    <cellStyle name="Normal 2 8 20 2 2 2" xfId="32415" xr:uid="{00000000-0005-0000-0000-0000F97D0000}"/>
    <cellStyle name="Normal 2 8 20 2 2 3" xfId="32416" xr:uid="{00000000-0005-0000-0000-0000FA7D0000}"/>
    <cellStyle name="Normal 2 8 20 2 3" xfId="32417" xr:uid="{00000000-0005-0000-0000-0000FB7D0000}"/>
    <cellStyle name="Normal 2 8 20 2 4" xfId="32418" xr:uid="{00000000-0005-0000-0000-0000FC7D0000}"/>
    <cellStyle name="Normal 2 8 20 3" xfId="32419" xr:uid="{00000000-0005-0000-0000-0000FD7D0000}"/>
    <cellStyle name="Normal 2 8 20 3 2" xfId="32420" xr:uid="{00000000-0005-0000-0000-0000FE7D0000}"/>
    <cellStyle name="Normal 2 8 20 3 3" xfId="32421" xr:uid="{00000000-0005-0000-0000-0000FF7D0000}"/>
    <cellStyle name="Normal 2 8 20 4" xfId="32422" xr:uid="{00000000-0005-0000-0000-0000007E0000}"/>
    <cellStyle name="Normal 2 8 21" xfId="32423" xr:uid="{00000000-0005-0000-0000-0000017E0000}"/>
    <cellStyle name="Normal 2 8 21 2" xfId="32424" xr:uid="{00000000-0005-0000-0000-0000027E0000}"/>
    <cellStyle name="Normal 2 8 21 2 2" xfId="32425" xr:uid="{00000000-0005-0000-0000-0000037E0000}"/>
    <cellStyle name="Normal 2 8 21 2 2 2" xfId="32426" xr:uid="{00000000-0005-0000-0000-0000047E0000}"/>
    <cellStyle name="Normal 2 8 21 2 2 3" xfId="32427" xr:uid="{00000000-0005-0000-0000-0000057E0000}"/>
    <cellStyle name="Normal 2 8 21 2 3" xfId="32428" xr:uid="{00000000-0005-0000-0000-0000067E0000}"/>
    <cellStyle name="Normal 2 8 21 2 4" xfId="32429" xr:uid="{00000000-0005-0000-0000-0000077E0000}"/>
    <cellStyle name="Normal 2 8 21 3" xfId="32430" xr:uid="{00000000-0005-0000-0000-0000087E0000}"/>
    <cellStyle name="Normal 2 8 21 3 2" xfId="32431" xr:uid="{00000000-0005-0000-0000-0000097E0000}"/>
    <cellStyle name="Normal 2 8 21 3 3" xfId="32432" xr:uid="{00000000-0005-0000-0000-00000A7E0000}"/>
    <cellStyle name="Normal 2 8 21 4" xfId="32433" xr:uid="{00000000-0005-0000-0000-00000B7E0000}"/>
    <cellStyle name="Normal 2 8 22" xfId="32434" xr:uid="{00000000-0005-0000-0000-00000C7E0000}"/>
    <cellStyle name="Normal 2 8 22 2" xfId="32435" xr:uid="{00000000-0005-0000-0000-00000D7E0000}"/>
    <cellStyle name="Normal 2 8 22 2 2" xfId="32436" xr:uid="{00000000-0005-0000-0000-00000E7E0000}"/>
    <cellStyle name="Normal 2 8 22 2 2 2" xfId="32437" xr:uid="{00000000-0005-0000-0000-00000F7E0000}"/>
    <cellStyle name="Normal 2 8 22 2 2 3" xfId="32438" xr:uid="{00000000-0005-0000-0000-0000107E0000}"/>
    <cellStyle name="Normal 2 8 22 2 3" xfId="32439" xr:uid="{00000000-0005-0000-0000-0000117E0000}"/>
    <cellStyle name="Normal 2 8 22 2 4" xfId="32440" xr:uid="{00000000-0005-0000-0000-0000127E0000}"/>
    <cellStyle name="Normal 2 8 22 3" xfId="32441" xr:uid="{00000000-0005-0000-0000-0000137E0000}"/>
    <cellStyle name="Normal 2 8 22 3 2" xfId="32442" xr:uid="{00000000-0005-0000-0000-0000147E0000}"/>
    <cellStyle name="Normal 2 8 22 3 3" xfId="32443" xr:uid="{00000000-0005-0000-0000-0000157E0000}"/>
    <cellStyle name="Normal 2 8 22 4" xfId="32444" xr:uid="{00000000-0005-0000-0000-0000167E0000}"/>
    <cellStyle name="Normal 2 8 23" xfId="32445" xr:uid="{00000000-0005-0000-0000-0000177E0000}"/>
    <cellStyle name="Normal 2 8 23 2" xfId="32446" xr:uid="{00000000-0005-0000-0000-0000187E0000}"/>
    <cellStyle name="Normal 2 8 23 2 2" xfId="32447" xr:uid="{00000000-0005-0000-0000-0000197E0000}"/>
    <cellStyle name="Normal 2 8 23 2 2 2" xfId="32448" xr:uid="{00000000-0005-0000-0000-00001A7E0000}"/>
    <cellStyle name="Normal 2 8 23 2 2 3" xfId="32449" xr:uid="{00000000-0005-0000-0000-00001B7E0000}"/>
    <cellStyle name="Normal 2 8 23 2 3" xfId="32450" xr:uid="{00000000-0005-0000-0000-00001C7E0000}"/>
    <cellStyle name="Normal 2 8 23 2 4" xfId="32451" xr:uid="{00000000-0005-0000-0000-00001D7E0000}"/>
    <cellStyle name="Normal 2 8 23 3" xfId="32452" xr:uid="{00000000-0005-0000-0000-00001E7E0000}"/>
    <cellStyle name="Normal 2 8 23 3 2" xfId="32453" xr:uid="{00000000-0005-0000-0000-00001F7E0000}"/>
    <cellStyle name="Normal 2 8 23 3 3" xfId="32454" xr:uid="{00000000-0005-0000-0000-0000207E0000}"/>
    <cellStyle name="Normal 2 8 23 4" xfId="32455" xr:uid="{00000000-0005-0000-0000-0000217E0000}"/>
    <cellStyle name="Normal 2 8 24" xfId="32456" xr:uid="{00000000-0005-0000-0000-0000227E0000}"/>
    <cellStyle name="Normal 2 8 24 2" xfId="32457" xr:uid="{00000000-0005-0000-0000-0000237E0000}"/>
    <cellStyle name="Normal 2 8 24 2 2" xfId="32458" xr:uid="{00000000-0005-0000-0000-0000247E0000}"/>
    <cellStyle name="Normal 2 8 24 2 3" xfId="32459" xr:uid="{00000000-0005-0000-0000-0000257E0000}"/>
    <cellStyle name="Normal 2 8 24 3" xfId="32460" xr:uid="{00000000-0005-0000-0000-0000267E0000}"/>
    <cellStyle name="Normal 2 8 24 4" xfId="32461" xr:uid="{00000000-0005-0000-0000-0000277E0000}"/>
    <cellStyle name="Normal 2 8 25" xfId="32462" xr:uid="{00000000-0005-0000-0000-0000287E0000}"/>
    <cellStyle name="Normal 2 8 25 2" xfId="32463" xr:uid="{00000000-0005-0000-0000-0000297E0000}"/>
    <cellStyle name="Normal 2 8 25 3" xfId="32464" xr:uid="{00000000-0005-0000-0000-00002A7E0000}"/>
    <cellStyle name="Normal 2 8 26" xfId="32465" xr:uid="{00000000-0005-0000-0000-00002B7E0000}"/>
    <cellStyle name="Normal 2 8 27" xfId="32466" xr:uid="{00000000-0005-0000-0000-00002C7E0000}"/>
    <cellStyle name="Normal 2 8 3" xfId="32467" xr:uid="{00000000-0005-0000-0000-00002D7E0000}"/>
    <cellStyle name="Normal 2 8 3 2" xfId="32468" xr:uid="{00000000-0005-0000-0000-00002E7E0000}"/>
    <cellStyle name="Normal 2 8 3 2 2" xfId="32469" xr:uid="{00000000-0005-0000-0000-00002F7E0000}"/>
    <cellStyle name="Normal 2 8 3 2 2 2" xfId="32470" xr:uid="{00000000-0005-0000-0000-0000307E0000}"/>
    <cellStyle name="Normal 2 8 3 2 2 3" xfId="32471" xr:uid="{00000000-0005-0000-0000-0000317E0000}"/>
    <cellStyle name="Normal 2 8 3 2 3" xfId="32472" xr:uid="{00000000-0005-0000-0000-0000327E0000}"/>
    <cellStyle name="Normal 2 8 3 2 4" xfId="32473" xr:uid="{00000000-0005-0000-0000-0000337E0000}"/>
    <cellStyle name="Normal 2 8 3 3" xfId="32474" xr:uid="{00000000-0005-0000-0000-0000347E0000}"/>
    <cellStyle name="Normal 2 8 3 3 2" xfId="32475" xr:uid="{00000000-0005-0000-0000-0000357E0000}"/>
    <cellStyle name="Normal 2 8 3 3 3" xfId="32476" xr:uid="{00000000-0005-0000-0000-0000367E0000}"/>
    <cellStyle name="Normal 2 8 3 4" xfId="32477" xr:uid="{00000000-0005-0000-0000-0000377E0000}"/>
    <cellStyle name="Normal 2 8 3 5" xfId="32478" xr:uid="{00000000-0005-0000-0000-0000387E0000}"/>
    <cellStyle name="Normal 2 8 4" xfId="32479" xr:uid="{00000000-0005-0000-0000-0000397E0000}"/>
    <cellStyle name="Normal 2 8 4 2" xfId="32480" xr:uid="{00000000-0005-0000-0000-00003A7E0000}"/>
    <cellStyle name="Normal 2 8 4 2 2" xfId="32481" xr:uid="{00000000-0005-0000-0000-00003B7E0000}"/>
    <cellStyle name="Normal 2 8 4 2 2 2" xfId="32482" xr:uid="{00000000-0005-0000-0000-00003C7E0000}"/>
    <cellStyle name="Normal 2 8 4 2 2 3" xfId="32483" xr:uid="{00000000-0005-0000-0000-00003D7E0000}"/>
    <cellStyle name="Normal 2 8 4 2 3" xfId="32484" xr:uid="{00000000-0005-0000-0000-00003E7E0000}"/>
    <cellStyle name="Normal 2 8 4 2 4" xfId="32485" xr:uid="{00000000-0005-0000-0000-00003F7E0000}"/>
    <cellStyle name="Normal 2 8 4 3" xfId="32486" xr:uid="{00000000-0005-0000-0000-0000407E0000}"/>
    <cellStyle name="Normal 2 8 4 3 2" xfId="32487" xr:uid="{00000000-0005-0000-0000-0000417E0000}"/>
    <cellStyle name="Normal 2 8 4 3 3" xfId="32488" xr:uid="{00000000-0005-0000-0000-0000427E0000}"/>
    <cellStyle name="Normal 2 8 4 4" xfId="32489" xr:uid="{00000000-0005-0000-0000-0000437E0000}"/>
    <cellStyle name="Normal 2 8 5" xfId="32490" xr:uid="{00000000-0005-0000-0000-0000447E0000}"/>
    <cellStyle name="Normal 2 8 5 2" xfId="32491" xr:uid="{00000000-0005-0000-0000-0000457E0000}"/>
    <cellStyle name="Normal 2 8 5 2 2" xfId="32492" xr:uid="{00000000-0005-0000-0000-0000467E0000}"/>
    <cellStyle name="Normal 2 8 5 2 2 2" xfId="32493" xr:uid="{00000000-0005-0000-0000-0000477E0000}"/>
    <cellStyle name="Normal 2 8 5 2 2 3" xfId="32494" xr:uid="{00000000-0005-0000-0000-0000487E0000}"/>
    <cellStyle name="Normal 2 8 5 2 3" xfId="32495" xr:uid="{00000000-0005-0000-0000-0000497E0000}"/>
    <cellStyle name="Normal 2 8 5 2 4" xfId="32496" xr:uid="{00000000-0005-0000-0000-00004A7E0000}"/>
    <cellStyle name="Normal 2 8 5 3" xfId="32497" xr:uid="{00000000-0005-0000-0000-00004B7E0000}"/>
    <cellStyle name="Normal 2 8 5 3 2" xfId="32498" xr:uid="{00000000-0005-0000-0000-00004C7E0000}"/>
    <cellStyle name="Normal 2 8 5 3 3" xfId="32499" xr:uid="{00000000-0005-0000-0000-00004D7E0000}"/>
    <cellStyle name="Normal 2 8 5 4" xfId="32500" xr:uid="{00000000-0005-0000-0000-00004E7E0000}"/>
    <cellStyle name="Normal 2 8 6" xfId="32501" xr:uid="{00000000-0005-0000-0000-00004F7E0000}"/>
    <cellStyle name="Normal 2 8 6 2" xfId="32502" xr:uid="{00000000-0005-0000-0000-0000507E0000}"/>
    <cellStyle name="Normal 2 8 6 2 2" xfId="32503" xr:uid="{00000000-0005-0000-0000-0000517E0000}"/>
    <cellStyle name="Normal 2 8 6 2 2 2" xfId="32504" xr:uid="{00000000-0005-0000-0000-0000527E0000}"/>
    <cellStyle name="Normal 2 8 6 2 2 3" xfId="32505" xr:uid="{00000000-0005-0000-0000-0000537E0000}"/>
    <cellStyle name="Normal 2 8 6 2 3" xfId="32506" xr:uid="{00000000-0005-0000-0000-0000547E0000}"/>
    <cellStyle name="Normal 2 8 6 2 4" xfId="32507" xr:uid="{00000000-0005-0000-0000-0000557E0000}"/>
    <cellStyle name="Normal 2 8 6 3" xfId="32508" xr:uid="{00000000-0005-0000-0000-0000567E0000}"/>
    <cellStyle name="Normal 2 8 6 3 2" xfId="32509" xr:uid="{00000000-0005-0000-0000-0000577E0000}"/>
    <cellStyle name="Normal 2 8 6 3 3" xfId="32510" xr:uid="{00000000-0005-0000-0000-0000587E0000}"/>
    <cellStyle name="Normal 2 8 6 4" xfId="32511" xr:uid="{00000000-0005-0000-0000-0000597E0000}"/>
    <cellStyle name="Normal 2 8 7" xfId="32512" xr:uid="{00000000-0005-0000-0000-00005A7E0000}"/>
    <cellStyle name="Normal 2 8 7 2" xfId="32513" xr:uid="{00000000-0005-0000-0000-00005B7E0000}"/>
    <cellStyle name="Normal 2 8 7 2 2" xfId="32514" xr:uid="{00000000-0005-0000-0000-00005C7E0000}"/>
    <cellStyle name="Normal 2 8 7 2 2 2" xfId="32515" xr:uid="{00000000-0005-0000-0000-00005D7E0000}"/>
    <cellStyle name="Normal 2 8 7 2 2 3" xfId="32516" xr:uid="{00000000-0005-0000-0000-00005E7E0000}"/>
    <cellStyle name="Normal 2 8 7 2 3" xfId="32517" xr:uid="{00000000-0005-0000-0000-00005F7E0000}"/>
    <cellStyle name="Normal 2 8 7 2 4" xfId="32518" xr:uid="{00000000-0005-0000-0000-0000607E0000}"/>
    <cellStyle name="Normal 2 8 7 3" xfId="32519" xr:uid="{00000000-0005-0000-0000-0000617E0000}"/>
    <cellStyle name="Normal 2 8 7 3 2" xfId="32520" xr:uid="{00000000-0005-0000-0000-0000627E0000}"/>
    <cellStyle name="Normal 2 8 7 3 3" xfId="32521" xr:uid="{00000000-0005-0000-0000-0000637E0000}"/>
    <cellStyle name="Normal 2 8 7 4" xfId="32522" xr:uid="{00000000-0005-0000-0000-0000647E0000}"/>
    <cellStyle name="Normal 2 8 8" xfId="32523" xr:uid="{00000000-0005-0000-0000-0000657E0000}"/>
    <cellStyle name="Normal 2 8 8 2" xfId="32524" xr:uid="{00000000-0005-0000-0000-0000667E0000}"/>
    <cellStyle name="Normal 2 8 8 2 2" xfId="32525" xr:uid="{00000000-0005-0000-0000-0000677E0000}"/>
    <cellStyle name="Normal 2 8 8 2 2 2" xfId="32526" xr:uid="{00000000-0005-0000-0000-0000687E0000}"/>
    <cellStyle name="Normal 2 8 8 2 2 3" xfId="32527" xr:uid="{00000000-0005-0000-0000-0000697E0000}"/>
    <cellStyle name="Normal 2 8 8 2 3" xfId="32528" xr:uid="{00000000-0005-0000-0000-00006A7E0000}"/>
    <cellStyle name="Normal 2 8 8 2 4" xfId="32529" xr:uid="{00000000-0005-0000-0000-00006B7E0000}"/>
    <cellStyle name="Normal 2 8 8 3" xfId="32530" xr:uid="{00000000-0005-0000-0000-00006C7E0000}"/>
    <cellStyle name="Normal 2 8 8 3 2" xfId="32531" xr:uid="{00000000-0005-0000-0000-00006D7E0000}"/>
    <cellStyle name="Normal 2 8 8 3 3" xfId="32532" xr:uid="{00000000-0005-0000-0000-00006E7E0000}"/>
    <cellStyle name="Normal 2 8 8 4" xfId="32533" xr:uid="{00000000-0005-0000-0000-00006F7E0000}"/>
    <cellStyle name="Normal 2 8 9" xfId="32534" xr:uid="{00000000-0005-0000-0000-0000707E0000}"/>
    <cellStyle name="Normal 2 8 9 2" xfId="32535" xr:uid="{00000000-0005-0000-0000-0000717E0000}"/>
    <cellStyle name="Normal 2 8 9 2 2" xfId="32536" xr:uid="{00000000-0005-0000-0000-0000727E0000}"/>
    <cellStyle name="Normal 2 8 9 2 2 2" xfId="32537" xr:uid="{00000000-0005-0000-0000-0000737E0000}"/>
    <cellStyle name="Normal 2 8 9 2 2 3" xfId="32538" xr:uid="{00000000-0005-0000-0000-0000747E0000}"/>
    <cellStyle name="Normal 2 8 9 2 3" xfId="32539" xr:uid="{00000000-0005-0000-0000-0000757E0000}"/>
    <cellStyle name="Normal 2 8 9 2 4" xfId="32540" xr:uid="{00000000-0005-0000-0000-0000767E0000}"/>
    <cellStyle name="Normal 2 8 9 3" xfId="32541" xr:uid="{00000000-0005-0000-0000-0000777E0000}"/>
    <cellStyle name="Normal 2 8 9 3 2" xfId="32542" xr:uid="{00000000-0005-0000-0000-0000787E0000}"/>
    <cellStyle name="Normal 2 8 9 3 3" xfId="32543" xr:uid="{00000000-0005-0000-0000-0000797E0000}"/>
    <cellStyle name="Normal 2 8 9 4" xfId="32544" xr:uid="{00000000-0005-0000-0000-00007A7E0000}"/>
    <cellStyle name="Normal 2 8_2015 Annual Rpt" xfId="32545" xr:uid="{00000000-0005-0000-0000-00007B7E0000}"/>
    <cellStyle name="Normal 2 80" xfId="32546" xr:uid="{00000000-0005-0000-0000-00007C7E0000}"/>
    <cellStyle name="Normal 2 80 2" xfId="32547" xr:uid="{00000000-0005-0000-0000-00007D7E0000}"/>
    <cellStyle name="Normal 2 80 2 2" xfId="32548" xr:uid="{00000000-0005-0000-0000-00007E7E0000}"/>
    <cellStyle name="Normal 2 80 2 2 2" xfId="32549" xr:uid="{00000000-0005-0000-0000-00007F7E0000}"/>
    <cellStyle name="Normal 2 80 2 2 3" xfId="32550" xr:uid="{00000000-0005-0000-0000-0000807E0000}"/>
    <cellStyle name="Normal 2 80 2 3" xfId="32551" xr:uid="{00000000-0005-0000-0000-0000817E0000}"/>
    <cellStyle name="Normal 2 80 2 4" xfId="32552" xr:uid="{00000000-0005-0000-0000-0000827E0000}"/>
    <cellStyle name="Normal 2 80 3" xfId="32553" xr:uid="{00000000-0005-0000-0000-0000837E0000}"/>
    <cellStyle name="Normal 2 80 3 2" xfId="32554" xr:uid="{00000000-0005-0000-0000-0000847E0000}"/>
    <cellStyle name="Normal 2 80 3 3" xfId="32555" xr:uid="{00000000-0005-0000-0000-0000857E0000}"/>
    <cellStyle name="Normal 2 80 4" xfId="32556" xr:uid="{00000000-0005-0000-0000-0000867E0000}"/>
    <cellStyle name="Normal 2 81" xfId="32557" xr:uid="{00000000-0005-0000-0000-0000877E0000}"/>
    <cellStyle name="Normal 2 81 2" xfId="32558" xr:uid="{00000000-0005-0000-0000-0000887E0000}"/>
    <cellStyle name="Normal 2 81 2 2" xfId="32559" xr:uid="{00000000-0005-0000-0000-0000897E0000}"/>
    <cellStyle name="Normal 2 81 2 2 2" xfId="32560" xr:uid="{00000000-0005-0000-0000-00008A7E0000}"/>
    <cellStyle name="Normal 2 81 2 2 3" xfId="32561" xr:uid="{00000000-0005-0000-0000-00008B7E0000}"/>
    <cellStyle name="Normal 2 81 2 3" xfId="32562" xr:uid="{00000000-0005-0000-0000-00008C7E0000}"/>
    <cellStyle name="Normal 2 81 2 4" xfId="32563" xr:uid="{00000000-0005-0000-0000-00008D7E0000}"/>
    <cellStyle name="Normal 2 81 3" xfId="32564" xr:uid="{00000000-0005-0000-0000-00008E7E0000}"/>
    <cellStyle name="Normal 2 81 3 2" xfId="32565" xr:uid="{00000000-0005-0000-0000-00008F7E0000}"/>
    <cellStyle name="Normal 2 81 3 3" xfId="32566" xr:uid="{00000000-0005-0000-0000-0000907E0000}"/>
    <cellStyle name="Normal 2 81 4" xfId="32567" xr:uid="{00000000-0005-0000-0000-0000917E0000}"/>
    <cellStyle name="Normal 2 82" xfId="32568" xr:uid="{00000000-0005-0000-0000-0000927E0000}"/>
    <cellStyle name="Normal 2 82 2" xfId="32569" xr:uid="{00000000-0005-0000-0000-0000937E0000}"/>
    <cellStyle name="Normal 2 82 2 2" xfId="32570" xr:uid="{00000000-0005-0000-0000-0000947E0000}"/>
    <cellStyle name="Normal 2 82 2 2 2" xfId="32571" xr:uid="{00000000-0005-0000-0000-0000957E0000}"/>
    <cellStyle name="Normal 2 82 2 2 3" xfId="32572" xr:uid="{00000000-0005-0000-0000-0000967E0000}"/>
    <cellStyle name="Normal 2 82 2 3" xfId="32573" xr:uid="{00000000-0005-0000-0000-0000977E0000}"/>
    <cellStyle name="Normal 2 82 2 4" xfId="32574" xr:uid="{00000000-0005-0000-0000-0000987E0000}"/>
    <cellStyle name="Normal 2 82 3" xfId="32575" xr:uid="{00000000-0005-0000-0000-0000997E0000}"/>
    <cellStyle name="Normal 2 82 3 2" xfId="32576" xr:uid="{00000000-0005-0000-0000-00009A7E0000}"/>
    <cellStyle name="Normal 2 82 3 3" xfId="32577" xr:uid="{00000000-0005-0000-0000-00009B7E0000}"/>
    <cellStyle name="Normal 2 82 4" xfId="32578" xr:uid="{00000000-0005-0000-0000-00009C7E0000}"/>
    <cellStyle name="Normal 2 83" xfId="32579" xr:uid="{00000000-0005-0000-0000-00009D7E0000}"/>
    <cellStyle name="Normal 2 83 2" xfId="32580" xr:uid="{00000000-0005-0000-0000-00009E7E0000}"/>
    <cellStyle name="Normal 2 83 2 2" xfId="32581" xr:uid="{00000000-0005-0000-0000-00009F7E0000}"/>
    <cellStyle name="Normal 2 83 2 2 2" xfId="32582" xr:uid="{00000000-0005-0000-0000-0000A07E0000}"/>
    <cellStyle name="Normal 2 83 2 2 3" xfId="32583" xr:uid="{00000000-0005-0000-0000-0000A17E0000}"/>
    <cellStyle name="Normal 2 83 2 3" xfId="32584" xr:uid="{00000000-0005-0000-0000-0000A27E0000}"/>
    <cellStyle name="Normal 2 83 2 4" xfId="32585" xr:uid="{00000000-0005-0000-0000-0000A37E0000}"/>
    <cellStyle name="Normal 2 83 3" xfId="32586" xr:uid="{00000000-0005-0000-0000-0000A47E0000}"/>
    <cellStyle name="Normal 2 83 3 2" xfId="32587" xr:uid="{00000000-0005-0000-0000-0000A57E0000}"/>
    <cellStyle name="Normal 2 83 3 3" xfId="32588" xr:uid="{00000000-0005-0000-0000-0000A67E0000}"/>
    <cellStyle name="Normal 2 83 4" xfId="32589" xr:uid="{00000000-0005-0000-0000-0000A77E0000}"/>
    <cellStyle name="Normal 2 84" xfId="32590" xr:uid="{00000000-0005-0000-0000-0000A87E0000}"/>
    <cellStyle name="Normal 2 84 2" xfId="32591" xr:uid="{00000000-0005-0000-0000-0000A97E0000}"/>
    <cellStyle name="Normal 2 84 2 2" xfId="32592" xr:uid="{00000000-0005-0000-0000-0000AA7E0000}"/>
    <cellStyle name="Normal 2 84 2 2 2" xfId="32593" xr:uid="{00000000-0005-0000-0000-0000AB7E0000}"/>
    <cellStyle name="Normal 2 84 2 2 3" xfId="32594" xr:uid="{00000000-0005-0000-0000-0000AC7E0000}"/>
    <cellStyle name="Normal 2 84 2 3" xfId="32595" xr:uid="{00000000-0005-0000-0000-0000AD7E0000}"/>
    <cellStyle name="Normal 2 84 2 4" xfId="32596" xr:uid="{00000000-0005-0000-0000-0000AE7E0000}"/>
    <cellStyle name="Normal 2 84 3" xfId="32597" xr:uid="{00000000-0005-0000-0000-0000AF7E0000}"/>
    <cellStyle name="Normal 2 84 3 2" xfId="32598" xr:uid="{00000000-0005-0000-0000-0000B07E0000}"/>
    <cellStyle name="Normal 2 84 3 3" xfId="32599" xr:uid="{00000000-0005-0000-0000-0000B17E0000}"/>
    <cellStyle name="Normal 2 84 4" xfId="32600" xr:uid="{00000000-0005-0000-0000-0000B27E0000}"/>
    <cellStyle name="Normal 2 85" xfId="32601" xr:uid="{00000000-0005-0000-0000-0000B37E0000}"/>
    <cellStyle name="Normal 2 85 2" xfId="32602" xr:uid="{00000000-0005-0000-0000-0000B47E0000}"/>
    <cellStyle name="Normal 2 85 2 2" xfId="32603" xr:uid="{00000000-0005-0000-0000-0000B57E0000}"/>
    <cellStyle name="Normal 2 85 2 2 2" xfId="32604" xr:uid="{00000000-0005-0000-0000-0000B67E0000}"/>
    <cellStyle name="Normal 2 85 2 2 3" xfId="32605" xr:uid="{00000000-0005-0000-0000-0000B77E0000}"/>
    <cellStyle name="Normal 2 85 2 3" xfId="32606" xr:uid="{00000000-0005-0000-0000-0000B87E0000}"/>
    <cellStyle name="Normal 2 85 2 4" xfId="32607" xr:uid="{00000000-0005-0000-0000-0000B97E0000}"/>
    <cellStyle name="Normal 2 85 3" xfId="32608" xr:uid="{00000000-0005-0000-0000-0000BA7E0000}"/>
    <cellStyle name="Normal 2 85 3 2" xfId="32609" xr:uid="{00000000-0005-0000-0000-0000BB7E0000}"/>
    <cellStyle name="Normal 2 85 3 3" xfId="32610" xr:uid="{00000000-0005-0000-0000-0000BC7E0000}"/>
    <cellStyle name="Normal 2 85 4" xfId="32611" xr:uid="{00000000-0005-0000-0000-0000BD7E0000}"/>
    <cellStyle name="Normal 2 86" xfId="32612" xr:uid="{00000000-0005-0000-0000-0000BE7E0000}"/>
    <cellStyle name="Normal 2 86 2" xfId="32613" xr:uid="{00000000-0005-0000-0000-0000BF7E0000}"/>
    <cellStyle name="Normal 2 86 2 2" xfId="32614" xr:uid="{00000000-0005-0000-0000-0000C07E0000}"/>
    <cellStyle name="Normal 2 86 2 2 2" xfId="32615" xr:uid="{00000000-0005-0000-0000-0000C17E0000}"/>
    <cellStyle name="Normal 2 86 2 2 3" xfId="32616" xr:uid="{00000000-0005-0000-0000-0000C27E0000}"/>
    <cellStyle name="Normal 2 86 2 3" xfId="32617" xr:uid="{00000000-0005-0000-0000-0000C37E0000}"/>
    <cellStyle name="Normal 2 86 2 4" xfId="32618" xr:uid="{00000000-0005-0000-0000-0000C47E0000}"/>
    <cellStyle name="Normal 2 86 3" xfId="32619" xr:uid="{00000000-0005-0000-0000-0000C57E0000}"/>
    <cellStyle name="Normal 2 86 3 2" xfId="32620" xr:uid="{00000000-0005-0000-0000-0000C67E0000}"/>
    <cellStyle name="Normal 2 86 3 3" xfId="32621" xr:uid="{00000000-0005-0000-0000-0000C77E0000}"/>
    <cellStyle name="Normal 2 86 4" xfId="32622" xr:uid="{00000000-0005-0000-0000-0000C87E0000}"/>
    <cellStyle name="Normal 2 87" xfId="32623" xr:uid="{00000000-0005-0000-0000-0000C97E0000}"/>
    <cellStyle name="Normal 2 87 2" xfId="32624" xr:uid="{00000000-0005-0000-0000-0000CA7E0000}"/>
    <cellStyle name="Normal 2 87 2 2" xfId="32625" xr:uid="{00000000-0005-0000-0000-0000CB7E0000}"/>
    <cellStyle name="Normal 2 87 2 2 2" xfId="32626" xr:uid="{00000000-0005-0000-0000-0000CC7E0000}"/>
    <cellStyle name="Normal 2 87 2 2 3" xfId="32627" xr:uid="{00000000-0005-0000-0000-0000CD7E0000}"/>
    <cellStyle name="Normal 2 87 2 3" xfId="32628" xr:uid="{00000000-0005-0000-0000-0000CE7E0000}"/>
    <cellStyle name="Normal 2 87 2 4" xfId="32629" xr:uid="{00000000-0005-0000-0000-0000CF7E0000}"/>
    <cellStyle name="Normal 2 87 3" xfId="32630" xr:uid="{00000000-0005-0000-0000-0000D07E0000}"/>
    <cellStyle name="Normal 2 87 3 2" xfId="32631" xr:uid="{00000000-0005-0000-0000-0000D17E0000}"/>
    <cellStyle name="Normal 2 87 3 3" xfId="32632" xr:uid="{00000000-0005-0000-0000-0000D27E0000}"/>
    <cellStyle name="Normal 2 87 4" xfId="32633" xr:uid="{00000000-0005-0000-0000-0000D37E0000}"/>
    <cellStyle name="Normal 2 88" xfId="32634" xr:uid="{00000000-0005-0000-0000-0000D47E0000}"/>
    <cellStyle name="Normal 2 88 2" xfId="32635" xr:uid="{00000000-0005-0000-0000-0000D57E0000}"/>
    <cellStyle name="Normal 2 88 2 2" xfId="32636" xr:uid="{00000000-0005-0000-0000-0000D67E0000}"/>
    <cellStyle name="Normal 2 88 2 2 2" xfId="32637" xr:uid="{00000000-0005-0000-0000-0000D77E0000}"/>
    <cellStyle name="Normal 2 88 2 2 3" xfId="32638" xr:uid="{00000000-0005-0000-0000-0000D87E0000}"/>
    <cellStyle name="Normal 2 88 2 3" xfId="32639" xr:uid="{00000000-0005-0000-0000-0000D97E0000}"/>
    <cellStyle name="Normal 2 88 2 4" xfId="32640" xr:uid="{00000000-0005-0000-0000-0000DA7E0000}"/>
    <cellStyle name="Normal 2 88 3" xfId="32641" xr:uid="{00000000-0005-0000-0000-0000DB7E0000}"/>
    <cellStyle name="Normal 2 88 3 2" xfId="32642" xr:uid="{00000000-0005-0000-0000-0000DC7E0000}"/>
    <cellStyle name="Normal 2 88 3 3" xfId="32643" xr:uid="{00000000-0005-0000-0000-0000DD7E0000}"/>
    <cellStyle name="Normal 2 88 4" xfId="32644" xr:uid="{00000000-0005-0000-0000-0000DE7E0000}"/>
    <cellStyle name="Normal 2 89" xfId="32645" xr:uid="{00000000-0005-0000-0000-0000DF7E0000}"/>
    <cellStyle name="Normal 2 89 2" xfId="32646" xr:uid="{00000000-0005-0000-0000-0000E07E0000}"/>
    <cellStyle name="Normal 2 89 2 2" xfId="32647" xr:uid="{00000000-0005-0000-0000-0000E17E0000}"/>
    <cellStyle name="Normal 2 89 2 2 2" xfId="32648" xr:uid="{00000000-0005-0000-0000-0000E27E0000}"/>
    <cellStyle name="Normal 2 89 2 2 3" xfId="32649" xr:uid="{00000000-0005-0000-0000-0000E37E0000}"/>
    <cellStyle name="Normal 2 89 2 3" xfId="32650" xr:uid="{00000000-0005-0000-0000-0000E47E0000}"/>
    <cellStyle name="Normal 2 89 2 4" xfId="32651" xr:uid="{00000000-0005-0000-0000-0000E57E0000}"/>
    <cellStyle name="Normal 2 89 3" xfId="32652" xr:uid="{00000000-0005-0000-0000-0000E67E0000}"/>
    <cellStyle name="Normal 2 89 3 2" xfId="32653" xr:uid="{00000000-0005-0000-0000-0000E77E0000}"/>
    <cellStyle name="Normal 2 89 3 3" xfId="32654" xr:uid="{00000000-0005-0000-0000-0000E87E0000}"/>
    <cellStyle name="Normal 2 89 4" xfId="32655" xr:uid="{00000000-0005-0000-0000-0000E97E0000}"/>
    <cellStyle name="Normal 2 9" xfId="280" xr:uid="{00000000-0005-0000-0000-0000EA7E0000}"/>
    <cellStyle name="Normal 2 9 10" xfId="32656" xr:uid="{00000000-0005-0000-0000-0000EB7E0000}"/>
    <cellStyle name="Normal 2 9 10 2" xfId="32657" xr:uid="{00000000-0005-0000-0000-0000EC7E0000}"/>
    <cellStyle name="Normal 2 9 10 2 2" xfId="32658" xr:uid="{00000000-0005-0000-0000-0000ED7E0000}"/>
    <cellStyle name="Normal 2 9 10 2 2 2" xfId="32659" xr:uid="{00000000-0005-0000-0000-0000EE7E0000}"/>
    <cellStyle name="Normal 2 9 10 2 2 3" xfId="32660" xr:uid="{00000000-0005-0000-0000-0000EF7E0000}"/>
    <cellStyle name="Normal 2 9 10 2 3" xfId="32661" xr:uid="{00000000-0005-0000-0000-0000F07E0000}"/>
    <cellStyle name="Normal 2 9 10 2 4" xfId="32662" xr:uid="{00000000-0005-0000-0000-0000F17E0000}"/>
    <cellStyle name="Normal 2 9 10 3" xfId="32663" xr:uid="{00000000-0005-0000-0000-0000F27E0000}"/>
    <cellStyle name="Normal 2 9 10 3 2" xfId="32664" xr:uid="{00000000-0005-0000-0000-0000F37E0000}"/>
    <cellStyle name="Normal 2 9 10 3 3" xfId="32665" xr:uid="{00000000-0005-0000-0000-0000F47E0000}"/>
    <cellStyle name="Normal 2 9 10 4" xfId="32666" xr:uid="{00000000-0005-0000-0000-0000F57E0000}"/>
    <cellStyle name="Normal 2 9 11" xfId="32667" xr:uid="{00000000-0005-0000-0000-0000F67E0000}"/>
    <cellStyle name="Normal 2 9 11 2" xfId="32668" xr:uid="{00000000-0005-0000-0000-0000F77E0000}"/>
    <cellStyle name="Normal 2 9 11 2 2" xfId="32669" xr:uid="{00000000-0005-0000-0000-0000F87E0000}"/>
    <cellStyle name="Normal 2 9 11 2 2 2" xfId="32670" xr:uid="{00000000-0005-0000-0000-0000F97E0000}"/>
    <cellStyle name="Normal 2 9 11 2 2 3" xfId="32671" xr:uid="{00000000-0005-0000-0000-0000FA7E0000}"/>
    <cellStyle name="Normal 2 9 11 2 3" xfId="32672" xr:uid="{00000000-0005-0000-0000-0000FB7E0000}"/>
    <cellStyle name="Normal 2 9 11 2 4" xfId="32673" xr:uid="{00000000-0005-0000-0000-0000FC7E0000}"/>
    <cellStyle name="Normal 2 9 11 3" xfId="32674" xr:uid="{00000000-0005-0000-0000-0000FD7E0000}"/>
    <cellStyle name="Normal 2 9 11 3 2" xfId="32675" xr:uid="{00000000-0005-0000-0000-0000FE7E0000}"/>
    <cellStyle name="Normal 2 9 11 3 3" xfId="32676" xr:uid="{00000000-0005-0000-0000-0000FF7E0000}"/>
    <cellStyle name="Normal 2 9 11 4" xfId="32677" xr:uid="{00000000-0005-0000-0000-0000007F0000}"/>
    <cellStyle name="Normal 2 9 12" xfId="32678" xr:uid="{00000000-0005-0000-0000-0000017F0000}"/>
    <cellStyle name="Normal 2 9 12 2" xfId="32679" xr:uid="{00000000-0005-0000-0000-0000027F0000}"/>
    <cellStyle name="Normal 2 9 12 2 2" xfId="32680" xr:uid="{00000000-0005-0000-0000-0000037F0000}"/>
    <cellStyle name="Normal 2 9 12 2 2 2" xfId="32681" xr:uid="{00000000-0005-0000-0000-0000047F0000}"/>
    <cellStyle name="Normal 2 9 12 2 2 3" xfId="32682" xr:uid="{00000000-0005-0000-0000-0000057F0000}"/>
    <cellStyle name="Normal 2 9 12 2 3" xfId="32683" xr:uid="{00000000-0005-0000-0000-0000067F0000}"/>
    <cellStyle name="Normal 2 9 12 2 4" xfId="32684" xr:uid="{00000000-0005-0000-0000-0000077F0000}"/>
    <cellStyle name="Normal 2 9 12 3" xfId="32685" xr:uid="{00000000-0005-0000-0000-0000087F0000}"/>
    <cellStyle name="Normal 2 9 12 3 2" xfId="32686" xr:uid="{00000000-0005-0000-0000-0000097F0000}"/>
    <cellStyle name="Normal 2 9 12 3 3" xfId="32687" xr:uid="{00000000-0005-0000-0000-00000A7F0000}"/>
    <cellStyle name="Normal 2 9 12 4" xfId="32688" xr:uid="{00000000-0005-0000-0000-00000B7F0000}"/>
    <cellStyle name="Normal 2 9 13" xfId="32689" xr:uid="{00000000-0005-0000-0000-00000C7F0000}"/>
    <cellStyle name="Normal 2 9 13 2" xfId="32690" xr:uid="{00000000-0005-0000-0000-00000D7F0000}"/>
    <cellStyle name="Normal 2 9 13 2 2" xfId="32691" xr:uid="{00000000-0005-0000-0000-00000E7F0000}"/>
    <cellStyle name="Normal 2 9 13 2 2 2" xfId="32692" xr:uid="{00000000-0005-0000-0000-00000F7F0000}"/>
    <cellStyle name="Normal 2 9 13 2 2 3" xfId="32693" xr:uid="{00000000-0005-0000-0000-0000107F0000}"/>
    <cellStyle name="Normal 2 9 13 2 3" xfId="32694" xr:uid="{00000000-0005-0000-0000-0000117F0000}"/>
    <cellStyle name="Normal 2 9 13 2 4" xfId="32695" xr:uid="{00000000-0005-0000-0000-0000127F0000}"/>
    <cellStyle name="Normal 2 9 13 3" xfId="32696" xr:uid="{00000000-0005-0000-0000-0000137F0000}"/>
    <cellStyle name="Normal 2 9 13 3 2" xfId="32697" xr:uid="{00000000-0005-0000-0000-0000147F0000}"/>
    <cellStyle name="Normal 2 9 13 3 3" xfId="32698" xr:uid="{00000000-0005-0000-0000-0000157F0000}"/>
    <cellStyle name="Normal 2 9 13 4" xfId="32699" xr:uid="{00000000-0005-0000-0000-0000167F0000}"/>
    <cellStyle name="Normal 2 9 14" xfId="32700" xr:uid="{00000000-0005-0000-0000-0000177F0000}"/>
    <cellStyle name="Normal 2 9 14 2" xfId="32701" xr:uid="{00000000-0005-0000-0000-0000187F0000}"/>
    <cellStyle name="Normal 2 9 14 2 2" xfId="32702" xr:uid="{00000000-0005-0000-0000-0000197F0000}"/>
    <cellStyle name="Normal 2 9 14 2 2 2" xfId="32703" xr:uid="{00000000-0005-0000-0000-00001A7F0000}"/>
    <cellStyle name="Normal 2 9 14 2 2 3" xfId="32704" xr:uid="{00000000-0005-0000-0000-00001B7F0000}"/>
    <cellStyle name="Normal 2 9 14 2 3" xfId="32705" xr:uid="{00000000-0005-0000-0000-00001C7F0000}"/>
    <cellStyle name="Normal 2 9 14 2 4" xfId="32706" xr:uid="{00000000-0005-0000-0000-00001D7F0000}"/>
    <cellStyle name="Normal 2 9 14 3" xfId="32707" xr:uid="{00000000-0005-0000-0000-00001E7F0000}"/>
    <cellStyle name="Normal 2 9 14 3 2" xfId="32708" xr:uid="{00000000-0005-0000-0000-00001F7F0000}"/>
    <cellStyle name="Normal 2 9 14 3 3" xfId="32709" xr:uid="{00000000-0005-0000-0000-0000207F0000}"/>
    <cellStyle name="Normal 2 9 14 4" xfId="32710" xr:uid="{00000000-0005-0000-0000-0000217F0000}"/>
    <cellStyle name="Normal 2 9 15" xfId="32711" xr:uid="{00000000-0005-0000-0000-0000227F0000}"/>
    <cellStyle name="Normal 2 9 15 2" xfId="32712" xr:uid="{00000000-0005-0000-0000-0000237F0000}"/>
    <cellStyle name="Normal 2 9 15 2 2" xfId="32713" xr:uid="{00000000-0005-0000-0000-0000247F0000}"/>
    <cellStyle name="Normal 2 9 15 2 2 2" xfId="32714" xr:uid="{00000000-0005-0000-0000-0000257F0000}"/>
    <cellStyle name="Normal 2 9 15 2 2 3" xfId="32715" xr:uid="{00000000-0005-0000-0000-0000267F0000}"/>
    <cellStyle name="Normal 2 9 15 2 3" xfId="32716" xr:uid="{00000000-0005-0000-0000-0000277F0000}"/>
    <cellStyle name="Normal 2 9 15 2 4" xfId="32717" xr:uid="{00000000-0005-0000-0000-0000287F0000}"/>
    <cellStyle name="Normal 2 9 15 3" xfId="32718" xr:uid="{00000000-0005-0000-0000-0000297F0000}"/>
    <cellStyle name="Normal 2 9 15 3 2" xfId="32719" xr:uid="{00000000-0005-0000-0000-00002A7F0000}"/>
    <cellStyle name="Normal 2 9 15 3 3" xfId="32720" xr:uid="{00000000-0005-0000-0000-00002B7F0000}"/>
    <cellStyle name="Normal 2 9 15 4" xfId="32721" xr:uid="{00000000-0005-0000-0000-00002C7F0000}"/>
    <cellStyle name="Normal 2 9 16" xfId="32722" xr:uid="{00000000-0005-0000-0000-00002D7F0000}"/>
    <cellStyle name="Normal 2 9 16 2" xfId="32723" xr:uid="{00000000-0005-0000-0000-00002E7F0000}"/>
    <cellStyle name="Normal 2 9 16 2 2" xfId="32724" xr:uid="{00000000-0005-0000-0000-00002F7F0000}"/>
    <cellStyle name="Normal 2 9 16 2 2 2" xfId="32725" xr:uid="{00000000-0005-0000-0000-0000307F0000}"/>
    <cellStyle name="Normal 2 9 16 2 2 3" xfId="32726" xr:uid="{00000000-0005-0000-0000-0000317F0000}"/>
    <cellStyle name="Normal 2 9 16 2 3" xfId="32727" xr:uid="{00000000-0005-0000-0000-0000327F0000}"/>
    <cellStyle name="Normal 2 9 16 2 4" xfId="32728" xr:uid="{00000000-0005-0000-0000-0000337F0000}"/>
    <cellStyle name="Normal 2 9 16 3" xfId="32729" xr:uid="{00000000-0005-0000-0000-0000347F0000}"/>
    <cellStyle name="Normal 2 9 16 3 2" xfId="32730" xr:uid="{00000000-0005-0000-0000-0000357F0000}"/>
    <cellStyle name="Normal 2 9 16 3 3" xfId="32731" xr:uid="{00000000-0005-0000-0000-0000367F0000}"/>
    <cellStyle name="Normal 2 9 16 4" xfId="32732" xr:uid="{00000000-0005-0000-0000-0000377F0000}"/>
    <cellStyle name="Normal 2 9 17" xfId="32733" xr:uid="{00000000-0005-0000-0000-0000387F0000}"/>
    <cellStyle name="Normal 2 9 17 2" xfId="32734" xr:uid="{00000000-0005-0000-0000-0000397F0000}"/>
    <cellStyle name="Normal 2 9 17 2 2" xfId="32735" xr:uid="{00000000-0005-0000-0000-00003A7F0000}"/>
    <cellStyle name="Normal 2 9 17 2 2 2" xfId="32736" xr:uid="{00000000-0005-0000-0000-00003B7F0000}"/>
    <cellStyle name="Normal 2 9 17 2 2 3" xfId="32737" xr:uid="{00000000-0005-0000-0000-00003C7F0000}"/>
    <cellStyle name="Normal 2 9 17 2 3" xfId="32738" xr:uid="{00000000-0005-0000-0000-00003D7F0000}"/>
    <cellStyle name="Normal 2 9 17 2 4" xfId="32739" xr:uid="{00000000-0005-0000-0000-00003E7F0000}"/>
    <cellStyle name="Normal 2 9 17 3" xfId="32740" xr:uid="{00000000-0005-0000-0000-00003F7F0000}"/>
    <cellStyle name="Normal 2 9 17 3 2" xfId="32741" xr:uid="{00000000-0005-0000-0000-0000407F0000}"/>
    <cellStyle name="Normal 2 9 17 3 3" xfId="32742" xr:uid="{00000000-0005-0000-0000-0000417F0000}"/>
    <cellStyle name="Normal 2 9 17 4" xfId="32743" xr:uid="{00000000-0005-0000-0000-0000427F0000}"/>
    <cellStyle name="Normal 2 9 18" xfId="32744" xr:uid="{00000000-0005-0000-0000-0000437F0000}"/>
    <cellStyle name="Normal 2 9 18 2" xfId="32745" xr:uid="{00000000-0005-0000-0000-0000447F0000}"/>
    <cellStyle name="Normal 2 9 18 2 2" xfId="32746" xr:uid="{00000000-0005-0000-0000-0000457F0000}"/>
    <cellStyle name="Normal 2 9 18 2 2 2" xfId="32747" xr:uid="{00000000-0005-0000-0000-0000467F0000}"/>
    <cellStyle name="Normal 2 9 18 2 2 3" xfId="32748" xr:uid="{00000000-0005-0000-0000-0000477F0000}"/>
    <cellStyle name="Normal 2 9 18 2 3" xfId="32749" xr:uid="{00000000-0005-0000-0000-0000487F0000}"/>
    <cellStyle name="Normal 2 9 18 2 4" xfId="32750" xr:uid="{00000000-0005-0000-0000-0000497F0000}"/>
    <cellStyle name="Normal 2 9 18 3" xfId="32751" xr:uid="{00000000-0005-0000-0000-00004A7F0000}"/>
    <cellStyle name="Normal 2 9 18 3 2" xfId="32752" xr:uid="{00000000-0005-0000-0000-00004B7F0000}"/>
    <cellStyle name="Normal 2 9 18 3 3" xfId="32753" xr:uid="{00000000-0005-0000-0000-00004C7F0000}"/>
    <cellStyle name="Normal 2 9 18 4" xfId="32754" xr:uid="{00000000-0005-0000-0000-00004D7F0000}"/>
    <cellStyle name="Normal 2 9 19" xfId="32755" xr:uid="{00000000-0005-0000-0000-00004E7F0000}"/>
    <cellStyle name="Normal 2 9 19 2" xfId="32756" xr:uid="{00000000-0005-0000-0000-00004F7F0000}"/>
    <cellStyle name="Normal 2 9 19 2 2" xfId="32757" xr:uid="{00000000-0005-0000-0000-0000507F0000}"/>
    <cellStyle name="Normal 2 9 19 2 2 2" xfId="32758" xr:uid="{00000000-0005-0000-0000-0000517F0000}"/>
    <cellStyle name="Normal 2 9 19 2 2 3" xfId="32759" xr:uid="{00000000-0005-0000-0000-0000527F0000}"/>
    <cellStyle name="Normal 2 9 19 2 3" xfId="32760" xr:uid="{00000000-0005-0000-0000-0000537F0000}"/>
    <cellStyle name="Normal 2 9 19 2 4" xfId="32761" xr:uid="{00000000-0005-0000-0000-0000547F0000}"/>
    <cellStyle name="Normal 2 9 19 3" xfId="32762" xr:uid="{00000000-0005-0000-0000-0000557F0000}"/>
    <cellStyle name="Normal 2 9 19 3 2" xfId="32763" xr:uid="{00000000-0005-0000-0000-0000567F0000}"/>
    <cellStyle name="Normal 2 9 19 3 3" xfId="32764" xr:uid="{00000000-0005-0000-0000-0000577F0000}"/>
    <cellStyle name="Normal 2 9 19 4" xfId="32765" xr:uid="{00000000-0005-0000-0000-0000587F0000}"/>
    <cellStyle name="Normal 2 9 2" xfId="32766" xr:uid="{00000000-0005-0000-0000-0000597F0000}"/>
    <cellStyle name="Normal 2 9 2 2" xfId="32767" xr:uid="{00000000-0005-0000-0000-00005A7F0000}"/>
    <cellStyle name="Normal 2 9 2 2 2" xfId="32768" xr:uid="{00000000-0005-0000-0000-00005B7F0000}"/>
    <cellStyle name="Normal 2 9 2 2 2 2" xfId="32769" xr:uid="{00000000-0005-0000-0000-00005C7F0000}"/>
    <cellStyle name="Normal 2 9 2 2 2 3" xfId="32770" xr:uid="{00000000-0005-0000-0000-00005D7F0000}"/>
    <cellStyle name="Normal 2 9 2 2 3" xfId="32771" xr:uid="{00000000-0005-0000-0000-00005E7F0000}"/>
    <cellStyle name="Normal 2 9 2 2 4" xfId="32772" xr:uid="{00000000-0005-0000-0000-00005F7F0000}"/>
    <cellStyle name="Normal 2 9 2 3" xfId="32773" xr:uid="{00000000-0005-0000-0000-0000607F0000}"/>
    <cellStyle name="Normal 2 9 2 3 2" xfId="32774" xr:uid="{00000000-0005-0000-0000-0000617F0000}"/>
    <cellStyle name="Normal 2 9 2 3 3" xfId="32775" xr:uid="{00000000-0005-0000-0000-0000627F0000}"/>
    <cellStyle name="Normal 2 9 2 4" xfId="32776" xr:uid="{00000000-0005-0000-0000-0000637F0000}"/>
    <cellStyle name="Normal 2 9 2 5" xfId="32777" xr:uid="{00000000-0005-0000-0000-0000647F0000}"/>
    <cellStyle name="Normal 2 9 20" xfId="32778" xr:uid="{00000000-0005-0000-0000-0000657F0000}"/>
    <cellStyle name="Normal 2 9 20 2" xfId="32779" xr:uid="{00000000-0005-0000-0000-0000667F0000}"/>
    <cellStyle name="Normal 2 9 20 2 2" xfId="32780" xr:uid="{00000000-0005-0000-0000-0000677F0000}"/>
    <cellStyle name="Normal 2 9 20 2 2 2" xfId="32781" xr:uid="{00000000-0005-0000-0000-0000687F0000}"/>
    <cellStyle name="Normal 2 9 20 2 2 3" xfId="32782" xr:uid="{00000000-0005-0000-0000-0000697F0000}"/>
    <cellStyle name="Normal 2 9 20 2 3" xfId="32783" xr:uid="{00000000-0005-0000-0000-00006A7F0000}"/>
    <cellStyle name="Normal 2 9 20 2 4" xfId="32784" xr:uid="{00000000-0005-0000-0000-00006B7F0000}"/>
    <cellStyle name="Normal 2 9 20 3" xfId="32785" xr:uid="{00000000-0005-0000-0000-00006C7F0000}"/>
    <cellStyle name="Normal 2 9 20 3 2" xfId="32786" xr:uid="{00000000-0005-0000-0000-00006D7F0000}"/>
    <cellStyle name="Normal 2 9 20 3 3" xfId="32787" xr:uid="{00000000-0005-0000-0000-00006E7F0000}"/>
    <cellStyle name="Normal 2 9 20 4" xfId="32788" xr:uid="{00000000-0005-0000-0000-00006F7F0000}"/>
    <cellStyle name="Normal 2 9 21" xfId="32789" xr:uid="{00000000-0005-0000-0000-0000707F0000}"/>
    <cellStyle name="Normal 2 9 21 2" xfId="32790" xr:uid="{00000000-0005-0000-0000-0000717F0000}"/>
    <cellStyle name="Normal 2 9 21 2 2" xfId="32791" xr:uid="{00000000-0005-0000-0000-0000727F0000}"/>
    <cellStyle name="Normal 2 9 21 2 2 2" xfId="32792" xr:uid="{00000000-0005-0000-0000-0000737F0000}"/>
    <cellStyle name="Normal 2 9 21 2 2 3" xfId="32793" xr:uid="{00000000-0005-0000-0000-0000747F0000}"/>
    <cellStyle name="Normal 2 9 21 2 3" xfId="32794" xr:uid="{00000000-0005-0000-0000-0000757F0000}"/>
    <cellStyle name="Normal 2 9 21 2 4" xfId="32795" xr:uid="{00000000-0005-0000-0000-0000767F0000}"/>
    <cellStyle name="Normal 2 9 21 3" xfId="32796" xr:uid="{00000000-0005-0000-0000-0000777F0000}"/>
    <cellStyle name="Normal 2 9 21 3 2" xfId="32797" xr:uid="{00000000-0005-0000-0000-0000787F0000}"/>
    <cellStyle name="Normal 2 9 21 3 3" xfId="32798" xr:uid="{00000000-0005-0000-0000-0000797F0000}"/>
    <cellStyle name="Normal 2 9 21 4" xfId="32799" xr:uid="{00000000-0005-0000-0000-00007A7F0000}"/>
    <cellStyle name="Normal 2 9 22" xfId="32800" xr:uid="{00000000-0005-0000-0000-00007B7F0000}"/>
    <cellStyle name="Normal 2 9 22 2" xfId="32801" xr:uid="{00000000-0005-0000-0000-00007C7F0000}"/>
    <cellStyle name="Normal 2 9 22 2 2" xfId="32802" xr:uid="{00000000-0005-0000-0000-00007D7F0000}"/>
    <cellStyle name="Normal 2 9 22 2 2 2" xfId="32803" xr:uid="{00000000-0005-0000-0000-00007E7F0000}"/>
    <cellStyle name="Normal 2 9 22 2 2 3" xfId="32804" xr:uid="{00000000-0005-0000-0000-00007F7F0000}"/>
    <cellStyle name="Normal 2 9 22 2 3" xfId="32805" xr:uid="{00000000-0005-0000-0000-0000807F0000}"/>
    <cellStyle name="Normal 2 9 22 2 4" xfId="32806" xr:uid="{00000000-0005-0000-0000-0000817F0000}"/>
    <cellStyle name="Normal 2 9 22 3" xfId="32807" xr:uid="{00000000-0005-0000-0000-0000827F0000}"/>
    <cellStyle name="Normal 2 9 22 3 2" xfId="32808" xr:uid="{00000000-0005-0000-0000-0000837F0000}"/>
    <cellStyle name="Normal 2 9 22 3 3" xfId="32809" xr:uid="{00000000-0005-0000-0000-0000847F0000}"/>
    <cellStyle name="Normal 2 9 22 4" xfId="32810" xr:uid="{00000000-0005-0000-0000-0000857F0000}"/>
    <cellStyle name="Normal 2 9 23" xfId="32811" xr:uid="{00000000-0005-0000-0000-0000867F0000}"/>
    <cellStyle name="Normal 2 9 23 2" xfId="32812" xr:uid="{00000000-0005-0000-0000-0000877F0000}"/>
    <cellStyle name="Normal 2 9 23 2 2" xfId="32813" xr:uid="{00000000-0005-0000-0000-0000887F0000}"/>
    <cellStyle name="Normal 2 9 23 2 2 2" xfId="32814" xr:uid="{00000000-0005-0000-0000-0000897F0000}"/>
    <cellStyle name="Normal 2 9 23 2 2 3" xfId="32815" xr:uid="{00000000-0005-0000-0000-00008A7F0000}"/>
    <cellStyle name="Normal 2 9 23 2 3" xfId="32816" xr:uid="{00000000-0005-0000-0000-00008B7F0000}"/>
    <cellStyle name="Normal 2 9 23 2 4" xfId="32817" xr:uid="{00000000-0005-0000-0000-00008C7F0000}"/>
    <cellStyle name="Normal 2 9 23 3" xfId="32818" xr:uid="{00000000-0005-0000-0000-00008D7F0000}"/>
    <cellStyle name="Normal 2 9 23 3 2" xfId="32819" xr:uid="{00000000-0005-0000-0000-00008E7F0000}"/>
    <cellStyle name="Normal 2 9 23 3 3" xfId="32820" xr:uid="{00000000-0005-0000-0000-00008F7F0000}"/>
    <cellStyle name="Normal 2 9 23 4" xfId="32821" xr:uid="{00000000-0005-0000-0000-0000907F0000}"/>
    <cellStyle name="Normal 2 9 24" xfId="32822" xr:uid="{00000000-0005-0000-0000-0000917F0000}"/>
    <cellStyle name="Normal 2 9 24 2" xfId="32823" xr:uid="{00000000-0005-0000-0000-0000927F0000}"/>
    <cellStyle name="Normal 2 9 24 2 2" xfId="32824" xr:uid="{00000000-0005-0000-0000-0000937F0000}"/>
    <cellStyle name="Normal 2 9 24 2 3" xfId="32825" xr:uid="{00000000-0005-0000-0000-0000947F0000}"/>
    <cellStyle name="Normal 2 9 24 3" xfId="32826" xr:uid="{00000000-0005-0000-0000-0000957F0000}"/>
    <cellStyle name="Normal 2 9 24 4" xfId="32827" xr:uid="{00000000-0005-0000-0000-0000967F0000}"/>
    <cellStyle name="Normal 2 9 25" xfId="32828" xr:uid="{00000000-0005-0000-0000-0000977F0000}"/>
    <cellStyle name="Normal 2 9 25 2" xfId="32829" xr:uid="{00000000-0005-0000-0000-0000987F0000}"/>
    <cellStyle name="Normal 2 9 25 3" xfId="32830" xr:uid="{00000000-0005-0000-0000-0000997F0000}"/>
    <cellStyle name="Normal 2 9 26" xfId="32831" xr:uid="{00000000-0005-0000-0000-00009A7F0000}"/>
    <cellStyle name="Normal 2 9 27" xfId="32832" xr:uid="{00000000-0005-0000-0000-00009B7F0000}"/>
    <cellStyle name="Normal 2 9 3" xfId="32833" xr:uid="{00000000-0005-0000-0000-00009C7F0000}"/>
    <cellStyle name="Normal 2 9 3 2" xfId="32834" xr:uid="{00000000-0005-0000-0000-00009D7F0000}"/>
    <cellStyle name="Normal 2 9 3 2 2" xfId="32835" xr:uid="{00000000-0005-0000-0000-00009E7F0000}"/>
    <cellStyle name="Normal 2 9 3 2 2 2" xfId="32836" xr:uid="{00000000-0005-0000-0000-00009F7F0000}"/>
    <cellStyle name="Normal 2 9 3 2 2 3" xfId="32837" xr:uid="{00000000-0005-0000-0000-0000A07F0000}"/>
    <cellStyle name="Normal 2 9 3 2 3" xfId="32838" xr:uid="{00000000-0005-0000-0000-0000A17F0000}"/>
    <cellStyle name="Normal 2 9 3 2 4" xfId="32839" xr:uid="{00000000-0005-0000-0000-0000A27F0000}"/>
    <cellStyle name="Normal 2 9 3 3" xfId="32840" xr:uid="{00000000-0005-0000-0000-0000A37F0000}"/>
    <cellStyle name="Normal 2 9 3 3 2" xfId="32841" xr:uid="{00000000-0005-0000-0000-0000A47F0000}"/>
    <cellStyle name="Normal 2 9 3 3 3" xfId="32842" xr:uid="{00000000-0005-0000-0000-0000A57F0000}"/>
    <cellStyle name="Normal 2 9 3 4" xfId="32843" xr:uid="{00000000-0005-0000-0000-0000A67F0000}"/>
    <cellStyle name="Normal 2 9 4" xfId="32844" xr:uid="{00000000-0005-0000-0000-0000A77F0000}"/>
    <cellStyle name="Normal 2 9 4 2" xfId="32845" xr:uid="{00000000-0005-0000-0000-0000A87F0000}"/>
    <cellStyle name="Normal 2 9 4 2 2" xfId="32846" xr:uid="{00000000-0005-0000-0000-0000A97F0000}"/>
    <cellStyle name="Normal 2 9 4 2 2 2" xfId="32847" xr:uid="{00000000-0005-0000-0000-0000AA7F0000}"/>
    <cellStyle name="Normal 2 9 4 2 2 3" xfId="32848" xr:uid="{00000000-0005-0000-0000-0000AB7F0000}"/>
    <cellStyle name="Normal 2 9 4 2 3" xfId="32849" xr:uid="{00000000-0005-0000-0000-0000AC7F0000}"/>
    <cellStyle name="Normal 2 9 4 2 4" xfId="32850" xr:uid="{00000000-0005-0000-0000-0000AD7F0000}"/>
    <cellStyle name="Normal 2 9 4 3" xfId="32851" xr:uid="{00000000-0005-0000-0000-0000AE7F0000}"/>
    <cellStyle name="Normal 2 9 4 3 2" xfId="32852" xr:uid="{00000000-0005-0000-0000-0000AF7F0000}"/>
    <cellStyle name="Normal 2 9 4 3 3" xfId="32853" xr:uid="{00000000-0005-0000-0000-0000B07F0000}"/>
    <cellStyle name="Normal 2 9 4 4" xfId="32854" xr:uid="{00000000-0005-0000-0000-0000B17F0000}"/>
    <cellStyle name="Normal 2 9 5" xfId="32855" xr:uid="{00000000-0005-0000-0000-0000B27F0000}"/>
    <cellStyle name="Normal 2 9 5 2" xfId="32856" xr:uid="{00000000-0005-0000-0000-0000B37F0000}"/>
    <cellStyle name="Normal 2 9 5 2 2" xfId="32857" xr:uid="{00000000-0005-0000-0000-0000B47F0000}"/>
    <cellStyle name="Normal 2 9 5 2 2 2" xfId="32858" xr:uid="{00000000-0005-0000-0000-0000B57F0000}"/>
    <cellStyle name="Normal 2 9 5 2 2 3" xfId="32859" xr:uid="{00000000-0005-0000-0000-0000B67F0000}"/>
    <cellStyle name="Normal 2 9 5 2 3" xfId="32860" xr:uid="{00000000-0005-0000-0000-0000B77F0000}"/>
    <cellStyle name="Normal 2 9 5 2 4" xfId="32861" xr:uid="{00000000-0005-0000-0000-0000B87F0000}"/>
    <cellStyle name="Normal 2 9 5 3" xfId="32862" xr:uid="{00000000-0005-0000-0000-0000B97F0000}"/>
    <cellStyle name="Normal 2 9 5 3 2" xfId="32863" xr:uid="{00000000-0005-0000-0000-0000BA7F0000}"/>
    <cellStyle name="Normal 2 9 5 3 3" xfId="32864" xr:uid="{00000000-0005-0000-0000-0000BB7F0000}"/>
    <cellStyle name="Normal 2 9 5 4" xfId="32865" xr:uid="{00000000-0005-0000-0000-0000BC7F0000}"/>
    <cellStyle name="Normal 2 9 6" xfId="32866" xr:uid="{00000000-0005-0000-0000-0000BD7F0000}"/>
    <cellStyle name="Normal 2 9 6 2" xfId="32867" xr:uid="{00000000-0005-0000-0000-0000BE7F0000}"/>
    <cellStyle name="Normal 2 9 6 2 2" xfId="32868" xr:uid="{00000000-0005-0000-0000-0000BF7F0000}"/>
    <cellStyle name="Normal 2 9 6 2 2 2" xfId="32869" xr:uid="{00000000-0005-0000-0000-0000C07F0000}"/>
    <cellStyle name="Normal 2 9 6 2 2 3" xfId="32870" xr:uid="{00000000-0005-0000-0000-0000C17F0000}"/>
    <cellStyle name="Normal 2 9 6 2 3" xfId="32871" xr:uid="{00000000-0005-0000-0000-0000C27F0000}"/>
    <cellStyle name="Normal 2 9 6 2 4" xfId="32872" xr:uid="{00000000-0005-0000-0000-0000C37F0000}"/>
    <cellStyle name="Normal 2 9 6 3" xfId="32873" xr:uid="{00000000-0005-0000-0000-0000C47F0000}"/>
    <cellStyle name="Normal 2 9 6 3 2" xfId="32874" xr:uid="{00000000-0005-0000-0000-0000C57F0000}"/>
    <cellStyle name="Normal 2 9 6 3 3" xfId="32875" xr:uid="{00000000-0005-0000-0000-0000C67F0000}"/>
    <cellStyle name="Normal 2 9 6 4" xfId="32876" xr:uid="{00000000-0005-0000-0000-0000C77F0000}"/>
    <cellStyle name="Normal 2 9 7" xfId="32877" xr:uid="{00000000-0005-0000-0000-0000C87F0000}"/>
    <cellStyle name="Normal 2 9 7 2" xfId="32878" xr:uid="{00000000-0005-0000-0000-0000C97F0000}"/>
    <cellStyle name="Normal 2 9 7 2 2" xfId="32879" xr:uid="{00000000-0005-0000-0000-0000CA7F0000}"/>
    <cellStyle name="Normal 2 9 7 2 2 2" xfId="32880" xr:uid="{00000000-0005-0000-0000-0000CB7F0000}"/>
    <cellStyle name="Normal 2 9 7 2 2 3" xfId="32881" xr:uid="{00000000-0005-0000-0000-0000CC7F0000}"/>
    <cellStyle name="Normal 2 9 7 2 3" xfId="32882" xr:uid="{00000000-0005-0000-0000-0000CD7F0000}"/>
    <cellStyle name="Normal 2 9 7 2 4" xfId="32883" xr:uid="{00000000-0005-0000-0000-0000CE7F0000}"/>
    <cellStyle name="Normal 2 9 7 3" xfId="32884" xr:uid="{00000000-0005-0000-0000-0000CF7F0000}"/>
    <cellStyle name="Normal 2 9 7 3 2" xfId="32885" xr:uid="{00000000-0005-0000-0000-0000D07F0000}"/>
    <cellStyle name="Normal 2 9 7 3 3" xfId="32886" xr:uid="{00000000-0005-0000-0000-0000D17F0000}"/>
    <cellStyle name="Normal 2 9 7 4" xfId="32887" xr:uid="{00000000-0005-0000-0000-0000D27F0000}"/>
    <cellStyle name="Normal 2 9 8" xfId="32888" xr:uid="{00000000-0005-0000-0000-0000D37F0000}"/>
    <cellStyle name="Normal 2 9 8 2" xfId="32889" xr:uid="{00000000-0005-0000-0000-0000D47F0000}"/>
    <cellStyle name="Normal 2 9 8 2 2" xfId="32890" xr:uid="{00000000-0005-0000-0000-0000D57F0000}"/>
    <cellStyle name="Normal 2 9 8 2 2 2" xfId="32891" xr:uid="{00000000-0005-0000-0000-0000D67F0000}"/>
    <cellStyle name="Normal 2 9 8 2 2 3" xfId="32892" xr:uid="{00000000-0005-0000-0000-0000D77F0000}"/>
    <cellStyle name="Normal 2 9 8 2 3" xfId="32893" xr:uid="{00000000-0005-0000-0000-0000D87F0000}"/>
    <cellStyle name="Normal 2 9 8 2 4" xfId="32894" xr:uid="{00000000-0005-0000-0000-0000D97F0000}"/>
    <cellStyle name="Normal 2 9 8 3" xfId="32895" xr:uid="{00000000-0005-0000-0000-0000DA7F0000}"/>
    <cellStyle name="Normal 2 9 8 3 2" xfId="32896" xr:uid="{00000000-0005-0000-0000-0000DB7F0000}"/>
    <cellStyle name="Normal 2 9 8 3 3" xfId="32897" xr:uid="{00000000-0005-0000-0000-0000DC7F0000}"/>
    <cellStyle name="Normal 2 9 8 4" xfId="32898" xr:uid="{00000000-0005-0000-0000-0000DD7F0000}"/>
    <cellStyle name="Normal 2 9 9" xfId="32899" xr:uid="{00000000-0005-0000-0000-0000DE7F0000}"/>
    <cellStyle name="Normal 2 9 9 2" xfId="32900" xr:uid="{00000000-0005-0000-0000-0000DF7F0000}"/>
    <cellStyle name="Normal 2 9 9 2 2" xfId="32901" xr:uid="{00000000-0005-0000-0000-0000E07F0000}"/>
    <cellStyle name="Normal 2 9 9 2 2 2" xfId="32902" xr:uid="{00000000-0005-0000-0000-0000E17F0000}"/>
    <cellStyle name="Normal 2 9 9 2 2 3" xfId="32903" xr:uid="{00000000-0005-0000-0000-0000E27F0000}"/>
    <cellStyle name="Normal 2 9 9 2 3" xfId="32904" xr:uid="{00000000-0005-0000-0000-0000E37F0000}"/>
    <cellStyle name="Normal 2 9 9 2 4" xfId="32905" xr:uid="{00000000-0005-0000-0000-0000E47F0000}"/>
    <cellStyle name="Normal 2 9 9 3" xfId="32906" xr:uid="{00000000-0005-0000-0000-0000E57F0000}"/>
    <cellStyle name="Normal 2 9 9 3 2" xfId="32907" xr:uid="{00000000-0005-0000-0000-0000E67F0000}"/>
    <cellStyle name="Normal 2 9 9 3 3" xfId="32908" xr:uid="{00000000-0005-0000-0000-0000E77F0000}"/>
    <cellStyle name="Normal 2 9 9 4" xfId="32909" xr:uid="{00000000-0005-0000-0000-0000E87F0000}"/>
    <cellStyle name="Normal 2 9_2015 Annual Rpt" xfId="32910" xr:uid="{00000000-0005-0000-0000-0000E97F0000}"/>
    <cellStyle name="Normal 2 90" xfId="32911" xr:uid="{00000000-0005-0000-0000-0000EA7F0000}"/>
    <cellStyle name="Normal 2 90 2" xfId="32912" xr:uid="{00000000-0005-0000-0000-0000EB7F0000}"/>
    <cellStyle name="Normal 2 90 2 2" xfId="32913" xr:uid="{00000000-0005-0000-0000-0000EC7F0000}"/>
    <cellStyle name="Normal 2 90 2 2 2" xfId="32914" xr:uid="{00000000-0005-0000-0000-0000ED7F0000}"/>
    <cellStyle name="Normal 2 90 2 2 3" xfId="32915" xr:uid="{00000000-0005-0000-0000-0000EE7F0000}"/>
    <cellStyle name="Normal 2 90 2 3" xfId="32916" xr:uid="{00000000-0005-0000-0000-0000EF7F0000}"/>
    <cellStyle name="Normal 2 90 2 4" xfId="32917" xr:uid="{00000000-0005-0000-0000-0000F07F0000}"/>
    <cellStyle name="Normal 2 90 3" xfId="32918" xr:uid="{00000000-0005-0000-0000-0000F17F0000}"/>
    <cellStyle name="Normal 2 90 3 2" xfId="32919" xr:uid="{00000000-0005-0000-0000-0000F27F0000}"/>
    <cellStyle name="Normal 2 90 3 3" xfId="32920" xr:uid="{00000000-0005-0000-0000-0000F37F0000}"/>
    <cellStyle name="Normal 2 90 4" xfId="32921" xr:uid="{00000000-0005-0000-0000-0000F47F0000}"/>
    <cellStyle name="Normal 2 91" xfId="32922" xr:uid="{00000000-0005-0000-0000-0000F57F0000}"/>
    <cellStyle name="Normal 2 91 2" xfId="32923" xr:uid="{00000000-0005-0000-0000-0000F67F0000}"/>
    <cellStyle name="Normal 2 91 2 2" xfId="32924" xr:uid="{00000000-0005-0000-0000-0000F77F0000}"/>
    <cellStyle name="Normal 2 91 2 2 2" xfId="32925" xr:uid="{00000000-0005-0000-0000-0000F87F0000}"/>
    <cellStyle name="Normal 2 91 2 2 3" xfId="32926" xr:uid="{00000000-0005-0000-0000-0000F97F0000}"/>
    <cellStyle name="Normal 2 91 2 3" xfId="32927" xr:uid="{00000000-0005-0000-0000-0000FA7F0000}"/>
    <cellStyle name="Normal 2 91 2 4" xfId="32928" xr:uid="{00000000-0005-0000-0000-0000FB7F0000}"/>
    <cellStyle name="Normal 2 91 3" xfId="32929" xr:uid="{00000000-0005-0000-0000-0000FC7F0000}"/>
    <cellStyle name="Normal 2 91 3 2" xfId="32930" xr:uid="{00000000-0005-0000-0000-0000FD7F0000}"/>
    <cellStyle name="Normal 2 91 3 3" xfId="32931" xr:uid="{00000000-0005-0000-0000-0000FE7F0000}"/>
    <cellStyle name="Normal 2 91 4" xfId="32932" xr:uid="{00000000-0005-0000-0000-0000FF7F0000}"/>
    <cellStyle name="Normal 2 92" xfId="32933" xr:uid="{00000000-0005-0000-0000-000000800000}"/>
    <cellStyle name="Normal 2 92 2" xfId="32934" xr:uid="{00000000-0005-0000-0000-000001800000}"/>
    <cellStyle name="Normal 2 92 2 2" xfId="32935" xr:uid="{00000000-0005-0000-0000-000002800000}"/>
    <cellStyle name="Normal 2 92 2 2 2" xfId="32936" xr:uid="{00000000-0005-0000-0000-000003800000}"/>
    <cellStyle name="Normal 2 92 2 2 3" xfId="32937" xr:uid="{00000000-0005-0000-0000-000004800000}"/>
    <cellStyle name="Normal 2 92 2 3" xfId="32938" xr:uid="{00000000-0005-0000-0000-000005800000}"/>
    <cellStyle name="Normal 2 92 2 4" xfId="32939" xr:uid="{00000000-0005-0000-0000-000006800000}"/>
    <cellStyle name="Normal 2 92 3" xfId="32940" xr:uid="{00000000-0005-0000-0000-000007800000}"/>
    <cellStyle name="Normal 2 92 3 2" xfId="32941" xr:uid="{00000000-0005-0000-0000-000008800000}"/>
    <cellStyle name="Normal 2 92 3 3" xfId="32942" xr:uid="{00000000-0005-0000-0000-000009800000}"/>
    <cellStyle name="Normal 2 92 4" xfId="32943" xr:uid="{00000000-0005-0000-0000-00000A800000}"/>
    <cellStyle name="Normal 2 93" xfId="32944" xr:uid="{00000000-0005-0000-0000-00000B800000}"/>
    <cellStyle name="Normal 2 93 2" xfId="32945" xr:uid="{00000000-0005-0000-0000-00000C800000}"/>
    <cellStyle name="Normal 2 93 2 2" xfId="32946" xr:uid="{00000000-0005-0000-0000-00000D800000}"/>
    <cellStyle name="Normal 2 93 2 2 2" xfId="32947" xr:uid="{00000000-0005-0000-0000-00000E800000}"/>
    <cellStyle name="Normal 2 93 2 2 3" xfId="32948" xr:uid="{00000000-0005-0000-0000-00000F800000}"/>
    <cellStyle name="Normal 2 93 2 3" xfId="32949" xr:uid="{00000000-0005-0000-0000-000010800000}"/>
    <cellStyle name="Normal 2 93 2 4" xfId="32950" xr:uid="{00000000-0005-0000-0000-000011800000}"/>
    <cellStyle name="Normal 2 93 3" xfId="32951" xr:uid="{00000000-0005-0000-0000-000012800000}"/>
    <cellStyle name="Normal 2 93 3 2" xfId="32952" xr:uid="{00000000-0005-0000-0000-000013800000}"/>
    <cellStyle name="Normal 2 93 3 3" xfId="32953" xr:uid="{00000000-0005-0000-0000-000014800000}"/>
    <cellStyle name="Normal 2 93 4" xfId="32954" xr:uid="{00000000-0005-0000-0000-000015800000}"/>
    <cellStyle name="Normal 2 94" xfId="32955" xr:uid="{00000000-0005-0000-0000-000016800000}"/>
    <cellStyle name="Normal 2 94 10" xfId="32956" xr:uid="{00000000-0005-0000-0000-000017800000}"/>
    <cellStyle name="Normal 2 94 2" xfId="32957" xr:uid="{00000000-0005-0000-0000-000018800000}"/>
    <cellStyle name="Normal 2 94 2 2" xfId="32958" xr:uid="{00000000-0005-0000-0000-000019800000}"/>
    <cellStyle name="Normal 2 94 2 2 2" xfId="32959" xr:uid="{00000000-0005-0000-0000-00001A800000}"/>
    <cellStyle name="Normal 2 94 2 2 3" xfId="32960" xr:uid="{00000000-0005-0000-0000-00001B800000}"/>
    <cellStyle name="Normal 2 94 2 3" xfId="32961" xr:uid="{00000000-0005-0000-0000-00001C800000}"/>
    <cellStyle name="Normal 2 94 2 4" xfId="32962" xr:uid="{00000000-0005-0000-0000-00001D800000}"/>
    <cellStyle name="Normal 2 94 2 5" xfId="32963" xr:uid="{00000000-0005-0000-0000-00001E800000}"/>
    <cellStyle name="Normal 2 94 2 6" xfId="32964" xr:uid="{00000000-0005-0000-0000-00001F800000}"/>
    <cellStyle name="Normal 2 94 2 7" xfId="32965" xr:uid="{00000000-0005-0000-0000-000020800000}"/>
    <cellStyle name="Normal 2 94 3" xfId="32966" xr:uid="{00000000-0005-0000-0000-000021800000}"/>
    <cellStyle name="Normal 2 94 3 2" xfId="32967" xr:uid="{00000000-0005-0000-0000-000022800000}"/>
    <cellStyle name="Normal 2 94 3 3" xfId="32968" xr:uid="{00000000-0005-0000-0000-000023800000}"/>
    <cellStyle name="Normal 2 94 4" xfId="32969" xr:uid="{00000000-0005-0000-0000-000024800000}"/>
    <cellStyle name="Normal 2 94 4 2" xfId="32970" xr:uid="{00000000-0005-0000-0000-000025800000}"/>
    <cellStyle name="Normal 2 94 5" xfId="32971" xr:uid="{00000000-0005-0000-0000-000026800000}"/>
    <cellStyle name="Normal 2 94 5 2" xfId="32972" xr:uid="{00000000-0005-0000-0000-000027800000}"/>
    <cellStyle name="Normal 2 94 6" xfId="32973" xr:uid="{00000000-0005-0000-0000-000028800000}"/>
    <cellStyle name="Normal 2 94 6 2" xfId="32974" xr:uid="{00000000-0005-0000-0000-000029800000}"/>
    <cellStyle name="Normal 2 94 7" xfId="32975" xr:uid="{00000000-0005-0000-0000-00002A800000}"/>
    <cellStyle name="Normal 2 94 8" xfId="32976" xr:uid="{00000000-0005-0000-0000-00002B800000}"/>
    <cellStyle name="Normal 2 94 9" xfId="32977" xr:uid="{00000000-0005-0000-0000-00002C800000}"/>
    <cellStyle name="Normal 2 95" xfId="32978" xr:uid="{00000000-0005-0000-0000-00002D800000}"/>
    <cellStyle name="Normal 2 95 10" xfId="32979" xr:uid="{00000000-0005-0000-0000-00002E800000}"/>
    <cellStyle name="Normal 2 95 2" xfId="32980" xr:uid="{00000000-0005-0000-0000-00002F800000}"/>
    <cellStyle name="Normal 2 95 2 2" xfId="32981" xr:uid="{00000000-0005-0000-0000-000030800000}"/>
    <cellStyle name="Normal 2 95 2 2 2" xfId="32982" xr:uid="{00000000-0005-0000-0000-000031800000}"/>
    <cellStyle name="Normal 2 95 2 2 3" xfId="32983" xr:uid="{00000000-0005-0000-0000-000032800000}"/>
    <cellStyle name="Normal 2 95 2 3" xfId="32984" xr:uid="{00000000-0005-0000-0000-000033800000}"/>
    <cellStyle name="Normal 2 95 2 3 2" xfId="32985" xr:uid="{00000000-0005-0000-0000-000034800000}"/>
    <cellStyle name="Normal 2 95 2 3 3" xfId="32986" xr:uid="{00000000-0005-0000-0000-000035800000}"/>
    <cellStyle name="Normal 2 95 2 4" xfId="32987" xr:uid="{00000000-0005-0000-0000-000036800000}"/>
    <cellStyle name="Normal 2 95 2 5" xfId="32988" xr:uid="{00000000-0005-0000-0000-000037800000}"/>
    <cellStyle name="Normal 2 95 2 6" xfId="32989" xr:uid="{00000000-0005-0000-0000-000038800000}"/>
    <cellStyle name="Normal 2 95 2 7" xfId="32990" xr:uid="{00000000-0005-0000-0000-000039800000}"/>
    <cellStyle name="Normal 2 95 2 8" xfId="32991" xr:uid="{00000000-0005-0000-0000-00003A800000}"/>
    <cellStyle name="Normal 2 95 3" xfId="32992" xr:uid="{00000000-0005-0000-0000-00003B800000}"/>
    <cellStyle name="Normal 2 95 3 2" xfId="32993" xr:uid="{00000000-0005-0000-0000-00003C800000}"/>
    <cellStyle name="Normal 2 95 3 3" xfId="32994" xr:uid="{00000000-0005-0000-0000-00003D800000}"/>
    <cellStyle name="Normal 2 95 4" xfId="32995" xr:uid="{00000000-0005-0000-0000-00003E800000}"/>
    <cellStyle name="Normal 2 95 4 2" xfId="32996" xr:uid="{00000000-0005-0000-0000-00003F800000}"/>
    <cellStyle name="Normal 2 95 4 3" xfId="32997" xr:uid="{00000000-0005-0000-0000-000040800000}"/>
    <cellStyle name="Normal 2 95 5" xfId="32998" xr:uid="{00000000-0005-0000-0000-000041800000}"/>
    <cellStyle name="Normal 2 95 5 2" xfId="32999" xr:uid="{00000000-0005-0000-0000-000042800000}"/>
    <cellStyle name="Normal 2 95 5 3" xfId="33000" xr:uid="{00000000-0005-0000-0000-000043800000}"/>
    <cellStyle name="Normal 2 95 6" xfId="33001" xr:uid="{00000000-0005-0000-0000-000044800000}"/>
    <cellStyle name="Normal 2 95 7" xfId="33002" xr:uid="{00000000-0005-0000-0000-000045800000}"/>
    <cellStyle name="Normal 2 95 8" xfId="33003" xr:uid="{00000000-0005-0000-0000-000046800000}"/>
    <cellStyle name="Normal 2 95 9" xfId="33004" xr:uid="{00000000-0005-0000-0000-000047800000}"/>
    <cellStyle name="Normal 2 96" xfId="33005" xr:uid="{00000000-0005-0000-0000-000048800000}"/>
    <cellStyle name="Normal 2 96 2" xfId="33006" xr:uid="{00000000-0005-0000-0000-000049800000}"/>
    <cellStyle name="Normal 2 96 2 2" xfId="33007" xr:uid="{00000000-0005-0000-0000-00004A800000}"/>
    <cellStyle name="Normal 2 96 2 2 2" xfId="33008" xr:uid="{00000000-0005-0000-0000-00004B800000}"/>
    <cellStyle name="Normal 2 96 2 2 3" xfId="33009" xr:uid="{00000000-0005-0000-0000-00004C800000}"/>
    <cellStyle name="Normal 2 96 2 3" xfId="33010" xr:uid="{00000000-0005-0000-0000-00004D800000}"/>
    <cellStyle name="Normal 2 96 2 3 2" xfId="33011" xr:uid="{00000000-0005-0000-0000-00004E800000}"/>
    <cellStyle name="Normal 2 96 2 3 3" xfId="33012" xr:uid="{00000000-0005-0000-0000-00004F800000}"/>
    <cellStyle name="Normal 2 96 2 4" xfId="33013" xr:uid="{00000000-0005-0000-0000-000050800000}"/>
    <cellStyle name="Normal 2 96 2 5" xfId="33014" xr:uid="{00000000-0005-0000-0000-000051800000}"/>
    <cellStyle name="Normal 2 96 2 6" xfId="33015" xr:uid="{00000000-0005-0000-0000-000052800000}"/>
    <cellStyle name="Normal 2 96 2 7" xfId="33016" xr:uid="{00000000-0005-0000-0000-000053800000}"/>
    <cellStyle name="Normal 2 96 2 8" xfId="33017" xr:uid="{00000000-0005-0000-0000-000054800000}"/>
    <cellStyle name="Normal 2 96 3" xfId="33018" xr:uid="{00000000-0005-0000-0000-000055800000}"/>
    <cellStyle name="Normal 2 96 3 2" xfId="33019" xr:uid="{00000000-0005-0000-0000-000056800000}"/>
    <cellStyle name="Normal 2 96 3 3" xfId="33020" xr:uid="{00000000-0005-0000-0000-000057800000}"/>
    <cellStyle name="Normal 2 96 4" xfId="33021" xr:uid="{00000000-0005-0000-0000-000058800000}"/>
    <cellStyle name="Normal 2 96 4 2" xfId="33022" xr:uid="{00000000-0005-0000-0000-000059800000}"/>
    <cellStyle name="Normal 2 96 4 3" xfId="33023" xr:uid="{00000000-0005-0000-0000-00005A800000}"/>
    <cellStyle name="Normal 2 96 5" xfId="33024" xr:uid="{00000000-0005-0000-0000-00005B800000}"/>
    <cellStyle name="Normal 2 96 5 2" xfId="33025" xr:uid="{00000000-0005-0000-0000-00005C800000}"/>
    <cellStyle name="Normal 2 96 5 3" xfId="33026" xr:uid="{00000000-0005-0000-0000-00005D800000}"/>
    <cellStyle name="Normal 2 96 6" xfId="33027" xr:uid="{00000000-0005-0000-0000-00005E800000}"/>
    <cellStyle name="Normal 2 96 7" xfId="33028" xr:uid="{00000000-0005-0000-0000-00005F800000}"/>
    <cellStyle name="Normal 2 96 8" xfId="33029" xr:uid="{00000000-0005-0000-0000-000060800000}"/>
    <cellStyle name="Normal 2 96 9" xfId="33030" xr:uid="{00000000-0005-0000-0000-000061800000}"/>
    <cellStyle name="Normal 2 97" xfId="33031" xr:uid="{00000000-0005-0000-0000-000062800000}"/>
    <cellStyle name="Normal 2 97 2" xfId="33032" xr:uid="{00000000-0005-0000-0000-000063800000}"/>
    <cellStyle name="Normal 2 97 2 2" xfId="33033" xr:uid="{00000000-0005-0000-0000-000064800000}"/>
    <cellStyle name="Normal 2 97 2 2 2" xfId="33034" xr:uid="{00000000-0005-0000-0000-000065800000}"/>
    <cellStyle name="Normal 2 97 2 3" xfId="33035" xr:uid="{00000000-0005-0000-0000-000066800000}"/>
    <cellStyle name="Normal 2 97 2 4" xfId="33036" xr:uid="{00000000-0005-0000-0000-000067800000}"/>
    <cellStyle name="Normal 2 97 2 5" xfId="33037" xr:uid="{00000000-0005-0000-0000-000068800000}"/>
    <cellStyle name="Normal 2 97 2 6" xfId="33038" xr:uid="{00000000-0005-0000-0000-000069800000}"/>
    <cellStyle name="Normal 2 97 3" xfId="33039" xr:uid="{00000000-0005-0000-0000-00006A800000}"/>
    <cellStyle name="Normal 2 97 3 2" xfId="33040" xr:uid="{00000000-0005-0000-0000-00006B800000}"/>
    <cellStyle name="Normal 2 97 3 3" xfId="33041" xr:uid="{00000000-0005-0000-0000-00006C800000}"/>
    <cellStyle name="Normal 2 97 4" xfId="33042" xr:uid="{00000000-0005-0000-0000-00006D800000}"/>
    <cellStyle name="Normal 2 97 5" xfId="33043" xr:uid="{00000000-0005-0000-0000-00006E800000}"/>
    <cellStyle name="Normal 2 97 6" xfId="33044" xr:uid="{00000000-0005-0000-0000-00006F800000}"/>
    <cellStyle name="Normal 2 97 7" xfId="33045" xr:uid="{00000000-0005-0000-0000-000070800000}"/>
    <cellStyle name="Normal 2 97 8" xfId="33046" xr:uid="{00000000-0005-0000-0000-000071800000}"/>
    <cellStyle name="Normal 2 97 9" xfId="33047" xr:uid="{00000000-0005-0000-0000-000072800000}"/>
    <cellStyle name="Normal 2 98" xfId="33048" xr:uid="{00000000-0005-0000-0000-000073800000}"/>
    <cellStyle name="Normal 2 98 2" xfId="33049" xr:uid="{00000000-0005-0000-0000-000074800000}"/>
    <cellStyle name="Normal 2 98 2 2" xfId="33050" xr:uid="{00000000-0005-0000-0000-000075800000}"/>
    <cellStyle name="Normal 2 98 2 2 2" xfId="33051" xr:uid="{00000000-0005-0000-0000-000076800000}"/>
    <cellStyle name="Normal 2 98 2 3" xfId="33052" xr:uid="{00000000-0005-0000-0000-000077800000}"/>
    <cellStyle name="Normal 2 98 2 4" xfId="33053" xr:uid="{00000000-0005-0000-0000-000078800000}"/>
    <cellStyle name="Normal 2 98 2 5" xfId="33054" xr:uid="{00000000-0005-0000-0000-000079800000}"/>
    <cellStyle name="Normal 2 98 3" xfId="33055" xr:uid="{00000000-0005-0000-0000-00007A800000}"/>
    <cellStyle name="Normal 2 98 3 2" xfId="33056" xr:uid="{00000000-0005-0000-0000-00007B800000}"/>
    <cellStyle name="Normal 2 98 4" xfId="33057" xr:uid="{00000000-0005-0000-0000-00007C800000}"/>
    <cellStyle name="Normal 2 98 5" xfId="33058" xr:uid="{00000000-0005-0000-0000-00007D800000}"/>
    <cellStyle name="Normal 2 98 6" xfId="33059" xr:uid="{00000000-0005-0000-0000-00007E800000}"/>
    <cellStyle name="Normal 2 98 7" xfId="33060" xr:uid="{00000000-0005-0000-0000-00007F800000}"/>
    <cellStyle name="Normal 2 98 8" xfId="33061" xr:uid="{00000000-0005-0000-0000-000080800000}"/>
    <cellStyle name="Normal 2 98 9" xfId="33062" xr:uid="{00000000-0005-0000-0000-000081800000}"/>
    <cellStyle name="Normal 2 99" xfId="33063" xr:uid="{00000000-0005-0000-0000-000082800000}"/>
    <cellStyle name="Normal 2 99 2" xfId="33064" xr:uid="{00000000-0005-0000-0000-000083800000}"/>
    <cellStyle name="Normal 2 99 2 2" xfId="33065" xr:uid="{00000000-0005-0000-0000-000084800000}"/>
    <cellStyle name="Normal 2 99 2 2 2" xfId="33066" xr:uid="{00000000-0005-0000-0000-000085800000}"/>
    <cellStyle name="Normal 2 99 2 3" xfId="33067" xr:uid="{00000000-0005-0000-0000-000086800000}"/>
    <cellStyle name="Normal 2 99 2 4" xfId="33068" xr:uid="{00000000-0005-0000-0000-000087800000}"/>
    <cellStyle name="Normal 2 99 2 5" xfId="33069" xr:uid="{00000000-0005-0000-0000-000088800000}"/>
    <cellStyle name="Normal 2 99 3" xfId="33070" xr:uid="{00000000-0005-0000-0000-000089800000}"/>
    <cellStyle name="Normal 2 99 3 2" xfId="33071" xr:uid="{00000000-0005-0000-0000-00008A800000}"/>
    <cellStyle name="Normal 2 99 4" xfId="33072" xr:uid="{00000000-0005-0000-0000-00008B800000}"/>
    <cellStyle name="Normal 2 99 5" xfId="33073" xr:uid="{00000000-0005-0000-0000-00008C800000}"/>
    <cellStyle name="Normal 2 99 6" xfId="33074" xr:uid="{00000000-0005-0000-0000-00008D800000}"/>
    <cellStyle name="Normal 2 99 7" xfId="33075" xr:uid="{00000000-0005-0000-0000-00008E800000}"/>
    <cellStyle name="Normal 2 99 8" xfId="33076" xr:uid="{00000000-0005-0000-0000-00008F800000}"/>
    <cellStyle name="Normal 2 99 9" xfId="33077" xr:uid="{00000000-0005-0000-0000-000090800000}"/>
    <cellStyle name="Normal 2_12889 GP Contracts v3" xfId="33078" xr:uid="{00000000-0005-0000-0000-000091800000}"/>
    <cellStyle name="Normal 20" xfId="281" xr:uid="{00000000-0005-0000-0000-000092800000}"/>
    <cellStyle name="Normal 20 10" xfId="33079" xr:uid="{00000000-0005-0000-0000-000093800000}"/>
    <cellStyle name="Normal 20 11" xfId="33080" xr:uid="{00000000-0005-0000-0000-000094800000}"/>
    <cellStyle name="Normal 20 12" xfId="33081" xr:uid="{00000000-0005-0000-0000-000095800000}"/>
    <cellStyle name="Normal 20 2" xfId="282" xr:uid="{00000000-0005-0000-0000-000096800000}"/>
    <cellStyle name="Normal 20 2 10" xfId="33082" xr:uid="{00000000-0005-0000-0000-000097800000}"/>
    <cellStyle name="Normal 20 2 11" xfId="33083" xr:uid="{00000000-0005-0000-0000-000098800000}"/>
    <cellStyle name="Normal 20 2 2" xfId="33084" xr:uid="{00000000-0005-0000-0000-000099800000}"/>
    <cellStyle name="Normal 20 2 2 2" xfId="33085" xr:uid="{00000000-0005-0000-0000-00009A800000}"/>
    <cellStyle name="Normal 20 2 2 2 2" xfId="33086" xr:uid="{00000000-0005-0000-0000-00009B800000}"/>
    <cellStyle name="Normal 20 2 2 2 3" xfId="33087" xr:uid="{00000000-0005-0000-0000-00009C800000}"/>
    <cellStyle name="Normal 20 2 2 3" xfId="33088" xr:uid="{00000000-0005-0000-0000-00009D800000}"/>
    <cellStyle name="Normal 20 2 2 3 2" xfId="33089" xr:uid="{00000000-0005-0000-0000-00009E800000}"/>
    <cellStyle name="Normal 20 2 2 3 3" xfId="33090" xr:uid="{00000000-0005-0000-0000-00009F800000}"/>
    <cellStyle name="Normal 20 2 2 4" xfId="33091" xr:uid="{00000000-0005-0000-0000-0000A0800000}"/>
    <cellStyle name="Normal 20 2 2 5" xfId="33092" xr:uid="{00000000-0005-0000-0000-0000A1800000}"/>
    <cellStyle name="Normal 20 2 2 6" xfId="33093" xr:uid="{00000000-0005-0000-0000-0000A2800000}"/>
    <cellStyle name="Normal 20 2 2 7" xfId="33094" xr:uid="{00000000-0005-0000-0000-0000A3800000}"/>
    <cellStyle name="Normal 20 2 2 8" xfId="33095" xr:uid="{00000000-0005-0000-0000-0000A4800000}"/>
    <cellStyle name="Normal 20 2 3" xfId="33096" xr:uid="{00000000-0005-0000-0000-0000A5800000}"/>
    <cellStyle name="Normal 20 2 3 2" xfId="33097" xr:uid="{00000000-0005-0000-0000-0000A6800000}"/>
    <cellStyle name="Normal 20 2 3 3" xfId="33098" xr:uid="{00000000-0005-0000-0000-0000A7800000}"/>
    <cellStyle name="Normal 20 2 4" xfId="33099" xr:uid="{00000000-0005-0000-0000-0000A8800000}"/>
    <cellStyle name="Normal 20 2 4 2" xfId="33100" xr:uid="{00000000-0005-0000-0000-0000A9800000}"/>
    <cellStyle name="Normal 20 2 4 3" xfId="33101" xr:uid="{00000000-0005-0000-0000-0000AA800000}"/>
    <cellStyle name="Normal 20 2 5" xfId="33102" xr:uid="{00000000-0005-0000-0000-0000AB800000}"/>
    <cellStyle name="Normal 20 2 5 2" xfId="33103" xr:uid="{00000000-0005-0000-0000-0000AC800000}"/>
    <cellStyle name="Normal 20 2 5 3" xfId="33104" xr:uid="{00000000-0005-0000-0000-0000AD800000}"/>
    <cellStyle name="Normal 20 2 6" xfId="33105" xr:uid="{00000000-0005-0000-0000-0000AE800000}"/>
    <cellStyle name="Normal 20 2 6 2" xfId="33106" xr:uid="{00000000-0005-0000-0000-0000AF800000}"/>
    <cellStyle name="Normal 20 2 6 3" xfId="33107" xr:uid="{00000000-0005-0000-0000-0000B0800000}"/>
    <cellStyle name="Normal 20 2 7" xfId="33108" xr:uid="{00000000-0005-0000-0000-0000B1800000}"/>
    <cellStyle name="Normal 20 2 8" xfId="33109" xr:uid="{00000000-0005-0000-0000-0000B2800000}"/>
    <cellStyle name="Normal 20 2 9" xfId="33110" xr:uid="{00000000-0005-0000-0000-0000B3800000}"/>
    <cellStyle name="Normal 20 2_2015 Annual Rpt" xfId="33111" xr:uid="{00000000-0005-0000-0000-0000B4800000}"/>
    <cellStyle name="Normal 20 3" xfId="33112" xr:uid="{00000000-0005-0000-0000-0000B5800000}"/>
    <cellStyle name="Normal 20 3 2" xfId="33113" xr:uid="{00000000-0005-0000-0000-0000B6800000}"/>
    <cellStyle name="Normal 20 3 2 2" xfId="33114" xr:uid="{00000000-0005-0000-0000-0000B7800000}"/>
    <cellStyle name="Normal 20 3 2 2 2" xfId="33115" xr:uid="{00000000-0005-0000-0000-0000B8800000}"/>
    <cellStyle name="Normal 20 3 2 3" xfId="33116" xr:uid="{00000000-0005-0000-0000-0000B9800000}"/>
    <cellStyle name="Normal 20 3 3" xfId="33117" xr:uid="{00000000-0005-0000-0000-0000BA800000}"/>
    <cellStyle name="Normal 20 3 3 2" xfId="33118" xr:uid="{00000000-0005-0000-0000-0000BB800000}"/>
    <cellStyle name="Normal 20 3 3 3" xfId="33119" xr:uid="{00000000-0005-0000-0000-0000BC800000}"/>
    <cellStyle name="Normal 20 3 4" xfId="33120" xr:uid="{00000000-0005-0000-0000-0000BD800000}"/>
    <cellStyle name="Normal 20 3 4 2" xfId="33121" xr:uid="{00000000-0005-0000-0000-0000BE800000}"/>
    <cellStyle name="Normal 20 3 5" xfId="33122" xr:uid="{00000000-0005-0000-0000-0000BF800000}"/>
    <cellStyle name="Normal 20 3 6" xfId="33123" xr:uid="{00000000-0005-0000-0000-0000C0800000}"/>
    <cellStyle name="Normal 20 3 7" xfId="33124" xr:uid="{00000000-0005-0000-0000-0000C1800000}"/>
    <cellStyle name="Normal 20 3 8" xfId="33125" xr:uid="{00000000-0005-0000-0000-0000C2800000}"/>
    <cellStyle name="Normal 20 4" xfId="33126" xr:uid="{00000000-0005-0000-0000-0000C3800000}"/>
    <cellStyle name="Normal 20 4 2" xfId="33127" xr:uid="{00000000-0005-0000-0000-0000C4800000}"/>
    <cellStyle name="Normal 20 4 2 2" xfId="33128" xr:uid="{00000000-0005-0000-0000-0000C5800000}"/>
    <cellStyle name="Normal 20 4 2 2 2" xfId="33129" xr:uid="{00000000-0005-0000-0000-0000C6800000}"/>
    <cellStyle name="Normal 20 4 2 2 3" xfId="33130" xr:uid="{00000000-0005-0000-0000-0000C7800000}"/>
    <cellStyle name="Normal 20 4 2 3" xfId="33131" xr:uid="{00000000-0005-0000-0000-0000C8800000}"/>
    <cellStyle name="Normal 20 4 2 4" xfId="33132" xr:uid="{00000000-0005-0000-0000-0000C9800000}"/>
    <cellStyle name="Normal 20 4 3" xfId="33133" xr:uid="{00000000-0005-0000-0000-0000CA800000}"/>
    <cellStyle name="Normal 20 4 3 2" xfId="33134" xr:uid="{00000000-0005-0000-0000-0000CB800000}"/>
    <cellStyle name="Normal 20 4 3 2 2" xfId="33135" xr:uid="{00000000-0005-0000-0000-0000CC800000}"/>
    <cellStyle name="Normal 20 4 3 3" xfId="33136" xr:uid="{00000000-0005-0000-0000-0000CD800000}"/>
    <cellStyle name="Normal 20 4 4" xfId="33137" xr:uid="{00000000-0005-0000-0000-0000CE800000}"/>
    <cellStyle name="Normal 20 4 4 2" xfId="33138" xr:uid="{00000000-0005-0000-0000-0000CF800000}"/>
    <cellStyle name="Normal 20 4 5" xfId="33139" xr:uid="{00000000-0005-0000-0000-0000D0800000}"/>
    <cellStyle name="Normal 20 4 5 2" xfId="33140" xr:uid="{00000000-0005-0000-0000-0000D1800000}"/>
    <cellStyle name="Normal 20 4 6" xfId="33141" xr:uid="{00000000-0005-0000-0000-0000D2800000}"/>
    <cellStyle name="Normal 20 4 7" xfId="33142" xr:uid="{00000000-0005-0000-0000-0000D3800000}"/>
    <cellStyle name="Normal 20 4 8" xfId="33143" xr:uid="{00000000-0005-0000-0000-0000D4800000}"/>
    <cellStyle name="Normal 20 5" xfId="33144" xr:uid="{00000000-0005-0000-0000-0000D5800000}"/>
    <cellStyle name="Normal 20 5 2" xfId="33145" xr:uid="{00000000-0005-0000-0000-0000D6800000}"/>
    <cellStyle name="Normal 20 5 3" xfId="33146" xr:uid="{00000000-0005-0000-0000-0000D7800000}"/>
    <cellStyle name="Normal 20 5 4" xfId="33147" xr:uid="{00000000-0005-0000-0000-0000D8800000}"/>
    <cellStyle name="Normal 20 6" xfId="33148" xr:uid="{00000000-0005-0000-0000-0000D9800000}"/>
    <cellStyle name="Normal 20 6 2" xfId="33149" xr:uid="{00000000-0005-0000-0000-0000DA800000}"/>
    <cellStyle name="Normal 20 6 2 2" xfId="33150" xr:uid="{00000000-0005-0000-0000-0000DB800000}"/>
    <cellStyle name="Normal 20 6 2 3" xfId="33151" xr:uid="{00000000-0005-0000-0000-0000DC800000}"/>
    <cellStyle name="Normal 20 6 3" xfId="33152" xr:uid="{00000000-0005-0000-0000-0000DD800000}"/>
    <cellStyle name="Normal 20 6 3 2" xfId="33153" xr:uid="{00000000-0005-0000-0000-0000DE800000}"/>
    <cellStyle name="Normal 20 6 4" xfId="33154" xr:uid="{00000000-0005-0000-0000-0000DF800000}"/>
    <cellStyle name="Normal 20 6 5" xfId="33155" xr:uid="{00000000-0005-0000-0000-0000E0800000}"/>
    <cellStyle name="Normal 20 7" xfId="33156" xr:uid="{00000000-0005-0000-0000-0000E1800000}"/>
    <cellStyle name="Normal 20 8" xfId="33157" xr:uid="{00000000-0005-0000-0000-0000E2800000}"/>
    <cellStyle name="Normal 20 8 2" xfId="33158" xr:uid="{00000000-0005-0000-0000-0000E3800000}"/>
    <cellStyle name="Normal 20 9" xfId="33159" xr:uid="{00000000-0005-0000-0000-0000E4800000}"/>
    <cellStyle name="Normal 20_2015 Annual Rpt" xfId="33160" xr:uid="{00000000-0005-0000-0000-0000E5800000}"/>
    <cellStyle name="Normal 200" xfId="33161" xr:uid="{00000000-0005-0000-0000-0000E6800000}"/>
    <cellStyle name="Normal 200 2" xfId="33162" xr:uid="{00000000-0005-0000-0000-0000E7800000}"/>
    <cellStyle name="Normal 200 2 2" xfId="33163" xr:uid="{00000000-0005-0000-0000-0000E8800000}"/>
    <cellStyle name="Normal 200 2 3" xfId="33164" xr:uid="{00000000-0005-0000-0000-0000E9800000}"/>
    <cellStyle name="Normal 200 3" xfId="33165" xr:uid="{00000000-0005-0000-0000-0000EA800000}"/>
    <cellStyle name="Normal 200 4" xfId="33166" xr:uid="{00000000-0005-0000-0000-0000EB800000}"/>
    <cellStyle name="Normal 201" xfId="33167" xr:uid="{00000000-0005-0000-0000-0000EC800000}"/>
    <cellStyle name="Normal 201 2" xfId="33168" xr:uid="{00000000-0005-0000-0000-0000ED800000}"/>
    <cellStyle name="Normal 201 2 2" xfId="33169" xr:uid="{00000000-0005-0000-0000-0000EE800000}"/>
    <cellStyle name="Normal 201 2 3" xfId="33170" xr:uid="{00000000-0005-0000-0000-0000EF800000}"/>
    <cellStyle name="Normal 201 3" xfId="33171" xr:uid="{00000000-0005-0000-0000-0000F0800000}"/>
    <cellStyle name="Normal 201 4" xfId="33172" xr:uid="{00000000-0005-0000-0000-0000F1800000}"/>
    <cellStyle name="Normal 202" xfId="33173" xr:uid="{00000000-0005-0000-0000-0000F2800000}"/>
    <cellStyle name="Normal 202 2" xfId="33174" xr:uid="{00000000-0005-0000-0000-0000F3800000}"/>
    <cellStyle name="Normal 202 2 2" xfId="33175" xr:uid="{00000000-0005-0000-0000-0000F4800000}"/>
    <cellStyle name="Normal 202 2 3" xfId="33176" xr:uid="{00000000-0005-0000-0000-0000F5800000}"/>
    <cellStyle name="Normal 202 3" xfId="33177" xr:uid="{00000000-0005-0000-0000-0000F6800000}"/>
    <cellStyle name="Normal 202 4" xfId="33178" xr:uid="{00000000-0005-0000-0000-0000F7800000}"/>
    <cellStyle name="Normal 203" xfId="33179" xr:uid="{00000000-0005-0000-0000-0000F8800000}"/>
    <cellStyle name="Normal 203 2" xfId="33180" xr:uid="{00000000-0005-0000-0000-0000F9800000}"/>
    <cellStyle name="Normal 203 2 2" xfId="33181" xr:uid="{00000000-0005-0000-0000-0000FA800000}"/>
    <cellStyle name="Normal 203 2 3" xfId="33182" xr:uid="{00000000-0005-0000-0000-0000FB800000}"/>
    <cellStyle name="Normal 203 3" xfId="33183" xr:uid="{00000000-0005-0000-0000-0000FC800000}"/>
    <cellStyle name="Normal 203 4" xfId="33184" xr:uid="{00000000-0005-0000-0000-0000FD800000}"/>
    <cellStyle name="Normal 204" xfId="33185" xr:uid="{00000000-0005-0000-0000-0000FE800000}"/>
    <cellStyle name="Normal 204 2" xfId="33186" xr:uid="{00000000-0005-0000-0000-0000FF800000}"/>
    <cellStyle name="Normal 204 2 2" xfId="33187" xr:uid="{00000000-0005-0000-0000-000000810000}"/>
    <cellStyle name="Normal 204 2 3" xfId="33188" xr:uid="{00000000-0005-0000-0000-000001810000}"/>
    <cellStyle name="Normal 204 3" xfId="33189" xr:uid="{00000000-0005-0000-0000-000002810000}"/>
    <cellStyle name="Normal 204 4" xfId="33190" xr:uid="{00000000-0005-0000-0000-000003810000}"/>
    <cellStyle name="Normal 205" xfId="33191" xr:uid="{00000000-0005-0000-0000-000004810000}"/>
    <cellStyle name="Normal 205 2" xfId="33192" xr:uid="{00000000-0005-0000-0000-000005810000}"/>
    <cellStyle name="Normal 205 2 2" xfId="33193" xr:uid="{00000000-0005-0000-0000-000006810000}"/>
    <cellStyle name="Normal 205 2 3" xfId="33194" xr:uid="{00000000-0005-0000-0000-000007810000}"/>
    <cellStyle name="Normal 205 3" xfId="33195" xr:uid="{00000000-0005-0000-0000-000008810000}"/>
    <cellStyle name="Normal 205 4" xfId="33196" xr:uid="{00000000-0005-0000-0000-000009810000}"/>
    <cellStyle name="Normal 206" xfId="33197" xr:uid="{00000000-0005-0000-0000-00000A810000}"/>
    <cellStyle name="Normal 206 2" xfId="33198" xr:uid="{00000000-0005-0000-0000-00000B810000}"/>
    <cellStyle name="Normal 206 2 2" xfId="33199" xr:uid="{00000000-0005-0000-0000-00000C810000}"/>
    <cellStyle name="Normal 206 2 3" xfId="33200" xr:uid="{00000000-0005-0000-0000-00000D810000}"/>
    <cellStyle name="Normal 206 3" xfId="33201" xr:uid="{00000000-0005-0000-0000-00000E810000}"/>
    <cellStyle name="Normal 206 4" xfId="33202" xr:uid="{00000000-0005-0000-0000-00000F810000}"/>
    <cellStyle name="Normal 207" xfId="33203" xr:uid="{00000000-0005-0000-0000-000010810000}"/>
    <cellStyle name="Normal 207 2" xfId="33204" xr:uid="{00000000-0005-0000-0000-000011810000}"/>
    <cellStyle name="Normal 207 2 2" xfId="33205" xr:uid="{00000000-0005-0000-0000-000012810000}"/>
    <cellStyle name="Normal 207 2 3" xfId="33206" xr:uid="{00000000-0005-0000-0000-000013810000}"/>
    <cellStyle name="Normal 207 3" xfId="33207" xr:uid="{00000000-0005-0000-0000-000014810000}"/>
    <cellStyle name="Normal 207 4" xfId="33208" xr:uid="{00000000-0005-0000-0000-000015810000}"/>
    <cellStyle name="Normal 208" xfId="33209" xr:uid="{00000000-0005-0000-0000-000016810000}"/>
    <cellStyle name="Normal 208 2" xfId="33210" xr:uid="{00000000-0005-0000-0000-000017810000}"/>
    <cellStyle name="Normal 208 2 2" xfId="33211" xr:uid="{00000000-0005-0000-0000-000018810000}"/>
    <cellStyle name="Normal 208 2 3" xfId="33212" xr:uid="{00000000-0005-0000-0000-000019810000}"/>
    <cellStyle name="Normal 208 3" xfId="33213" xr:uid="{00000000-0005-0000-0000-00001A810000}"/>
    <cellStyle name="Normal 208 4" xfId="33214" xr:uid="{00000000-0005-0000-0000-00001B810000}"/>
    <cellStyle name="Normal 209" xfId="33215" xr:uid="{00000000-0005-0000-0000-00001C810000}"/>
    <cellStyle name="Normal 209 2" xfId="33216" xr:uid="{00000000-0005-0000-0000-00001D810000}"/>
    <cellStyle name="Normal 209 2 2" xfId="33217" xr:uid="{00000000-0005-0000-0000-00001E810000}"/>
    <cellStyle name="Normal 209 2 3" xfId="33218" xr:uid="{00000000-0005-0000-0000-00001F810000}"/>
    <cellStyle name="Normal 209 3" xfId="33219" xr:uid="{00000000-0005-0000-0000-000020810000}"/>
    <cellStyle name="Normal 209 4" xfId="33220" xr:uid="{00000000-0005-0000-0000-000021810000}"/>
    <cellStyle name="Normal 21" xfId="283" xr:uid="{00000000-0005-0000-0000-000022810000}"/>
    <cellStyle name="Normal 21 10" xfId="33221" xr:uid="{00000000-0005-0000-0000-000023810000}"/>
    <cellStyle name="Normal 21 11" xfId="33222" xr:uid="{00000000-0005-0000-0000-000024810000}"/>
    <cellStyle name="Normal 21 12" xfId="33223" xr:uid="{00000000-0005-0000-0000-000025810000}"/>
    <cellStyle name="Normal 21 2" xfId="284" xr:uid="{00000000-0005-0000-0000-000026810000}"/>
    <cellStyle name="Normal 21 2 2" xfId="33224" xr:uid="{00000000-0005-0000-0000-000027810000}"/>
    <cellStyle name="Normal 21 2 2 2" xfId="33225" xr:uid="{00000000-0005-0000-0000-000028810000}"/>
    <cellStyle name="Normal 21 2 2 2 2" xfId="33226" xr:uid="{00000000-0005-0000-0000-000029810000}"/>
    <cellStyle name="Normal 21 2 2 3" xfId="33227" xr:uid="{00000000-0005-0000-0000-00002A810000}"/>
    <cellStyle name="Normal 21 2 2 4" xfId="33228" xr:uid="{00000000-0005-0000-0000-00002B810000}"/>
    <cellStyle name="Normal 21 2 2 5" xfId="33229" xr:uid="{00000000-0005-0000-0000-00002C810000}"/>
    <cellStyle name="Normal 21 2 3" xfId="33230" xr:uid="{00000000-0005-0000-0000-00002D810000}"/>
    <cellStyle name="Normal 21 2 3 2" xfId="33231" xr:uid="{00000000-0005-0000-0000-00002E810000}"/>
    <cellStyle name="Normal 21 2 3 2 2" xfId="33232" xr:uid="{00000000-0005-0000-0000-00002F810000}"/>
    <cellStyle name="Normal 21 2 3 3" xfId="33233" xr:uid="{00000000-0005-0000-0000-000030810000}"/>
    <cellStyle name="Normal 21 2 3 4" xfId="33234" xr:uid="{00000000-0005-0000-0000-000031810000}"/>
    <cellStyle name="Normal 21 2 4" xfId="33235" xr:uid="{00000000-0005-0000-0000-000032810000}"/>
    <cellStyle name="Normal 21 2 4 2" xfId="33236" xr:uid="{00000000-0005-0000-0000-000033810000}"/>
    <cellStyle name="Normal 21 2 4 3" xfId="33237" xr:uid="{00000000-0005-0000-0000-000034810000}"/>
    <cellStyle name="Normal 21 2 5" xfId="33238" xr:uid="{00000000-0005-0000-0000-000035810000}"/>
    <cellStyle name="Normal 21 2 5 2" xfId="33239" xr:uid="{00000000-0005-0000-0000-000036810000}"/>
    <cellStyle name="Normal 21 2 6" xfId="33240" xr:uid="{00000000-0005-0000-0000-000037810000}"/>
    <cellStyle name="Normal 21 2 6 2" xfId="33241" xr:uid="{00000000-0005-0000-0000-000038810000}"/>
    <cellStyle name="Normal 21 2 7" xfId="33242" xr:uid="{00000000-0005-0000-0000-000039810000}"/>
    <cellStyle name="Normal 21 2 8" xfId="33243" xr:uid="{00000000-0005-0000-0000-00003A810000}"/>
    <cellStyle name="Normal 21 2 9" xfId="33244" xr:uid="{00000000-0005-0000-0000-00003B810000}"/>
    <cellStyle name="Normal 21 3" xfId="33245" xr:uid="{00000000-0005-0000-0000-00003C810000}"/>
    <cellStyle name="Normal 21 3 2" xfId="33246" xr:uid="{00000000-0005-0000-0000-00003D810000}"/>
    <cellStyle name="Normal 21 3 2 2" xfId="33247" xr:uid="{00000000-0005-0000-0000-00003E810000}"/>
    <cellStyle name="Normal 21 3 2 2 2" xfId="33248" xr:uid="{00000000-0005-0000-0000-00003F810000}"/>
    <cellStyle name="Normal 21 3 2 3" xfId="33249" xr:uid="{00000000-0005-0000-0000-000040810000}"/>
    <cellStyle name="Normal 21 3 3" xfId="33250" xr:uid="{00000000-0005-0000-0000-000041810000}"/>
    <cellStyle name="Normal 21 3 3 2" xfId="33251" xr:uid="{00000000-0005-0000-0000-000042810000}"/>
    <cellStyle name="Normal 21 3 3 3" xfId="33252" xr:uid="{00000000-0005-0000-0000-000043810000}"/>
    <cellStyle name="Normal 21 3 4" xfId="33253" xr:uid="{00000000-0005-0000-0000-000044810000}"/>
    <cellStyle name="Normal 21 3 4 2" xfId="33254" xr:uid="{00000000-0005-0000-0000-000045810000}"/>
    <cellStyle name="Normal 21 3 5" xfId="33255" xr:uid="{00000000-0005-0000-0000-000046810000}"/>
    <cellStyle name="Normal 21 3 6" xfId="33256" xr:uid="{00000000-0005-0000-0000-000047810000}"/>
    <cellStyle name="Normal 21 3 7" xfId="33257" xr:uid="{00000000-0005-0000-0000-000048810000}"/>
    <cellStyle name="Normal 21 3 8" xfId="33258" xr:uid="{00000000-0005-0000-0000-000049810000}"/>
    <cellStyle name="Normal 21 4" xfId="33259" xr:uid="{00000000-0005-0000-0000-00004A810000}"/>
    <cellStyle name="Normal 21 4 2" xfId="33260" xr:uid="{00000000-0005-0000-0000-00004B810000}"/>
    <cellStyle name="Normal 21 4 2 2" xfId="33261" xr:uid="{00000000-0005-0000-0000-00004C810000}"/>
    <cellStyle name="Normal 21 4 2 2 2" xfId="33262" xr:uid="{00000000-0005-0000-0000-00004D810000}"/>
    <cellStyle name="Normal 21 4 2 3" xfId="33263" xr:uid="{00000000-0005-0000-0000-00004E810000}"/>
    <cellStyle name="Normal 21 4 3" xfId="33264" xr:uid="{00000000-0005-0000-0000-00004F810000}"/>
    <cellStyle name="Normal 21 4 3 2" xfId="33265" xr:uid="{00000000-0005-0000-0000-000050810000}"/>
    <cellStyle name="Normal 21 4 3 3" xfId="33266" xr:uid="{00000000-0005-0000-0000-000051810000}"/>
    <cellStyle name="Normal 21 4 4" xfId="33267" xr:uid="{00000000-0005-0000-0000-000052810000}"/>
    <cellStyle name="Normal 21 4 5" xfId="33268" xr:uid="{00000000-0005-0000-0000-000053810000}"/>
    <cellStyle name="Normal 21 4 6" xfId="33269" xr:uid="{00000000-0005-0000-0000-000054810000}"/>
    <cellStyle name="Normal 21 4 7" xfId="33270" xr:uid="{00000000-0005-0000-0000-000055810000}"/>
    <cellStyle name="Normal 21 4 8" xfId="33271" xr:uid="{00000000-0005-0000-0000-000056810000}"/>
    <cellStyle name="Normal 21 5" xfId="33272" xr:uid="{00000000-0005-0000-0000-000057810000}"/>
    <cellStyle name="Normal 21 5 2" xfId="33273" xr:uid="{00000000-0005-0000-0000-000058810000}"/>
    <cellStyle name="Normal 21 5 3" xfId="33274" xr:uid="{00000000-0005-0000-0000-000059810000}"/>
    <cellStyle name="Normal 21 6" xfId="33275" xr:uid="{00000000-0005-0000-0000-00005A810000}"/>
    <cellStyle name="Normal 21 6 2" xfId="33276" xr:uid="{00000000-0005-0000-0000-00005B810000}"/>
    <cellStyle name="Normal 21 6 2 2" xfId="33277" xr:uid="{00000000-0005-0000-0000-00005C810000}"/>
    <cellStyle name="Normal 21 6 3" xfId="33278" xr:uid="{00000000-0005-0000-0000-00005D810000}"/>
    <cellStyle name="Normal 21 6 3 2" xfId="33279" xr:uid="{00000000-0005-0000-0000-00005E810000}"/>
    <cellStyle name="Normal 21 6 4" xfId="33280" xr:uid="{00000000-0005-0000-0000-00005F810000}"/>
    <cellStyle name="Normal 21 6 5" xfId="33281" xr:uid="{00000000-0005-0000-0000-000060810000}"/>
    <cellStyle name="Normal 21 7" xfId="33282" xr:uid="{00000000-0005-0000-0000-000061810000}"/>
    <cellStyle name="Normal 21 7 2" xfId="33283" xr:uid="{00000000-0005-0000-0000-000062810000}"/>
    <cellStyle name="Normal 21 7 3" xfId="33284" xr:uid="{00000000-0005-0000-0000-000063810000}"/>
    <cellStyle name="Normal 21 8" xfId="33285" xr:uid="{00000000-0005-0000-0000-000064810000}"/>
    <cellStyle name="Normal 21 8 2" xfId="33286" xr:uid="{00000000-0005-0000-0000-000065810000}"/>
    <cellStyle name="Normal 21 8 3" xfId="33287" xr:uid="{00000000-0005-0000-0000-000066810000}"/>
    <cellStyle name="Normal 21 9" xfId="33288" xr:uid="{00000000-0005-0000-0000-000067810000}"/>
    <cellStyle name="Normal 21 9 2" xfId="33289" xr:uid="{00000000-0005-0000-0000-000068810000}"/>
    <cellStyle name="Normal 21_2015 Annual Rpt" xfId="33290" xr:uid="{00000000-0005-0000-0000-000069810000}"/>
    <cellStyle name="Normal 210" xfId="33291" xr:uid="{00000000-0005-0000-0000-00006A810000}"/>
    <cellStyle name="Normal 210 2" xfId="33292" xr:uid="{00000000-0005-0000-0000-00006B810000}"/>
    <cellStyle name="Normal 210 2 2" xfId="33293" xr:uid="{00000000-0005-0000-0000-00006C810000}"/>
    <cellStyle name="Normal 210 2 3" xfId="33294" xr:uid="{00000000-0005-0000-0000-00006D810000}"/>
    <cellStyle name="Normal 210 3" xfId="33295" xr:uid="{00000000-0005-0000-0000-00006E810000}"/>
    <cellStyle name="Normal 210 4" xfId="33296" xr:uid="{00000000-0005-0000-0000-00006F810000}"/>
    <cellStyle name="Normal 211" xfId="33297" xr:uid="{00000000-0005-0000-0000-000070810000}"/>
    <cellStyle name="Normal 211 2" xfId="33298" xr:uid="{00000000-0005-0000-0000-000071810000}"/>
    <cellStyle name="Normal 211 2 2" xfId="33299" xr:uid="{00000000-0005-0000-0000-000072810000}"/>
    <cellStyle name="Normal 211 2 3" xfId="33300" xr:uid="{00000000-0005-0000-0000-000073810000}"/>
    <cellStyle name="Normal 211 3" xfId="33301" xr:uid="{00000000-0005-0000-0000-000074810000}"/>
    <cellStyle name="Normal 211 4" xfId="33302" xr:uid="{00000000-0005-0000-0000-000075810000}"/>
    <cellStyle name="Normal 212" xfId="33303" xr:uid="{00000000-0005-0000-0000-000076810000}"/>
    <cellStyle name="Normal 212 2" xfId="33304" xr:uid="{00000000-0005-0000-0000-000077810000}"/>
    <cellStyle name="Normal 212 2 2" xfId="33305" xr:uid="{00000000-0005-0000-0000-000078810000}"/>
    <cellStyle name="Normal 212 2 3" xfId="33306" xr:uid="{00000000-0005-0000-0000-000079810000}"/>
    <cellStyle name="Normal 212 3" xfId="33307" xr:uid="{00000000-0005-0000-0000-00007A810000}"/>
    <cellStyle name="Normal 212 4" xfId="33308" xr:uid="{00000000-0005-0000-0000-00007B810000}"/>
    <cellStyle name="Normal 213" xfId="33309" xr:uid="{00000000-0005-0000-0000-00007C810000}"/>
    <cellStyle name="Normal 213 2" xfId="33310" xr:uid="{00000000-0005-0000-0000-00007D810000}"/>
    <cellStyle name="Normal 213 2 2" xfId="33311" xr:uid="{00000000-0005-0000-0000-00007E810000}"/>
    <cellStyle name="Normal 213 2 3" xfId="33312" xr:uid="{00000000-0005-0000-0000-00007F810000}"/>
    <cellStyle name="Normal 213 3" xfId="33313" xr:uid="{00000000-0005-0000-0000-000080810000}"/>
    <cellStyle name="Normal 213 4" xfId="33314" xr:uid="{00000000-0005-0000-0000-000081810000}"/>
    <cellStyle name="Normal 214" xfId="33315" xr:uid="{00000000-0005-0000-0000-000082810000}"/>
    <cellStyle name="Normal 214 2" xfId="33316" xr:uid="{00000000-0005-0000-0000-000083810000}"/>
    <cellStyle name="Normal 214 2 2" xfId="33317" xr:uid="{00000000-0005-0000-0000-000084810000}"/>
    <cellStyle name="Normal 214 2 3" xfId="33318" xr:uid="{00000000-0005-0000-0000-000085810000}"/>
    <cellStyle name="Normal 214 3" xfId="33319" xr:uid="{00000000-0005-0000-0000-000086810000}"/>
    <cellStyle name="Normal 214 4" xfId="33320" xr:uid="{00000000-0005-0000-0000-000087810000}"/>
    <cellStyle name="Normal 215" xfId="33321" xr:uid="{00000000-0005-0000-0000-000088810000}"/>
    <cellStyle name="Normal 215 2" xfId="33322" xr:uid="{00000000-0005-0000-0000-000089810000}"/>
    <cellStyle name="Normal 215 2 2" xfId="33323" xr:uid="{00000000-0005-0000-0000-00008A810000}"/>
    <cellStyle name="Normal 215 2 3" xfId="33324" xr:uid="{00000000-0005-0000-0000-00008B810000}"/>
    <cellStyle name="Normal 215 3" xfId="33325" xr:uid="{00000000-0005-0000-0000-00008C810000}"/>
    <cellStyle name="Normal 215 4" xfId="33326" xr:uid="{00000000-0005-0000-0000-00008D810000}"/>
    <cellStyle name="Normal 216" xfId="33327" xr:uid="{00000000-0005-0000-0000-00008E810000}"/>
    <cellStyle name="Normal 216 2" xfId="33328" xr:uid="{00000000-0005-0000-0000-00008F810000}"/>
    <cellStyle name="Normal 216 2 2" xfId="33329" xr:uid="{00000000-0005-0000-0000-000090810000}"/>
    <cellStyle name="Normal 216 2 3" xfId="33330" xr:uid="{00000000-0005-0000-0000-000091810000}"/>
    <cellStyle name="Normal 216 3" xfId="33331" xr:uid="{00000000-0005-0000-0000-000092810000}"/>
    <cellStyle name="Normal 216 4" xfId="33332" xr:uid="{00000000-0005-0000-0000-000093810000}"/>
    <cellStyle name="Normal 216 5" xfId="33333" xr:uid="{00000000-0005-0000-0000-000094810000}"/>
    <cellStyle name="Normal 216 6" xfId="33334" xr:uid="{00000000-0005-0000-0000-000095810000}"/>
    <cellStyle name="Normal 216 7" xfId="33335" xr:uid="{00000000-0005-0000-0000-000096810000}"/>
    <cellStyle name="Normal 217" xfId="33336" xr:uid="{00000000-0005-0000-0000-000097810000}"/>
    <cellStyle name="Normal 217 2" xfId="33337" xr:uid="{00000000-0005-0000-0000-000098810000}"/>
    <cellStyle name="Normal 217 2 2" xfId="33338" xr:uid="{00000000-0005-0000-0000-000099810000}"/>
    <cellStyle name="Normal 217 2 3" xfId="33339" xr:uid="{00000000-0005-0000-0000-00009A810000}"/>
    <cellStyle name="Normal 217 3" xfId="33340" xr:uid="{00000000-0005-0000-0000-00009B810000}"/>
    <cellStyle name="Normal 217 4" xfId="33341" xr:uid="{00000000-0005-0000-0000-00009C810000}"/>
    <cellStyle name="Normal 218" xfId="33342" xr:uid="{00000000-0005-0000-0000-00009D810000}"/>
    <cellStyle name="Normal 218 2" xfId="33343" xr:uid="{00000000-0005-0000-0000-00009E810000}"/>
    <cellStyle name="Normal 218 2 2" xfId="33344" xr:uid="{00000000-0005-0000-0000-00009F810000}"/>
    <cellStyle name="Normal 218 2 3" xfId="33345" xr:uid="{00000000-0005-0000-0000-0000A0810000}"/>
    <cellStyle name="Normal 218 3" xfId="33346" xr:uid="{00000000-0005-0000-0000-0000A1810000}"/>
    <cellStyle name="Normal 218 4" xfId="33347" xr:uid="{00000000-0005-0000-0000-0000A2810000}"/>
    <cellStyle name="Normal 219" xfId="33348" xr:uid="{00000000-0005-0000-0000-0000A3810000}"/>
    <cellStyle name="Normal 219 2" xfId="33349" xr:uid="{00000000-0005-0000-0000-0000A4810000}"/>
    <cellStyle name="Normal 219 2 2" xfId="33350" xr:uid="{00000000-0005-0000-0000-0000A5810000}"/>
    <cellStyle name="Normal 219 2 3" xfId="33351" xr:uid="{00000000-0005-0000-0000-0000A6810000}"/>
    <cellStyle name="Normal 219 3" xfId="33352" xr:uid="{00000000-0005-0000-0000-0000A7810000}"/>
    <cellStyle name="Normal 219 4" xfId="33353" xr:uid="{00000000-0005-0000-0000-0000A8810000}"/>
    <cellStyle name="Normal 22" xfId="285" xr:uid="{00000000-0005-0000-0000-0000A9810000}"/>
    <cellStyle name="Normal 22 10" xfId="33354" xr:uid="{00000000-0005-0000-0000-0000AA810000}"/>
    <cellStyle name="Normal 22 11" xfId="33355" xr:uid="{00000000-0005-0000-0000-0000AB810000}"/>
    <cellStyle name="Normal 22 12" xfId="33356" xr:uid="{00000000-0005-0000-0000-0000AC810000}"/>
    <cellStyle name="Normal 22 2" xfId="286" xr:uid="{00000000-0005-0000-0000-0000AD810000}"/>
    <cellStyle name="Normal 22 2 2" xfId="33357" xr:uid="{00000000-0005-0000-0000-0000AE810000}"/>
    <cellStyle name="Normal 22 2 2 2" xfId="33358" xr:uid="{00000000-0005-0000-0000-0000AF810000}"/>
    <cellStyle name="Normal 22 2 2 2 2" xfId="33359" xr:uid="{00000000-0005-0000-0000-0000B0810000}"/>
    <cellStyle name="Normal 22 2 2 3" xfId="33360" xr:uid="{00000000-0005-0000-0000-0000B1810000}"/>
    <cellStyle name="Normal 22 2 2 4" xfId="33361" xr:uid="{00000000-0005-0000-0000-0000B2810000}"/>
    <cellStyle name="Normal 22 2 2 5" xfId="33362" xr:uid="{00000000-0005-0000-0000-0000B3810000}"/>
    <cellStyle name="Normal 22 2 3" xfId="33363" xr:uid="{00000000-0005-0000-0000-0000B4810000}"/>
    <cellStyle name="Normal 22 2 3 2" xfId="33364" xr:uid="{00000000-0005-0000-0000-0000B5810000}"/>
    <cellStyle name="Normal 22 2 3 2 2" xfId="33365" xr:uid="{00000000-0005-0000-0000-0000B6810000}"/>
    <cellStyle name="Normal 22 2 3 3" xfId="33366" xr:uid="{00000000-0005-0000-0000-0000B7810000}"/>
    <cellStyle name="Normal 22 2 3 4" xfId="33367" xr:uid="{00000000-0005-0000-0000-0000B8810000}"/>
    <cellStyle name="Normal 22 2 4" xfId="33368" xr:uid="{00000000-0005-0000-0000-0000B9810000}"/>
    <cellStyle name="Normal 22 2 4 2" xfId="33369" xr:uid="{00000000-0005-0000-0000-0000BA810000}"/>
    <cellStyle name="Normal 22 2 4 3" xfId="33370" xr:uid="{00000000-0005-0000-0000-0000BB810000}"/>
    <cellStyle name="Normal 22 2 5" xfId="33371" xr:uid="{00000000-0005-0000-0000-0000BC810000}"/>
    <cellStyle name="Normal 22 2 5 2" xfId="33372" xr:uid="{00000000-0005-0000-0000-0000BD810000}"/>
    <cellStyle name="Normal 22 2 6" xfId="33373" xr:uid="{00000000-0005-0000-0000-0000BE810000}"/>
    <cellStyle name="Normal 22 2 6 2" xfId="33374" xr:uid="{00000000-0005-0000-0000-0000BF810000}"/>
    <cellStyle name="Normal 22 2 7" xfId="33375" xr:uid="{00000000-0005-0000-0000-0000C0810000}"/>
    <cellStyle name="Normal 22 2 8" xfId="33376" xr:uid="{00000000-0005-0000-0000-0000C1810000}"/>
    <cellStyle name="Normal 22 2 9" xfId="33377" xr:uid="{00000000-0005-0000-0000-0000C2810000}"/>
    <cellStyle name="Normal 22 3" xfId="33378" xr:uid="{00000000-0005-0000-0000-0000C3810000}"/>
    <cellStyle name="Normal 22 3 2" xfId="33379" xr:uid="{00000000-0005-0000-0000-0000C4810000}"/>
    <cellStyle name="Normal 22 3 2 2" xfId="33380" xr:uid="{00000000-0005-0000-0000-0000C5810000}"/>
    <cellStyle name="Normal 22 3 2 2 2" xfId="33381" xr:uid="{00000000-0005-0000-0000-0000C6810000}"/>
    <cellStyle name="Normal 22 3 2 3" xfId="33382" xr:uid="{00000000-0005-0000-0000-0000C7810000}"/>
    <cellStyle name="Normal 22 3 3" xfId="33383" xr:uid="{00000000-0005-0000-0000-0000C8810000}"/>
    <cellStyle name="Normal 22 3 3 2" xfId="33384" xr:uid="{00000000-0005-0000-0000-0000C9810000}"/>
    <cellStyle name="Normal 22 3 3 3" xfId="33385" xr:uid="{00000000-0005-0000-0000-0000CA810000}"/>
    <cellStyle name="Normal 22 3 4" xfId="33386" xr:uid="{00000000-0005-0000-0000-0000CB810000}"/>
    <cellStyle name="Normal 22 3 4 2" xfId="33387" xr:uid="{00000000-0005-0000-0000-0000CC810000}"/>
    <cellStyle name="Normal 22 3 5" xfId="33388" xr:uid="{00000000-0005-0000-0000-0000CD810000}"/>
    <cellStyle name="Normal 22 3 6" xfId="33389" xr:uid="{00000000-0005-0000-0000-0000CE810000}"/>
    <cellStyle name="Normal 22 3 7" xfId="33390" xr:uid="{00000000-0005-0000-0000-0000CF810000}"/>
    <cellStyle name="Normal 22 3 8" xfId="33391" xr:uid="{00000000-0005-0000-0000-0000D0810000}"/>
    <cellStyle name="Normal 22 4" xfId="33392" xr:uid="{00000000-0005-0000-0000-0000D1810000}"/>
    <cellStyle name="Normal 22 4 2" xfId="33393" xr:uid="{00000000-0005-0000-0000-0000D2810000}"/>
    <cellStyle name="Normal 22 4 2 2" xfId="33394" xr:uid="{00000000-0005-0000-0000-0000D3810000}"/>
    <cellStyle name="Normal 22 4 2 2 2" xfId="33395" xr:uid="{00000000-0005-0000-0000-0000D4810000}"/>
    <cellStyle name="Normal 22 4 2 3" xfId="33396" xr:uid="{00000000-0005-0000-0000-0000D5810000}"/>
    <cellStyle name="Normal 22 4 3" xfId="33397" xr:uid="{00000000-0005-0000-0000-0000D6810000}"/>
    <cellStyle name="Normal 22 4 3 2" xfId="33398" xr:uid="{00000000-0005-0000-0000-0000D7810000}"/>
    <cellStyle name="Normal 22 4 3 3" xfId="33399" xr:uid="{00000000-0005-0000-0000-0000D8810000}"/>
    <cellStyle name="Normal 22 4 4" xfId="33400" xr:uid="{00000000-0005-0000-0000-0000D9810000}"/>
    <cellStyle name="Normal 22 4 4 2" xfId="33401" xr:uid="{00000000-0005-0000-0000-0000DA810000}"/>
    <cellStyle name="Normal 22 4 5" xfId="33402" xr:uid="{00000000-0005-0000-0000-0000DB810000}"/>
    <cellStyle name="Normal 22 4 6" xfId="33403" xr:uid="{00000000-0005-0000-0000-0000DC810000}"/>
    <cellStyle name="Normal 22 4 7" xfId="33404" xr:uid="{00000000-0005-0000-0000-0000DD810000}"/>
    <cellStyle name="Normal 22 4 8" xfId="33405" xr:uid="{00000000-0005-0000-0000-0000DE810000}"/>
    <cellStyle name="Normal 22 5" xfId="33406" xr:uid="{00000000-0005-0000-0000-0000DF810000}"/>
    <cellStyle name="Normal 22 5 2" xfId="33407" xr:uid="{00000000-0005-0000-0000-0000E0810000}"/>
    <cellStyle name="Normal 22 5 3" xfId="33408" xr:uid="{00000000-0005-0000-0000-0000E1810000}"/>
    <cellStyle name="Normal 22 6" xfId="33409" xr:uid="{00000000-0005-0000-0000-0000E2810000}"/>
    <cellStyle name="Normal 22 6 2" xfId="33410" xr:uid="{00000000-0005-0000-0000-0000E3810000}"/>
    <cellStyle name="Normal 22 6 2 2" xfId="33411" xr:uid="{00000000-0005-0000-0000-0000E4810000}"/>
    <cellStyle name="Normal 22 6 3" xfId="33412" xr:uid="{00000000-0005-0000-0000-0000E5810000}"/>
    <cellStyle name="Normal 22 6 3 2" xfId="33413" xr:uid="{00000000-0005-0000-0000-0000E6810000}"/>
    <cellStyle name="Normal 22 6 4" xfId="33414" xr:uid="{00000000-0005-0000-0000-0000E7810000}"/>
    <cellStyle name="Normal 22 6 5" xfId="33415" xr:uid="{00000000-0005-0000-0000-0000E8810000}"/>
    <cellStyle name="Normal 22 7" xfId="33416" xr:uid="{00000000-0005-0000-0000-0000E9810000}"/>
    <cellStyle name="Normal 22 7 2" xfId="33417" xr:uid="{00000000-0005-0000-0000-0000EA810000}"/>
    <cellStyle name="Normal 22 7 3" xfId="33418" xr:uid="{00000000-0005-0000-0000-0000EB810000}"/>
    <cellStyle name="Normal 22 8" xfId="33419" xr:uid="{00000000-0005-0000-0000-0000EC810000}"/>
    <cellStyle name="Normal 22 8 2" xfId="33420" xr:uid="{00000000-0005-0000-0000-0000ED810000}"/>
    <cellStyle name="Normal 22 8 3" xfId="33421" xr:uid="{00000000-0005-0000-0000-0000EE810000}"/>
    <cellStyle name="Normal 22 9" xfId="33422" xr:uid="{00000000-0005-0000-0000-0000EF810000}"/>
    <cellStyle name="Normal 22_2015 Annual Rpt" xfId="33423" xr:uid="{00000000-0005-0000-0000-0000F0810000}"/>
    <cellStyle name="Normal 220" xfId="33424" xr:uid="{00000000-0005-0000-0000-0000F1810000}"/>
    <cellStyle name="Normal 220 2" xfId="33425" xr:uid="{00000000-0005-0000-0000-0000F2810000}"/>
    <cellStyle name="Normal 220 2 2" xfId="33426" xr:uid="{00000000-0005-0000-0000-0000F3810000}"/>
    <cellStyle name="Normal 220 2 3" xfId="33427" xr:uid="{00000000-0005-0000-0000-0000F4810000}"/>
    <cellStyle name="Normal 220 3" xfId="33428" xr:uid="{00000000-0005-0000-0000-0000F5810000}"/>
    <cellStyle name="Normal 220 4" xfId="33429" xr:uid="{00000000-0005-0000-0000-0000F6810000}"/>
    <cellStyle name="Normal 221" xfId="33430" xr:uid="{00000000-0005-0000-0000-0000F7810000}"/>
    <cellStyle name="Normal 221 2" xfId="33431" xr:uid="{00000000-0005-0000-0000-0000F8810000}"/>
    <cellStyle name="Normal 221 2 2" xfId="33432" xr:uid="{00000000-0005-0000-0000-0000F9810000}"/>
    <cellStyle name="Normal 221 2 3" xfId="33433" xr:uid="{00000000-0005-0000-0000-0000FA810000}"/>
    <cellStyle name="Normal 221 3" xfId="33434" xr:uid="{00000000-0005-0000-0000-0000FB810000}"/>
    <cellStyle name="Normal 221 4" xfId="33435" xr:uid="{00000000-0005-0000-0000-0000FC810000}"/>
    <cellStyle name="Normal 222" xfId="33436" xr:uid="{00000000-0005-0000-0000-0000FD810000}"/>
    <cellStyle name="Normal 222 2" xfId="33437" xr:uid="{00000000-0005-0000-0000-0000FE810000}"/>
    <cellStyle name="Normal 222 2 2" xfId="33438" xr:uid="{00000000-0005-0000-0000-0000FF810000}"/>
    <cellStyle name="Normal 222 2 3" xfId="33439" xr:uid="{00000000-0005-0000-0000-000000820000}"/>
    <cellStyle name="Normal 222 3" xfId="33440" xr:uid="{00000000-0005-0000-0000-000001820000}"/>
    <cellStyle name="Normal 222 4" xfId="33441" xr:uid="{00000000-0005-0000-0000-000002820000}"/>
    <cellStyle name="Normal 223" xfId="33442" xr:uid="{00000000-0005-0000-0000-000003820000}"/>
    <cellStyle name="Normal 223 2" xfId="33443" xr:uid="{00000000-0005-0000-0000-000004820000}"/>
    <cellStyle name="Normal 223 2 2" xfId="33444" xr:uid="{00000000-0005-0000-0000-000005820000}"/>
    <cellStyle name="Normal 223 2 3" xfId="33445" xr:uid="{00000000-0005-0000-0000-000006820000}"/>
    <cellStyle name="Normal 223 3" xfId="33446" xr:uid="{00000000-0005-0000-0000-000007820000}"/>
    <cellStyle name="Normal 223 4" xfId="33447" xr:uid="{00000000-0005-0000-0000-000008820000}"/>
    <cellStyle name="Normal 224" xfId="33448" xr:uid="{00000000-0005-0000-0000-000009820000}"/>
    <cellStyle name="Normal 224 2" xfId="33449" xr:uid="{00000000-0005-0000-0000-00000A820000}"/>
    <cellStyle name="Normal 224 2 2" xfId="33450" xr:uid="{00000000-0005-0000-0000-00000B820000}"/>
    <cellStyle name="Normal 224 2 3" xfId="33451" xr:uid="{00000000-0005-0000-0000-00000C820000}"/>
    <cellStyle name="Normal 224 3" xfId="33452" xr:uid="{00000000-0005-0000-0000-00000D820000}"/>
    <cellStyle name="Normal 224 4" xfId="33453" xr:uid="{00000000-0005-0000-0000-00000E820000}"/>
    <cellStyle name="Normal 225" xfId="33454" xr:uid="{00000000-0005-0000-0000-00000F820000}"/>
    <cellStyle name="Normal 225 2" xfId="33455" xr:uid="{00000000-0005-0000-0000-000010820000}"/>
    <cellStyle name="Normal 225 2 2" xfId="33456" xr:uid="{00000000-0005-0000-0000-000011820000}"/>
    <cellStyle name="Normal 225 2 3" xfId="33457" xr:uid="{00000000-0005-0000-0000-000012820000}"/>
    <cellStyle name="Normal 225 3" xfId="33458" xr:uid="{00000000-0005-0000-0000-000013820000}"/>
    <cellStyle name="Normal 225 4" xfId="33459" xr:uid="{00000000-0005-0000-0000-000014820000}"/>
    <cellStyle name="Normal 226" xfId="33460" xr:uid="{00000000-0005-0000-0000-000015820000}"/>
    <cellStyle name="Normal 226 2" xfId="33461" xr:uid="{00000000-0005-0000-0000-000016820000}"/>
    <cellStyle name="Normal 226 2 2" xfId="33462" xr:uid="{00000000-0005-0000-0000-000017820000}"/>
    <cellStyle name="Normal 226 2 3" xfId="33463" xr:uid="{00000000-0005-0000-0000-000018820000}"/>
    <cellStyle name="Normal 226 3" xfId="33464" xr:uid="{00000000-0005-0000-0000-000019820000}"/>
    <cellStyle name="Normal 226 4" xfId="33465" xr:uid="{00000000-0005-0000-0000-00001A820000}"/>
    <cellStyle name="Normal 227" xfId="33466" xr:uid="{00000000-0005-0000-0000-00001B820000}"/>
    <cellStyle name="Normal 227 2" xfId="33467" xr:uid="{00000000-0005-0000-0000-00001C820000}"/>
    <cellStyle name="Normal 227 2 2" xfId="33468" xr:uid="{00000000-0005-0000-0000-00001D820000}"/>
    <cellStyle name="Normal 227 2 3" xfId="33469" xr:uid="{00000000-0005-0000-0000-00001E820000}"/>
    <cellStyle name="Normal 227 3" xfId="33470" xr:uid="{00000000-0005-0000-0000-00001F820000}"/>
    <cellStyle name="Normal 227 4" xfId="33471" xr:uid="{00000000-0005-0000-0000-000020820000}"/>
    <cellStyle name="Normal 228" xfId="33472" xr:uid="{00000000-0005-0000-0000-000021820000}"/>
    <cellStyle name="Normal 228 2" xfId="33473" xr:uid="{00000000-0005-0000-0000-000022820000}"/>
    <cellStyle name="Normal 228 2 2" xfId="33474" xr:uid="{00000000-0005-0000-0000-000023820000}"/>
    <cellStyle name="Normal 228 2 3" xfId="33475" xr:uid="{00000000-0005-0000-0000-000024820000}"/>
    <cellStyle name="Normal 228 3" xfId="33476" xr:uid="{00000000-0005-0000-0000-000025820000}"/>
    <cellStyle name="Normal 228 4" xfId="33477" xr:uid="{00000000-0005-0000-0000-000026820000}"/>
    <cellStyle name="Normal 229" xfId="33478" xr:uid="{00000000-0005-0000-0000-000027820000}"/>
    <cellStyle name="Normal 229 2" xfId="33479" xr:uid="{00000000-0005-0000-0000-000028820000}"/>
    <cellStyle name="Normal 229 2 2" xfId="33480" xr:uid="{00000000-0005-0000-0000-000029820000}"/>
    <cellStyle name="Normal 229 2 3" xfId="33481" xr:uid="{00000000-0005-0000-0000-00002A820000}"/>
    <cellStyle name="Normal 229 3" xfId="33482" xr:uid="{00000000-0005-0000-0000-00002B820000}"/>
    <cellStyle name="Normal 229 4" xfId="33483" xr:uid="{00000000-0005-0000-0000-00002C820000}"/>
    <cellStyle name="Normal 23" xfId="287" xr:uid="{00000000-0005-0000-0000-00002D820000}"/>
    <cellStyle name="Normal 23 10" xfId="33484" xr:uid="{00000000-0005-0000-0000-00002E820000}"/>
    <cellStyle name="Normal 23 11" xfId="33485" xr:uid="{00000000-0005-0000-0000-00002F820000}"/>
    <cellStyle name="Normal 23 12" xfId="33486" xr:uid="{00000000-0005-0000-0000-000030820000}"/>
    <cellStyle name="Normal 23 13" xfId="33487" xr:uid="{00000000-0005-0000-0000-000031820000}"/>
    <cellStyle name="Normal 23 2" xfId="288" xr:uid="{00000000-0005-0000-0000-000032820000}"/>
    <cellStyle name="Normal 23 2 10" xfId="33488" xr:uid="{00000000-0005-0000-0000-000033820000}"/>
    <cellStyle name="Normal 23 2 11" xfId="33489" xr:uid="{00000000-0005-0000-0000-000034820000}"/>
    <cellStyle name="Normal 23 2 12" xfId="33490" xr:uid="{00000000-0005-0000-0000-000035820000}"/>
    <cellStyle name="Normal 23 2 2" xfId="33491" xr:uid="{00000000-0005-0000-0000-000036820000}"/>
    <cellStyle name="Normal 23 2 2 2" xfId="33492" xr:uid="{00000000-0005-0000-0000-000037820000}"/>
    <cellStyle name="Normal 23 2 2 2 2" xfId="33493" xr:uid="{00000000-0005-0000-0000-000038820000}"/>
    <cellStyle name="Normal 23 2 2 2 3" xfId="33494" xr:uid="{00000000-0005-0000-0000-000039820000}"/>
    <cellStyle name="Normal 23 2 2 3" xfId="33495" xr:uid="{00000000-0005-0000-0000-00003A820000}"/>
    <cellStyle name="Normal 23 2 2 3 2" xfId="33496" xr:uid="{00000000-0005-0000-0000-00003B820000}"/>
    <cellStyle name="Normal 23 2 2 3 3" xfId="33497" xr:uid="{00000000-0005-0000-0000-00003C820000}"/>
    <cellStyle name="Normal 23 2 2 4" xfId="33498" xr:uid="{00000000-0005-0000-0000-00003D820000}"/>
    <cellStyle name="Normal 23 2 2 5" xfId="33499" xr:uid="{00000000-0005-0000-0000-00003E820000}"/>
    <cellStyle name="Normal 23 2 2 6" xfId="33500" xr:uid="{00000000-0005-0000-0000-00003F820000}"/>
    <cellStyle name="Normal 23 2 2 7" xfId="33501" xr:uid="{00000000-0005-0000-0000-000040820000}"/>
    <cellStyle name="Normal 23 2 2 8" xfId="33502" xr:uid="{00000000-0005-0000-0000-000041820000}"/>
    <cellStyle name="Normal 23 2 3" xfId="33503" xr:uid="{00000000-0005-0000-0000-000042820000}"/>
    <cellStyle name="Normal 23 2 3 2" xfId="33504" xr:uid="{00000000-0005-0000-0000-000043820000}"/>
    <cellStyle name="Normal 23 2 3 3" xfId="33505" xr:uid="{00000000-0005-0000-0000-000044820000}"/>
    <cellStyle name="Normal 23 2 4" xfId="33506" xr:uid="{00000000-0005-0000-0000-000045820000}"/>
    <cellStyle name="Normal 23 2 4 2" xfId="33507" xr:uid="{00000000-0005-0000-0000-000046820000}"/>
    <cellStyle name="Normal 23 2 4 2 2" xfId="33508" xr:uid="{00000000-0005-0000-0000-000047820000}"/>
    <cellStyle name="Normal 23 2 4 3" xfId="33509" xr:uid="{00000000-0005-0000-0000-000048820000}"/>
    <cellStyle name="Normal 23 2 4 3 2" xfId="33510" xr:uid="{00000000-0005-0000-0000-000049820000}"/>
    <cellStyle name="Normal 23 2 4 4" xfId="33511" xr:uid="{00000000-0005-0000-0000-00004A820000}"/>
    <cellStyle name="Normal 23 2 4 5" xfId="33512" xr:uid="{00000000-0005-0000-0000-00004B820000}"/>
    <cellStyle name="Normal 23 2 4 6" xfId="33513" xr:uid="{00000000-0005-0000-0000-00004C820000}"/>
    <cellStyle name="Normal 23 2 4 7" xfId="33514" xr:uid="{00000000-0005-0000-0000-00004D820000}"/>
    <cellStyle name="Normal 23 2 4 8" xfId="33515" xr:uid="{00000000-0005-0000-0000-00004E820000}"/>
    <cellStyle name="Normal 23 2 5" xfId="33516" xr:uid="{00000000-0005-0000-0000-00004F820000}"/>
    <cellStyle name="Normal 23 2 5 2" xfId="33517" xr:uid="{00000000-0005-0000-0000-000050820000}"/>
    <cellStyle name="Normal 23 2 6" xfId="33518" xr:uid="{00000000-0005-0000-0000-000051820000}"/>
    <cellStyle name="Normal 23 2 6 2" xfId="33519" xr:uid="{00000000-0005-0000-0000-000052820000}"/>
    <cellStyle name="Normal 23 2 6 3" xfId="33520" xr:uid="{00000000-0005-0000-0000-000053820000}"/>
    <cellStyle name="Normal 23 2 7" xfId="33521" xr:uid="{00000000-0005-0000-0000-000054820000}"/>
    <cellStyle name="Normal 23 2 7 2" xfId="33522" xr:uid="{00000000-0005-0000-0000-000055820000}"/>
    <cellStyle name="Normal 23 2 8" xfId="33523" xr:uid="{00000000-0005-0000-0000-000056820000}"/>
    <cellStyle name="Normal 23 2 8 2" xfId="33524" xr:uid="{00000000-0005-0000-0000-000057820000}"/>
    <cellStyle name="Normal 23 2 9" xfId="33525" xr:uid="{00000000-0005-0000-0000-000058820000}"/>
    <cellStyle name="Normal 23 2_2015 Annual Rpt" xfId="33526" xr:uid="{00000000-0005-0000-0000-000059820000}"/>
    <cellStyle name="Normal 23 3" xfId="33527" xr:uid="{00000000-0005-0000-0000-00005A820000}"/>
    <cellStyle name="Normal 23 3 2" xfId="33528" xr:uid="{00000000-0005-0000-0000-00005B820000}"/>
    <cellStyle name="Normal 23 3 2 2" xfId="33529" xr:uid="{00000000-0005-0000-0000-00005C820000}"/>
    <cellStyle name="Normal 23 3 2 3" xfId="33530" xr:uid="{00000000-0005-0000-0000-00005D820000}"/>
    <cellStyle name="Normal 23 3 3" xfId="33531" xr:uid="{00000000-0005-0000-0000-00005E820000}"/>
    <cellStyle name="Normal 23 3 3 2" xfId="33532" xr:uid="{00000000-0005-0000-0000-00005F820000}"/>
    <cellStyle name="Normal 23 3 3 3" xfId="33533" xr:uid="{00000000-0005-0000-0000-000060820000}"/>
    <cellStyle name="Normal 23 3 4" xfId="33534" xr:uid="{00000000-0005-0000-0000-000061820000}"/>
    <cellStyle name="Normal 23 3 4 2" xfId="33535" xr:uid="{00000000-0005-0000-0000-000062820000}"/>
    <cellStyle name="Normal 23 3 4 3" xfId="33536" xr:uid="{00000000-0005-0000-0000-000063820000}"/>
    <cellStyle name="Normal 23 3 5" xfId="33537" xr:uid="{00000000-0005-0000-0000-000064820000}"/>
    <cellStyle name="Normal 23 3 6" xfId="33538" xr:uid="{00000000-0005-0000-0000-000065820000}"/>
    <cellStyle name="Normal 23 3 7" xfId="33539" xr:uid="{00000000-0005-0000-0000-000066820000}"/>
    <cellStyle name="Normal 23 3 8" xfId="33540" xr:uid="{00000000-0005-0000-0000-000067820000}"/>
    <cellStyle name="Normal 23 3 9" xfId="33541" xr:uid="{00000000-0005-0000-0000-000068820000}"/>
    <cellStyle name="Normal 23 4" xfId="33542" xr:uid="{00000000-0005-0000-0000-000069820000}"/>
    <cellStyle name="Normal 23 4 2" xfId="33543" xr:uid="{00000000-0005-0000-0000-00006A820000}"/>
    <cellStyle name="Normal 23 4 2 2" xfId="33544" xr:uid="{00000000-0005-0000-0000-00006B820000}"/>
    <cellStyle name="Normal 23 4 3" xfId="33545" xr:uid="{00000000-0005-0000-0000-00006C820000}"/>
    <cellStyle name="Normal 23 4 4" xfId="33546" xr:uid="{00000000-0005-0000-0000-00006D820000}"/>
    <cellStyle name="Normal 23 5" xfId="33547" xr:uid="{00000000-0005-0000-0000-00006E820000}"/>
    <cellStyle name="Normal 23 5 2" xfId="33548" xr:uid="{00000000-0005-0000-0000-00006F820000}"/>
    <cellStyle name="Normal 23 5 2 2" xfId="33549" xr:uid="{00000000-0005-0000-0000-000070820000}"/>
    <cellStyle name="Normal 23 5 2 3" xfId="33550" xr:uid="{00000000-0005-0000-0000-000071820000}"/>
    <cellStyle name="Normal 23 5 3" xfId="33551" xr:uid="{00000000-0005-0000-0000-000072820000}"/>
    <cellStyle name="Normal 23 5 3 2" xfId="33552" xr:uid="{00000000-0005-0000-0000-000073820000}"/>
    <cellStyle name="Normal 23 5 4" xfId="33553" xr:uid="{00000000-0005-0000-0000-000074820000}"/>
    <cellStyle name="Normal 23 5 5" xfId="33554" xr:uid="{00000000-0005-0000-0000-000075820000}"/>
    <cellStyle name="Normal 23 5 6" xfId="33555" xr:uid="{00000000-0005-0000-0000-000076820000}"/>
    <cellStyle name="Normal 23 5 7" xfId="33556" xr:uid="{00000000-0005-0000-0000-000077820000}"/>
    <cellStyle name="Normal 23 5 8" xfId="33557" xr:uid="{00000000-0005-0000-0000-000078820000}"/>
    <cellStyle name="Normal 23 6" xfId="33558" xr:uid="{00000000-0005-0000-0000-000079820000}"/>
    <cellStyle name="Normal 23 6 2" xfId="33559" xr:uid="{00000000-0005-0000-0000-00007A820000}"/>
    <cellStyle name="Normal 23 7" xfId="33560" xr:uid="{00000000-0005-0000-0000-00007B820000}"/>
    <cellStyle name="Normal 23 7 2" xfId="33561" xr:uid="{00000000-0005-0000-0000-00007C820000}"/>
    <cellStyle name="Normal 23 7 2 2" xfId="33562" xr:uid="{00000000-0005-0000-0000-00007D820000}"/>
    <cellStyle name="Normal 23 7 3" xfId="33563" xr:uid="{00000000-0005-0000-0000-00007E820000}"/>
    <cellStyle name="Normal 23 7 3 2" xfId="33564" xr:uid="{00000000-0005-0000-0000-00007F820000}"/>
    <cellStyle name="Normal 23 7 4" xfId="33565" xr:uid="{00000000-0005-0000-0000-000080820000}"/>
    <cellStyle name="Normal 23 7 5" xfId="33566" xr:uid="{00000000-0005-0000-0000-000081820000}"/>
    <cellStyle name="Normal 23 8" xfId="33567" xr:uid="{00000000-0005-0000-0000-000082820000}"/>
    <cellStyle name="Normal 23 8 2" xfId="33568" xr:uid="{00000000-0005-0000-0000-000083820000}"/>
    <cellStyle name="Normal 23 9" xfId="33569" xr:uid="{00000000-0005-0000-0000-000084820000}"/>
    <cellStyle name="Normal 23 9 2" xfId="33570" xr:uid="{00000000-0005-0000-0000-000085820000}"/>
    <cellStyle name="Normal 23_2015 Annual Rpt" xfId="33571" xr:uid="{00000000-0005-0000-0000-000086820000}"/>
    <cellStyle name="Normal 230" xfId="33572" xr:uid="{00000000-0005-0000-0000-000087820000}"/>
    <cellStyle name="Normal 230 2" xfId="33573" xr:uid="{00000000-0005-0000-0000-000088820000}"/>
    <cellStyle name="Normal 230 2 2" xfId="33574" xr:uid="{00000000-0005-0000-0000-000089820000}"/>
    <cellStyle name="Normal 230 2 3" xfId="33575" xr:uid="{00000000-0005-0000-0000-00008A820000}"/>
    <cellStyle name="Normal 230 3" xfId="33576" xr:uid="{00000000-0005-0000-0000-00008B820000}"/>
    <cellStyle name="Normal 230 4" xfId="33577" xr:uid="{00000000-0005-0000-0000-00008C820000}"/>
    <cellStyle name="Normal 231" xfId="33578" xr:uid="{00000000-0005-0000-0000-00008D820000}"/>
    <cellStyle name="Normal 231 2" xfId="33579" xr:uid="{00000000-0005-0000-0000-00008E820000}"/>
    <cellStyle name="Normal 231 2 2" xfId="33580" xr:uid="{00000000-0005-0000-0000-00008F820000}"/>
    <cellStyle name="Normal 231 2 3" xfId="33581" xr:uid="{00000000-0005-0000-0000-000090820000}"/>
    <cellStyle name="Normal 231 3" xfId="33582" xr:uid="{00000000-0005-0000-0000-000091820000}"/>
    <cellStyle name="Normal 231 4" xfId="33583" xr:uid="{00000000-0005-0000-0000-000092820000}"/>
    <cellStyle name="Normal 232" xfId="33584" xr:uid="{00000000-0005-0000-0000-000093820000}"/>
    <cellStyle name="Normal 232 2" xfId="33585" xr:uid="{00000000-0005-0000-0000-000094820000}"/>
    <cellStyle name="Normal 232 2 2" xfId="33586" xr:uid="{00000000-0005-0000-0000-000095820000}"/>
    <cellStyle name="Normal 232 2 3" xfId="33587" xr:uid="{00000000-0005-0000-0000-000096820000}"/>
    <cellStyle name="Normal 232 3" xfId="33588" xr:uid="{00000000-0005-0000-0000-000097820000}"/>
    <cellStyle name="Normal 232 4" xfId="33589" xr:uid="{00000000-0005-0000-0000-000098820000}"/>
    <cellStyle name="Normal 233" xfId="33590" xr:uid="{00000000-0005-0000-0000-000099820000}"/>
    <cellStyle name="Normal 233 2" xfId="33591" xr:uid="{00000000-0005-0000-0000-00009A820000}"/>
    <cellStyle name="Normal 233 2 2" xfId="33592" xr:uid="{00000000-0005-0000-0000-00009B820000}"/>
    <cellStyle name="Normal 233 2 3" xfId="33593" xr:uid="{00000000-0005-0000-0000-00009C820000}"/>
    <cellStyle name="Normal 233 3" xfId="33594" xr:uid="{00000000-0005-0000-0000-00009D820000}"/>
    <cellStyle name="Normal 233 4" xfId="33595" xr:uid="{00000000-0005-0000-0000-00009E820000}"/>
    <cellStyle name="Normal 234" xfId="33596" xr:uid="{00000000-0005-0000-0000-00009F820000}"/>
    <cellStyle name="Normal 234 2" xfId="33597" xr:uid="{00000000-0005-0000-0000-0000A0820000}"/>
    <cellStyle name="Normal 234 2 2" xfId="33598" xr:uid="{00000000-0005-0000-0000-0000A1820000}"/>
    <cellStyle name="Normal 234 2 3" xfId="33599" xr:uid="{00000000-0005-0000-0000-0000A2820000}"/>
    <cellStyle name="Normal 234 3" xfId="33600" xr:uid="{00000000-0005-0000-0000-0000A3820000}"/>
    <cellStyle name="Normal 234 4" xfId="33601" xr:uid="{00000000-0005-0000-0000-0000A4820000}"/>
    <cellStyle name="Normal 235" xfId="33602" xr:uid="{00000000-0005-0000-0000-0000A5820000}"/>
    <cellStyle name="Normal 235 2" xfId="33603" xr:uid="{00000000-0005-0000-0000-0000A6820000}"/>
    <cellStyle name="Normal 235 2 2" xfId="33604" xr:uid="{00000000-0005-0000-0000-0000A7820000}"/>
    <cellStyle name="Normal 235 2 3" xfId="33605" xr:uid="{00000000-0005-0000-0000-0000A8820000}"/>
    <cellStyle name="Normal 235 3" xfId="33606" xr:uid="{00000000-0005-0000-0000-0000A9820000}"/>
    <cellStyle name="Normal 235 4" xfId="33607" xr:uid="{00000000-0005-0000-0000-0000AA820000}"/>
    <cellStyle name="Normal 236" xfId="33608" xr:uid="{00000000-0005-0000-0000-0000AB820000}"/>
    <cellStyle name="Normal 236 2" xfId="33609" xr:uid="{00000000-0005-0000-0000-0000AC820000}"/>
    <cellStyle name="Normal 236 2 2" xfId="33610" xr:uid="{00000000-0005-0000-0000-0000AD820000}"/>
    <cellStyle name="Normal 236 2 3" xfId="33611" xr:uid="{00000000-0005-0000-0000-0000AE820000}"/>
    <cellStyle name="Normal 236 3" xfId="33612" xr:uid="{00000000-0005-0000-0000-0000AF820000}"/>
    <cellStyle name="Normal 236 4" xfId="33613" xr:uid="{00000000-0005-0000-0000-0000B0820000}"/>
    <cellStyle name="Normal 237" xfId="33614" xr:uid="{00000000-0005-0000-0000-0000B1820000}"/>
    <cellStyle name="Normal 238" xfId="33615" xr:uid="{00000000-0005-0000-0000-0000B2820000}"/>
    <cellStyle name="Normal 239" xfId="33616" xr:uid="{00000000-0005-0000-0000-0000B3820000}"/>
    <cellStyle name="Normal 24" xfId="289" xr:uid="{00000000-0005-0000-0000-0000B4820000}"/>
    <cellStyle name="Normal 24 10" xfId="33617" xr:uid="{00000000-0005-0000-0000-0000B5820000}"/>
    <cellStyle name="Normal 24 11" xfId="33618" xr:uid="{00000000-0005-0000-0000-0000B6820000}"/>
    <cellStyle name="Normal 24 12" xfId="33619" xr:uid="{00000000-0005-0000-0000-0000B7820000}"/>
    <cellStyle name="Normal 24 2" xfId="33620" xr:uid="{00000000-0005-0000-0000-0000B8820000}"/>
    <cellStyle name="Normal 24 2 2" xfId="33621" xr:uid="{00000000-0005-0000-0000-0000B9820000}"/>
    <cellStyle name="Normal 24 2 2 2" xfId="33622" xr:uid="{00000000-0005-0000-0000-0000BA820000}"/>
    <cellStyle name="Normal 24 2 2 2 2" xfId="33623" xr:uid="{00000000-0005-0000-0000-0000BB820000}"/>
    <cellStyle name="Normal 24 2 2 3" xfId="33624" xr:uid="{00000000-0005-0000-0000-0000BC820000}"/>
    <cellStyle name="Normal 24 2 2 4" xfId="33625" xr:uid="{00000000-0005-0000-0000-0000BD820000}"/>
    <cellStyle name="Normal 24 2 2 5" xfId="33626" xr:uid="{00000000-0005-0000-0000-0000BE820000}"/>
    <cellStyle name="Normal 24 2 3" xfId="33627" xr:uid="{00000000-0005-0000-0000-0000BF820000}"/>
    <cellStyle name="Normal 24 2 3 2" xfId="33628" xr:uid="{00000000-0005-0000-0000-0000C0820000}"/>
    <cellStyle name="Normal 24 2 3 2 2" xfId="33629" xr:uid="{00000000-0005-0000-0000-0000C1820000}"/>
    <cellStyle name="Normal 24 2 3 3" xfId="33630" xr:uid="{00000000-0005-0000-0000-0000C2820000}"/>
    <cellStyle name="Normal 24 2 4" xfId="33631" xr:uid="{00000000-0005-0000-0000-0000C3820000}"/>
    <cellStyle name="Normal 24 2 4 2" xfId="33632" xr:uid="{00000000-0005-0000-0000-0000C4820000}"/>
    <cellStyle name="Normal 24 2 4 3" xfId="33633" xr:uid="{00000000-0005-0000-0000-0000C5820000}"/>
    <cellStyle name="Normal 24 2 5" xfId="33634" xr:uid="{00000000-0005-0000-0000-0000C6820000}"/>
    <cellStyle name="Normal 24 2 5 2" xfId="33635" xr:uid="{00000000-0005-0000-0000-0000C7820000}"/>
    <cellStyle name="Normal 24 2 6" xfId="33636" xr:uid="{00000000-0005-0000-0000-0000C8820000}"/>
    <cellStyle name="Normal 24 2 6 2" xfId="33637" xr:uid="{00000000-0005-0000-0000-0000C9820000}"/>
    <cellStyle name="Normal 24 2 7" xfId="33638" xr:uid="{00000000-0005-0000-0000-0000CA820000}"/>
    <cellStyle name="Normal 24 2 8" xfId="33639" xr:uid="{00000000-0005-0000-0000-0000CB820000}"/>
    <cellStyle name="Normal 24 2 9" xfId="33640" xr:uid="{00000000-0005-0000-0000-0000CC820000}"/>
    <cellStyle name="Normal 24 3" xfId="33641" xr:uid="{00000000-0005-0000-0000-0000CD820000}"/>
    <cellStyle name="Normal 24 3 2" xfId="33642" xr:uid="{00000000-0005-0000-0000-0000CE820000}"/>
    <cellStyle name="Normal 24 3 2 2" xfId="33643" xr:uid="{00000000-0005-0000-0000-0000CF820000}"/>
    <cellStyle name="Normal 24 3 2 2 2" xfId="33644" xr:uid="{00000000-0005-0000-0000-0000D0820000}"/>
    <cellStyle name="Normal 24 3 2 3" xfId="33645" xr:uid="{00000000-0005-0000-0000-0000D1820000}"/>
    <cellStyle name="Normal 24 3 3" xfId="33646" xr:uid="{00000000-0005-0000-0000-0000D2820000}"/>
    <cellStyle name="Normal 24 3 3 2" xfId="33647" xr:uid="{00000000-0005-0000-0000-0000D3820000}"/>
    <cellStyle name="Normal 24 3 3 3" xfId="33648" xr:uid="{00000000-0005-0000-0000-0000D4820000}"/>
    <cellStyle name="Normal 24 3 4" xfId="33649" xr:uid="{00000000-0005-0000-0000-0000D5820000}"/>
    <cellStyle name="Normal 24 3 4 2" xfId="33650" xr:uid="{00000000-0005-0000-0000-0000D6820000}"/>
    <cellStyle name="Normal 24 3 5" xfId="33651" xr:uid="{00000000-0005-0000-0000-0000D7820000}"/>
    <cellStyle name="Normal 24 3 6" xfId="33652" xr:uid="{00000000-0005-0000-0000-0000D8820000}"/>
    <cellStyle name="Normal 24 3 7" xfId="33653" xr:uid="{00000000-0005-0000-0000-0000D9820000}"/>
    <cellStyle name="Normal 24 3 8" xfId="33654" xr:uid="{00000000-0005-0000-0000-0000DA820000}"/>
    <cellStyle name="Normal 24 4" xfId="33655" xr:uid="{00000000-0005-0000-0000-0000DB820000}"/>
    <cellStyle name="Normal 24 4 2" xfId="33656" xr:uid="{00000000-0005-0000-0000-0000DC820000}"/>
    <cellStyle name="Normal 24 4 2 2" xfId="33657" xr:uid="{00000000-0005-0000-0000-0000DD820000}"/>
    <cellStyle name="Normal 24 4 2 2 2" xfId="33658" xr:uid="{00000000-0005-0000-0000-0000DE820000}"/>
    <cellStyle name="Normal 24 4 2 3" xfId="33659" xr:uid="{00000000-0005-0000-0000-0000DF820000}"/>
    <cellStyle name="Normal 24 4 3" xfId="33660" xr:uid="{00000000-0005-0000-0000-0000E0820000}"/>
    <cellStyle name="Normal 24 4 3 2" xfId="33661" xr:uid="{00000000-0005-0000-0000-0000E1820000}"/>
    <cellStyle name="Normal 24 4 3 3" xfId="33662" xr:uid="{00000000-0005-0000-0000-0000E2820000}"/>
    <cellStyle name="Normal 24 4 4" xfId="33663" xr:uid="{00000000-0005-0000-0000-0000E3820000}"/>
    <cellStyle name="Normal 24 4 4 2" xfId="33664" xr:uid="{00000000-0005-0000-0000-0000E4820000}"/>
    <cellStyle name="Normal 24 4 5" xfId="33665" xr:uid="{00000000-0005-0000-0000-0000E5820000}"/>
    <cellStyle name="Normal 24 4 6" xfId="33666" xr:uid="{00000000-0005-0000-0000-0000E6820000}"/>
    <cellStyle name="Normal 24 4 7" xfId="33667" xr:uid="{00000000-0005-0000-0000-0000E7820000}"/>
    <cellStyle name="Normal 24 4 8" xfId="33668" xr:uid="{00000000-0005-0000-0000-0000E8820000}"/>
    <cellStyle name="Normal 24 5" xfId="33669" xr:uid="{00000000-0005-0000-0000-0000E9820000}"/>
    <cellStyle name="Normal 24 5 2" xfId="33670" xr:uid="{00000000-0005-0000-0000-0000EA820000}"/>
    <cellStyle name="Normal 24 5 3" xfId="33671" xr:uid="{00000000-0005-0000-0000-0000EB820000}"/>
    <cellStyle name="Normal 24 6" xfId="33672" xr:uid="{00000000-0005-0000-0000-0000EC820000}"/>
    <cellStyle name="Normal 24 6 2" xfId="33673" xr:uid="{00000000-0005-0000-0000-0000ED820000}"/>
    <cellStyle name="Normal 24 6 2 2" xfId="33674" xr:uid="{00000000-0005-0000-0000-0000EE820000}"/>
    <cellStyle name="Normal 24 6 3" xfId="33675" xr:uid="{00000000-0005-0000-0000-0000EF820000}"/>
    <cellStyle name="Normal 24 6 3 2" xfId="33676" xr:uid="{00000000-0005-0000-0000-0000F0820000}"/>
    <cellStyle name="Normal 24 6 4" xfId="33677" xr:uid="{00000000-0005-0000-0000-0000F1820000}"/>
    <cellStyle name="Normal 24 6 5" xfId="33678" xr:uid="{00000000-0005-0000-0000-0000F2820000}"/>
    <cellStyle name="Normal 24 7" xfId="33679" xr:uid="{00000000-0005-0000-0000-0000F3820000}"/>
    <cellStyle name="Normal 24 7 2" xfId="33680" xr:uid="{00000000-0005-0000-0000-0000F4820000}"/>
    <cellStyle name="Normal 24 7 3" xfId="33681" xr:uid="{00000000-0005-0000-0000-0000F5820000}"/>
    <cellStyle name="Normal 24 8" xfId="33682" xr:uid="{00000000-0005-0000-0000-0000F6820000}"/>
    <cellStyle name="Normal 24 8 2" xfId="33683" xr:uid="{00000000-0005-0000-0000-0000F7820000}"/>
    <cellStyle name="Normal 24 8 3" xfId="33684" xr:uid="{00000000-0005-0000-0000-0000F8820000}"/>
    <cellStyle name="Normal 24 9" xfId="33685" xr:uid="{00000000-0005-0000-0000-0000F9820000}"/>
    <cellStyle name="Normal 24_2015 Annual Rpt" xfId="33686" xr:uid="{00000000-0005-0000-0000-0000FA820000}"/>
    <cellStyle name="Normal 240" xfId="33687" xr:uid="{00000000-0005-0000-0000-0000FB820000}"/>
    <cellStyle name="Normal 241" xfId="33688" xr:uid="{00000000-0005-0000-0000-0000FC820000}"/>
    <cellStyle name="Normal 242" xfId="33689" xr:uid="{00000000-0005-0000-0000-0000FD820000}"/>
    <cellStyle name="Normal 243" xfId="33690" xr:uid="{00000000-0005-0000-0000-0000FE820000}"/>
    <cellStyle name="Normal 244" xfId="33691" xr:uid="{00000000-0005-0000-0000-0000FF820000}"/>
    <cellStyle name="Normal 245" xfId="33692" xr:uid="{00000000-0005-0000-0000-000000830000}"/>
    <cellStyle name="Normal 246" xfId="33693" xr:uid="{00000000-0005-0000-0000-000001830000}"/>
    <cellStyle name="Normal 247" xfId="33694" xr:uid="{00000000-0005-0000-0000-000002830000}"/>
    <cellStyle name="Normal 248" xfId="33695" xr:uid="{00000000-0005-0000-0000-000003830000}"/>
    <cellStyle name="Normal 249" xfId="33696" xr:uid="{00000000-0005-0000-0000-000004830000}"/>
    <cellStyle name="Normal 25" xfId="290" xr:uid="{00000000-0005-0000-0000-000005830000}"/>
    <cellStyle name="Normal 25 10" xfId="33697" xr:uid="{00000000-0005-0000-0000-000006830000}"/>
    <cellStyle name="Normal 25 11" xfId="33698" xr:uid="{00000000-0005-0000-0000-000007830000}"/>
    <cellStyle name="Normal 25 12" xfId="33699" xr:uid="{00000000-0005-0000-0000-000008830000}"/>
    <cellStyle name="Normal 25 2" xfId="33700" xr:uid="{00000000-0005-0000-0000-000009830000}"/>
    <cellStyle name="Normal 25 2 2" xfId="33701" xr:uid="{00000000-0005-0000-0000-00000A830000}"/>
    <cellStyle name="Normal 25 2 2 2" xfId="33702" xr:uid="{00000000-0005-0000-0000-00000B830000}"/>
    <cellStyle name="Normal 25 2 2 3" xfId="33703" xr:uid="{00000000-0005-0000-0000-00000C830000}"/>
    <cellStyle name="Normal 25 2 2 4" xfId="33704" xr:uid="{00000000-0005-0000-0000-00000D830000}"/>
    <cellStyle name="Normal 25 2 3" xfId="33705" xr:uid="{00000000-0005-0000-0000-00000E830000}"/>
    <cellStyle name="Normal 25 2 3 2" xfId="33706" xr:uid="{00000000-0005-0000-0000-00000F830000}"/>
    <cellStyle name="Normal 25 2 3 3" xfId="33707" xr:uid="{00000000-0005-0000-0000-000010830000}"/>
    <cellStyle name="Normal 25 2 4" xfId="33708" xr:uid="{00000000-0005-0000-0000-000011830000}"/>
    <cellStyle name="Normal 25 2 4 2" xfId="33709" xr:uid="{00000000-0005-0000-0000-000012830000}"/>
    <cellStyle name="Normal 25 2 4 3" xfId="33710" xr:uid="{00000000-0005-0000-0000-000013830000}"/>
    <cellStyle name="Normal 25 2 5" xfId="33711" xr:uid="{00000000-0005-0000-0000-000014830000}"/>
    <cellStyle name="Normal 25 2 5 2" xfId="33712" xr:uid="{00000000-0005-0000-0000-000015830000}"/>
    <cellStyle name="Normal 25 2 6" xfId="33713" xr:uid="{00000000-0005-0000-0000-000016830000}"/>
    <cellStyle name="Normal 25 2 7" xfId="33714" xr:uid="{00000000-0005-0000-0000-000017830000}"/>
    <cellStyle name="Normal 25 2 8" xfId="33715" xr:uid="{00000000-0005-0000-0000-000018830000}"/>
    <cellStyle name="Normal 25 2 9" xfId="33716" xr:uid="{00000000-0005-0000-0000-000019830000}"/>
    <cellStyle name="Normal 25 3" xfId="33717" xr:uid="{00000000-0005-0000-0000-00001A830000}"/>
    <cellStyle name="Normal 25 3 2" xfId="33718" xr:uid="{00000000-0005-0000-0000-00001B830000}"/>
    <cellStyle name="Normal 25 3 2 2" xfId="33719" xr:uid="{00000000-0005-0000-0000-00001C830000}"/>
    <cellStyle name="Normal 25 3 3" xfId="33720" xr:uid="{00000000-0005-0000-0000-00001D830000}"/>
    <cellStyle name="Normal 25 3 3 2" xfId="33721" xr:uid="{00000000-0005-0000-0000-00001E830000}"/>
    <cellStyle name="Normal 25 3 4" xfId="33722" xr:uid="{00000000-0005-0000-0000-00001F830000}"/>
    <cellStyle name="Normal 25 3 5" xfId="33723" xr:uid="{00000000-0005-0000-0000-000020830000}"/>
    <cellStyle name="Normal 25 3 6" xfId="33724" xr:uid="{00000000-0005-0000-0000-000021830000}"/>
    <cellStyle name="Normal 25 3 7" xfId="33725" xr:uid="{00000000-0005-0000-0000-000022830000}"/>
    <cellStyle name="Normal 25 3 8" xfId="33726" xr:uid="{00000000-0005-0000-0000-000023830000}"/>
    <cellStyle name="Normal 25 4" xfId="33727" xr:uid="{00000000-0005-0000-0000-000024830000}"/>
    <cellStyle name="Normal 25 4 2" xfId="33728" xr:uid="{00000000-0005-0000-0000-000025830000}"/>
    <cellStyle name="Normal 25 4 2 2" xfId="33729" xr:uid="{00000000-0005-0000-0000-000026830000}"/>
    <cellStyle name="Normal 25 4 2 3" xfId="33730" xr:uid="{00000000-0005-0000-0000-000027830000}"/>
    <cellStyle name="Normal 25 4 3" xfId="33731" xr:uid="{00000000-0005-0000-0000-000028830000}"/>
    <cellStyle name="Normal 25 4 3 2" xfId="33732" xr:uid="{00000000-0005-0000-0000-000029830000}"/>
    <cellStyle name="Normal 25 4 3 3" xfId="33733" xr:uid="{00000000-0005-0000-0000-00002A830000}"/>
    <cellStyle name="Normal 25 4 4" xfId="33734" xr:uid="{00000000-0005-0000-0000-00002B830000}"/>
    <cellStyle name="Normal 25 4 5" xfId="33735" xr:uid="{00000000-0005-0000-0000-00002C830000}"/>
    <cellStyle name="Normal 25 4 6" xfId="33736" xr:uid="{00000000-0005-0000-0000-00002D830000}"/>
    <cellStyle name="Normal 25 4 7" xfId="33737" xr:uid="{00000000-0005-0000-0000-00002E830000}"/>
    <cellStyle name="Normal 25 4 8" xfId="33738" xr:uid="{00000000-0005-0000-0000-00002F830000}"/>
    <cellStyle name="Normal 25 5" xfId="33739" xr:uid="{00000000-0005-0000-0000-000030830000}"/>
    <cellStyle name="Normal 25 5 2" xfId="33740" xr:uid="{00000000-0005-0000-0000-000031830000}"/>
    <cellStyle name="Normal 25 5 3" xfId="33741" xr:uid="{00000000-0005-0000-0000-000032830000}"/>
    <cellStyle name="Normal 25 6" xfId="33742" xr:uid="{00000000-0005-0000-0000-000033830000}"/>
    <cellStyle name="Normal 25 6 2" xfId="33743" xr:uid="{00000000-0005-0000-0000-000034830000}"/>
    <cellStyle name="Normal 25 6 2 2" xfId="33744" xr:uid="{00000000-0005-0000-0000-000035830000}"/>
    <cellStyle name="Normal 25 6 2 3" xfId="33745" xr:uid="{00000000-0005-0000-0000-000036830000}"/>
    <cellStyle name="Normal 25 6 3" xfId="33746" xr:uid="{00000000-0005-0000-0000-000037830000}"/>
    <cellStyle name="Normal 25 6 3 2" xfId="33747" xr:uid="{00000000-0005-0000-0000-000038830000}"/>
    <cellStyle name="Normal 25 6 4" xfId="33748" xr:uid="{00000000-0005-0000-0000-000039830000}"/>
    <cellStyle name="Normal 25 6 5" xfId="33749" xr:uid="{00000000-0005-0000-0000-00003A830000}"/>
    <cellStyle name="Normal 25 7" xfId="33750" xr:uid="{00000000-0005-0000-0000-00003B830000}"/>
    <cellStyle name="Normal 25 7 2" xfId="33751" xr:uid="{00000000-0005-0000-0000-00003C830000}"/>
    <cellStyle name="Normal 25 7 3" xfId="33752" xr:uid="{00000000-0005-0000-0000-00003D830000}"/>
    <cellStyle name="Normal 25 8" xfId="33753" xr:uid="{00000000-0005-0000-0000-00003E830000}"/>
    <cellStyle name="Normal 25 8 2" xfId="33754" xr:uid="{00000000-0005-0000-0000-00003F830000}"/>
    <cellStyle name="Normal 25 9" xfId="33755" xr:uid="{00000000-0005-0000-0000-000040830000}"/>
    <cellStyle name="Normal 25_2015 Annual Rpt" xfId="33756" xr:uid="{00000000-0005-0000-0000-000041830000}"/>
    <cellStyle name="Normal 250" xfId="33757" xr:uid="{00000000-0005-0000-0000-000042830000}"/>
    <cellStyle name="Normal 251" xfId="33758" xr:uid="{00000000-0005-0000-0000-000043830000}"/>
    <cellStyle name="Normal 252" xfId="33759" xr:uid="{00000000-0005-0000-0000-000044830000}"/>
    <cellStyle name="Normal 253" xfId="33760" xr:uid="{00000000-0005-0000-0000-000045830000}"/>
    <cellStyle name="Normal 254" xfId="33761" xr:uid="{00000000-0005-0000-0000-000046830000}"/>
    <cellStyle name="Normal 255" xfId="33762" xr:uid="{00000000-0005-0000-0000-000047830000}"/>
    <cellStyle name="Normal 256" xfId="33763" xr:uid="{00000000-0005-0000-0000-000048830000}"/>
    <cellStyle name="Normal 257" xfId="33764" xr:uid="{00000000-0005-0000-0000-000049830000}"/>
    <cellStyle name="Normal 258" xfId="33765" xr:uid="{00000000-0005-0000-0000-00004A830000}"/>
    <cellStyle name="Normal 259" xfId="33766" xr:uid="{00000000-0005-0000-0000-00004B830000}"/>
    <cellStyle name="Normal 26" xfId="291" xr:uid="{00000000-0005-0000-0000-00004C830000}"/>
    <cellStyle name="Normal 26 10" xfId="33767" xr:uid="{00000000-0005-0000-0000-00004D830000}"/>
    <cellStyle name="Normal 26 11" xfId="33768" xr:uid="{00000000-0005-0000-0000-00004E830000}"/>
    <cellStyle name="Normal 26 12" xfId="33769" xr:uid="{00000000-0005-0000-0000-00004F830000}"/>
    <cellStyle name="Normal 26 2" xfId="33770" xr:uid="{00000000-0005-0000-0000-000050830000}"/>
    <cellStyle name="Normal 26 2 2" xfId="33771" xr:uid="{00000000-0005-0000-0000-000051830000}"/>
    <cellStyle name="Normal 26 2 2 2" xfId="33772" xr:uid="{00000000-0005-0000-0000-000052830000}"/>
    <cellStyle name="Normal 26 2 2 3" xfId="33773" xr:uid="{00000000-0005-0000-0000-000053830000}"/>
    <cellStyle name="Normal 26 2 3" xfId="33774" xr:uid="{00000000-0005-0000-0000-000054830000}"/>
    <cellStyle name="Normal 26 2 3 2" xfId="33775" xr:uid="{00000000-0005-0000-0000-000055830000}"/>
    <cellStyle name="Normal 26 2 3 3" xfId="33776" xr:uid="{00000000-0005-0000-0000-000056830000}"/>
    <cellStyle name="Normal 26 2 4" xfId="33777" xr:uid="{00000000-0005-0000-0000-000057830000}"/>
    <cellStyle name="Normal 26 2 4 2" xfId="33778" xr:uid="{00000000-0005-0000-0000-000058830000}"/>
    <cellStyle name="Normal 26 2 4 3" xfId="33779" xr:uid="{00000000-0005-0000-0000-000059830000}"/>
    <cellStyle name="Normal 26 2 5" xfId="33780" xr:uid="{00000000-0005-0000-0000-00005A830000}"/>
    <cellStyle name="Normal 26 2 6" xfId="33781" xr:uid="{00000000-0005-0000-0000-00005B830000}"/>
    <cellStyle name="Normal 26 2 7" xfId="33782" xr:uid="{00000000-0005-0000-0000-00005C830000}"/>
    <cellStyle name="Normal 26 2 8" xfId="33783" xr:uid="{00000000-0005-0000-0000-00005D830000}"/>
    <cellStyle name="Normal 26 2 9" xfId="33784" xr:uid="{00000000-0005-0000-0000-00005E830000}"/>
    <cellStyle name="Normal 26 3" xfId="33785" xr:uid="{00000000-0005-0000-0000-00005F830000}"/>
    <cellStyle name="Normal 26 3 2" xfId="33786" xr:uid="{00000000-0005-0000-0000-000060830000}"/>
    <cellStyle name="Normal 26 3 2 2" xfId="33787" xr:uid="{00000000-0005-0000-0000-000061830000}"/>
    <cellStyle name="Normal 26 3 2 3" xfId="33788" xr:uid="{00000000-0005-0000-0000-000062830000}"/>
    <cellStyle name="Normal 26 3 3" xfId="33789" xr:uid="{00000000-0005-0000-0000-000063830000}"/>
    <cellStyle name="Normal 26 3 3 2" xfId="33790" xr:uid="{00000000-0005-0000-0000-000064830000}"/>
    <cellStyle name="Normal 26 3 4" xfId="33791" xr:uid="{00000000-0005-0000-0000-000065830000}"/>
    <cellStyle name="Normal 26 3 5" xfId="33792" xr:uid="{00000000-0005-0000-0000-000066830000}"/>
    <cellStyle name="Normal 26 3 6" xfId="33793" xr:uid="{00000000-0005-0000-0000-000067830000}"/>
    <cellStyle name="Normal 26 3 7" xfId="33794" xr:uid="{00000000-0005-0000-0000-000068830000}"/>
    <cellStyle name="Normal 26 3 8" xfId="33795" xr:uid="{00000000-0005-0000-0000-000069830000}"/>
    <cellStyle name="Normal 26 4" xfId="33796" xr:uid="{00000000-0005-0000-0000-00006A830000}"/>
    <cellStyle name="Normal 26 4 2" xfId="33797" xr:uid="{00000000-0005-0000-0000-00006B830000}"/>
    <cellStyle name="Normal 26 4 2 2" xfId="33798" xr:uid="{00000000-0005-0000-0000-00006C830000}"/>
    <cellStyle name="Normal 26 4 3" xfId="33799" xr:uid="{00000000-0005-0000-0000-00006D830000}"/>
    <cellStyle name="Normal 26 4 3 2" xfId="33800" xr:uid="{00000000-0005-0000-0000-00006E830000}"/>
    <cellStyle name="Normal 26 4 4" xfId="33801" xr:uid="{00000000-0005-0000-0000-00006F830000}"/>
    <cellStyle name="Normal 26 4 5" xfId="33802" xr:uid="{00000000-0005-0000-0000-000070830000}"/>
    <cellStyle name="Normal 26 4 6" xfId="33803" xr:uid="{00000000-0005-0000-0000-000071830000}"/>
    <cellStyle name="Normal 26 4 7" xfId="33804" xr:uid="{00000000-0005-0000-0000-000072830000}"/>
    <cellStyle name="Normal 26 4 8" xfId="33805" xr:uid="{00000000-0005-0000-0000-000073830000}"/>
    <cellStyle name="Normal 26 5" xfId="33806" xr:uid="{00000000-0005-0000-0000-000074830000}"/>
    <cellStyle name="Normal 26 5 2" xfId="33807" xr:uid="{00000000-0005-0000-0000-000075830000}"/>
    <cellStyle name="Normal 26 5 3" xfId="33808" xr:uid="{00000000-0005-0000-0000-000076830000}"/>
    <cellStyle name="Normal 26 6" xfId="33809" xr:uid="{00000000-0005-0000-0000-000077830000}"/>
    <cellStyle name="Normal 26 6 2" xfId="33810" xr:uid="{00000000-0005-0000-0000-000078830000}"/>
    <cellStyle name="Normal 26 6 2 2" xfId="33811" xr:uid="{00000000-0005-0000-0000-000079830000}"/>
    <cellStyle name="Normal 26 6 3" xfId="33812" xr:uid="{00000000-0005-0000-0000-00007A830000}"/>
    <cellStyle name="Normal 26 6 3 2" xfId="33813" xr:uid="{00000000-0005-0000-0000-00007B830000}"/>
    <cellStyle name="Normal 26 6 4" xfId="33814" xr:uid="{00000000-0005-0000-0000-00007C830000}"/>
    <cellStyle name="Normal 26 7" xfId="33815" xr:uid="{00000000-0005-0000-0000-00007D830000}"/>
    <cellStyle name="Normal 26 7 2" xfId="33816" xr:uid="{00000000-0005-0000-0000-00007E830000}"/>
    <cellStyle name="Normal 26 7 3" xfId="33817" xr:uid="{00000000-0005-0000-0000-00007F830000}"/>
    <cellStyle name="Normal 26 8" xfId="33818" xr:uid="{00000000-0005-0000-0000-000080830000}"/>
    <cellStyle name="Normal 26 8 2" xfId="33819" xr:uid="{00000000-0005-0000-0000-000081830000}"/>
    <cellStyle name="Normal 26 9" xfId="33820" xr:uid="{00000000-0005-0000-0000-000082830000}"/>
    <cellStyle name="Normal 26_2015 Annual Rpt" xfId="33821" xr:uid="{00000000-0005-0000-0000-000083830000}"/>
    <cellStyle name="Normal 260" xfId="33822" xr:uid="{00000000-0005-0000-0000-000084830000}"/>
    <cellStyle name="Normal 261" xfId="33823" xr:uid="{00000000-0005-0000-0000-000085830000}"/>
    <cellStyle name="Normal 262" xfId="33824" xr:uid="{00000000-0005-0000-0000-000086830000}"/>
    <cellStyle name="Normal 263" xfId="33825" xr:uid="{00000000-0005-0000-0000-000087830000}"/>
    <cellStyle name="Normal 264" xfId="33826" xr:uid="{00000000-0005-0000-0000-000088830000}"/>
    <cellStyle name="Normal 265" xfId="33827" xr:uid="{00000000-0005-0000-0000-000089830000}"/>
    <cellStyle name="Normal 266" xfId="33828" xr:uid="{00000000-0005-0000-0000-00008A830000}"/>
    <cellStyle name="Normal 266 2" xfId="33829" xr:uid="{00000000-0005-0000-0000-00008B830000}"/>
    <cellStyle name="Normal 266 3" xfId="33830" xr:uid="{00000000-0005-0000-0000-00008C830000}"/>
    <cellStyle name="Normal 267" xfId="33831" xr:uid="{00000000-0005-0000-0000-00008D830000}"/>
    <cellStyle name="Normal 267 2" xfId="33832" xr:uid="{00000000-0005-0000-0000-00008E830000}"/>
    <cellStyle name="Normal 268" xfId="33833" xr:uid="{00000000-0005-0000-0000-00008F830000}"/>
    <cellStyle name="Normal 268 2" xfId="33834" xr:uid="{00000000-0005-0000-0000-000090830000}"/>
    <cellStyle name="Normal 269" xfId="33835" xr:uid="{00000000-0005-0000-0000-000091830000}"/>
    <cellStyle name="Normal 269 2" xfId="33836" xr:uid="{00000000-0005-0000-0000-000092830000}"/>
    <cellStyle name="Normal 27" xfId="292" xr:uid="{00000000-0005-0000-0000-000093830000}"/>
    <cellStyle name="Normal 27 10" xfId="33837" xr:uid="{00000000-0005-0000-0000-000094830000}"/>
    <cellStyle name="Normal 27 11" xfId="33838" xr:uid="{00000000-0005-0000-0000-000095830000}"/>
    <cellStyle name="Normal 27 12" xfId="33839" xr:uid="{00000000-0005-0000-0000-000096830000}"/>
    <cellStyle name="Normal 27 2" xfId="33840" xr:uid="{00000000-0005-0000-0000-000097830000}"/>
    <cellStyle name="Normal 27 2 2" xfId="33841" xr:uid="{00000000-0005-0000-0000-000098830000}"/>
    <cellStyle name="Normal 27 2 2 2" xfId="33842" xr:uid="{00000000-0005-0000-0000-000099830000}"/>
    <cellStyle name="Normal 27 2 2 3" xfId="33843" xr:uid="{00000000-0005-0000-0000-00009A830000}"/>
    <cellStyle name="Normal 27 2 2 4" xfId="33844" xr:uid="{00000000-0005-0000-0000-00009B830000}"/>
    <cellStyle name="Normal 27 2 3" xfId="33845" xr:uid="{00000000-0005-0000-0000-00009C830000}"/>
    <cellStyle name="Normal 27 2 3 2" xfId="33846" xr:uid="{00000000-0005-0000-0000-00009D830000}"/>
    <cellStyle name="Normal 27 2 3 3" xfId="33847" xr:uid="{00000000-0005-0000-0000-00009E830000}"/>
    <cellStyle name="Normal 27 2 4" xfId="33848" xr:uid="{00000000-0005-0000-0000-00009F830000}"/>
    <cellStyle name="Normal 27 2 4 2" xfId="33849" xr:uid="{00000000-0005-0000-0000-0000A0830000}"/>
    <cellStyle name="Normal 27 2 4 3" xfId="33850" xr:uid="{00000000-0005-0000-0000-0000A1830000}"/>
    <cellStyle name="Normal 27 2 5" xfId="33851" xr:uid="{00000000-0005-0000-0000-0000A2830000}"/>
    <cellStyle name="Normal 27 2 5 2" xfId="33852" xr:uid="{00000000-0005-0000-0000-0000A3830000}"/>
    <cellStyle name="Normal 27 2 6" xfId="33853" xr:uid="{00000000-0005-0000-0000-0000A4830000}"/>
    <cellStyle name="Normal 27 2 7" xfId="33854" xr:uid="{00000000-0005-0000-0000-0000A5830000}"/>
    <cellStyle name="Normal 27 2 8" xfId="33855" xr:uid="{00000000-0005-0000-0000-0000A6830000}"/>
    <cellStyle name="Normal 27 2 9" xfId="33856" xr:uid="{00000000-0005-0000-0000-0000A7830000}"/>
    <cellStyle name="Normal 27 3" xfId="33857" xr:uid="{00000000-0005-0000-0000-0000A8830000}"/>
    <cellStyle name="Normal 27 3 2" xfId="33858" xr:uid="{00000000-0005-0000-0000-0000A9830000}"/>
    <cellStyle name="Normal 27 3 2 2" xfId="33859" xr:uid="{00000000-0005-0000-0000-0000AA830000}"/>
    <cellStyle name="Normal 27 3 3" xfId="33860" xr:uid="{00000000-0005-0000-0000-0000AB830000}"/>
    <cellStyle name="Normal 27 3 3 2" xfId="33861" xr:uid="{00000000-0005-0000-0000-0000AC830000}"/>
    <cellStyle name="Normal 27 3 4" xfId="33862" xr:uid="{00000000-0005-0000-0000-0000AD830000}"/>
    <cellStyle name="Normal 27 3 5" xfId="33863" xr:uid="{00000000-0005-0000-0000-0000AE830000}"/>
    <cellStyle name="Normal 27 3 6" xfId="33864" xr:uid="{00000000-0005-0000-0000-0000AF830000}"/>
    <cellStyle name="Normal 27 3 7" xfId="33865" xr:uid="{00000000-0005-0000-0000-0000B0830000}"/>
    <cellStyle name="Normal 27 3 8" xfId="33866" xr:uid="{00000000-0005-0000-0000-0000B1830000}"/>
    <cellStyle name="Normal 27 4" xfId="33867" xr:uid="{00000000-0005-0000-0000-0000B2830000}"/>
    <cellStyle name="Normal 27 4 2" xfId="33868" xr:uid="{00000000-0005-0000-0000-0000B3830000}"/>
    <cellStyle name="Normal 27 4 2 2" xfId="33869" xr:uid="{00000000-0005-0000-0000-0000B4830000}"/>
    <cellStyle name="Normal 27 4 2 3" xfId="33870" xr:uid="{00000000-0005-0000-0000-0000B5830000}"/>
    <cellStyle name="Normal 27 4 3" xfId="33871" xr:uid="{00000000-0005-0000-0000-0000B6830000}"/>
    <cellStyle name="Normal 27 4 3 2" xfId="33872" xr:uid="{00000000-0005-0000-0000-0000B7830000}"/>
    <cellStyle name="Normal 27 4 4" xfId="33873" xr:uid="{00000000-0005-0000-0000-0000B8830000}"/>
    <cellStyle name="Normal 27 4 5" xfId="33874" xr:uid="{00000000-0005-0000-0000-0000B9830000}"/>
    <cellStyle name="Normal 27 4 6" xfId="33875" xr:uid="{00000000-0005-0000-0000-0000BA830000}"/>
    <cellStyle name="Normal 27 4 7" xfId="33876" xr:uid="{00000000-0005-0000-0000-0000BB830000}"/>
    <cellStyle name="Normal 27 4 8" xfId="33877" xr:uid="{00000000-0005-0000-0000-0000BC830000}"/>
    <cellStyle name="Normal 27 5" xfId="33878" xr:uid="{00000000-0005-0000-0000-0000BD830000}"/>
    <cellStyle name="Normal 27 5 2" xfId="33879" xr:uid="{00000000-0005-0000-0000-0000BE830000}"/>
    <cellStyle name="Normal 27 6" xfId="33880" xr:uid="{00000000-0005-0000-0000-0000BF830000}"/>
    <cellStyle name="Normal 27 6 2" xfId="33881" xr:uid="{00000000-0005-0000-0000-0000C0830000}"/>
    <cellStyle name="Normal 27 6 2 2" xfId="33882" xr:uid="{00000000-0005-0000-0000-0000C1830000}"/>
    <cellStyle name="Normal 27 6 3" xfId="33883" xr:uid="{00000000-0005-0000-0000-0000C2830000}"/>
    <cellStyle name="Normal 27 6 3 2" xfId="33884" xr:uid="{00000000-0005-0000-0000-0000C3830000}"/>
    <cellStyle name="Normal 27 6 4" xfId="33885" xr:uid="{00000000-0005-0000-0000-0000C4830000}"/>
    <cellStyle name="Normal 27 6 5" xfId="33886" xr:uid="{00000000-0005-0000-0000-0000C5830000}"/>
    <cellStyle name="Normal 27 7" xfId="33887" xr:uid="{00000000-0005-0000-0000-0000C6830000}"/>
    <cellStyle name="Normal 27 7 2" xfId="33888" xr:uid="{00000000-0005-0000-0000-0000C7830000}"/>
    <cellStyle name="Normal 27 8" xfId="33889" xr:uid="{00000000-0005-0000-0000-0000C8830000}"/>
    <cellStyle name="Normal 27 8 2" xfId="33890" xr:uid="{00000000-0005-0000-0000-0000C9830000}"/>
    <cellStyle name="Normal 27 9" xfId="33891" xr:uid="{00000000-0005-0000-0000-0000CA830000}"/>
    <cellStyle name="Normal 270" xfId="33892" xr:uid="{00000000-0005-0000-0000-0000CB830000}"/>
    <cellStyle name="Normal 270 2" xfId="33893" xr:uid="{00000000-0005-0000-0000-0000CC830000}"/>
    <cellStyle name="Normal 271" xfId="33894" xr:uid="{00000000-0005-0000-0000-0000CD830000}"/>
    <cellStyle name="Normal 271 2" xfId="33895" xr:uid="{00000000-0005-0000-0000-0000CE830000}"/>
    <cellStyle name="Normal 272" xfId="33896" xr:uid="{00000000-0005-0000-0000-0000CF830000}"/>
    <cellStyle name="Normal 272 2" xfId="33897" xr:uid="{00000000-0005-0000-0000-0000D0830000}"/>
    <cellStyle name="Normal 273" xfId="33898" xr:uid="{00000000-0005-0000-0000-0000D1830000}"/>
    <cellStyle name="Normal 273 2" xfId="33899" xr:uid="{00000000-0005-0000-0000-0000D2830000}"/>
    <cellStyle name="Normal 274" xfId="33900" xr:uid="{00000000-0005-0000-0000-0000D3830000}"/>
    <cellStyle name="Normal 274 2" xfId="33901" xr:uid="{00000000-0005-0000-0000-0000D4830000}"/>
    <cellStyle name="Normal 275" xfId="33902" xr:uid="{00000000-0005-0000-0000-0000D5830000}"/>
    <cellStyle name="Normal 275 2" xfId="33903" xr:uid="{00000000-0005-0000-0000-0000D6830000}"/>
    <cellStyle name="Normal 276" xfId="33904" xr:uid="{00000000-0005-0000-0000-0000D7830000}"/>
    <cellStyle name="Normal 276 2" xfId="33905" xr:uid="{00000000-0005-0000-0000-0000D8830000}"/>
    <cellStyle name="Normal 277" xfId="33906" xr:uid="{00000000-0005-0000-0000-0000D9830000}"/>
    <cellStyle name="Normal 277 2" xfId="33907" xr:uid="{00000000-0005-0000-0000-0000DA830000}"/>
    <cellStyle name="Normal 278" xfId="33908" xr:uid="{00000000-0005-0000-0000-0000DB830000}"/>
    <cellStyle name="Normal 278 2" xfId="33909" xr:uid="{00000000-0005-0000-0000-0000DC830000}"/>
    <cellStyle name="Normal 279" xfId="33910" xr:uid="{00000000-0005-0000-0000-0000DD830000}"/>
    <cellStyle name="Normal 279 2" xfId="33911" xr:uid="{00000000-0005-0000-0000-0000DE830000}"/>
    <cellStyle name="Normal 28" xfId="293" xr:uid="{00000000-0005-0000-0000-0000DF830000}"/>
    <cellStyle name="Normal 28 10" xfId="33912" xr:uid="{00000000-0005-0000-0000-0000E0830000}"/>
    <cellStyle name="Normal 28 11" xfId="33913" xr:uid="{00000000-0005-0000-0000-0000E1830000}"/>
    <cellStyle name="Normal 28 12" xfId="33914" xr:uid="{00000000-0005-0000-0000-0000E2830000}"/>
    <cellStyle name="Normal 28 2" xfId="33915" xr:uid="{00000000-0005-0000-0000-0000E3830000}"/>
    <cellStyle name="Normal 28 2 2" xfId="33916" xr:uid="{00000000-0005-0000-0000-0000E4830000}"/>
    <cellStyle name="Normal 28 2 2 2" xfId="33917" xr:uid="{00000000-0005-0000-0000-0000E5830000}"/>
    <cellStyle name="Normal 28 2 2 3" xfId="33918" xr:uid="{00000000-0005-0000-0000-0000E6830000}"/>
    <cellStyle name="Normal 28 2 2 4" xfId="33919" xr:uid="{00000000-0005-0000-0000-0000E7830000}"/>
    <cellStyle name="Normal 28 2 3" xfId="33920" xr:uid="{00000000-0005-0000-0000-0000E8830000}"/>
    <cellStyle name="Normal 28 2 3 2" xfId="33921" xr:uid="{00000000-0005-0000-0000-0000E9830000}"/>
    <cellStyle name="Normal 28 2 3 3" xfId="33922" xr:uid="{00000000-0005-0000-0000-0000EA830000}"/>
    <cellStyle name="Normal 28 2 4" xfId="33923" xr:uid="{00000000-0005-0000-0000-0000EB830000}"/>
    <cellStyle name="Normal 28 2 4 2" xfId="33924" xr:uid="{00000000-0005-0000-0000-0000EC830000}"/>
    <cellStyle name="Normal 28 2 4 3" xfId="33925" xr:uid="{00000000-0005-0000-0000-0000ED830000}"/>
    <cellStyle name="Normal 28 2 5" xfId="33926" xr:uid="{00000000-0005-0000-0000-0000EE830000}"/>
    <cellStyle name="Normal 28 2 5 2" xfId="33927" xr:uid="{00000000-0005-0000-0000-0000EF830000}"/>
    <cellStyle name="Normal 28 2 6" xfId="33928" xr:uid="{00000000-0005-0000-0000-0000F0830000}"/>
    <cellStyle name="Normal 28 2 7" xfId="33929" xr:uid="{00000000-0005-0000-0000-0000F1830000}"/>
    <cellStyle name="Normal 28 2 8" xfId="33930" xr:uid="{00000000-0005-0000-0000-0000F2830000}"/>
    <cellStyle name="Normal 28 2 9" xfId="33931" xr:uid="{00000000-0005-0000-0000-0000F3830000}"/>
    <cellStyle name="Normal 28 3" xfId="33932" xr:uid="{00000000-0005-0000-0000-0000F4830000}"/>
    <cellStyle name="Normal 28 3 2" xfId="33933" xr:uid="{00000000-0005-0000-0000-0000F5830000}"/>
    <cellStyle name="Normal 28 3 2 2" xfId="33934" xr:uid="{00000000-0005-0000-0000-0000F6830000}"/>
    <cellStyle name="Normal 28 3 3" xfId="33935" xr:uid="{00000000-0005-0000-0000-0000F7830000}"/>
    <cellStyle name="Normal 28 3 3 2" xfId="33936" xr:uid="{00000000-0005-0000-0000-0000F8830000}"/>
    <cellStyle name="Normal 28 3 4" xfId="33937" xr:uid="{00000000-0005-0000-0000-0000F9830000}"/>
    <cellStyle name="Normal 28 3 5" xfId="33938" xr:uid="{00000000-0005-0000-0000-0000FA830000}"/>
    <cellStyle name="Normal 28 3 6" xfId="33939" xr:uid="{00000000-0005-0000-0000-0000FB830000}"/>
    <cellStyle name="Normal 28 3 7" xfId="33940" xr:uid="{00000000-0005-0000-0000-0000FC830000}"/>
    <cellStyle name="Normal 28 3 8" xfId="33941" xr:uid="{00000000-0005-0000-0000-0000FD830000}"/>
    <cellStyle name="Normal 28 4" xfId="33942" xr:uid="{00000000-0005-0000-0000-0000FE830000}"/>
    <cellStyle name="Normal 28 4 2" xfId="33943" xr:uid="{00000000-0005-0000-0000-0000FF830000}"/>
    <cellStyle name="Normal 28 4 2 2" xfId="33944" xr:uid="{00000000-0005-0000-0000-000000840000}"/>
    <cellStyle name="Normal 28 4 2 3" xfId="33945" xr:uid="{00000000-0005-0000-0000-000001840000}"/>
    <cellStyle name="Normal 28 4 3" xfId="33946" xr:uid="{00000000-0005-0000-0000-000002840000}"/>
    <cellStyle name="Normal 28 4 3 2" xfId="33947" xr:uid="{00000000-0005-0000-0000-000003840000}"/>
    <cellStyle name="Normal 28 4 4" xfId="33948" xr:uid="{00000000-0005-0000-0000-000004840000}"/>
    <cellStyle name="Normal 28 4 5" xfId="33949" xr:uid="{00000000-0005-0000-0000-000005840000}"/>
    <cellStyle name="Normal 28 4 6" xfId="33950" xr:uid="{00000000-0005-0000-0000-000006840000}"/>
    <cellStyle name="Normal 28 4 7" xfId="33951" xr:uid="{00000000-0005-0000-0000-000007840000}"/>
    <cellStyle name="Normal 28 4 8" xfId="33952" xr:uid="{00000000-0005-0000-0000-000008840000}"/>
    <cellStyle name="Normal 28 5" xfId="33953" xr:uid="{00000000-0005-0000-0000-000009840000}"/>
    <cellStyle name="Normal 28 5 2" xfId="33954" xr:uid="{00000000-0005-0000-0000-00000A840000}"/>
    <cellStyle name="Normal 28 5 3" xfId="33955" xr:uid="{00000000-0005-0000-0000-00000B840000}"/>
    <cellStyle name="Normal 28 6" xfId="33956" xr:uid="{00000000-0005-0000-0000-00000C840000}"/>
    <cellStyle name="Normal 28 6 2" xfId="33957" xr:uid="{00000000-0005-0000-0000-00000D840000}"/>
    <cellStyle name="Normal 28 6 2 2" xfId="33958" xr:uid="{00000000-0005-0000-0000-00000E840000}"/>
    <cellStyle name="Normal 28 6 3" xfId="33959" xr:uid="{00000000-0005-0000-0000-00000F840000}"/>
    <cellStyle name="Normal 28 6 3 2" xfId="33960" xr:uid="{00000000-0005-0000-0000-000010840000}"/>
    <cellStyle name="Normal 28 6 4" xfId="33961" xr:uid="{00000000-0005-0000-0000-000011840000}"/>
    <cellStyle name="Normal 28 6 5" xfId="33962" xr:uid="{00000000-0005-0000-0000-000012840000}"/>
    <cellStyle name="Normal 28 7" xfId="33963" xr:uid="{00000000-0005-0000-0000-000013840000}"/>
    <cellStyle name="Normal 28 7 2" xfId="33964" xr:uid="{00000000-0005-0000-0000-000014840000}"/>
    <cellStyle name="Normal 28 7 3" xfId="33965" xr:uid="{00000000-0005-0000-0000-000015840000}"/>
    <cellStyle name="Normal 28 8" xfId="33966" xr:uid="{00000000-0005-0000-0000-000016840000}"/>
    <cellStyle name="Normal 28 8 2" xfId="33967" xr:uid="{00000000-0005-0000-0000-000017840000}"/>
    <cellStyle name="Normal 28 9" xfId="33968" xr:uid="{00000000-0005-0000-0000-000018840000}"/>
    <cellStyle name="Normal 28_2015 Annual Rpt" xfId="33969" xr:uid="{00000000-0005-0000-0000-000019840000}"/>
    <cellStyle name="Normal 280" xfId="33970" xr:uid="{00000000-0005-0000-0000-00001A840000}"/>
    <cellStyle name="Normal 280 2" xfId="33971" xr:uid="{00000000-0005-0000-0000-00001B840000}"/>
    <cellStyle name="Normal 281" xfId="33972" xr:uid="{00000000-0005-0000-0000-00001C840000}"/>
    <cellStyle name="Normal 281 2" xfId="33973" xr:uid="{00000000-0005-0000-0000-00001D840000}"/>
    <cellStyle name="Normal 282" xfId="33974" xr:uid="{00000000-0005-0000-0000-00001E840000}"/>
    <cellStyle name="Normal 282 2" xfId="33975" xr:uid="{00000000-0005-0000-0000-00001F840000}"/>
    <cellStyle name="Normal 283" xfId="33976" xr:uid="{00000000-0005-0000-0000-000020840000}"/>
    <cellStyle name="Normal 283 2" xfId="33977" xr:uid="{00000000-0005-0000-0000-000021840000}"/>
    <cellStyle name="Normal 284" xfId="33978" xr:uid="{00000000-0005-0000-0000-000022840000}"/>
    <cellStyle name="Normal 284 2" xfId="33979" xr:uid="{00000000-0005-0000-0000-000023840000}"/>
    <cellStyle name="Normal 285" xfId="33980" xr:uid="{00000000-0005-0000-0000-000024840000}"/>
    <cellStyle name="Normal 285 2" xfId="33981" xr:uid="{00000000-0005-0000-0000-000025840000}"/>
    <cellStyle name="Normal 286" xfId="33982" xr:uid="{00000000-0005-0000-0000-000026840000}"/>
    <cellStyle name="Normal 286 2" xfId="33983" xr:uid="{00000000-0005-0000-0000-000027840000}"/>
    <cellStyle name="Normal 287" xfId="33984" xr:uid="{00000000-0005-0000-0000-000028840000}"/>
    <cellStyle name="Normal 287 2" xfId="33985" xr:uid="{00000000-0005-0000-0000-000029840000}"/>
    <cellStyle name="Normal 288" xfId="33986" xr:uid="{00000000-0005-0000-0000-00002A840000}"/>
    <cellStyle name="Normal 288 2" xfId="33987" xr:uid="{00000000-0005-0000-0000-00002B840000}"/>
    <cellStyle name="Normal 289" xfId="33988" xr:uid="{00000000-0005-0000-0000-00002C840000}"/>
    <cellStyle name="Normal 289 2" xfId="33989" xr:uid="{00000000-0005-0000-0000-00002D840000}"/>
    <cellStyle name="Normal 29" xfId="294" xr:uid="{00000000-0005-0000-0000-00002E840000}"/>
    <cellStyle name="Normal 29 10" xfId="33990" xr:uid="{00000000-0005-0000-0000-00002F840000}"/>
    <cellStyle name="Normal 29 11" xfId="33991" xr:uid="{00000000-0005-0000-0000-000030840000}"/>
    <cellStyle name="Normal 29 12" xfId="33992" xr:uid="{00000000-0005-0000-0000-000031840000}"/>
    <cellStyle name="Normal 29 2" xfId="33993" xr:uid="{00000000-0005-0000-0000-000032840000}"/>
    <cellStyle name="Normal 29 2 2" xfId="33994" xr:uid="{00000000-0005-0000-0000-000033840000}"/>
    <cellStyle name="Normal 29 2 2 2" xfId="33995" xr:uid="{00000000-0005-0000-0000-000034840000}"/>
    <cellStyle name="Normal 29 2 2 3" xfId="33996" xr:uid="{00000000-0005-0000-0000-000035840000}"/>
    <cellStyle name="Normal 29 2 2 4" xfId="33997" xr:uid="{00000000-0005-0000-0000-000036840000}"/>
    <cellStyle name="Normal 29 2 3" xfId="33998" xr:uid="{00000000-0005-0000-0000-000037840000}"/>
    <cellStyle name="Normal 29 2 3 2" xfId="33999" xr:uid="{00000000-0005-0000-0000-000038840000}"/>
    <cellStyle name="Normal 29 2 3 3" xfId="34000" xr:uid="{00000000-0005-0000-0000-000039840000}"/>
    <cellStyle name="Normal 29 2 4" xfId="34001" xr:uid="{00000000-0005-0000-0000-00003A840000}"/>
    <cellStyle name="Normal 29 2 4 2" xfId="34002" xr:uid="{00000000-0005-0000-0000-00003B840000}"/>
    <cellStyle name="Normal 29 2 4 3" xfId="34003" xr:uid="{00000000-0005-0000-0000-00003C840000}"/>
    <cellStyle name="Normal 29 2 5" xfId="34004" xr:uid="{00000000-0005-0000-0000-00003D840000}"/>
    <cellStyle name="Normal 29 2 5 2" xfId="34005" xr:uid="{00000000-0005-0000-0000-00003E840000}"/>
    <cellStyle name="Normal 29 2 6" xfId="34006" xr:uid="{00000000-0005-0000-0000-00003F840000}"/>
    <cellStyle name="Normal 29 2 7" xfId="34007" xr:uid="{00000000-0005-0000-0000-000040840000}"/>
    <cellStyle name="Normal 29 2 8" xfId="34008" xr:uid="{00000000-0005-0000-0000-000041840000}"/>
    <cellStyle name="Normal 29 2 9" xfId="34009" xr:uid="{00000000-0005-0000-0000-000042840000}"/>
    <cellStyle name="Normal 29 3" xfId="34010" xr:uid="{00000000-0005-0000-0000-000043840000}"/>
    <cellStyle name="Normal 29 3 2" xfId="34011" xr:uid="{00000000-0005-0000-0000-000044840000}"/>
    <cellStyle name="Normal 29 3 2 2" xfId="34012" xr:uid="{00000000-0005-0000-0000-000045840000}"/>
    <cellStyle name="Normal 29 3 3" xfId="34013" xr:uid="{00000000-0005-0000-0000-000046840000}"/>
    <cellStyle name="Normal 29 3 3 2" xfId="34014" xr:uid="{00000000-0005-0000-0000-000047840000}"/>
    <cellStyle name="Normal 29 3 4" xfId="34015" xr:uid="{00000000-0005-0000-0000-000048840000}"/>
    <cellStyle name="Normal 29 3 5" xfId="34016" xr:uid="{00000000-0005-0000-0000-000049840000}"/>
    <cellStyle name="Normal 29 3 6" xfId="34017" xr:uid="{00000000-0005-0000-0000-00004A840000}"/>
    <cellStyle name="Normal 29 3 7" xfId="34018" xr:uid="{00000000-0005-0000-0000-00004B840000}"/>
    <cellStyle name="Normal 29 3 8" xfId="34019" xr:uid="{00000000-0005-0000-0000-00004C840000}"/>
    <cellStyle name="Normal 29 4" xfId="34020" xr:uid="{00000000-0005-0000-0000-00004D840000}"/>
    <cellStyle name="Normal 29 4 2" xfId="34021" xr:uid="{00000000-0005-0000-0000-00004E840000}"/>
    <cellStyle name="Normal 29 4 2 2" xfId="34022" xr:uid="{00000000-0005-0000-0000-00004F840000}"/>
    <cellStyle name="Normal 29 4 2 3" xfId="34023" xr:uid="{00000000-0005-0000-0000-000050840000}"/>
    <cellStyle name="Normal 29 4 3" xfId="34024" xr:uid="{00000000-0005-0000-0000-000051840000}"/>
    <cellStyle name="Normal 29 4 3 2" xfId="34025" xr:uid="{00000000-0005-0000-0000-000052840000}"/>
    <cellStyle name="Normal 29 4 4" xfId="34026" xr:uid="{00000000-0005-0000-0000-000053840000}"/>
    <cellStyle name="Normal 29 4 5" xfId="34027" xr:uid="{00000000-0005-0000-0000-000054840000}"/>
    <cellStyle name="Normal 29 4 6" xfId="34028" xr:uid="{00000000-0005-0000-0000-000055840000}"/>
    <cellStyle name="Normal 29 4 7" xfId="34029" xr:uid="{00000000-0005-0000-0000-000056840000}"/>
    <cellStyle name="Normal 29 4 8" xfId="34030" xr:uid="{00000000-0005-0000-0000-000057840000}"/>
    <cellStyle name="Normal 29 5" xfId="34031" xr:uid="{00000000-0005-0000-0000-000058840000}"/>
    <cellStyle name="Normal 29 5 2" xfId="34032" xr:uid="{00000000-0005-0000-0000-000059840000}"/>
    <cellStyle name="Normal 29 6" xfId="34033" xr:uid="{00000000-0005-0000-0000-00005A840000}"/>
    <cellStyle name="Normal 29 6 2" xfId="34034" xr:uid="{00000000-0005-0000-0000-00005B840000}"/>
    <cellStyle name="Normal 29 6 2 2" xfId="34035" xr:uid="{00000000-0005-0000-0000-00005C840000}"/>
    <cellStyle name="Normal 29 6 3" xfId="34036" xr:uid="{00000000-0005-0000-0000-00005D840000}"/>
    <cellStyle name="Normal 29 6 3 2" xfId="34037" xr:uid="{00000000-0005-0000-0000-00005E840000}"/>
    <cellStyle name="Normal 29 6 4" xfId="34038" xr:uid="{00000000-0005-0000-0000-00005F840000}"/>
    <cellStyle name="Normal 29 6 5" xfId="34039" xr:uid="{00000000-0005-0000-0000-000060840000}"/>
    <cellStyle name="Normal 29 7" xfId="34040" xr:uid="{00000000-0005-0000-0000-000061840000}"/>
    <cellStyle name="Normal 29 7 2" xfId="34041" xr:uid="{00000000-0005-0000-0000-000062840000}"/>
    <cellStyle name="Normal 29 8" xfId="34042" xr:uid="{00000000-0005-0000-0000-000063840000}"/>
    <cellStyle name="Normal 29 8 2" xfId="34043" xr:uid="{00000000-0005-0000-0000-000064840000}"/>
    <cellStyle name="Normal 29 9" xfId="34044" xr:uid="{00000000-0005-0000-0000-000065840000}"/>
    <cellStyle name="Normal 290" xfId="34045" xr:uid="{00000000-0005-0000-0000-000066840000}"/>
    <cellStyle name="Normal 290 2" xfId="34046" xr:uid="{00000000-0005-0000-0000-000067840000}"/>
    <cellStyle name="Normal 291" xfId="34047" xr:uid="{00000000-0005-0000-0000-000068840000}"/>
    <cellStyle name="Normal 291 2" xfId="34048" xr:uid="{00000000-0005-0000-0000-000069840000}"/>
    <cellStyle name="Normal 292" xfId="34049" xr:uid="{00000000-0005-0000-0000-00006A840000}"/>
    <cellStyle name="Normal 292 2" xfId="34050" xr:uid="{00000000-0005-0000-0000-00006B840000}"/>
    <cellStyle name="Normal 293" xfId="34051" xr:uid="{00000000-0005-0000-0000-00006C840000}"/>
    <cellStyle name="Normal 293 2" xfId="34052" xr:uid="{00000000-0005-0000-0000-00006D840000}"/>
    <cellStyle name="Normal 294" xfId="34053" xr:uid="{00000000-0005-0000-0000-00006E840000}"/>
    <cellStyle name="Normal 294 2" xfId="34054" xr:uid="{00000000-0005-0000-0000-00006F840000}"/>
    <cellStyle name="Normal 295" xfId="34055" xr:uid="{00000000-0005-0000-0000-000070840000}"/>
    <cellStyle name="Normal 295 2" xfId="34056" xr:uid="{00000000-0005-0000-0000-000071840000}"/>
    <cellStyle name="Normal 296" xfId="34057" xr:uid="{00000000-0005-0000-0000-000072840000}"/>
    <cellStyle name="Normal 296 2" xfId="34058" xr:uid="{00000000-0005-0000-0000-000073840000}"/>
    <cellStyle name="Normal 297" xfId="34059" xr:uid="{00000000-0005-0000-0000-000074840000}"/>
    <cellStyle name="Normal 297 2" xfId="34060" xr:uid="{00000000-0005-0000-0000-000075840000}"/>
    <cellStyle name="Normal 298" xfId="34061" xr:uid="{00000000-0005-0000-0000-000076840000}"/>
    <cellStyle name="Normal 298 2" xfId="34062" xr:uid="{00000000-0005-0000-0000-000077840000}"/>
    <cellStyle name="Normal 299" xfId="34063" xr:uid="{00000000-0005-0000-0000-000078840000}"/>
    <cellStyle name="Normal 299 2" xfId="34064" xr:uid="{00000000-0005-0000-0000-000079840000}"/>
    <cellStyle name="Normal 3" xfId="295" xr:uid="{00000000-0005-0000-0000-00007A840000}"/>
    <cellStyle name="Normal 3 10" xfId="34065" xr:uid="{00000000-0005-0000-0000-00007B840000}"/>
    <cellStyle name="Normal 3 10 10" xfId="34066" xr:uid="{00000000-0005-0000-0000-00007C840000}"/>
    <cellStyle name="Normal 3 10 10 2" xfId="34067" xr:uid="{00000000-0005-0000-0000-00007D840000}"/>
    <cellStyle name="Normal 3 10 10 2 2" xfId="34068" xr:uid="{00000000-0005-0000-0000-00007E840000}"/>
    <cellStyle name="Normal 3 10 10 2 2 2" xfId="34069" xr:uid="{00000000-0005-0000-0000-00007F840000}"/>
    <cellStyle name="Normal 3 10 10 2 2 3" xfId="34070" xr:uid="{00000000-0005-0000-0000-000080840000}"/>
    <cellStyle name="Normal 3 10 10 2 3" xfId="34071" xr:uid="{00000000-0005-0000-0000-000081840000}"/>
    <cellStyle name="Normal 3 10 10 2 4" xfId="34072" xr:uid="{00000000-0005-0000-0000-000082840000}"/>
    <cellStyle name="Normal 3 10 10 3" xfId="34073" xr:uid="{00000000-0005-0000-0000-000083840000}"/>
    <cellStyle name="Normal 3 10 10 3 2" xfId="34074" xr:uid="{00000000-0005-0000-0000-000084840000}"/>
    <cellStyle name="Normal 3 10 10 3 3" xfId="34075" xr:uid="{00000000-0005-0000-0000-000085840000}"/>
    <cellStyle name="Normal 3 10 10 4" xfId="34076" xr:uid="{00000000-0005-0000-0000-000086840000}"/>
    <cellStyle name="Normal 3 10 11" xfId="34077" xr:uid="{00000000-0005-0000-0000-000087840000}"/>
    <cellStyle name="Normal 3 10 11 2" xfId="34078" xr:uid="{00000000-0005-0000-0000-000088840000}"/>
    <cellStyle name="Normal 3 10 11 2 2" xfId="34079" xr:uid="{00000000-0005-0000-0000-000089840000}"/>
    <cellStyle name="Normal 3 10 11 2 2 2" xfId="34080" xr:uid="{00000000-0005-0000-0000-00008A840000}"/>
    <cellStyle name="Normal 3 10 11 2 2 3" xfId="34081" xr:uid="{00000000-0005-0000-0000-00008B840000}"/>
    <cellStyle name="Normal 3 10 11 2 3" xfId="34082" xr:uid="{00000000-0005-0000-0000-00008C840000}"/>
    <cellStyle name="Normal 3 10 11 2 4" xfId="34083" xr:uid="{00000000-0005-0000-0000-00008D840000}"/>
    <cellStyle name="Normal 3 10 11 3" xfId="34084" xr:uid="{00000000-0005-0000-0000-00008E840000}"/>
    <cellStyle name="Normal 3 10 11 3 2" xfId="34085" xr:uid="{00000000-0005-0000-0000-00008F840000}"/>
    <cellStyle name="Normal 3 10 11 3 3" xfId="34086" xr:uid="{00000000-0005-0000-0000-000090840000}"/>
    <cellStyle name="Normal 3 10 11 4" xfId="34087" xr:uid="{00000000-0005-0000-0000-000091840000}"/>
    <cellStyle name="Normal 3 10 12" xfId="34088" xr:uid="{00000000-0005-0000-0000-000092840000}"/>
    <cellStyle name="Normal 3 10 12 2" xfId="34089" xr:uid="{00000000-0005-0000-0000-000093840000}"/>
    <cellStyle name="Normal 3 10 12 2 2" xfId="34090" xr:uid="{00000000-0005-0000-0000-000094840000}"/>
    <cellStyle name="Normal 3 10 12 2 2 2" xfId="34091" xr:uid="{00000000-0005-0000-0000-000095840000}"/>
    <cellStyle name="Normal 3 10 12 2 2 3" xfId="34092" xr:uid="{00000000-0005-0000-0000-000096840000}"/>
    <cellStyle name="Normal 3 10 12 2 3" xfId="34093" xr:uid="{00000000-0005-0000-0000-000097840000}"/>
    <cellStyle name="Normal 3 10 12 2 4" xfId="34094" xr:uid="{00000000-0005-0000-0000-000098840000}"/>
    <cellStyle name="Normal 3 10 12 3" xfId="34095" xr:uid="{00000000-0005-0000-0000-000099840000}"/>
    <cellStyle name="Normal 3 10 12 3 2" xfId="34096" xr:uid="{00000000-0005-0000-0000-00009A840000}"/>
    <cellStyle name="Normal 3 10 12 3 3" xfId="34097" xr:uid="{00000000-0005-0000-0000-00009B840000}"/>
    <cellStyle name="Normal 3 10 12 4" xfId="34098" xr:uid="{00000000-0005-0000-0000-00009C840000}"/>
    <cellStyle name="Normal 3 10 13" xfId="34099" xr:uid="{00000000-0005-0000-0000-00009D840000}"/>
    <cellStyle name="Normal 3 10 13 2" xfId="34100" xr:uid="{00000000-0005-0000-0000-00009E840000}"/>
    <cellStyle name="Normal 3 10 13 2 2" xfId="34101" xr:uid="{00000000-0005-0000-0000-00009F840000}"/>
    <cellStyle name="Normal 3 10 13 2 2 2" xfId="34102" xr:uid="{00000000-0005-0000-0000-0000A0840000}"/>
    <cellStyle name="Normal 3 10 13 2 2 3" xfId="34103" xr:uid="{00000000-0005-0000-0000-0000A1840000}"/>
    <cellStyle name="Normal 3 10 13 2 3" xfId="34104" xr:uid="{00000000-0005-0000-0000-0000A2840000}"/>
    <cellStyle name="Normal 3 10 13 2 4" xfId="34105" xr:uid="{00000000-0005-0000-0000-0000A3840000}"/>
    <cellStyle name="Normal 3 10 13 3" xfId="34106" xr:uid="{00000000-0005-0000-0000-0000A4840000}"/>
    <cellStyle name="Normal 3 10 13 3 2" xfId="34107" xr:uid="{00000000-0005-0000-0000-0000A5840000}"/>
    <cellStyle name="Normal 3 10 13 3 3" xfId="34108" xr:uid="{00000000-0005-0000-0000-0000A6840000}"/>
    <cellStyle name="Normal 3 10 13 4" xfId="34109" xr:uid="{00000000-0005-0000-0000-0000A7840000}"/>
    <cellStyle name="Normal 3 10 14" xfId="34110" xr:uid="{00000000-0005-0000-0000-0000A8840000}"/>
    <cellStyle name="Normal 3 10 14 2" xfId="34111" xr:uid="{00000000-0005-0000-0000-0000A9840000}"/>
    <cellStyle name="Normal 3 10 14 2 2" xfId="34112" xr:uid="{00000000-0005-0000-0000-0000AA840000}"/>
    <cellStyle name="Normal 3 10 14 2 2 2" xfId="34113" xr:uid="{00000000-0005-0000-0000-0000AB840000}"/>
    <cellStyle name="Normal 3 10 14 2 2 3" xfId="34114" xr:uid="{00000000-0005-0000-0000-0000AC840000}"/>
    <cellStyle name="Normal 3 10 14 2 3" xfId="34115" xr:uid="{00000000-0005-0000-0000-0000AD840000}"/>
    <cellStyle name="Normal 3 10 14 2 4" xfId="34116" xr:uid="{00000000-0005-0000-0000-0000AE840000}"/>
    <cellStyle name="Normal 3 10 14 3" xfId="34117" xr:uid="{00000000-0005-0000-0000-0000AF840000}"/>
    <cellStyle name="Normal 3 10 14 3 2" xfId="34118" xr:uid="{00000000-0005-0000-0000-0000B0840000}"/>
    <cellStyle name="Normal 3 10 14 3 3" xfId="34119" xr:uid="{00000000-0005-0000-0000-0000B1840000}"/>
    <cellStyle name="Normal 3 10 14 4" xfId="34120" xr:uid="{00000000-0005-0000-0000-0000B2840000}"/>
    <cellStyle name="Normal 3 10 15" xfId="34121" xr:uid="{00000000-0005-0000-0000-0000B3840000}"/>
    <cellStyle name="Normal 3 10 15 2" xfId="34122" xr:uid="{00000000-0005-0000-0000-0000B4840000}"/>
    <cellStyle name="Normal 3 10 15 2 2" xfId="34123" xr:uid="{00000000-0005-0000-0000-0000B5840000}"/>
    <cellStyle name="Normal 3 10 15 2 2 2" xfId="34124" xr:uid="{00000000-0005-0000-0000-0000B6840000}"/>
    <cellStyle name="Normal 3 10 15 2 2 3" xfId="34125" xr:uid="{00000000-0005-0000-0000-0000B7840000}"/>
    <cellStyle name="Normal 3 10 15 2 3" xfId="34126" xr:uid="{00000000-0005-0000-0000-0000B8840000}"/>
    <cellStyle name="Normal 3 10 15 2 4" xfId="34127" xr:uid="{00000000-0005-0000-0000-0000B9840000}"/>
    <cellStyle name="Normal 3 10 15 3" xfId="34128" xr:uid="{00000000-0005-0000-0000-0000BA840000}"/>
    <cellStyle name="Normal 3 10 15 3 2" xfId="34129" xr:uid="{00000000-0005-0000-0000-0000BB840000}"/>
    <cellStyle name="Normal 3 10 15 3 3" xfId="34130" xr:uid="{00000000-0005-0000-0000-0000BC840000}"/>
    <cellStyle name="Normal 3 10 15 4" xfId="34131" xr:uid="{00000000-0005-0000-0000-0000BD840000}"/>
    <cellStyle name="Normal 3 10 16" xfId="34132" xr:uid="{00000000-0005-0000-0000-0000BE840000}"/>
    <cellStyle name="Normal 3 10 16 2" xfId="34133" xr:uid="{00000000-0005-0000-0000-0000BF840000}"/>
    <cellStyle name="Normal 3 10 16 2 2" xfId="34134" xr:uid="{00000000-0005-0000-0000-0000C0840000}"/>
    <cellStyle name="Normal 3 10 16 2 2 2" xfId="34135" xr:uid="{00000000-0005-0000-0000-0000C1840000}"/>
    <cellStyle name="Normal 3 10 16 2 2 3" xfId="34136" xr:uid="{00000000-0005-0000-0000-0000C2840000}"/>
    <cellStyle name="Normal 3 10 16 2 3" xfId="34137" xr:uid="{00000000-0005-0000-0000-0000C3840000}"/>
    <cellStyle name="Normal 3 10 16 2 4" xfId="34138" xr:uid="{00000000-0005-0000-0000-0000C4840000}"/>
    <cellStyle name="Normal 3 10 16 3" xfId="34139" xr:uid="{00000000-0005-0000-0000-0000C5840000}"/>
    <cellStyle name="Normal 3 10 16 3 2" xfId="34140" xr:uid="{00000000-0005-0000-0000-0000C6840000}"/>
    <cellStyle name="Normal 3 10 16 3 3" xfId="34141" xr:uid="{00000000-0005-0000-0000-0000C7840000}"/>
    <cellStyle name="Normal 3 10 16 4" xfId="34142" xr:uid="{00000000-0005-0000-0000-0000C8840000}"/>
    <cellStyle name="Normal 3 10 17" xfId="34143" xr:uid="{00000000-0005-0000-0000-0000C9840000}"/>
    <cellStyle name="Normal 3 10 17 2" xfId="34144" xr:uid="{00000000-0005-0000-0000-0000CA840000}"/>
    <cellStyle name="Normal 3 10 17 2 2" xfId="34145" xr:uid="{00000000-0005-0000-0000-0000CB840000}"/>
    <cellStyle name="Normal 3 10 17 2 2 2" xfId="34146" xr:uid="{00000000-0005-0000-0000-0000CC840000}"/>
    <cellStyle name="Normal 3 10 17 2 2 3" xfId="34147" xr:uid="{00000000-0005-0000-0000-0000CD840000}"/>
    <cellStyle name="Normal 3 10 17 2 3" xfId="34148" xr:uid="{00000000-0005-0000-0000-0000CE840000}"/>
    <cellStyle name="Normal 3 10 17 2 4" xfId="34149" xr:uid="{00000000-0005-0000-0000-0000CF840000}"/>
    <cellStyle name="Normal 3 10 17 3" xfId="34150" xr:uid="{00000000-0005-0000-0000-0000D0840000}"/>
    <cellStyle name="Normal 3 10 17 3 2" xfId="34151" xr:uid="{00000000-0005-0000-0000-0000D1840000}"/>
    <cellStyle name="Normal 3 10 17 3 3" xfId="34152" xr:uid="{00000000-0005-0000-0000-0000D2840000}"/>
    <cellStyle name="Normal 3 10 17 4" xfId="34153" xr:uid="{00000000-0005-0000-0000-0000D3840000}"/>
    <cellStyle name="Normal 3 10 18" xfId="34154" xr:uid="{00000000-0005-0000-0000-0000D4840000}"/>
    <cellStyle name="Normal 3 10 18 2" xfId="34155" xr:uid="{00000000-0005-0000-0000-0000D5840000}"/>
    <cellStyle name="Normal 3 10 18 2 2" xfId="34156" xr:uid="{00000000-0005-0000-0000-0000D6840000}"/>
    <cellStyle name="Normal 3 10 18 2 2 2" xfId="34157" xr:uid="{00000000-0005-0000-0000-0000D7840000}"/>
    <cellStyle name="Normal 3 10 18 2 2 3" xfId="34158" xr:uid="{00000000-0005-0000-0000-0000D8840000}"/>
    <cellStyle name="Normal 3 10 18 2 3" xfId="34159" xr:uid="{00000000-0005-0000-0000-0000D9840000}"/>
    <cellStyle name="Normal 3 10 18 2 4" xfId="34160" xr:uid="{00000000-0005-0000-0000-0000DA840000}"/>
    <cellStyle name="Normal 3 10 18 3" xfId="34161" xr:uid="{00000000-0005-0000-0000-0000DB840000}"/>
    <cellStyle name="Normal 3 10 18 3 2" xfId="34162" xr:uid="{00000000-0005-0000-0000-0000DC840000}"/>
    <cellStyle name="Normal 3 10 18 3 3" xfId="34163" xr:uid="{00000000-0005-0000-0000-0000DD840000}"/>
    <cellStyle name="Normal 3 10 18 4" xfId="34164" xr:uid="{00000000-0005-0000-0000-0000DE840000}"/>
    <cellStyle name="Normal 3 10 19" xfId="34165" xr:uid="{00000000-0005-0000-0000-0000DF840000}"/>
    <cellStyle name="Normal 3 10 19 2" xfId="34166" xr:uid="{00000000-0005-0000-0000-0000E0840000}"/>
    <cellStyle name="Normal 3 10 19 2 2" xfId="34167" xr:uid="{00000000-0005-0000-0000-0000E1840000}"/>
    <cellStyle name="Normal 3 10 19 2 2 2" xfId="34168" xr:uid="{00000000-0005-0000-0000-0000E2840000}"/>
    <cellStyle name="Normal 3 10 19 2 2 3" xfId="34169" xr:uid="{00000000-0005-0000-0000-0000E3840000}"/>
    <cellStyle name="Normal 3 10 19 2 3" xfId="34170" xr:uid="{00000000-0005-0000-0000-0000E4840000}"/>
    <cellStyle name="Normal 3 10 19 2 4" xfId="34171" xr:uid="{00000000-0005-0000-0000-0000E5840000}"/>
    <cellStyle name="Normal 3 10 19 3" xfId="34172" xr:uid="{00000000-0005-0000-0000-0000E6840000}"/>
    <cellStyle name="Normal 3 10 19 3 2" xfId="34173" xr:uid="{00000000-0005-0000-0000-0000E7840000}"/>
    <cellStyle name="Normal 3 10 19 3 3" xfId="34174" xr:uid="{00000000-0005-0000-0000-0000E8840000}"/>
    <cellStyle name="Normal 3 10 19 4" xfId="34175" xr:uid="{00000000-0005-0000-0000-0000E9840000}"/>
    <cellStyle name="Normal 3 10 2" xfId="34176" xr:uid="{00000000-0005-0000-0000-0000EA840000}"/>
    <cellStyle name="Normal 3 10 2 2" xfId="34177" xr:uid="{00000000-0005-0000-0000-0000EB840000}"/>
    <cellStyle name="Normal 3 10 2 2 2" xfId="34178" xr:uid="{00000000-0005-0000-0000-0000EC840000}"/>
    <cellStyle name="Normal 3 10 2 2 2 2" xfId="34179" xr:uid="{00000000-0005-0000-0000-0000ED840000}"/>
    <cellStyle name="Normal 3 10 2 2 2 3" xfId="34180" xr:uid="{00000000-0005-0000-0000-0000EE840000}"/>
    <cellStyle name="Normal 3 10 2 2 3" xfId="34181" xr:uid="{00000000-0005-0000-0000-0000EF840000}"/>
    <cellStyle name="Normal 3 10 2 2 4" xfId="34182" xr:uid="{00000000-0005-0000-0000-0000F0840000}"/>
    <cellStyle name="Normal 3 10 2 3" xfId="34183" xr:uid="{00000000-0005-0000-0000-0000F1840000}"/>
    <cellStyle name="Normal 3 10 2 3 2" xfId="34184" xr:uid="{00000000-0005-0000-0000-0000F2840000}"/>
    <cellStyle name="Normal 3 10 2 3 3" xfId="34185" xr:uid="{00000000-0005-0000-0000-0000F3840000}"/>
    <cellStyle name="Normal 3 10 2 4" xfId="34186" xr:uid="{00000000-0005-0000-0000-0000F4840000}"/>
    <cellStyle name="Normal 3 10 20" xfId="34187" xr:uid="{00000000-0005-0000-0000-0000F5840000}"/>
    <cellStyle name="Normal 3 10 20 2" xfId="34188" xr:uid="{00000000-0005-0000-0000-0000F6840000}"/>
    <cellStyle name="Normal 3 10 20 2 2" xfId="34189" xr:uid="{00000000-0005-0000-0000-0000F7840000}"/>
    <cellStyle name="Normal 3 10 20 2 2 2" xfId="34190" xr:uid="{00000000-0005-0000-0000-0000F8840000}"/>
    <cellStyle name="Normal 3 10 20 2 2 3" xfId="34191" xr:uid="{00000000-0005-0000-0000-0000F9840000}"/>
    <cellStyle name="Normal 3 10 20 2 3" xfId="34192" xr:uid="{00000000-0005-0000-0000-0000FA840000}"/>
    <cellStyle name="Normal 3 10 20 2 4" xfId="34193" xr:uid="{00000000-0005-0000-0000-0000FB840000}"/>
    <cellStyle name="Normal 3 10 20 3" xfId="34194" xr:uid="{00000000-0005-0000-0000-0000FC840000}"/>
    <cellStyle name="Normal 3 10 20 3 2" xfId="34195" xr:uid="{00000000-0005-0000-0000-0000FD840000}"/>
    <cellStyle name="Normal 3 10 20 3 3" xfId="34196" xr:uid="{00000000-0005-0000-0000-0000FE840000}"/>
    <cellStyle name="Normal 3 10 20 4" xfId="34197" xr:uid="{00000000-0005-0000-0000-0000FF840000}"/>
    <cellStyle name="Normal 3 10 21" xfId="34198" xr:uid="{00000000-0005-0000-0000-000000850000}"/>
    <cellStyle name="Normal 3 10 21 2" xfId="34199" xr:uid="{00000000-0005-0000-0000-000001850000}"/>
    <cellStyle name="Normal 3 10 21 2 2" xfId="34200" xr:uid="{00000000-0005-0000-0000-000002850000}"/>
    <cellStyle name="Normal 3 10 21 2 2 2" xfId="34201" xr:uid="{00000000-0005-0000-0000-000003850000}"/>
    <cellStyle name="Normal 3 10 21 2 2 3" xfId="34202" xr:uid="{00000000-0005-0000-0000-000004850000}"/>
    <cellStyle name="Normal 3 10 21 2 3" xfId="34203" xr:uid="{00000000-0005-0000-0000-000005850000}"/>
    <cellStyle name="Normal 3 10 21 2 4" xfId="34204" xr:uid="{00000000-0005-0000-0000-000006850000}"/>
    <cellStyle name="Normal 3 10 21 3" xfId="34205" xr:uid="{00000000-0005-0000-0000-000007850000}"/>
    <cellStyle name="Normal 3 10 21 3 2" xfId="34206" xr:uid="{00000000-0005-0000-0000-000008850000}"/>
    <cellStyle name="Normal 3 10 21 3 3" xfId="34207" xr:uid="{00000000-0005-0000-0000-000009850000}"/>
    <cellStyle name="Normal 3 10 21 4" xfId="34208" xr:uid="{00000000-0005-0000-0000-00000A850000}"/>
    <cellStyle name="Normal 3 10 22" xfId="34209" xr:uid="{00000000-0005-0000-0000-00000B850000}"/>
    <cellStyle name="Normal 3 10 22 2" xfId="34210" xr:uid="{00000000-0005-0000-0000-00000C850000}"/>
    <cellStyle name="Normal 3 10 22 2 2" xfId="34211" xr:uid="{00000000-0005-0000-0000-00000D850000}"/>
    <cellStyle name="Normal 3 10 22 2 2 2" xfId="34212" xr:uid="{00000000-0005-0000-0000-00000E850000}"/>
    <cellStyle name="Normal 3 10 22 2 2 3" xfId="34213" xr:uid="{00000000-0005-0000-0000-00000F850000}"/>
    <cellStyle name="Normal 3 10 22 2 3" xfId="34214" xr:uid="{00000000-0005-0000-0000-000010850000}"/>
    <cellStyle name="Normal 3 10 22 2 4" xfId="34215" xr:uid="{00000000-0005-0000-0000-000011850000}"/>
    <cellStyle name="Normal 3 10 22 3" xfId="34216" xr:uid="{00000000-0005-0000-0000-000012850000}"/>
    <cellStyle name="Normal 3 10 22 3 2" xfId="34217" xr:uid="{00000000-0005-0000-0000-000013850000}"/>
    <cellStyle name="Normal 3 10 22 3 3" xfId="34218" xr:uid="{00000000-0005-0000-0000-000014850000}"/>
    <cellStyle name="Normal 3 10 22 4" xfId="34219" xr:uid="{00000000-0005-0000-0000-000015850000}"/>
    <cellStyle name="Normal 3 10 23" xfId="34220" xr:uid="{00000000-0005-0000-0000-000016850000}"/>
    <cellStyle name="Normal 3 10 23 2" xfId="34221" xr:uid="{00000000-0005-0000-0000-000017850000}"/>
    <cellStyle name="Normal 3 10 23 2 2" xfId="34222" xr:uid="{00000000-0005-0000-0000-000018850000}"/>
    <cellStyle name="Normal 3 10 23 2 2 2" xfId="34223" xr:uid="{00000000-0005-0000-0000-000019850000}"/>
    <cellStyle name="Normal 3 10 23 2 2 3" xfId="34224" xr:uid="{00000000-0005-0000-0000-00001A850000}"/>
    <cellStyle name="Normal 3 10 23 2 3" xfId="34225" xr:uid="{00000000-0005-0000-0000-00001B850000}"/>
    <cellStyle name="Normal 3 10 23 2 4" xfId="34226" xr:uid="{00000000-0005-0000-0000-00001C850000}"/>
    <cellStyle name="Normal 3 10 23 3" xfId="34227" xr:uid="{00000000-0005-0000-0000-00001D850000}"/>
    <cellStyle name="Normal 3 10 23 3 2" xfId="34228" xr:uid="{00000000-0005-0000-0000-00001E850000}"/>
    <cellStyle name="Normal 3 10 23 3 3" xfId="34229" xr:uid="{00000000-0005-0000-0000-00001F850000}"/>
    <cellStyle name="Normal 3 10 23 4" xfId="34230" xr:uid="{00000000-0005-0000-0000-000020850000}"/>
    <cellStyle name="Normal 3 10 24" xfId="34231" xr:uid="{00000000-0005-0000-0000-000021850000}"/>
    <cellStyle name="Normal 3 10 24 2" xfId="34232" xr:uid="{00000000-0005-0000-0000-000022850000}"/>
    <cellStyle name="Normal 3 10 24 2 2" xfId="34233" xr:uid="{00000000-0005-0000-0000-000023850000}"/>
    <cellStyle name="Normal 3 10 24 3" xfId="34234" xr:uid="{00000000-0005-0000-0000-000024850000}"/>
    <cellStyle name="Normal 3 10 24 4" xfId="34235" xr:uid="{00000000-0005-0000-0000-000025850000}"/>
    <cellStyle name="Normal 3 10 25" xfId="34236" xr:uid="{00000000-0005-0000-0000-000026850000}"/>
    <cellStyle name="Normal 3 10 25 2" xfId="34237" xr:uid="{00000000-0005-0000-0000-000027850000}"/>
    <cellStyle name="Normal 3 10 25 3" xfId="34238" xr:uid="{00000000-0005-0000-0000-000028850000}"/>
    <cellStyle name="Normal 3 10 26" xfId="34239" xr:uid="{00000000-0005-0000-0000-000029850000}"/>
    <cellStyle name="Normal 3 10 27" xfId="34240" xr:uid="{00000000-0005-0000-0000-00002A850000}"/>
    <cellStyle name="Normal 3 10 3" xfId="34241" xr:uid="{00000000-0005-0000-0000-00002B850000}"/>
    <cellStyle name="Normal 3 10 3 2" xfId="34242" xr:uid="{00000000-0005-0000-0000-00002C850000}"/>
    <cellStyle name="Normal 3 10 3 2 2" xfId="34243" xr:uid="{00000000-0005-0000-0000-00002D850000}"/>
    <cellStyle name="Normal 3 10 3 2 2 2" xfId="34244" xr:uid="{00000000-0005-0000-0000-00002E850000}"/>
    <cellStyle name="Normal 3 10 3 2 2 3" xfId="34245" xr:uid="{00000000-0005-0000-0000-00002F850000}"/>
    <cellStyle name="Normal 3 10 3 2 3" xfId="34246" xr:uid="{00000000-0005-0000-0000-000030850000}"/>
    <cellStyle name="Normal 3 10 3 2 4" xfId="34247" xr:uid="{00000000-0005-0000-0000-000031850000}"/>
    <cellStyle name="Normal 3 10 3 3" xfId="34248" xr:uid="{00000000-0005-0000-0000-000032850000}"/>
    <cellStyle name="Normal 3 10 3 3 2" xfId="34249" xr:uid="{00000000-0005-0000-0000-000033850000}"/>
    <cellStyle name="Normal 3 10 3 3 3" xfId="34250" xr:uid="{00000000-0005-0000-0000-000034850000}"/>
    <cellStyle name="Normal 3 10 3 4" xfId="34251" xr:uid="{00000000-0005-0000-0000-000035850000}"/>
    <cellStyle name="Normal 3 10 4" xfId="34252" xr:uid="{00000000-0005-0000-0000-000036850000}"/>
    <cellStyle name="Normal 3 10 4 2" xfId="34253" xr:uid="{00000000-0005-0000-0000-000037850000}"/>
    <cellStyle name="Normal 3 10 4 2 2" xfId="34254" xr:uid="{00000000-0005-0000-0000-000038850000}"/>
    <cellStyle name="Normal 3 10 4 2 2 2" xfId="34255" xr:uid="{00000000-0005-0000-0000-000039850000}"/>
    <cellStyle name="Normal 3 10 4 2 2 3" xfId="34256" xr:uid="{00000000-0005-0000-0000-00003A850000}"/>
    <cellStyle name="Normal 3 10 4 2 3" xfId="34257" xr:uid="{00000000-0005-0000-0000-00003B850000}"/>
    <cellStyle name="Normal 3 10 4 2 4" xfId="34258" xr:uid="{00000000-0005-0000-0000-00003C850000}"/>
    <cellStyle name="Normal 3 10 4 3" xfId="34259" xr:uid="{00000000-0005-0000-0000-00003D850000}"/>
    <cellStyle name="Normal 3 10 4 3 2" xfId="34260" xr:uid="{00000000-0005-0000-0000-00003E850000}"/>
    <cellStyle name="Normal 3 10 4 3 3" xfId="34261" xr:uid="{00000000-0005-0000-0000-00003F850000}"/>
    <cellStyle name="Normal 3 10 4 4" xfId="34262" xr:uid="{00000000-0005-0000-0000-000040850000}"/>
    <cellStyle name="Normal 3 10 5" xfId="34263" xr:uid="{00000000-0005-0000-0000-000041850000}"/>
    <cellStyle name="Normal 3 10 5 2" xfId="34264" xr:uid="{00000000-0005-0000-0000-000042850000}"/>
    <cellStyle name="Normal 3 10 5 2 2" xfId="34265" xr:uid="{00000000-0005-0000-0000-000043850000}"/>
    <cellStyle name="Normal 3 10 5 2 2 2" xfId="34266" xr:uid="{00000000-0005-0000-0000-000044850000}"/>
    <cellStyle name="Normal 3 10 5 2 2 3" xfId="34267" xr:uid="{00000000-0005-0000-0000-000045850000}"/>
    <cellStyle name="Normal 3 10 5 2 3" xfId="34268" xr:uid="{00000000-0005-0000-0000-000046850000}"/>
    <cellStyle name="Normal 3 10 5 2 4" xfId="34269" xr:uid="{00000000-0005-0000-0000-000047850000}"/>
    <cellStyle name="Normal 3 10 5 3" xfId="34270" xr:uid="{00000000-0005-0000-0000-000048850000}"/>
    <cellStyle name="Normal 3 10 5 3 2" xfId="34271" xr:uid="{00000000-0005-0000-0000-000049850000}"/>
    <cellStyle name="Normal 3 10 5 3 3" xfId="34272" xr:uid="{00000000-0005-0000-0000-00004A850000}"/>
    <cellStyle name="Normal 3 10 5 4" xfId="34273" xr:uid="{00000000-0005-0000-0000-00004B850000}"/>
    <cellStyle name="Normal 3 10 6" xfId="34274" xr:uid="{00000000-0005-0000-0000-00004C850000}"/>
    <cellStyle name="Normal 3 10 6 2" xfId="34275" xr:uid="{00000000-0005-0000-0000-00004D850000}"/>
    <cellStyle name="Normal 3 10 6 2 2" xfId="34276" xr:uid="{00000000-0005-0000-0000-00004E850000}"/>
    <cellStyle name="Normal 3 10 6 2 2 2" xfId="34277" xr:uid="{00000000-0005-0000-0000-00004F850000}"/>
    <cellStyle name="Normal 3 10 6 2 2 3" xfId="34278" xr:uid="{00000000-0005-0000-0000-000050850000}"/>
    <cellStyle name="Normal 3 10 6 2 3" xfId="34279" xr:uid="{00000000-0005-0000-0000-000051850000}"/>
    <cellStyle name="Normal 3 10 6 2 4" xfId="34280" xr:uid="{00000000-0005-0000-0000-000052850000}"/>
    <cellStyle name="Normal 3 10 6 3" xfId="34281" xr:uid="{00000000-0005-0000-0000-000053850000}"/>
    <cellStyle name="Normal 3 10 6 3 2" xfId="34282" xr:uid="{00000000-0005-0000-0000-000054850000}"/>
    <cellStyle name="Normal 3 10 6 3 3" xfId="34283" xr:uid="{00000000-0005-0000-0000-000055850000}"/>
    <cellStyle name="Normal 3 10 6 4" xfId="34284" xr:uid="{00000000-0005-0000-0000-000056850000}"/>
    <cellStyle name="Normal 3 10 7" xfId="34285" xr:uid="{00000000-0005-0000-0000-000057850000}"/>
    <cellStyle name="Normal 3 10 7 2" xfId="34286" xr:uid="{00000000-0005-0000-0000-000058850000}"/>
    <cellStyle name="Normal 3 10 7 2 2" xfId="34287" xr:uid="{00000000-0005-0000-0000-000059850000}"/>
    <cellStyle name="Normal 3 10 7 2 2 2" xfId="34288" xr:uid="{00000000-0005-0000-0000-00005A850000}"/>
    <cellStyle name="Normal 3 10 7 2 2 3" xfId="34289" xr:uid="{00000000-0005-0000-0000-00005B850000}"/>
    <cellStyle name="Normal 3 10 7 2 3" xfId="34290" xr:uid="{00000000-0005-0000-0000-00005C850000}"/>
    <cellStyle name="Normal 3 10 7 2 4" xfId="34291" xr:uid="{00000000-0005-0000-0000-00005D850000}"/>
    <cellStyle name="Normal 3 10 7 3" xfId="34292" xr:uid="{00000000-0005-0000-0000-00005E850000}"/>
    <cellStyle name="Normal 3 10 7 3 2" xfId="34293" xr:uid="{00000000-0005-0000-0000-00005F850000}"/>
    <cellStyle name="Normal 3 10 7 3 3" xfId="34294" xr:uid="{00000000-0005-0000-0000-000060850000}"/>
    <cellStyle name="Normal 3 10 7 4" xfId="34295" xr:uid="{00000000-0005-0000-0000-000061850000}"/>
    <cellStyle name="Normal 3 10 8" xfId="34296" xr:uid="{00000000-0005-0000-0000-000062850000}"/>
    <cellStyle name="Normal 3 10 8 2" xfId="34297" xr:uid="{00000000-0005-0000-0000-000063850000}"/>
    <cellStyle name="Normal 3 10 8 2 2" xfId="34298" xr:uid="{00000000-0005-0000-0000-000064850000}"/>
    <cellStyle name="Normal 3 10 8 2 2 2" xfId="34299" xr:uid="{00000000-0005-0000-0000-000065850000}"/>
    <cellStyle name="Normal 3 10 8 2 2 3" xfId="34300" xr:uid="{00000000-0005-0000-0000-000066850000}"/>
    <cellStyle name="Normal 3 10 8 2 3" xfId="34301" xr:uid="{00000000-0005-0000-0000-000067850000}"/>
    <cellStyle name="Normal 3 10 8 2 4" xfId="34302" xr:uid="{00000000-0005-0000-0000-000068850000}"/>
    <cellStyle name="Normal 3 10 8 3" xfId="34303" xr:uid="{00000000-0005-0000-0000-000069850000}"/>
    <cellStyle name="Normal 3 10 8 3 2" xfId="34304" xr:uid="{00000000-0005-0000-0000-00006A850000}"/>
    <cellStyle name="Normal 3 10 8 3 3" xfId="34305" xr:uid="{00000000-0005-0000-0000-00006B850000}"/>
    <cellStyle name="Normal 3 10 8 4" xfId="34306" xr:uid="{00000000-0005-0000-0000-00006C850000}"/>
    <cellStyle name="Normal 3 10 9" xfId="34307" xr:uid="{00000000-0005-0000-0000-00006D850000}"/>
    <cellStyle name="Normal 3 10 9 2" xfId="34308" xr:uid="{00000000-0005-0000-0000-00006E850000}"/>
    <cellStyle name="Normal 3 10 9 2 2" xfId="34309" xr:uid="{00000000-0005-0000-0000-00006F850000}"/>
    <cellStyle name="Normal 3 10 9 2 2 2" xfId="34310" xr:uid="{00000000-0005-0000-0000-000070850000}"/>
    <cellStyle name="Normal 3 10 9 2 2 3" xfId="34311" xr:uid="{00000000-0005-0000-0000-000071850000}"/>
    <cellStyle name="Normal 3 10 9 2 3" xfId="34312" xr:uid="{00000000-0005-0000-0000-000072850000}"/>
    <cellStyle name="Normal 3 10 9 2 4" xfId="34313" xr:uid="{00000000-0005-0000-0000-000073850000}"/>
    <cellStyle name="Normal 3 10 9 3" xfId="34314" xr:uid="{00000000-0005-0000-0000-000074850000}"/>
    <cellStyle name="Normal 3 10 9 3 2" xfId="34315" xr:uid="{00000000-0005-0000-0000-000075850000}"/>
    <cellStyle name="Normal 3 10 9 3 3" xfId="34316" xr:uid="{00000000-0005-0000-0000-000076850000}"/>
    <cellStyle name="Normal 3 10 9 4" xfId="34317" xr:uid="{00000000-0005-0000-0000-000077850000}"/>
    <cellStyle name="Normal 3 100" xfId="34318" xr:uid="{00000000-0005-0000-0000-000078850000}"/>
    <cellStyle name="Normal 3 100 2" xfId="34319" xr:uid="{00000000-0005-0000-0000-000079850000}"/>
    <cellStyle name="Normal 3 100 2 2" xfId="34320" xr:uid="{00000000-0005-0000-0000-00007A850000}"/>
    <cellStyle name="Normal 3 100 2 3" xfId="34321" xr:uid="{00000000-0005-0000-0000-00007B850000}"/>
    <cellStyle name="Normal 3 100 3" xfId="34322" xr:uid="{00000000-0005-0000-0000-00007C850000}"/>
    <cellStyle name="Normal 3 100 4" xfId="34323" xr:uid="{00000000-0005-0000-0000-00007D850000}"/>
    <cellStyle name="Normal 3 101" xfId="34324" xr:uid="{00000000-0005-0000-0000-00007E850000}"/>
    <cellStyle name="Normal 3 101 2" xfId="34325" xr:uid="{00000000-0005-0000-0000-00007F850000}"/>
    <cellStyle name="Normal 3 101 3" xfId="34326" xr:uid="{00000000-0005-0000-0000-000080850000}"/>
    <cellStyle name="Normal 3 102" xfId="34327" xr:uid="{00000000-0005-0000-0000-000081850000}"/>
    <cellStyle name="Normal 3 102 2" xfId="34328" xr:uid="{00000000-0005-0000-0000-000082850000}"/>
    <cellStyle name="Normal 3 102 3" xfId="34329" xr:uid="{00000000-0005-0000-0000-000083850000}"/>
    <cellStyle name="Normal 3 103" xfId="34330" xr:uid="{00000000-0005-0000-0000-000084850000}"/>
    <cellStyle name="Normal 3 11" xfId="34331" xr:uid="{00000000-0005-0000-0000-000085850000}"/>
    <cellStyle name="Normal 3 11 10" xfId="34332" xr:uid="{00000000-0005-0000-0000-000086850000}"/>
    <cellStyle name="Normal 3 11 10 2" xfId="34333" xr:uid="{00000000-0005-0000-0000-000087850000}"/>
    <cellStyle name="Normal 3 11 10 2 2" xfId="34334" xr:uid="{00000000-0005-0000-0000-000088850000}"/>
    <cellStyle name="Normal 3 11 10 2 2 2" xfId="34335" xr:uid="{00000000-0005-0000-0000-000089850000}"/>
    <cellStyle name="Normal 3 11 10 2 2 3" xfId="34336" xr:uid="{00000000-0005-0000-0000-00008A850000}"/>
    <cellStyle name="Normal 3 11 10 2 3" xfId="34337" xr:uid="{00000000-0005-0000-0000-00008B850000}"/>
    <cellStyle name="Normal 3 11 10 2 4" xfId="34338" xr:uid="{00000000-0005-0000-0000-00008C850000}"/>
    <cellStyle name="Normal 3 11 10 3" xfId="34339" xr:uid="{00000000-0005-0000-0000-00008D850000}"/>
    <cellStyle name="Normal 3 11 10 3 2" xfId="34340" xr:uid="{00000000-0005-0000-0000-00008E850000}"/>
    <cellStyle name="Normal 3 11 10 3 3" xfId="34341" xr:uid="{00000000-0005-0000-0000-00008F850000}"/>
    <cellStyle name="Normal 3 11 10 4" xfId="34342" xr:uid="{00000000-0005-0000-0000-000090850000}"/>
    <cellStyle name="Normal 3 11 11" xfId="34343" xr:uid="{00000000-0005-0000-0000-000091850000}"/>
    <cellStyle name="Normal 3 11 11 2" xfId="34344" xr:uid="{00000000-0005-0000-0000-000092850000}"/>
    <cellStyle name="Normal 3 11 11 2 2" xfId="34345" xr:uid="{00000000-0005-0000-0000-000093850000}"/>
    <cellStyle name="Normal 3 11 11 2 2 2" xfId="34346" xr:uid="{00000000-0005-0000-0000-000094850000}"/>
    <cellStyle name="Normal 3 11 11 2 2 3" xfId="34347" xr:uid="{00000000-0005-0000-0000-000095850000}"/>
    <cellStyle name="Normal 3 11 11 2 3" xfId="34348" xr:uid="{00000000-0005-0000-0000-000096850000}"/>
    <cellStyle name="Normal 3 11 11 2 4" xfId="34349" xr:uid="{00000000-0005-0000-0000-000097850000}"/>
    <cellStyle name="Normal 3 11 11 3" xfId="34350" xr:uid="{00000000-0005-0000-0000-000098850000}"/>
    <cellStyle name="Normal 3 11 11 3 2" xfId="34351" xr:uid="{00000000-0005-0000-0000-000099850000}"/>
    <cellStyle name="Normal 3 11 11 3 3" xfId="34352" xr:uid="{00000000-0005-0000-0000-00009A850000}"/>
    <cellStyle name="Normal 3 11 11 4" xfId="34353" xr:uid="{00000000-0005-0000-0000-00009B850000}"/>
    <cellStyle name="Normal 3 11 12" xfId="34354" xr:uid="{00000000-0005-0000-0000-00009C850000}"/>
    <cellStyle name="Normal 3 11 12 2" xfId="34355" xr:uid="{00000000-0005-0000-0000-00009D850000}"/>
    <cellStyle name="Normal 3 11 12 2 2" xfId="34356" xr:uid="{00000000-0005-0000-0000-00009E850000}"/>
    <cellStyle name="Normal 3 11 12 2 2 2" xfId="34357" xr:uid="{00000000-0005-0000-0000-00009F850000}"/>
    <cellStyle name="Normal 3 11 12 2 2 3" xfId="34358" xr:uid="{00000000-0005-0000-0000-0000A0850000}"/>
    <cellStyle name="Normal 3 11 12 2 3" xfId="34359" xr:uid="{00000000-0005-0000-0000-0000A1850000}"/>
    <cellStyle name="Normal 3 11 12 2 4" xfId="34360" xr:uid="{00000000-0005-0000-0000-0000A2850000}"/>
    <cellStyle name="Normal 3 11 12 3" xfId="34361" xr:uid="{00000000-0005-0000-0000-0000A3850000}"/>
    <cellStyle name="Normal 3 11 12 3 2" xfId="34362" xr:uid="{00000000-0005-0000-0000-0000A4850000}"/>
    <cellStyle name="Normal 3 11 12 3 3" xfId="34363" xr:uid="{00000000-0005-0000-0000-0000A5850000}"/>
    <cellStyle name="Normal 3 11 12 4" xfId="34364" xr:uid="{00000000-0005-0000-0000-0000A6850000}"/>
    <cellStyle name="Normal 3 11 13" xfId="34365" xr:uid="{00000000-0005-0000-0000-0000A7850000}"/>
    <cellStyle name="Normal 3 11 13 2" xfId="34366" xr:uid="{00000000-0005-0000-0000-0000A8850000}"/>
    <cellStyle name="Normal 3 11 13 2 2" xfId="34367" xr:uid="{00000000-0005-0000-0000-0000A9850000}"/>
    <cellStyle name="Normal 3 11 13 2 2 2" xfId="34368" xr:uid="{00000000-0005-0000-0000-0000AA850000}"/>
    <cellStyle name="Normal 3 11 13 2 2 3" xfId="34369" xr:uid="{00000000-0005-0000-0000-0000AB850000}"/>
    <cellStyle name="Normal 3 11 13 2 3" xfId="34370" xr:uid="{00000000-0005-0000-0000-0000AC850000}"/>
    <cellStyle name="Normal 3 11 13 2 4" xfId="34371" xr:uid="{00000000-0005-0000-0000-0000AD850000}"/>
    <cellStyle name="Normal 3 11 13 3" xfId="34372" xr:uid="{00000000-0005-0000-0000-0000AE850000}"/>
    <cellStyle name="Normal 3 11 13 3 2" xfId="34373" xr:uid="{00000000-0005-0000-0000-0000AF850000}"/>
    <cellStyle name="Normal 3 11 13 3 3" xfId="34374" xr:uid="{00000000-0005-0000-0000-0000B0850000}"/>
    <cellStyle name="Normal 3 11 13 4" xfId="34375" xr:uid="{00000000-0005-0000-0000-0000B1850000}"/>
    <cellStyle name="Normal 3 11 14" xfId="34376" xr:uid="{00000000-0005-0000-0000-0000B2850000}"/>
    <cellStyle name="Normal 3 11 14 2" xfId="34377" xr:uid="{00000000-0005-0000-0000-0000B3850000}"/>
    <cellStyle name="Normal 3 11 14 2 2" xfId="34378" xr:uid="{00000000-0005-0000-0000-0000B4850000}"/>
    <cellStyle name="Normal 3 11 14 2 2 2" xfId="34379" xr:uid="{00000000-0005-0000-0000-0000B5850000}"/>
    <cellStyle name="Normal 3 11 14 2 2 3" xfId="34380" xr:uid="{00000000-0005-0000-0000-0000B6850000}"/>
    <cellStyle name="Normal 3 11 14 2 3" xfId="34381" xr:uid="{00000000-0005-0000-0000-0000B7850000}"/>
    <cellStyle name="Normal 3 11 14 2 4" xfId="34382" xr:uid="{00000000-0005-0000-0000-0000B8850000}"/>
    <cellStyle name="Normal 3 11 14 3" xfId="34383" xr:uid="{00000000-0005-0000-0000-0000B9850000}"/>
    <cellStyle name="Normal 3 11 14 3 2" xfId="34384" xr:uid="{00000000-0005-0000-0000-0000BA850000}"/>
    <cellStyle name="Normal 3 11 14 3 3" xfId="34385" xr:uid="{00000000-0005-0000-0000-0000BB850000}"/>
    <cellStyle name="Normal 3 11 14 4" xfId="34386" xr:uid="{00000000-0005-0000-0000-0000BC850000}"/>
    <cellStyle name="Normal 3 11 15" xfId="34387" xr:uid="{00000000-0005-0000-0000-0000BD850000}"/>
    <cellStyle name="Normal 3 11 15 2" xfId="34388" xr:uid="{00000000-0005-0000-0000-0000BE850000}"/>
    <cellStyle name="Normal 3 11 15 2 2" xfId="34389" xr:uid="{00000000-0005-0000-0000-0000BF850000}"/>
    <cellStyle name="Normal 3 11 15 2 2 2" xfId="34390" xr:uid="{00000000-0005-0000-0000-0000C0850000}"/>
    <cellStyle name="Normal 3 11 15 2 2 3" xfId="34391" xr:uid="{00000000-0005-0000-0000-0000C1850000}"/>
    <cellStyle name="Normal 3 11 15 2 3" xfId="34392" xr:uid="{00000000-0005-0000-0000-0000C2850000}"/>
    <cellStyle name="Normal 3 11 15 2 4" xfId="34393" xr:uid="{00000000-0005-0000-0000-0000C3850000}"/>
    <cellStyle name="Normal 3 11 15 3" xfId="34394" xr:uid="{00000000-0005-0000-0000-0000C4850000}"/>
    <cellStyle name="Normal 3 11 15 3 2" xfId="34395" xr:uid="{00000000-0005-0000-0000-0000C5850000}"/>
    <cellStyle name="Normal 3 11 15 3 3" xfId="34396" xr:uid="{00000000-0005-0000-0000-0000C6850000}"/>
    <cellStyle name="Normal 3 11 15 4" xfId="34397" xr:uid="{00000000-0005-0000-0000-0000C7850000}"/>
    <cellStyle name="Normal 3 11 16" xfId="34398" xr:uid="{00000000-0005-0000-0000-0000C8850000}"/>
    <cellStyle name="Normal 3 11 16 2" xfId="34399" xr:uid="{00000000-0005-0000-0000-0000C9850000}"/>
    <cellStyle name="Normal 3 11 16 2 2" xfId="34400" xr:uid="{00000000-0005-0000-0000-0000CA850000}"/>
    <cellStyle name="Normal 3 11 16 2 2 2" xfId="34401" xr:uid="{00000000-0005-0000-0000-0000CB850000}"/>
    <cellStyle name="Normal 3 11 16 2 2 3" xfId="34402" xr:uid="{00000000-0005-0000-0000-0000CC850000}"/>
    <cellStyle name="Normal 3 11 16 2 3" xfId="34403" xr:uid="{00000000-0005-0000-0000-0000CD850000}"/>
    <cellStyle name="Normal 3 11 16 2 4" xfId="34404" xr:uid="{00000000-0005-0000-0000-0000CE850000}"/>
    <cellStyle name="Normal 3 11 16 3" xfId="34405" xr:uid="{00000000-0005-0000-0000-0000CF850000}"/>
    <cellStyle name="Normal 3 11 16 3 2" xfId="34406" xr:uid="{00000000-0005-0000-0000-0000D0850000}"/>
    <cellStyle name="Normal 3 11 16 3 3" xfId="34407" xr:uid="{00000000-0005-0000-0000-0000D1850000}"/>
    <cellStyle name="Normal 3 11 16 4" xfId="34408" xr:uid="{00000000-0005-0000-0000-0000D2850000}"/>
    <cellStyle name="Normal 3 11 17" xfId="34409" xr:uid="{00000000-0005-0000-0000-0000D3850000}"/>
    <cellStyle name="Normal 3 11 17 2" xfId="34410" xr:uid="{00000000-0005-0000-0000-0000D4850000}"/>
    <cellStyle name="Normal 3 11 17 2 2" xfId="34411" xr:uid="{00000000-0005-0000-0000-0000D5850000}"/>
    <cellStyle name="Normal 3 11 17 2 2 2" xfId="34412" xr:uid="{00000000-0005-0000-0000-0000D6850000}"/>
    <cellStyle name="Normal 3 11 17 2 2 3" xfId="34413" xr:uid="{00000000-0005-0000-0000-0000D7850000}"/>
    <cellStyle name="Normal 3 11 17 2 3" xfId="34414" xr:uid="{00000000-0005-0000-0000-0000D8850000}"/>
    <cellStyle name="Normal 3 11 17 2 4" xfId="34415" xr:uid="{00000000-0005-0000-0000-0000D9850000}"/>
    <cellStyle name="Normal 3 11 17 3" xfId="34416" xr:uid="{00000000-0005-0000-0000-0000DA850000}"/>
    <cellStyle name="Normal 3 11 17 3 2" xfId="34417" xr:uid="{00000000-0005-0000-0000-0000DB850000}"/>
    <cellStyle name="Normal 3 11 17 3 3" xfId="34418" xr:uid="{00000000-0005-0000-0000-0000DC850000}"/>
    <cellStyle name="Normal 3 11 17 4" xfId="34419" xr:uid="{00000000-0005-0000-0000-0000DD850000}"/>
    <cellStyle name="Normal 3 11 18" xfId="34420" xr:uid="{00000000-0005-0000-0000-0000DE850000}"/>
    <cellStyle name="Normal 3 11 18 2" xfId="34421" xr:uid="{00000000-0005-0000-0000-0000DF850000}"/>
    <cellStyle name="Normal 3 11 18 2 2" xfId="34422" xr:uid="{00000000-0005-0000-0000-0000E0850000}"/>
    <cellStyle name="Normal 3 11 18 2 2 2" xfId="34423" xr:uid="{00000000-0005-0000-0000-0000E1850000}"/>
    <cellStyle name="Normal 3 11 18 2 2 3" xfId="34424" xr:uid="{00000000-0005-0000-0000-0000E2850000}"/>
    <cellStyle name="Normal 3 11 18 2 3" xfId="34425" xr:uid="{00000000-0005-0000-0000-0000E3850000}"/>
    <cellStyle name="Normal 3 11 18 2 4" xfId="34426" xr:uid="{00000000-0005-0000-0000-0000E4850000}"/>
    <cellStyle name="Normal 3 11 18 3" xfId="34427" xr:uid="{00000000-0005-0000-0000-0000E5850000}"/>
    <cellStyle name="Normal 3 11 18 3 2" xfId="34428" xr:uid="{00000000-0005-0000-0000-0000E6850000}"/>
    <cellStyle name="Normal 3 11 18 3 3" xfId="34429" xr:uid="{00000000-0005-0000-0000-0000E7850000}"/>
    <cellStyle name="Normal 3 11 18 4" xfId="34430" xr:uid="{00000000-0005-0000-0000-0000E8850000}"/>
    <cellStyle name="Normal 3 11 19" xfId="34431" xr:uid="{00000000-0005-0000-0000-0000E9850000}"/>
    <cellStyle name="Normal 3 11 19 2" xfId="34432" xr:uid="{00000000-0005-0000-0000-0000EA850000}"/>
    <cellStyle name="Normal 3 11 19 2 2" xfId="34433" xr:uid="{00000000-0005-0000-0000-0000EB850000}"/>
    <cellStyle name="Normal 3 11 19 2 2 2" xfId="34434" xr:uid="{00000000-0005-0000-0000-0000EC850000}"/>
    <cellStyle name="Normal 3 11 19 2 2 3" xfId="34435" xr:uid="{00000000-0005-0000-0000-0000ED850000}"/>
    <cellStyle name="Normal 3 11 19 2 3" xfId="34436" xr:uid="{00000000-0005-0000-0000-0000EE850000}"/>
    <cellStyle name="Normal 3 11 19 2 4" xfId="34437" xr:uid="{00000000-0005-0000-0000-0000EF850000}"/>
    <cellStyle name="Normal 3 11 19 3" xfId="34438" xr:uid="{00000000-0005-0000-0000-0000F0850000}"/>
    <cellStyle name="Normal 3 11 19 3 2" xfId="34439" xr:uid="{00000000-0005-0000-0000-0000F1850000}"/>
    <cellStyle name="Normal 3 11 19 3 3" xfId="34440" xr:uid="{00000000-0005-0000-0000-0000F2850000}"/>
    <cellStyle name="Normal 3 11 19 4" xfId="34441" xr:uid="{00000000-0005-0000-0000-0000F3850000}"/>
    <cellStyle name="Normal 3 11 2" xfId="34442" xr:uid="{00000000-0005-0000-0000-0000F4850000}"/>
    <cellStyle name="Normal 3 11 2 2" xfId="34443" xr:uid="{00000000-0005-0000-0000-0000F5850000}"/>
    <cellStyle name="Normal 3 11 2 2 2" xfId="34444" xr:uid="{00000000-0005-0000-0000-0000F6850000}"/>
    <cellStyle name="Normal 3 11 2 2 2 2" xfId="34445" xr:uid="{00000000-0005-0000-0000-0000F7850000}"/>
    <cellStyle name="Normal 3 11 2 2 2 3" xfId="34446" xr:uid="{00000000-0005-0000-0000-0000F8850000}"/>
    <cellStyle name="Normal 3 11 2 2 3" xfId="34447" xr:uid="{00000000-0005-0000-0000-0000F9850000}"/>
    <cellStyle name="Normal 3 11 2 2 4" xfId="34448" xr:uid="{00000000-0005-0000-0000-0000FA850000}"/>
    <cellStyle name="Normal 3 11 2 3" xfId="34449" xr:uid="{00000000-0005-0000-0000-0000FB850000}"/>
    <cellStyle name="Normal 3 11 2 3 2" xfId="34450" xr:uid="{00000000-0005-0000-0000-0000FC850000}"/>
    <cellStyle name="Normal 3 11 2 3 3" xfId="34451" xr:uid="{00000000-0005-0000-0000-0000FD850000}"/>
    <cellStyle name="Normal 3 11 2 4" xfId="34452" xr:uid="{00000000-0005-0000-0000-0000FE850000}"/>
    <cellStyle name="Normal 3 11 20" xfId="34453" xr:uid="{00000000-0005-0000-0000-0000FF850000}"/>
    <cellStyle name="Normal 3 11 20 2" xfId="34454" xr:uid="{00000000-0005-0000-0000-000000860000}"/>
    <cellStyle name="Normal 3 11 20 2 2" xfId="34455" xr:uid="{00000000-0005-0000-0000-000001860000}"/>
    <cellStyle name="Normal 3 11 20 2 2 2" xfId="34456" xr:uid="{00000000-0005-0000-0000-000002860000}"/>
    <cellStyle name="Normal 3 11 20 2 2 3" xfId="34457" xr:uid="{00000000-0005-0000-0000-000003860000}"/>
    <cellStyle name="Normal 3 11 20 2 3" xfId="34458" xr:uid="{00000000-0005-0000-0000-000004860000}"/>
    <cellStyle name="Normal 3 11 20 2 4" xfId="34459" xr:uid="{00000000-0005-0000-0000-000005860000}"/>
    <cellStyle name="Normal 3 11 20 3" xfId="34460" xr:uid="{00000000-0005-0000-0000-000006860000}"/>
    <cellStyle name="Normal 3 11 20 3 2" xfId="34461" xr:uid="{00000000-0005-0000-0000-000007860000}"/>
    <cellStyle name="Normal 3 11 20 3 3" xfId="34462" xr:uid="{00000000-0005-0000-0000-000008860000}"/>
    <cellStyle name="Normal 3 11 20 4" xfId="34463" xr:uid="{00000000-0005-0000-0000-000009860000}"/>
    <cellStyle name="Normal 3 11 21" xfId="34464" xr:uid="{00000000-0005-0000-0000-00000A860000}"/>
    <cellStyle name="Normal 3 11 21 2" xfId="34465" xr:uid="{00000000-0005-0000-0000-00000B860000}"/>
    <cellStyle name="Normal 3 11 21 2 2" xfId="34466" xr:uid="{00000000-0005-0000-0000-00000C860000}"/>
    <cellStyle name="Normal 3 11 21 2 2 2" xfId="34467" xr:uid="{00000000-0005-0000-0000-00000D860000}"/>
    <cellStyle name="Normal 3 11 21 2 2 3" xfId="34468" xr:uid="{00000000-0005-0000-0000-00000E860000}"/>
    <cellStyle name="Normal 3 11 21 2 3" xfId="34469" xr:uid="{00000000-0005-0000-0000-00000F860000}"/>
    <cellStyle name="Normal 3 11 21 2 4" xfId="34470" xr:uid="{00000000-0005-0000-0000-000010860000}"/>
    <cellStyle name="Normal 3 11 21 3" xfId="34471" xr:uid="{00000000-0005-0000-0000-000011860000}"/>
    <cellStyle name="Normal 3 11 21 3 2" xfId="34472" xr:uid="{00000000-0005-0000-0000-000012860000}"/>
    <cellStyle name="Normal 3 11 21 3 3" xfId="34473" xr:uid="{00000000-0005-0000-0000-000013860000}"/>
    <cellStyle name="Normal 3 11 21 4" xfId="34474" xr:uid="{00000000-0005-0000-0000-000014860000}"/>
    <cellStyle name="Normal 3 11 22" xfId="34475" xr:uid="{00000000-0005-0000-0000-000015860000}"/>
    <cellStyle name="Normal 3 11 22 2" xfId="34476" xr:uid="{00000000-0005-0000-0000-000016860000}"/>
    <cellStyle name="Normal 3 11 22 2 2" xfId="34477" xr:uid="{00000000-0005-0000-0000-000017860000}"/>
    <cellStyle name="Normal 3 11 22 2 2 2" xfId="34478" xr:uid="{00000000-0005-0000-0000-000018860000}"/>
    <cellStyle name="Normal 3 11 22 2 2 3" xfId="34479" xr:uid="{00000000-0005-0000-0000-000019860000}"/>
    <cellStyle name="Normal 3 11 22 2 3" xfId="34480" xr:uid="{00000000-0005-0000-0000-00001A860000}"/>
    <cellStyle name="Normal 3 11 22 2 4" xfId="34481" xr:uid="{00000000-0005-0000-0000-00001B860000}"/>
    <cellStyle name="Normal 3 11 22 3" xfId="34482" xr:uid="{00000000-0005-0000-0000-00001C860000}"/>
    <cellStyle name="Normal 3 11 22 3 2" xfId="34483" xr:uid="{00000000-0005-0000-0000-00001D860000}"/>
    <cellStyle name="Normal 3 11 22 3 3" xfId="34484" xr:uid="{00000000-0005-0000-0000-00001E860000}"/>
    <cellStyle name="Normal 3 11 22 4" xfId="34485" xr:uid="{00000000-0005-0000-0000-00001F860000}"/>
    <cellStyle name="Normal 3 11 23" xfId="34486" xr:uid="{00000000-0005-0000-0000-000020860000}"/>
    <cellStyle name="Normal 3 11 23 2" xfId="34487" xr:uid="{00000000-0005-0000-0000-000021860000}"/>
    <cellStyle name="Normal 3 11 23 2 2" xfId="34488" xr:uid="{00000000-0005-0000-0000-000022860000}"/>
    <cellStyle name="Normal 3 11 23 2 2 2" xfId="34489" xr:uid="{00000000-0005-0000-0000-000023860000}"/>
    <cellStyle name="Normal 3 11 23 2 2 3" xfId="34490" xr:uid="{00000000-0005-0000-0000-000024860000}"/>
    <cellStyle name="Normal 3 11 23 2 3" xfId="34491" xr:uid="{00000000-0005-0000-0000-000025860000}"/>
    <cellStyle name="Normal 3 11 23 2 4" xfId="34492" xr:uid="{00000000-0005-0000-0000-000026860000}"/>
    <cellStyle name="Normal 3 11 23 3" xfId="34493" xr:uid="{00000000-0005-0000-0000-000027860000}"/>
    <cellStyle name="Normal 3 11 23 3 2" xfId="34494" xr:uid="{00000000-0005-0000-0000-000028860000}"/>
    <cellStyle name="Normal 3 11 23 3 3" xfId="34495" xr:uid="{00000000-0005-0000-0000-000029860000}"/>
    <cellStyle name="Normal 3 11 23 4" xfId="34496" xr:uid="{00000000-0005-0000-0000-00002A860000}"/>
    <cellStyle name="Normal 3 11 24" xfId="34497" xr:uid="{00000000-0005-0000-0000-00002B860000}"/>
    <cellStyle name="Normal 3 11 24 2" xfId="34498" xr:uid="{00000000-0005-0000-0000-00002C860000}"/>
    <cellStyle name="Normal 3 11 24 2 2" xfId="34499" xr:uid="{00000000-0005-0000-0000-00002D860000}"/>
    <cellStyle name="Normal 3 11 24 2 3" xfId="34500" xr:uid="{00000000-0005-0000-0000-00002E860000}"/>
    <cellStyle name="Normal 3 11 24 3" xfId="34501" xr:uid="{00000000-0005-0000-0000-00002F860000}"/>
    <cellStyle name="Normal 3 11 24 4" xfId="34502" xr:uid="{00000000-0005-0000-0000-000030860000}"/>
    <cellStyle name="Normal 3 11 25" xfId="34503" xr:uid="{00000000-0005-0000-0000-000031860000}"/>
    <cellStyle name="Normal 3 11 25 2" xfId="34504" xr:uid="{00000000-0005-0000-0000-000032860000}"/>
    <cellStyle name="Normal 3 11 25 3" xfId="34505" xr:uid="{00000000-0005-0000-0000-000033860000}"/>
    <cellStyle name="Normal 3 11 26" xfId="34506" xr:uid="{00000000-0005-0000-0000-000034860000}"/>
    <cellStyle name="Normal 3 11 3" xfId="34507" xr:uid="{00000000-0005-0000-0000-000035860000}"/>
    <cellStyle name="Normal 3 11 3 2" xfId="34508" xr:uid="{00000000-0005-0000-0000-000036860000}"/>
    <cellStyle name="Normal 3 11 3 2 2" xfId="34509" xr:uid="{00000000-0005-0000-0000-000037860000}"/>
    <cellStyle name="Normal 3 11 3 2 2 2" xfId="34510" xr:uid="{00000000-0005-0000-0000-000038860000}"/>
    <cellStyle name="Normal 3 11 3 2 2 3" xfId="34511" xr:uid="{00000000-0005-0000-0000-000039860000}"/>
    <cellStyle name="Normal 3 11 3 2 3" xfId="34512" xr:uid="{00000000-0005-0000-0000-00003A860000}"/>
    <cellStyle name="Normal 3 11 3 2 4" xfId="34513" xr:uid="{00000000-0005-0000-0000-00003B860000}"/>
    <cellStyle name="Normal 3 11 3 3" xfId="34514" xr:uid="{00000000-0005-0000-0000-00003C860000}"/>
    <cellStyle name="Normal 3 11 3 3 2" xfId="34515" xr:uid="{00000000-0005-0000-0000-00003D860000}"/>
    <cellStyle name="Normal 3 11 3 3 3" xfId="34516" xr:uid="{00000000-0005-0000-0000-00003E860000}"/>
    <cellStyle name="Normal 3 11 3 4" xfId="34517" xr:uid="{00000000-0005-0000-0000-00003F860000}"/>
    <cellStyle name="Normal 3 11 4" xfId="34518" xr:uid="{00000000-0005-0000-0000-000040860000}"/>
    <cellStyle name="Normal 3 11 4 2" xfId="34519" xr:uid="{00000000-0005-0000-0000-000041860000}"/>
    <cellStyle name="Normal 3 11 4 2 2" xfId="34520" xr:uid="{00000000-0005-0000-0000-000042860000}"/>
    <cellStyle name="Normal 3 11 4 2 2 2" xfId="34521" xr:uid="{00000000-0005-0000-0000-000043860000}"/>
    <cellStyle name="Normal 3 11 4 2 2 3" xfId="34522" xr:uid="{00000000-0005-0000-0000-000044860000}"/>
    <cellStyle name="Normal 3 11 4 2 3" xfId="34523" xr:uid="{00000000-0005-0000-0000-000045860000}"/>
    <cellStyle name="Normal 3 11 4 2 4" xfId="34524" xr:uid="{00000000-0005-0000-0000-000046860000}"/>
    <cellStyle name="Normal 3 11 4 3" xfId="34525" xr:uid="{00000000-0005-0000-0000-000047860000}"/>
    <cellStyle name="Normal 3 11 4 3 2" xfId="34526" xr:uid="{00000000-0005-0000-0000-000048860000}"/>
    <cellStyle name="Normal 3 11 4 3 3" xfId="34527" xr:uid="{00000000-0005-0000-0000-000049860000}"/>
    <cellStyle name="Normal 3 11 4 4" xfId="34528" xr:uid="{00000000-0005-0000-0000-00004A860000}"/>
    <cellStyle name="Normal 3 11 5" xfId="34529" xr:uid="{00000000-0005-0000-0000-00004B860000}"/>
    <cellStyle name="Normal 3 11 5 2" xfId="34530" xr:uid="{00000000-0005-0000-0000-00004C860000}"/>
    <cellStyle name="Normal 3 11 5 2 2" xfId="34531" xr:uid="{00000000-0005-0000-0000-00004D860000}"/>
    <cellStyle name="Normal 3 11 5 2 2 2" xfId="34532" xr:uid="{00000000-0005-0000-0000-00004E860000}"/>
    <cellStyle name="Normal 3 11 5 2 2 3" xfId="34533" xr:uid="{00000000-0005-0000-0000-00004F860000}"/>
    <cellStyle name="Normal 3 11 5 2 3" xfId="34534" xr:uid="{00000000-0005-0000-0000-000050860000}"/>
    <cellStyle name="Normal 3 11 5 2 4" xfId="34535" xr:uid="{00000000-0005-0000-0000-000051860000}"/>
    <cellStyle name="Normal 3 11 5 3" xfId="34536" xr:uid="{00000000-0005-0000-0000-000052860000}"/>
    <cellStyle name="Normal 3 11 5 3 2" xfId="34537" xr:uid="{00000000-0005-0000-0000-000053860000}"/>
    <cellStyle name="Normal 3 11 5 3 3" xfId="34538" xr:uid="{00000000-0005-0000-0000-000054860000}"/>
    <cellStyle name="Normal 3 11 5 4" xfId="34539" xr:uid="{00000000-0005-0000-0000-000055860000}"/>
    <cellStyle name="Normal 3 11 6" xfId="34540" xr:uid="{00000000-0005-0000-0000-000056860000}"/>
    <cellStyle name="Normal 3 11 6 2" xfId="34541" xr:uid="{00000000-0005-0000-0000-000057860000}"/>
    <cellStyle name="Normal 3 11 6 2 2" xfId="34542" xr:uid="{00000000-0005-0000-0000-000058860000}"/>
    <cellStyle name="Normal 3 11 6 2 2 2" xfId="34543" xr:uid="{00000000-0005-0000-0000-000059860000}"/>
    <cellStyle name="Normal 3 11 6 2 2 3" xfId="34544" xr:uid="{00000000-0005-0000-0000-00005A860000}"/>
    <cellStyle name="Normal 3 11 6 2 3" xfId="34545" xr:uid="{00000000-0005-0000-0000-00005B860000}"/>
    <cellStyle name="Normal 3 11 6 2 4" xfId="34546" xr:uid="{00000000-0005-0000-0000-00005C860000}"/>
    <cellStyle name="Normal 3 11 6 3" xfId="34547" xr:uid="{00000000-0005-0000-0000-00005D860000}"/>
    <cellStyle name="Normal 3 11 6 3 2" xfId="34548" xr:uid="{00000000-0005-0000-0000-00005E860000}"/>
    <cellStyle name="Normal 3 11 6 3 3" xfId="34549" xr:uid="{00000000-0005-0000-0000-00005F860000}"/>
    <cellStyle name="Normal 3 11 6 4" xfId="34550" xr:uid="{00000000-0005-0000-0000-000060860000}"/>
    <cellStyle name="Normal 3 11 7" xfId="34551" xr:uid="{00000000-0005-0000-0000-000061860000}"/>
    <cellStyle name="Normal 3 11 7 2" xfId="34552" xr:uid="{00000000-0005-0000-0000-000062860000}"/>
    <cellStyle name="Normal 3 11 7 2 2" xfId="34553" xr:uid="{00000000-0005-0000-0000-000063860000}"/>
    <cellStyle name="Normal 3 11 7 2 2 2" xfId="34554" xr:uid="{00000000-0005-0000-0000-000064860000}"/>
    <cellStyle name="Normal 3 11 7 2 2 3" xfId="34555" xr:uid="{00000000-0005-0000-0000-000065860000}"/>
    <cellStyle name="Normal 3 11 7 2 3" xfId="34556" xr:uid="{00000000-0005-0000-0000-000066860000}"/>
    <cellStyle name="Normal 3 11 7 2 4" xfId="34557" xr:uid="{00000000-0005-0000-0000-000067860000}"/>
    <cellStyle name="Normal 3 11 7 3" xfId="34558" xr:uid="{00000000-0005-0000-0000-000068860000}"/>
    <cellStyle name="Normal 3 11 7 3 2" xfId="34559" xr:uid="{00000000-0005-0000-0000-000069860000}"/>
    <cellStyle name="Normal 3 11 7 3 3" xfId="34560" xr:uid="{00000000-0005-0000-0000-00006A860000}"/>
    <cellStyle name="Normal 3 11 7 4" xfId="34561" xr:uid="{00000000-0005-0000-0000-00006B860000}"/>
    <cellStyle name="Normal 3 11 8" xfId="34562" xr:uid="{00000000-0005-0000-0000-00006C860000}"/>
    <cellStyle name="Normal 3 11 8 2" xfId="34563" xr:uid="{00000000-0005-0000-0000-00006D860000}"/>
    <cellStyle name="Normal 3 11 8 2 2" xfId="34564" xr:uid="{00000000-0005-0000-0000-00006E860000}"/>
    <cellStyle name="Normal 3 11 8 2 2 2" xfId="34565" xr:uid="{00000000-0005-0000-0000-00006F860000}"/>
    <cellStyle name="Normal 3 11 8 2 2 3" xfId="34566" xr:uid="{00000000-0005-0000-0000-000070860000}"/>
    <cellStyle name="Normal 3 11 8 2 3" xfId="34567" xr:uid="{00000000-0005-0000-0000-000071860000}"/>
    <cellStyle name="Normal 3 11 8 2 4" xfId="34568" xr:uid="{00000000-0005-0000-0000-000072860000}"/>
    <cellStyle name="Normal 3 11 8 3" xfId="34569" xr:uid="{00000000-0005-0000-0000-000073860000}"/>
    <cellStyle name="Normal 3 11 8 3 2" xfId="34570" xr:uid="{00000000-0005-0000-0000-000074860000}"/>
    <cellStyle name="Normal 3 11 8 3 3" xfId="34571" xr:uid="{00000000-0005-0000-0000-000075860000}"/>
    <cellStyle name="Normal 3 11 8 4" xfId="34572" xr:uid="{00000000-0005-0000-0000-000076860000}"/>
    <cellStyle name="Normal 3 11 9" xfId="34573" xr:uid="{00000000-0005-0000-0000-000077860000}"/>
    <cellStyle name="Normal 3 11 9 2" xfId="34574" xr:uid="{00000000-0005-0000-0000-000078860000}"/>
    <cellStyle name="Normal 3 11 9 2 2" xfId="34575" xr:uid="{00000000-0005-0000-0000-000079860000}"/>
    <cellStyle name="Normal 3 11 9 2 2 2" xfId="34576" xr:uid="{00000000-0005-0000-0000-00007A860000}"/>
    <cellStyle name="Normal 3 11 9 2 2 3" xfId="34577" xr:uid="{00000000-0005-0000-0000-00007B860000}"/>
    <cellStyle name="Normal 3 11 9 2 3" xfId="34578" xr:uid="{00000000-0005-0000-0000-00007C860000}"/>
    <cellStyle name="Normal 3 11 9 2 4" xfId="34579" xr:uid="{00000000-0005-0000-0000-00007D860000}"/>
    <cellStyle name="Normal 3 11 9 3" xfId="34580" xr:uid="{00000000-0005-0000-0000-00007E860000}"/>
    <cellStyle name="Normal 3 11 9 3 2" xfId="34581" xr:uid="{00000000-0005-0000-0000-00007F860000}"/>
    <cellStyle name="Normal 3 11 9 3 3" xfId="34582" xr:uid="{00000000-0005-0000-0000-000080860000}"/>
    <cellStyle name="Normal 3 11 9 4" xfId="34583" xr:uid="{00000000-0005-0000-0000-000081860000}"/>
    <cellStyle name="Normal 3 12" xfId="34584" xr:uid="{00000000-0005-0000-0000-000082860000}"/>
    <cellStyle name="Normal 3 12 10" xfId="34585" xr:uid="{00000000-0005-0000-0000-000083860000}"/>
    <cellStyle name="Normal 3 12 10 2" xfId="34586" xr:uid="{00000000-0005-0000-0000-000084860000}"/>
    <cellStyle name="Normal 3 12 10 2 2" xfId="34587" xr:uid="{00000000-0005-0000-0000-000085860000}"/>
    <cellStyle name="Normal 3 12 10 2 2 2" xfId="34588" xr:uid="{00000000-0005-0000-0000-000086860000}"/>
    <cellStyle name="Normal 3 12 10 2 2 3" xfId="34589" xr:uid="{00000000-0005-0000-0000-000087860000}"/>
    <cellStyle name="Normal 3 12 10 2 3" xfId="34590" xr:uid="{00000000-0005-0000-0000-000088860000}"/>
    <cellStyle name="Normal 3 12 10 2 4" xfId="34591" xr:uid="{00000000-0005-0000-0000-000089860000}"/>
    <cellStyle name="Normal 3 12 10 3" xfId="34592" xr:uid="{00000000-0005-0000-0000-00008A860000}"/>
    <cellStyle name="Normal 3 12 10 3 2" xfId="34593" xr:uid="{00000000-0005-0000-0000-00008B860000}"/>
    <cellStyle name="Normal 3 12 10 3 3" xfId="34594" xr:uid="{00000000-0005-0000-0000-00008C860000}"/>
    <cellStyle name="Normal 3 12 10 4" xfId="34595" xr:uid="{00000000-0005-0000-0000-00008D860000}"/>
    <cellStyle name="Normal 3 12 11" xfId="34596" xr:uid="{00000000-0005-0000-0000-00008E860000}"/>
    <cellStyle name="Normal 3 12 11 2" xfId="34597" xr:uid="{00000000-0005-0000-0000-00008F860000}"/>
    <cellStyle name="Normal 3 12 11 2 2" xfId="34598" xr:uid="{00000000-0005-0000-0000-000090860000}"/>
    <cellStyle name="Normal 3 12 11 2 2 2" xfId="34599" xr:uid="{00000000-0005-0000-0000-000091860000}"/>
    <cellStyle name="Normal 3 12 11 2 2 3" xfId="34600" xr:uid="{00000000-0005-0000-0000-000092860000}"/>
    <cellStyle name="Normal 3 12 11 2 3" xfId="34601" xr:uid="{00000000-0005-0000-0000-000093860000}"/>
    <cellStyle name="Normal 3 12 11 2 4" xfId="34602" xr:uid="{00000000-0005-0000-0000-000094860000}"/>
    <cellStyle name="Normal 3 12 11 3" xfId="34603" xr:uid="{00000000-0005-0000-0000-000095860000}"/>
    <cellStyle name="Normal 3 12 11 3 2" xfId="34604" xr:uid="{00000000-0005-0000-0000-000096860000}"/>
    <cellStyle name="Normal 3 12 11 3 3" xfId="34605" xr:uid="{00000000-0005-0000-0000-000097860000}"/>
    <cellStyle name="Normal 3 12 11 4" xfId="34606" xr:uid="{00000000-0005-0000-0000-000098860000}"/>
    <cellStyle name="Normal 3 12 12" xfId="34607" xr:uid="{00000000-0005-0000-0000-000099860000}"/>
    <cellStyle name="Normal 3 12 12 2" xfId="34608" xr:uid="{00000000-0005-0000-0000-00009A860000}"/>
    <cellStyle name="Normal 3 12 12 2 2" xfId="34609" xr:uid="{00000000-0005-0000-0000-00009B860000}"/>
    <cellStyle name="Normal 3 12 12 2 2 2" xfId="34610" xr:uid="{00000000-0005-0000-0000-00009C860000}"/>
    <cellStyle name="Normal 3 12 12 2 2 3" xfId="34611" xr:uid="{00000000-0005-0000-0000-00009D860000}"/>
    <cellStyle name="Normal 3 12 12 2 3" xfId="34612" xr:uid="{00000000-0005-0000-0000-00009E860000}"/>
    <cellStyle name="Normal 3 12 12 2 4" xfId="34613" xr:uid="{00000000-0005-0000-0000-00009F860000}"/>
    <cellStyle name="Normal 3 12 12 3" xfId="34614" xr:uid="{00000000-0005-0000-0000-0000A0860000}"/>
    <cellStyle name="Normal 3 12 12 3 2" xfId="34615" xr:uid="{00000000-0005-0000-0000-0000A1860000}"/>
    <cellStyle name="Normal 3 12 12 3 3" xfId="34616" xr:uid="{00000000-0005-0000-0000-0000A2860000}"/>
    <cellStyle name="Normal 3 12 12 4" xfId="34617" xr:uid="{00000000-0005-0000-0000-0000A3860000}"/>
    <cellStyle name="Normal 3 12 13" xfId="34618" xr:uid="{00000000-0005-0000-0000-0000A4860000}"/>
    <cellStyle name="Normal 3 12 13 2" xfId="34619" xr:uid="{00000000-0005-0000-0000-0000A5860000}"/>
    <cellStyle name="Normal 3 12 13 2 2" xfId="34620" xr:uid="{00000000-0005-0000-0000-0000A6860000}"/>
    <cellStyle name="Normal 3 12 13 2 2 2" xfId="34621" xr:uid="{00000000-0005-0000-0000-0000A7860000}"/>
    <cellStyle name="Normal 3 12 13 2 2 3" xfId="34622" xr:uid="{00000000-0005-0000-0000-0000A8860000}"/>
    <cellStyle name="Normal 3 12 13 2 3" xfId="34623" xr:uid="{00000000-0005-0000-0000-0000A9860000}"/>
    <cellStyle name="Normal 3 12 13 2 4" xfId="34624" xr:uid="{00000000-0005-0000-0000-0000AA860000}"/>
    <cellStyle name="Normal 3 12 13 3" xfId="34625" xr:uid="{00000000-0005-0000-0000-0000AB860000}"/>
    <cellStyle name="Normal 3 12 13 3 2" xfId="34626" xr:uid="{00000000-0005-0000-0000-0000AC860000}"/>
    <cellStyle name="Normal 3 12 13 3 3" xfId="34627" xr:uid="{00000000-0005-0000-0000-0000AD860000}"/>
    <cellStyle name="Normal 3 12 13 4" xfId="34628" xr:uid="{00000000-0005-0000-0000-0000AE860000}"/>
    <cellStyle name="Normal 3 12 14" xfId="34629" xr:uid="{00000000-0005-0000-0000-0000AF860000}"/>
    <cellStyle name="Normal 3 12 14 2" xfId="34630" xr:uid="{00000000-0005-0000-0000-0000B0860000}"/>
    <cellStyle name="Normal 3 12 14 2 2" xfId="34631" xr:uid="{00000000-0005-0000-0000-0000B1860000}"/>
    <cellStyle name="Normal 3 12 14 2 2 2" xfId="34632" xr:uid="{00000000-0005-0000-0000-0000B2860000}"/>
    <cellStyle name="Normal 3 12 14 2 2 3" xfId="34633" xr:uid="{00000000-0005-0000-0000-0000B3860000}"/>
    <cellStyle name="Normal 3 12 14 2 3" xfId="34634" xr:uid="{00000000-0005-0000-0000-0000B4860000}"/>
    <cellStyle name="Normal 3 12 14 2 4" xfId="34635" xr:uid="{00000000-0005-0000-0000-0000B5860000}"/>
    <cellStyle name="Normal 3 12 14 3" xfId="34636" xr:uid="{00000000-0005-0000-0000-0000B6860000}"/>
    <cellStyle name="Normal 3 12 14 3 2" xfId="34637" xr:uid="{00000000-0005-0000-0000-0000B7860000}"/>
    <cellStyle name="Normal 3 12 14 3 3" xfId="34638" xr:uid="{00000000-0005-0000-0000-0000B8860000}"/>
    <cellStyle name="Normal 3 12 14 4" xfId="34639" xr:uid="{00000000-0005-0000-0000-0000B9860000}"/>
    <cellStyle name="Normal 3 12 15" xfId="34640" xr:uid="{00000000-0005-0000-0000-0000BA860000}"/>
    <cellStyle name="Normal 3 12 15 2" xfId="34641" xr:uid="{00000000-0005-0000-0000-0000BB860000}"/>
    <cellStyle name="Normal 3 12 15 2 2" xfId="34642" xr:uid="{00000000-0005-0000-0000-0000BC860000}"/>
    <cellStyle name="Normal 3 12 15 2 2 2" xfId="34643" xr:uid="{00000000-0005-0000-0000-0000BD860000}"/>
    <cellStyle name="Normal 3 12 15 2 2 3" xfId="34644" xr:uid="{00000000-0005-0000-0000-0000BE860000}"/>
    <cellStyle name="Normal 3 12 15 2 3" xfId="34645" xr:uid="{00000000-0005-0000-0000-0000BF860000}"/>
    <cellStyle name="Normal 3 12 15 2 4" xfId="34646" xr:uid="{00000000-0005-0000-0000-0000C0860000}"/>
    <cellStyle name="Normal 3 12 15 3" xfId="34647" xr:uid="{00000000-0005-0000-0000-0000C1860000}"/>
    <cellStyle name="Normal 3 12 15 3 2" xfId="34648" xr:uid="{00000000-0005-0000-0000-0000C2860000}"/>
    <cellStyle name="Normal 3 12 15 3 3" xfId="34649" xr:uid="{00000000-0005-0000-0000-0000C3860000}"/>
    <cellStyle name="Normal 3 12 15 4" xfId="34650" xr:uid="{00000000-0005-0000-0000-0000C4860000}"/>
    <cellStyle name="Normal 3 12 16" xfId="34651" xr:uid="{00000000-0005-0000-0000-0000C5860000}"/>
    <cellStyle name="Normal 3 12 16 2" xfId="34652" xr:uid="{00000000-0005-0000-0000-0000C6860000}"/>
    <cellStyle name="Normal 3 12 16 2 2" xfId="34653" xr:uid="{00000000-0005-0000-0000-0000C7860000}"/>
    <cellStyle name="Normal 3 12 16 2 2 2" xfId="34654" xr:uid="{00000000-0005-0000-0000-0000C8860000}"/>
    <cellStyle name="Normal 3 12 16 2 2 3" xfId="34655" xr:uid="{00000000-0005-0000-0000-0000C9860000}"/>
    <cellStyle name="Normal 3 12 16 2 3" xfId="34656" xr:uid="{00000000-0005-0000-0000-0000CA860000}"/>
    <cellStyle name="Normal 3 12 16 2 4" xfId="34657" xr:uid="{00000000-0005-0000-0000-0000CB860000}"/>
    <cellStyle name="Normal 3 12 16 3" xfId="34658" xr:uid="{00000000-0005-0000-0000-0000CC860000}"/>
    <cellStyle name="Normal 3 12 16 3 2" xfId="34659" xr:uid="{00000000-0005-0000-0000-0000CD860000}"/>
    <cellStyle name="Normal 3 12 16 3 3" xfId="34660" xr:uid="{00000000-0005-0000-0000-0000CE860000}"/>
    <cellStyle name="Normal 3 12 16 4" xfId="34661" xr:uid="{00000000-0005-0000-0000-0000CF860000}"/>
    <cellStyle name="Normal 3 12 17" xfId="34662" xr:uid="{00000000-0005-0000-0000-0000D0860000}"/>
    <cellStyle name="Normal 3 12 17 2" xfId="34663" xr:uid="{00000000-0005-0000-0000-0000D1860000}"/>
    <cellStyle name="Normal 3 12 17 2 2" xfId="34664" xr:uid="{00000000-0005-0000-0000-0000D2860000}"/>
    <cellStyle name="Normal 3 12 17 2 2 2" xfId="34665" xr:uid="{00000000-0005-0000-0000-0000D3860000}"/>
    <cellStyle name="Normal 3 12 17 2 2 3" xfId="34666" xr:uid="{00000000-0005-0000-0000-0000D4860000}"/>
    <cellStyle name="Normal 3 12 17 2 3" xfId="34667" xr:uid="{00000000-0005-0000-0000-0000D5860000}"/>
    <cellStyle name="Normal 3 12 17 2 4" xfId="34668" xr:uid="{00000000-0005-0000-0000-0000D6860000}"/>
    <cellStyle name="Normal 3 12 17 3" xfId="34669" xr:uid="{00000000-0005-0000-0000-0000D7860000}"/>
    <cellStyle name="Normal 3 12 17 3 2" xfId="34670" xr:uid="{00000000-0005-0000-0000-0000D8860000}"/>
    <cellStyle name="Normal 3 12 17 3 3" xfId="34671" xr:uid="{00000000-0005-0000-0000-0000D9860000}"/>
    <cellStyle name="Normal 3 12 17 4" xfId="34672" xr:uid="{00000000-0005-0000-0000-0000DA860000}"/>
    <cellStyle name="Normal 3 12 18" xfId="34673" xr:uid="{00000000-0005-0000-0000-0000DB860000}"/>
    <cellStyle name="Normal 3 12 18 2" xfId="34674" xr:uid="{00000000-0005-0000-0000-0000DC860000}"/>
    <cellStyle name="Normal 3 12 18 2 2" xfId="34675" xr:uid="{00000000-0005-0000-0000-0000DD860000}"/>
    <cellStyle name="Normal 3 12 18 2 2 2" xfId="34676" xr:uid="{00000000-0005-0000-0000-0000DE860000}"/>
    <cellStyle name="Normal 3 12 18 2 2 3" xfId="34677" xr:uid="{00000000-0005-0000-0000-0000DF860000}"/>
    <cellStyle name="Normal 3 12 18 2 3" xfId="34678" xr:uid="{00000000-0005-0000-0000-0000E0860000}"/>
    <cellStyle name="Normal 3 12 18 2 4" xfId="34679" xr:uid="{00000000-0005-0000-0000-0000E1860000}"/>
    <cellStyle name="Normal 3 12 18 3" xfId="34680" xr:uid="{00000000-0005-0000-0000-0000E2860000}"/>
    <cellStyle name="Normal 3 12 18 3 2" xfId="34681" xr:uid="{00000000-0005-0000-0000-0000E3860000}"/>
    <cellStyle name="Normal 3 12 18 3 3" xfId="34682" xr:uid="{00000000-0005-0000-0000-0000E4860000}"/>
    <cellStyle name="Normal 3 12 18 4" xfId="34683" xr:uid="{00000000-0005-0000-0000-0000E5860000}"/>
    <cellStyle name="Normal 3 12 19" xfId="34684" xr:uid="{00000000-0005-0000-0000-0000E6860000}"/>
    <cellStyle name="Normal 3 12 19 2" xfId="34685" xr:uid="{00000000-0005-0000-0000-0000E7860000}"/>
    <cellStyle name="Normal 3 12 19 2 2" xfId="34686" xr:uid="{00000000-0005-0000-0000-0000E8860000}"/>
    <cellStyle name="Normal 3 12 19 2 2 2" xfId="34687" xr:uid="{00000000-0005-0000-0000-0000E9860000}"/>
    <cellStyle name="Normal 3 12 19 2 2 3" xfId="34688" xr:uid="{00000000-0005-0000-0000-0000EA860000}"/>
    <cellStyle name="Normal 3 12 19 2 3" xfId="34689" xr:uid="{00000000-0005-0000-0000-0000EB860000}"/>
    <cellStyle name="Normal 3 12 19 2 4" xfId="34690" xr:uid="{00000000-0005-0000-0000-0000EC860000}"/>
    <cellStyle name="Normal 3 12 19 3" xfId="34691" xr:uid="{00000000-0005-0000-0000-0000ED860000}"/>
    <cellStyle name="Normal 3 12 19 3 2" xfId="34692" xr:uid="{00000000-0005-0000-0000-0000EE860000}"/>
    <cellStyle name="Normal 3 12 19 3 3" xfId="34693" xr:uid="{00000000-0005-0000-0000-0000EF860000}"/>
    <cellStyle name="Normal 3 12 19 4" xfId="34694" xr:uid="{00000000-0005-0000-0000-0000F0860000}"/>
    <cellStyle name="Normal 3 12 2" xfId="34695" xr:uid="{00000000-0005-0000-0000-0000F1860000}"/>
    <cellStyle name="Normal 3 12 2 2" xfId="34696" xr:uid="{00000000-0005-0000-0000-0000F2860000}"/>
    <cellStyle name="Normal 3 12 2 2 2" xfId="34697" xr:uid="{00000000-0005-0000-0000-0000F3860000}"/>
    <cellStyle name="Normal 3 12 2 2 2 2" xfId="34698" xr:uid="{00000000-0005-0000-0000-0000F4860000}"/>
    <cellStyle name="Normal 3 12 2 2 2 3" xfId="34699" xr:uid="{00000000-0005-0000-0000-0000F5860000}"/>
    <cellStyle name="Normal 3 12 2 2 3" xfId="34700" xr:uid="{00000000-0005-0000-0000-0000F6860000}"/>
    <cellStyle name="Normal 3 12 2 2 4" xfId="34701" xr:uid="{00000000-0005-0000-0000-0000F7860000}"/>
    <cellStyle name="Normal 3 12 2 3" xfId="34702" xr:uid="{00000000-0005-0000-0000-0000F8860000}"/>
    <cellStyle name="Normal 3 12 2 3 2" xfId="34703" xr:uid="{00000000-0005-0000-0000-0000F9860000}"/>
    <cellStyle name="Normal 3 12 2 3 3" xfId="34704" xr:uid="{00000000-0005-0000-0000-0000FA860000}"/>
    <cellStyle name="Normal 3 12 2 4" xfId="34705" xr:uid="{00000000-0005-0000-0000-0000FB860000}"/>
    <cellStyle name="Normal 3 12 20" xfId="34706" xr:uid="{00000000-0005-0000-0000-0000FC860000}"/>
    <cellStyle name="Normal 3 12 20 2" xfId="34707" xr:uid="{00000000-0005-0000-0000-0000FD860000}"/>
    <cellStyle name="Normal 3 12 20 2 2" xfId="34708" xr:uid="{00000000-0005-0000-0000-0000FE860000}"/>
    <cellStyle name="Normal 3 12 20 2 2 2" xfId="34709" xr:uid="{00000000-0005-0000-0000-0000FF860000}"/>
    <cellStyle name="Normal 3 12 20 2 2 3" xfId="34710" xr:uid="{00000000-0005-0000-0000-000000870000}"/>
    <cellStyle name="Normal 3 12 20 2 3" xfId="34711" xr:uid="{00000000-0005-0000-0000-000001870000}"/>
    <cellStyle name="Normal 3 12 20 2 4" xfId="34712" xr:uid="{00000000-0005-0000-0000-000002870000}"/>
    <cellStyle name="Normal 3 12 20 3" xfId="34713" xr:uid="{00000000-0005-0000-0000-000003870000}"/>
    <cellStyle name="Normal 3 12 20 3 2" xfId="34714" xr:uid="{00000000-0005-0000-0000-000004870000}"/>
    <cellStyle name="Normal 3 12 20 3 3" xfId="34715" xr:uid="{00000000-0005-0000-0000-000005870000}"/>
    <cellStyle name="Normal 3 12 20 4" xfId="34716" xr:uid="{00000000-0005-0000-0000-000006870000}"/>
    <cellStyle name="Normal 3 12 21" xfId="34717" xr:uid="{00000000-0005-0000-0000-000007870000}"/>
    <cellStyle name="Normal 3 12 21 2" xfId="34718" xr:uid="{00000000-0005-0000-0000-000008870000}"/>
    <cellStyle name="Normal 3 12 21 2 2" xfId="34719" xr:uid="{00000000-0005-0000-0000-000009870000}"/>
    <cellStyle name="Normal 3 12 21 2 2 2" xfId="34720" xr:uid="{00000000-0005-0000-0000-00000A870000}"/>
    <cellStyle name="Normal 3 12 21 2 2 3" xfId="34721" xr:uid="{00000000-0005-0000-0000-00000B870000}"/>
    <cellStyle name="Normal 3 12 21 2 3" xfId="34722" xr:uid="{00000000-0005-0000-0000-00000C870000}"/>
    <cellStyle name="Normal 3 12 21 2 4" xfId="34723" xr:uid="{00000000-0005-0000-0000-00000D870000}"/>
    <cellStyle name="Normal 3 12 21 3" xfId="34724" xr:uid="{00000000-0005-0000-0000-00000E870000}"/>
    <cellStyle name="Normal 3 12 21 3 2" xfId="34725" xr:uid="{00000000-0005-0000-0000-00000F870000}"/>
    <cellStyle name="Normal 3 12 21 3 3" xfId="34726" xr:uid="{00000000-0005-0000-0000-000010870000}"/>
    <cellStyle name="Normal 3 12 21 4" xfId="34727" xr:uid="{00000000-0005-0000-0000-000011870000}"/>
    <cellStyle name="Normal 3 12 22" xfId="34728" xr:uid="{00000000-0005-0000-0000-000012870000}"/>
    <cellStyle name="Normal 3 12 22 2" xfId="34729" xr:uid="{00000000-0005-0000-0000-000013870000}"/>
    <cellStyle name="Normal 3 12 22 2 2" xfId="34730" xr:uid="{00000000-0005-0000-0000-000014870000}"/>
    <cellStyle name="Normal 3 12 22 2 2 2" xfId="34731" xr:uid="{00000000-0005-0000-0000-000015870000}"/>
    <cellStyle name="Normal 3 12 22 2 2 3" xfId="34732" xr:uid="{00000000-0005-0000-0000-000016870000}"/>
    <cellStyle name="Normal 3 12 22 2 3" xfId="34733" xr:uid="{00000000-0005-0000-0000-000017870000}"/>
    <cellStyle name="Normal 3 12 22 2 4" xfId="34734" xr:uid="{00000000-0005-0000-0000-000018870000}"/>
    <cellStyle name="Normal 3 12 22 3" xfId="34735" xr:uid="{00000000-0005-0000-0000-000019870000}"/>
    <cellStyle name="Normal 3 12 22 3 2" xfId="34736" xr:uid="{00000000-0005-0000-0000-00001A870000}"/>
    <cellStyle name="Normal 3 12 22 3 3" xfId="34737" xr:uid="{00000000-0005-0000-0000-00001B870000}"/>
    <cellStyle name="Normal 3 12 22 4" xfId="34738" xr:uid="{00000000-0005-0000-0000-00001C870000}"/>
    <cellStyle name="Normal 3 12 23" xfId="34739" xr:uid="{00000000-0005-0000-0000-00001D870000}"/>
    <cellStyle name="Normal 3 12 23 2" xfId="34740" xr:uid="{00000000-0005-0000-0000-00001E870000}"/>
    <cellStyle name="Normal 3 12 23 2 2" xfId="34741" xr:uid="{00000000-0005-0000-0000-00001F870000}"/>
    <cellStyle name="Normal 3 12 23 2 2 2" xfId="34742" xr:uid="{00000000-0005-0000-0000-000020870000}"/>
    <cellStyle name="Normal 3 12 23 2 2 3" xfId="34743" xr:uid="{00000000-0005-0000-0000-000021870000}"/>
    <cellStyle name="Normal 3 12 23 2 3" xfId="34744" xr:uid="{00000000-0005-0000-0000-000022870000}"/>
    <cellStyle name="Normal 3 12 23 2 4" xfId="34745" xr:uid="{00000000-0005-0000-0000-000023870000}"/>
    <cellStyle name="Normal 3 12 23 3" xfId="34746" xr:uid="{00000000-0005-0000-0000-000024870000}"/>
    <cellStyle name="Normal 3 12 23 3 2" xfId="34747" xr:uid="{00000000-0005-0000-0000-000025870000}"/>
    <cellStyle name="Normal 3 12 23 3 3" xfId="34748" xr:uid="{00000000-0005-0000-0000-000026870000}"/>
    <cellStyle name="Normal 3 12 23 4" xfId="34749" xr:uid="{00000000-0005-0000-0000-000027870000}"/>
    <cellStyle name="Normal 3 12 24" xfId="34750" xr:uid="{00000000-0005-0000-0000-000028870000}"/>
    <cellStyle name="Normal 3 12 24 2" xfId="34751" xr:uid="{00000000-0005-0000-0000-000029870000}"/>
    <cellStyle name="Normal 3 12 24 2 2" xfId="34752" xr:uid="{00000000-0005-0000-0000-00002A870000}"/>
    <cellStyle name="Normal 3 12 24 2 3" xfId="34753" xr:uid="{00000000-0005-0000-0000-00002B870000}"/>
    <cellStyle name="Normal 3 12 24 3" xfId="34754" xr:uid="{00000000-0005-0000-0000-00002C870000}"/>
    <cellStyle name="Normal 3 12 24 4" xfId="34755" xr:uid="{00000000-0005-0000-0000-00002D870000}"/>
    <cellStyle name="Normal 3 12 25" xfId="34756" xr:uid="{00000000-0005-0000-0000-00002E870000}"/>
    <cellStyle name="Normal 3 12 25 2" xfId="34757" xr:uid="{00000000-0005-0000-0000-00002F870000}"/>
    <cellStyle name="Normal 3 12 25 3" xfId="34758" xr:uid="{00000000-0005-0000-0000-000030870000}"/>
    <cellStyle name="Normal 3 12 26" xfId="34759" xr:uid="{00000000-0005-0000-0000-000031870000}"/>
    <cellStyle name="Normal 3 12 3" xfId="34760" xr:uid="{00000000-0005-0000-0000-000032870000}"/>
    <cellStyle name="Normal 3 12 3 2" xfId="34761" xr:uid="{00000000-0005-0000-0000-000033870000}"/>
    <cellStyle name="Normal 3 12 3 2 2" xfId="34762" xr:uid="{00000000-0005-0000-0000-000034870000}"/>
    <cellStyle name="Normal 3 12 3 2 2 2" xfId="34763" xr:uid="{00000000-0005-0000-0000-000035870000}"/>
    <cellStyle name="Normal 3 12 3 2 2 3" xfId="34764" xr:uid="{00000000-0005-0000-0000-000036870000}"/>
    <cellStyle name="Normal 3 12 3 2 3" xfId="34765" xr:uid="{00000000-0005-0000-0000-000037870000}"/>
    <cellStyle name="Normal 3 12 3 2 4" xfId="34766" xr:uid="{00000000-0005-0000-0000-000038870000}"/>
    <cellStyle name="Normal 3 12 3 3" xfId="34767" xr:uid="{00000000-0005-0000-0000-000039870000}"/>
    <cellStyle name="Normal 3 12 3 3 2" xfId="34768" xr:uid="{00000000-0005-0000-0000-00003A870000}"/>
    <cellStyle name="Normal 3 12 3 3 3" xfId="34769" xr:uid="{00000000-0005-0000-0000-00003B870000}"/>
    <cellStyle name="Normal 3 12 3 4" xfId="34770" xr:uid="{00000000-0005-0000-0000-00003C870000}"/>
    <cellStyle name="Normal 3 12 4" xfId="34771" xr:uid="{00000000-0005-0000-0000-00003D870000}"/>
    <cellStyle name="Normal 3 12 4 2" xfId="34772" xr:uid="{00000000-0005-0000-0000-00003E870000}"/>
    <cellStyle name="Normal 3 12 4 2 2" xfId="34773" xr:uid="{00000000-0005-0000-0000-00003F870000}"/>
    <cellStyle name="Normal 3 12 4 2 2 2" xfId="34774" xr:uid="{00000000-0005-0000-0000-000040870000}"/>
    <cellStyle name="Normal 3 12 4 2 2 3" xfId="34775" xr:uid="{00000000-0005-0000-0000-000041870000}"/>
    <cellStyle name="Normal 3 12 4 2 3" xfId="34776" xr:uid="{00000000-0005-0000-0000-000042870000}"/>
    <cellStyle name="Normal 3 12 4 2 4" xfId="34777" xr:uid="{00000000-0005-0000-0000-000043870000}"/>
    <cellStyle name="Normal 3 12 4 3" xfId="34778" xr:uid="{00000000-0005-0000-0000-000044870000}"/>
    <cellStyle name="Normal 3 12 4 3 2" xfId="34779" xr:uid="{00000000-0005-0000-0000-000045870000}"/>
    <cellStyle name="Normal 3 12 4 3 3" xfId="34780" xr:uid="{00000000-0005-0000-0000-000046870000}"/>
    <cellStyle name="Normal 3 12 4 4" xfId="34781" xr:uid="{00000000-0005-0000-0000-000047870000}"/>
    <cellStyle name="Normal 3 12 5" xfId="34782" xr:uid="{00000000-0005-0000-0000-000048870000}"/>
    <cellStyle name="Normal 3 12 5 2" xfId="34783" xr:uid="{00000000-0005-0000-0000-000049870000}"/>
    <cellStyle name="Normal 3 12 5 2 2" xfId="34784" xr:uid="{00000000-0005-0000-0000-00004A870000}"/>
    <cellStyle name="Normal 3 12 5 2 2 2" xfId="34785" xr:uid="{00000000-0005-0000-0000-00004B870000}"/>
    <cellStyle name="Normal 3 12 5 2 2 3" xfId="34786" xr:uid="{00000000-0005-0000-0000-00004C870000}"/>
    <cellStyle name="Normal 3 12 5 2 3" xfId="34787" xr:uid="{00000000-0005-0000-0000-00004D870000}"/>
    <cellStyle name="Normal 3 12 5 2 4" xfId="34788" xr:uid="{00000000-0005-0000-0000-00004E870000}"/>
    <cellStyle name="Normal 3 12 5 3" xfId="34789" xr:uid="{00000000-0005-0000-0000-00004F870000}"/>
    <cellStyle name="Normal 3 12 5 3 2" xfId="34790" xr:uid="{00000000-0005-0000-0000-000050870000}"/>
    <cellStyle name="Normal 3 12 5 3 3" xfId="34791" xr:uid="{00000000-0005-0000-0000-000051870000}"/>
    <cellStyle name="Normal 3 12 5 4" xfId="34792" xr:uid="{00000000-0005-0000-0000-000052870000}"/>
    <cellStyle name="Normal 3 12 6" xfId="34793" xr:uid="{00000000-0005-0000-0000-000053870000}"/>
    <cellStyle name="Normal 3 12 6 2" xfId="34794" xr:uid="{00000000-0005-0000-0000-000054870000}"/>
    <cellStyle name="Normal 3 12 6 2 2" xfId="34795" xr:uid="{00000000-0005-0000-0000-000055870000}"/>
    <cellStyle name="Normal 3 12 6 2 2 2" xfId="34796" xr:uid="{00000000-0005-0000-0000-000056870000}"/>
    <cellStyle name="Normal 3 12 6 2 2 3" xfId="34797" xr:uid="{00000000-0005-0000-0000-000057870000}"/>
    <cellStyle name="Normal 3 12 6 2 3" xfId="34798" xr:uid="{00000000-0005-0000-0000-000058870000}"/>
    <cellStyle name="Normal 3 12 6 2 4" xfId="34799" xr:uid="{00000000-0005-0000-0000-000059870000}"/>
    <cellStyle name="Normal 3 12 6 3" xfId="34800" xr:uid="{00000000-0005-0000-0000-00005A870000}"/>
    <cellStyle name="Normal 3 12 6 3 2" xfId="34801" xr:uid="{00000000-0005-0000-0000-00005B870000}"/>
    <cellStyle name="Normal 3 12 6 3 3" xfId="34802" xr:uid="{00000000-0005-0000-0000-00005C870000}"/>
    <cellStyle name="Normal 3 12 6 4" xfId="34803" xr:uid="{00000000-0005-0000-0000-00005D870000}"/>
    <cellStyle name="Normal 3 12 7" xfId="34804" xr:uid="{00000000-0005-0000-0000-00005E870000}"/>
    <cellStyle name="Normal 3 12 7 2" xfId="34805" xr:uid="{00000000-0005-0000-0000-00005F870000}"/>
    <cellStyle name="Normal 3 12 7 2 2" xfId="34806" xr:uid="{00000000-0005-0000-0000-000060870000}"/>
    <cellStyle name="Normal 3 12 7 2 2 2" xfId="34807" xr:uid="{00000000-0005-0000-0000-000061870000}"/>
    <cellStyle name="Normal 3 12 7 2 2 3" xfId="34808" xr:uid="{00000000-0005-0000-0000-000062870000}"/>
    <cellStyle name="Normal 3 12 7 2 3" xfId="34809" xr:uid="{00000000-0005-0000-0000-000063870000}"/>
    <cellStyle name="Normal 3 12 7 2 4" xfId="34810" xr:uid="{00000000-0005-0000-0000-000064870000}"/>
    <cellStyle name="Normal 3 12 7 3" xfId="34811" xr:uid="{00000000-0005-0000-0000-000065870000}"/>
    <cellStyle name="Normal 3 12 7 3 2" xfId="34812" xr:uid="{00000000-0005-0000-0000-000066870000}"/>
    <cellStyle name="Normal 3 12 7 3 3" xfId="34813" xr:uid="{00000000-0005-0000-0000-000067870000}"/>
    <cellStyle name="Normal 3 12 7 4" xfId="34814" xr:uid="{00000000-0005-0000-0000-000068870000}"/>
    <cellStyle name="Normal 3 12 8" xfId="34815" xr:uid="{00000000-0005-0000-0000-000069870000}"/>
    <cellStyle name="Normal 3 12 8 2" xfId="34816" xr:uid="{00000000-0005-0000-0000-00006A870000}"/>
    <cellStyle name="Normal 3 12 8 2 2" xfId="34817" xr:uid="{00000000-0005-0000-0000-00006B870000}"/>
    <cellStyle name="Normal 3 12 8 2 2 2" xfId="34818" xr:uid="{00000000-0005-0000-0000-00006C870000}"/>
    <cellStyle name="Normal 3 12 8 2 2 3" xfId="34819" xr:uid="{00000000-0005-0000-0000-00006D870000}"/>
    <cellStyle name="Normal 3 12 8 2 3" xfId="34820" xr:uid="{00000000-0005-0000-0000-00006E870000}"/>
    <cellStyle name="Normal 3 12 8 2 4" xfId="34821" xr:uid="{00000000-0005-0000-0000-00006F870000}"/>
    <cellStyle name="Normal 3 12 8 3" xfId="34822" xr:uid="{00000000-0005-0000-0000-000070870000}"/>
    <cellStyle name="Normal 3 12 8 3 2" xfId="34823" xr:uid="{00000000-0005-0000-0000-000071870000}"/>
    <cellStyle name="Normal 3 12 8 3 3" xfId="34824" xr:uid="{00000000-0005-0000-0000-000072870000}"/>
    <cellStyle name="Normal 3 12 8 4" xfId="34825" xr:uid="{00000000-0005-0000-0000-000073870000}"/>
    <cellStyle name="Normal 3 12 9" xfId="34826" xr:uid="{00000000-0005-0000-0000-000074870000}"/>
    <cellStyle name="Normal 3 12 9 2" xfId="34827" xr:uid="{00000000-0005-0000-0000-000075870000}"/>
    <cellStyle name="Normal 3 12 9 2 2" xfId="34828" xr:uid="{00000000-0005-0000-0000-000076870000}"/>
    <cellStyle name="Normal 3 12 9 2 2 2" xfId="34829" xr:uid="{00000000-0005-0000-0000-000077870000}"/>
    <cellStyle name="Normal 3 12 9 2 2 3" xfId="34830" xr:uid="{00000000-0005-0000-0000-000078870000}"/>
    <cellStyle name="Normal 3 12 9 2 3" xfId="34831" xr:uid="{00000000-0005-0000-0000-000079870000}"/>
    <cellStyle name="Normal 3 12 9 2 4" xfId="34832" xr:uid="{00000000-0005-0000-0000-00007A870000}"/>
    <cellStyle name="Normal 3 12 9 3" xfId="34833" xr:uid="{00000000-0005-0000-0000-00007B870000}"/>
    <cellStyle name="Normal 3 12 9 3 2" xfId="34834" xr:uid="{00000000-0005-0000-0000-00007C870000}"/>
    <cellStyle name="Normal 3 12 9 3 3" xfId="34835" xr:uid="{00000000-0005-0000-0000-00007D870000}"/>
    <cellStyle name="Normal 3 12 9 4" xfId="34836" xr:uid="{00000000-0005-0000-0000-00007E870000}"/>
    <cellStyle name="Normal 3 13" xfId="34837" xr:uid="{00000000-0005-0000-0000-00007F870000}"/>
    <cellStyle name="Normal 3 13 10" xfId="34838" xr:uid="{00000000-0005-0000-0000-000080870000}"/>
    <cellStyle name="Normal 3 13 10 2" xfId="34839" xr:uid="{00000000-0005-0000-0000-000081870000}"/>
    <cellStyle name="Normal 3 13 10 2 2" xfId="34840" xr:uid="{00000000-0005-0000-0000-000082870000}"/>
    <cellStyle name="Normal 3 13 10 2 2 2" xfId="34841" xr:uid="{00000000-0005-0000-0000-000083870000}"/>
    <cellStyle name="Normal 3 13 10 2 2 3" xfId="34842" xr:uid="{00000000-0005-0000-0000-000084870000}"/>
    <cellStyle name="Normal 3 13 10 2 3" xfId="34843" xr:uid="{00000000-0005-0000-0000-000085870000}"/>
    <cellStyle name="Normal 3 13 10 2 4" xfId="34844" xr:uid="{00000000-0005-0000-0000-000086870000}"/>
    <cellStyle name="Normal 3 13 10 3" xfId="34845" xr:uid="{00000000-0005-0000-0000-000087870000}"/>
    <cellStyle name="Normal 3 13 10 3 2" xfId="34846" xr:uid="{00000000-0005-0000-0000-000088870000}"/>
    <cellStyle name="Normal 3 13 10 3 3" xfId="34847" xr:uid="{00000000-0005-0000-0000-000089870000}"/>
    <cellStyle name="Normal 3 13 10 4" xfId="34848" xr:uid="{00000000-0005-0000-0000-00008A870000}"/>
    <cellStyle name="Normal 3 13 11" xfId="34849" xr:uid="{00000000-0005-0000-0000-00008B870000}"/>
    <cellStyle name="Normal 3 13 11 2" xfId="34850" xr:uid="{00000000-0005-0000-0000-00008C870000}"/>
    <cellStyle name="Normal 3 13 11 2 2" xfId="34851" xr:uid="{00000000-0005-0000-0000-00008D870000}"/>
    <cellStyle name="Normal 3 13 11 2 2 2" xfId="34852" xr:uid="{00000000-0005-0000-0000-00008E870000}"/>
    <cellStyle name="Normal 3 13 11 2 2 3" xfId="34853" xr:uid="{00000000-0005-0000-0000-00008F870000}"/>
    <cellStyle name="Normal 3 13 11 2 3" xfId="34854" xr:uid="{00000000-0005-0000-0000-000090870000}"/>
    <cellStyle name="Normal 3 13 11 2 4" xfId="34855" xr:uid="{00000000-0005-0000-0000-000091870000}"/>
    <cellStyle name="Normal 3 13 11 3" xfId="34856" xr:uid="{00000000-0005-0000-0000-000092870000}"/>
    <cellStyle name="Normal 3 13 11 3 2" xfId="34857" xr:uid="{00000000-0005-0000-0000-000093870000}"/>
    <cellStyle name="Normal 3 13 11 3 3" xfId="34858" xr:uid="{00000000-0005-0000-0000-000094870000}"/>
    <cellStyle name="Normal 3 13 11 4" xfId="34859" xr:uid="{00000000-0005-0000-0000-000095870000}"/>
    <cellStyle name="Normal 3 13 12" xfId="34860" xr:uid="{00000000-0005-0000-0000-000096870000}"/>
    <cellStyle name="Normal 3 13 12 2" xfId="34861" xr:uid="{00000000-0005-0000-0000-000097870000}"/>
    <cellStyle name="Normal 3 13 12 2 2" xfId="34862" xr:uid="{00000000-0005-0000-0000-000098870000}"/>
    <cellStyle name="Normal 3 13 12 2 2 2" xfId="34863" xr:uid="{00000000-0005-0000-0000-000099870000}"/>
    <cellStyle name="Normal 3 13 12 2 2 3" xfId="34864" xr:uid="{00000000-0005-0000-0000-00009A870000}"/>
    <cellStyle name="Normal 3 13 12 2 3" xfId="34865" xr:uid="{00000000-0005-0000-0000-00009B870000}"/>
    <cellStyle name="Normal 3 13 12 2 4" xfId="34866" xr:uid="{00000000-0005-0000-0000-00009C870000}"/>
    <cellStyle name="Normal 3 13 12 3" xfId="34867" xr:uid="{00000000-0005-0000-0000-00009D870000}"/>
    <cellStyle name="Normal 3 13 12 3 2" xfId="34868" xr:uid="{00000000-0005-0000-0000-00009E870000}"/>
    <cellStyle name="Normal 3 13 12 3 3" xfId="34869" xr:uid="{00000000-0005-0000-0000-00009F870000}"/>
    <cellStyle name="Normal 3 13 12 4" xfId="34870" xr:uid="{00000000-0005-0000-0000-0000A0870000}"/>
    <cellStyle name="Normal 3 13 13" xfId="34871" xr:uid="{00000000-0005-0000-0000-0000A1870000}"/>
    <cellStyle name="Normal 3 13 13 2" xfId="34872" xr:uid="{00000000-0005-0000-0000-0000A2870000}"/>
    <cellStyle name="Normal 3 13 13 2 2" xfId="34873" xr:uid="{00000000-0005-0000-0000-0000A3870000}"/>
    <cellStyle name="Normal 3 13 13 2 2 2" xfId="34874" xr:uid="{00000000-0005-0000-0000-0000A4870000}"/>
    <cellStyle name="Normal 3 13 13 2 2 3" xfId="34875" xr:uid="{00000000-0005-0000-0000-0000A5870000}"/>
    <cellStyle name="Normal 3 13 13 2 3" xfId="34876" xr:uid="{00000000-0005-0000-0000-0000A6870000}"/>
    <cellStyle name="Normal 3 13 13 2 4" xfId="34877" xr:uid="{00000000-0005-0000-0000-0000A7870000}"/>
    <cellStyle name="Normal 3 13 13 3" xfId="34878" xr:uid="{00000000-0005-0000-0000-0000A8870000}"/>
    <cellStyle name="Normal 3 13 13 3 2" xfId="34879" xr:uid="{00000000-0005-0000-0000-0000A9870000}"/>
    <cellStyle name="Normal 3 13 13 3 3" xfId="34880" xr:uid="{00000000-0005-0000-0000-0000AA870000}"/>
    <cellStyle name="Normal 3 13 13 4" xfId="34881" xr:uid="{00000000-0005-0000-0000-0000AB870000}"/>
    <cellStyle name="Normal 3 13 14" xfId="34882" xr:uid="{00000000-0005-0000-0000-0000AC870000}"/>
    <cellStyle name="Normal 3 13 14 2" xfId="34883" xr:uid="{00000000-0005-0000-0000-0000AD870000}"/>
    <cellStyle name="Normal 3 13 14 2 2" xfId="34884" xr:uid="{00000000-0005-0000-0000-0000AE870000}"/>
    <cellStyle name="Normal 3 13 14 2 2 2" xfId="34885" xr:uid="{00000000-0005-0000-0000-0000AF870000}"/>
    <cellStyle name="Normal 3 13 14 2 2 3" xfId="34886" xr:uid="{00000000-0005-0000-0000-0000B0870000}"/>
    <cellStyle name="Normal 3 13 14 2 3" xfId="34887" xr:uid="{00000000-0005-0000-0000-0000B1870000}"/>
    <cellStyle name="Normal 3 13 14 2 4" xfId="34888" xr:uid="{00000000-0005-0000-0000-0000B2870000}"/>
    <cellStyle name="Normal 3 13 14 3" xfId="34889" xr:uid="{00000000-0005-0000-0000-0000B3870000}"/>
    <cellStyle name="Normal 3 13 14 3 2" xfId="34890" xr:uid="{00000000-0005-0000-0000-0000B4870000}"/>
    <cellStyle name="Normal 3 13 14 3 3" xfId="34891" xr:uid="{00000000-0005-0000-0000-0000B5870000}"/>
    <cellStyle name="Normal 3 13 14 4" xfId="34892" xr:uid="{00000000-0005-0000-0000-0000B6870000}"/>
    <cellStyle name="Normal 3 13 15" xfId="34893" xr:uid="{00000000-0005-0000-0000-0000B7870000}"/>
    <cellStyle name="Normal 3 13 15 2" xfId="34894" xr:uid="{00000000-0005-0000-0000-0000B8870000}"/>
    <cellStyle name="Normal 3 13 15 2 2" xfId="34895" xr:uid="{00000000-0005-0000-0000-0000B9870000}"/>
    <cellStyle name="Normal 3 13 15 2 2 2" xfId="34896" xr:uid="{00000000-0005-0000-0000-0000BA870000}"/>
    <cellStyle name="Normal 3 13 15 2 2 3" xfId="34897" xr:uid="{00000000-0005-0000-0000-0000BB870000}"/>
    <cellStyle name="Normal 3 13 15 2 3" xfId="34898" xr:uid="{00000000-0005-0000-0000-0000BC870000}"/>
    <cellStyle name="Normal 3 13 15 2 4" xfId="34899" xr:uid="{00000000-0005-0000-0000-0000BD870000}"/>
    <cellStyle name="Normal 3 13 15 3" xfId="34900" xr:uid="{00000000-0005-0000-0000-0000BE870000}"/>
    <cellStyle name="Normal 3 13 15 3 2" xfId="34901" xr:uid="{00000000-0005-0000-0000-0000BF870000}"/>
    <cellStyle name="Normal 3 13 15 3 3" xfId="34902" xr:uid="{00000000-0005-0000-0000-0000C0870000}"/>
    <cellStyle name="Normal 3 13 15 4" xfId="34903" xr:uid="{00000000-0005-0000-0000-0000C1870000}"/>
    <cellStyle name="Normal 3 13 16" xfId="34904" xr:uid="{00000000-0005-0000-0000-0000C2870000}"/>
    <cellStyle name="Normal 3 13 16 2" xfId="34905" xr:uid="{00000000-0005-0000-0000-0000C3870000}"/>
    <cellStyle name="Normal 3 13 16 2 2" xfId="34906" xr:uid="{00000000-0005-0000-0000-0000C4870000}"/>
    <cellStyle name="Normal 3 13 16 2 2 2" xfId="34907" xr:uid="{00000000-0005-0000-0000-0000C5870000}"/>
    <cellStyle name="Normal 3 13 16 2 2 3" xfId="34908" xr:uid="{00000000-0005-0000-0000-0000C6870000}"/>
    <cellStyle name="Normal 3 13 16 2 3" xfId="34909" xr:uid="{00000000-0005-0000-0000-0000C7870000}"/>
    <cellStyle name="Normal 3 13 16 2 4" xfId="34910" xr:uid="{00000000-0005-0000-0000-0000C8870000}"/>
    <cellStyle name="Normal 3 13 16 3" xfId="34911" xr:uid="{00000000-0005-0000-0000-0000C9870000}"/>
    <cellStyle name="Normal 3 13 16 3 2" xfId="34912" xr:uid="{00000000-0005-0000-0000-0000CA870000}"/>
    <cellStyle name="Normal 3 13 16 3 3" xfId="34913" xr:uid="{00000000-0005-0000-0000-0000CB870000}"/>
    <cellStyle name="Normal 3 13 16 4" xfId="34914" xr:uid="{00000000-0005-0000-0000-0000CC870000}"/>
    <cellStyle name="Normal 3 13 17" xfId="34915" xr:uid="{00000000-0005-0000-0000-0000CD870000}"/>
    <cellStyle name="Normal 3 13 17 2" xfId="34916" xr:uid="{00000000-0005-0000-0000-0000CE870000}"/>
    <cellStyle name="Normal 3 13 17 2 2" xfId="34917" xr:uid="{00000000-0005-0000-0000-0000CF870000}"/>
    <cellStyle name="Normal 3 13 17 2 2 2" xfId="34918" xr:uid="{00000000-0005-0000-0000-0000D0870000}"/>
    <cellStyle name="Normal 3 13 17 2 2 3" xfId="34919" xr:uid="{00000000-0005-0000-0000-0000D1870000}"/>
    <cellStyle name="Normal 3 13 17 2 3" xfId="34920" xr:uid="{00000000-0005-0000-0000-0000D2870000}"/>
    <cellStyle name="Normal 3 13 17 2 4" xfId="34921" xr:uid="{00000000-0005-0000-0000-0000D3870000}"/>
    <cellStyle name="Normal 3 13 17 3" xfId="34922" xr:uid="{00000000-0005-0000-0000-0000D4870000}"/>
    <cellStyle name="Normal 3 13 17 3 2" xfId="34923" xr:uid="{00000000-0005-0000-0000-0000D5870000}"/>
    <cellStyle name="Normal 3 13 17 3 3" xfId="34924" xr:uid="{00000000-0005-0000-0000-0000D6870000}"/>
    <cellStyle name="Normal 3 13 17 4" xfId="34925" xr:uid="{00000000-0005-0000-0000-0000D7870000}"/>
    <cellStyle name="Normal 3 13 18" xfId="34926" xr:uid="{00000000-0005-0000-0000-0000D8870000}"/>
    <cellStyle name="Normal 3 13 18 2" xfId="34927" xr:uid="{00000000-0005-0000-0000-0000D9870000}"/>
    <cellStyle name="Normal 3 13 18 2 2" xfId="34928" xr:uid="{00000000-0005-0000-0000-0000DA870000}"/>
    <cellStyle name="Normal 3 13 18 2 2 2" xfId="34929" xr:uid="{00000000-0005-0000-0000-0000DB870000}"/>
    <cellStyle name="Normal 3 13 18 2 2 3" xfId="34930" xr:uid="{00000000-0005-0000-0000-0000DC870000}"/>
    <cellStyle name="Normal 3 13 18 2 3" xfId="34931" xr:uid="{00000000-0005-0000-0000-0000DD870000}"/>
    <cellStyle name="Normal 3 13 18 2 4" xfId="34932" xr:uid="{00000000-0005-0000-0000-0000DE870000}"/>
    <cellStyle name="Normal 3 13 18 3" xfId="34933" xr:uid="{00000000-0005-0000-0000-0000DF870000}"/>
    <cellStyle name="Normal 3 13 18 3 2" xfId="34934" xr:uid="{00000000-0005-0000-0000-0000E0870000}"/>
    <cellStyle name="Normal 3 13 18 3 3" xfId="34935" xr:uid="{00000000-0005-0000-0000-0000E1870000}"/>
    <cellStyle name="Normal 3 13 18 4" xfId="34936" xr:uid="{00000000-0005-0000-0000-0000E2870000}"/>
    <cellStyle name="Normal 3 13 19" xfId="34937" xr:uid="{00000000-0005-0000-0000-0000E3870000}"/>
    <cellStyle name="Normal 3 13 19 2" xfId="34938" xr:uid="{00000000-0005-0000-0000-0000E4870000}"/>
    <cellStyle name="Normal 3 13 19 2 2" xfId="34939" xr:uid="{00000000-0005-0000-0000-0000E5870000}"/>
    <cellStyle name="Normal 3 13 19 2 2 2" xfId="34940" xr:uid="{00000000-0005-0000-0000-0000E6870000}"/>
    <cellStyle name="Normal 3 13 19 2 2 3" xfId="34941" xr:uid="{00000000-0005-0000-0000-0000E7870000}"/>
    <cellStyle name="Normal 3 13 19 2 3" xfId="34942" xr:uid="{00000000-0005-0000-0000-0000E8870000}"/>
    <cellStyle name="Normal 3 13 19 2 4" xfId="34943" xr:uid="{00000000-0005-0000-0000-0000E9870000}"/>
    <cellStyle name="Normal 3 13 19 3" xfId="34944" xr:uid="{00000000-0005-0000-0000-0000EA870000}"/>
    <cellStyle name="Normal 3 13 19 3 2" xfId="34945" xr:uid="{00000000-0005-0000-0000-0000EB870000}"/>
    <cellStyle name="Normal 3 13 19 3 3" xfId="34946" xr:uid="{00000000-0005-0000-0000-0000EC870000}"/>
    <cellStyle name="Normal 3 13 19 4" xfId="34947" xr:uid="{00000000-0005-0000-0000-0000ED870000}"/>
    <cellStyle name="Normal 3 13 2" xfId="34948" xr:uid="{00000000-0005-0000-0000-0000EE870000}"/>
    <cellStyle name="Normal 3 13 2 2" xfId="34949" xr:uid="{00000000-0005-0000-0000-0000EF870000}"/>
    <cellStyle name="Normal 3 13 2 2 2" xfId="34950" xr:uid="{00000000-0005-0000-0000-0000F0870000}"/>
    <cellStyle name="Normal 3 13 2 2 2 2" xfId="34951" xr:uid="{00000000-0005-0000-0000-0000F1870000}"/>
    <cellStyle name="Normal 3 13 2 2 2 3" xfId="34952" xr:uid="{00000000-0005-0000-0000-0000F2870000}"/>
    <cellStyle name="Normal 3 13 2 2 3" xfId="34953" xr:uid="{00000000-0005-0000-0000-0000F3870000}"/>
    <cellStyle name="Normal 3 13 2 2 4" xfId="34954" xr:uid="{00000000-0005-0000-0000-0000F4870000}"/>
    <cellStyle name="Normal 3 13 2 3" xfId="34955" xr:uid="{00000000-0005-0000-0000-0000F5870000}"/>
    <cellStyle name="Normal 3 13 2 3 2" xfId="34956" xr:uid="{00000000-0005-0000-0000-0000F6870000}"/>
    <cellStyle name="Normal 3 13 2 3 3" xfId="34957" xr:uid="{00000000-0005-0000-0000-0000F7870000}"/>
    <cellStyle name="Normal 3 13 2 4" xfId="34958" xr:uid="{00000000-0005-0000-0000-0000F8870000}"/>
    <cellStyle name="Normal 3 13 20" xfId="34959" xr:uid="{00000000-0005-0000-0000-0000F9870000}"/>
    <cellStyle name="Normal 3 13 20 2" xfId="34960" xr:uid="{00000000-0005-0000-0000-0000FA870000}"/>
    <cellStyle name="Normal 3 13 20 2 2" xfId="34961" xr:uid="{00000000-0005-0000-0000-0000FB870000}"/>
    <cellStyle name="Normal 3 13 20 2 2 2" xfId="34962" xr:uid="{00000000-0005-0000-0000-0000FC870000}"/>
    <cellStyle name="Normal 3 13 20 2 2 3" xfId="34963" xr:uid="{00000000-0005-0000-0000-0000FD870000}"/>
    <cellStyle name="Normal 3 13 20 2 3" xfId="34964" xr:uid="{00000000-0005-0000-0000-0000FE870000}"/>
    <cellStyle name="Normal 3 13 20 2 4" xfId="34965" xr:uid="{00000000-0005-0000-0000-0000FF870000}"/>
    <cellStyle name="Normal 3 13 20 3" xfId="34966" xr:uid="{00000000-0005-0000-0000-000000880000}"/>
    <cellStyle name="Normal 3 13 20 3 2" xfId="34967" xr:uid="{00000000-0005-0000-0000-000001880000}"/>
    <cellStyle name="Normal 3 13 20 3 3" xfId="34968" xr:uid="{00000000-0005-0000-0000-000002880000}"/>
    <cellStyle name="Normal 3 13 20 4" xfId="34969" xr:uid="{00000000-0005-0000-0000-000003880000}"/>
    <cellStyle name="Normal 3 13 21" xfId="34970" xr:uid="{00000000-0005-0000-0000-000004880000}"/>
    <cellStyle name="Normal 3 13 21 2" xfId="34971" xr:uid="{00000000-0005-0000-0000-000005880000}"/>
    <cellStyle name="Normal 3 13 21 2 2" xfId="34972" xr:uid="{00000000-0005-0000-0000-000006880000}"/>
    <cellStyle name="Normal 3 13 21 2 2 2" xfId="34973" xr:uid="{00000000-0005-0000-0000-000007880000}"/>
    <cellStyle name="Normal 3 13 21 2 2 3" xfId="34974" xr:uid="{00000000-0005-0000-0000-000008880000}"/>
    <cellStyle name="Normal 3 13 21 2 3" xfId="34975" xr:uid="{00000000-0005-0000-0000-000009880000}"/>
    <cellStyle name="Normal 3 13 21 2 4" xfId="34976" xr:uid="{00000000-0005-0000-0000-00000A880000}"/>
    <cellStyle name="Normal 3 13 21 3" xfId="34977" xr:uid="{00000000-0005-0000-0000-00000B880000}"/>
    <cellStyle name="Normal 3 13 21 3 2" xfId="34978" xr:uid="{00000000-0005-0000-0000-00000C880000}"/>
    <cellStyle name="Normal 3 13 21 3 3" xfId="34979" xr:uid="{00000000-0005-0000-0000-00000D880000}"/>
    <cellStyle name="Normal 3 13 21 4" xfId="34980" xr:uid="{00000000-0005-0000-0000-00000E880000}"/>
    <cellStyle name="Normal 3 13 22" xfId="34981" xr:uid="{00000000-0005-0000-0000-00000F880000}"/>
    <cellStyle name="Normal 3 13 22 2" xfId="34982" xr:uid="{00000000-0005-0000-0000-000010880000}"/>
    <cellStyle name="Normal 3 13 22 2 2" xfId="34983" xr:uid="{00000000-0005-0000-0000-000011880000}"/>
    <cellStyle name="Normal 3 13 22 2 2 2" xfId="34984" xr:uid="{00000000-0005-0000-0000-000012880000}"/>
    <cellStyle name="Normal 3 13 22 2 2 3" xfId="34985" xr:uid="{00000000-0005-0000-0000-000013880000}"/>
    <cellStyle name="Normal 3 13 22 2 3" xfId="34986" xr:uid="{00000000-0005-0000-0000-000014880000}"/>
    <cellStyle name="Normal 3 13 22 2 4" xfId="34987" xr:uid="{00000000-0005-0000-0000-000015880000}"/>
    <cellStyle name="Normal 3 13 22 3" xfId="34988" xr:uid="{00000000-0005-0000-0000-000016880000}"/>
    <cellStyle name="Normal 3 13 22 3 2" xfId="34989" xr:uid="{00000000-0005-0000-0000-000017880000}"/>
    <cellStyle name="Normal 3 13 22 3 3" xfId="34990" xr:uid="{00000000-0005-0000-0000-000018880000}"/>
    <cellStyle name="Normal 3 13 22 4" xfId="34991" xr:uid="{00000000-0005-0000-0000-000019880000}"/>
    <cellStyle name="Normal 3 13 23" xfId="34992" xr:uid="{00000000-0005-0000-0000-00001A880000}"/>
    <cellStyle name="Normal 3 13 23 2" xfId="34993" xr:uid="{00000000-0005-0000-0000-00001B880000}"/>
    <cellStyle name="Normal 3 13 23 2 2" xfId="34994" xr:uid="{00000000-0005-0000-0000-00001C880000}"/>
    <cellStyle name="Normal 3 13 23 2 2 2" xfId="34995" xr:uid="{00000000-0005-0000-0000-00001D880000}"/>
    <cellStyle name="Normal 3 13 23 2 2 3" xfId="34996" xr:uid="{00000000-0005-0000-0000-00001E880000}"/>
    <cellStyle name="Normal 3 13 23 2 3" xfId="34997" xr:uid="{00000000-0005-0000-0000-00001F880000}"/>
    <cellStyle name="Normal 3 13 23 2 4" xfId="34998" xr:uid="{00000000-0005-0000-0000-000020880000}"/>
    <cellStyle name="Normal 3 13 23 3" xfId="34999" xr:uid="{00000000-0005-0000-0000-000021880000}"/>
    <cellStyle name="Normal 3 13 23 3 2" xfId="35000" xr:uid="{00000000-0005-0000-0000-000022880000}"/>
    <cellStyle name="Normal 3 13 23 3 3" xfId="35001" xr:uid="{00000000-0005-0000-0000-000023880000}"/>
    <cellStyle name="Normal 3 13 23 4" xfId="35002" xr:uid="{00000000-0005-0000-0000-000024880000}"/>
    <cellStyle name="Normal 3 13 24" xfId="35003" xr:uid="{00000000-0005-0000-0000-000025880000}"/>
    <cellStyle name="Normal 3 13 24 2" xfId="35004" xr:uid="{00000000-0005-0000-0000-000026880000}"/>
    <cellStyle name="Normal 3 13 24 2 2" xfId="35005" xr:uid="{00000000-0005-0000-0000-000027880000}"/>
    <cellStyle name="Normal 3 13 24 2 3" xfId="35006" xr:uid="{00000000-0005-0000-0000-000028880000}"/>
    <cellStyle name="Normal 3 13 24 3" xfId="35007" xr:uid="{00000000-0005-0000-0000-000029880000}"/>
    <cellStyle name="Normal 3 13 24 4" xfId="35008" xr:uid="{00000000-0005-0000-0000-00002A880000}"/>
    <cellStyle name="Normal 3 13 25" xfId="35009" xr:uid="{00000000-0005-0000-0000-00002B880000}"/>
    <cellStyle name="Normal 3 13 25 2" xfId="35010" xr:uid="{00000000-0005-0000-0000-00002C880000}"/>
    <cellStyle name="Normal 3 13 25 3" xfId="35011" xr:uid="{00000000-0005-0000-0000-00002D880000}"/>
    <cellStyle name="Normal 3 13 26" xfId="35012" xr:uid="{00000000-0005-0000-0000-00002E880000}"/>
    <cellStyle name="Normal 3 13 3" xfId="35013" xr:uid="{00000000-0005-0000-0000-00002F880000}"/>
    <cellStyle name="Normal 3 13 3 2" xfId="35014" xr:uid="{00000000-0005-0000-0000-000030880000}"/>
    <cellStyle name="Normal 3 13 3 2 2" xfId="35015" xr:uid="{00000000-0005-0000-0000-000031880000}"/>
    <cellStyle name="Normal 3 13 3 2 2 2" xfId="35016" xr:uid="{00000000-0005-0000-0000-000032880000}"/>
    <cellStyle name="Normal 3 13 3 2 2 3" xfId="35017" xr:uid="{00000000-0005-0000-0000-000033880000}"/>
    <cellStyle name="Normal 3 13 3 2 3" xfId="35018" xr:uid="{00000000-0005-0000-0000-000034880000}"/>
    <cellStyle name="Normal 3 13 3 2 4" xfId="35019" xr:uid="{00000000-0005-0000-0000-000035880000}"/>
    <cellStyle name="Normal 3 13 3 3" xfId="35020" xr:uid="{00000000-0005-0000-0000-000036880000}"/>
    <cellStyle name="Normal 3 13 3 3 2" xfId="35021" xr:uid="{00000000-0005-0000-0000-000037880000}"/>
    <cellStyle name="Normal 3 13 3 3 3" xfId="35022" xr:uid="{00000000-0005-0000-0000-000038880000}"/>
    <cellStyle name="Normal 3 13 3 4" xfId="35023" xr:uid="{00000000-0005-0000-0000-000039880000}"/>
    <cellStyle name="Normal 3 13 4" xfId="35024" xr:uid="{00000000-0005-0000-0000-00003A880000}"/>
    <cellStyle name="Normal 3 13 4 2" xfId="35025" xr:uid="{00000000-0005-0000-0000-00003B880000}"/>
    <cellStyle name="Normal 3 13 4 2 2" xfId="35026" xr:uid="{00000000-0005-0000-0000-00003C880000}"/>
    <cellStyle name="Normal 3 13 4 2 2 2" xfId="35027" xr:uid="{00000000-0005-0000-0000-00003D880000}"/>
    <cellStyle name="Normal 3 13 4 2 2 3" xfId="35028" xr:uid="{00000000-0005-0000-0000-00003E880000}"/>
    <cellStyle name="Normal 3 13 4 2 3" xfId="35029" xr:uid="{00000000-0005-0000-0000-00003F880000}"/>
    <cellStyle name="Normal 3 13 4 2 4" xfId="35030" xr:uid="{00000000-0005-0000-0000-000040880000}"/>
    <cellStyle name="Normal 3 13 4 3" xfId="35031" xr:uid="{00000000-0005-0000-0000-000041880000}"/>
    <cellStyle name="Normal 3 13 4 3 2" xfId="35032" xr:uid="{00000000-0005-0000-0000-000042880000}"/>
    <cellStyle name="Normal 3 13 4 3 3" xfId="35033" xr:uid="{00000000-0005-0000-0000-000043880000}"/>
    <cellStyle name="Normal 3 13 4 4" xfId="35034" xr:uid="{00000000-0005-0000-0000-000044880000}"/>
    <cellStyle name="Normal 3 13 5" xfId="35035" xr:uid="{00000000-0005-0000-0000-000045880000}"/>
    <cellStyle name="Normal 3 13 5 2" xfId="35036" xr:uid="{00000000-0005-0000-0000-000046880000}"/>
    <cellStyle name="Normal 3 13 5 2 2" xfId="35037" xr:uid="{00000000-0005-0000-0000-000047880000}"/>
    <cellStyle name="Normal 3 13 5 2 2 2" xfId="35038" xr:uid="{00000000-0005-0000-0000-000048880000}"/>
    <cellStyle name="Normal 3 13 5 2 2 3" xfId="35039" xr:uid="{00000000-0005-0000-0000-000049880000}"/>
    <cellStyle name="Normal 3 13 5 2 3" xfId="35040" xr:uid="{00000000-0005-0000-0000-00004A880000}"/>
    <cellStyle name="Normal 3 13 5 2 4" xfId="35041" xr:uid="{00000000-0005-0000-0000-00004B880000}"/>
    <cellStyle name="Normal 3 13 5 3" xfId="35042" xr:uid="{00000000-0005-0000-0000-00004C880000}"/>
    <cellStyle name="Normal 3 13 5 3 2" xfId="35043" xr:uid="{00000000-0005-0000-0000-00004D880000}"/>
    <cellStyle name="Normal 3 13 5 3 3" xfId="35044" xr:uid="{00000000-0005-0000-0000-00004E880000}"/>
    <cellStyle name="Normal 3 13 5 4" xfId="35045" xr:uid="{00000000-0005-0000-0000-00004F880000}"/>
    <cellStyle name="Normal 3 13 6" xfId="35046" xr:uid="{00000000-0005-0000-0000-000050880000}"/>
    <cellStyle name="Normal 3 13 6 2" xfId="35047" xr:uid="{00000000-0005-0000-0000-000051880000}"/>
    <cellStyle name="Normal 3 13 6 2 2" xfId="35048" xr:uid="{00000000-0005-0000-0000-000052880000}"/>
    <cellStyle name="Normal 3 13 6 2 2 2" xfId="35049" xr:uid="{00000000-0005-0000-0000-000053880000}"/>
    <cellStyle name="Normal 3 13 6 2 2 3" xfId="35050" xr:uid="{00000000-0005-0000-0000-000054880000}"/>
    <cellStyle name="Normal 3 13 6 2 3" xfId="35051" xr:uid="{00000000-0005-0000-0000-000055880000}"/>
    <cellStyle name="Normal 3 13 6 2 4" xfId="35052" xr:uid="{00000000-0005-0000-0000-000056880000}"/>
    <cellStyle name="Normal 3 13 6 3" xfId="35053" xr:uid="{00000000-0005-0000-0000-000057880000}"/>
    <cellStyle name="Normal 3 13 6 3 2" xfId="35054" xr:uid="{00000000-0005-0000-0000-000058880000}"/>
    <cellStyle name="Normal 3 13 6 3 3" xfId="35055" xr:uid="{00000000-0005-0000-0000-000059880000}"/>
    <cellStyle name="Normal 3 13 6 4" xfId="35056" xr:uid="{00000000-0005-0000-0000-00005A880000}"/>
    <cellStyle name="Normal 3 13 7" xfId="35057" xr:uid="{00000000-0005-0000-0000-00005B880000}"/>
    <cellStyle name="Normal 3 13 7 2" xfId="35058" xr:uid="{00000000-0005-0000-0000-00005C880000}"/>
    <cellStyle name="Normal 3 13 7 2 2" xfId="35059" xr:uid="{00000000-0005-0000-0000-00005D880000}"/>
    <cellStyle name="Normal 3 13 7 2 2 2" xfId="35060" xr:uid="{00000000-0005-0000-0000-00005E880000}"/>
    <cellStyle name="Normal 3 13 7 2 2 3" xfId="35061" xr:uid="{00000000-0005-0000-0000-00005F880000}"/>
    <cellStyle name="Normal 3 13 7 2 3" xfId="35062" xr:uid="{00000000-0005-0000-0000-000060880000}"/>
    <cellStyle name="Normal 3 13 7 2 4" xfId="35063" xr:uid="{00000000-0005-0000-0000-000061880000}"/>
    <cellStyle name="Normal 3 13 7 3" xfId="35064" xr:uid="{00000000-0005-0000-0000-000062880000}"/>
    <cellStyle name="Normal 3 13 7 3 2" xfId="35065" xr:uid="{00000000-0005-0000-0000-000063880000}"/>
    <cellStyle name="Normal 3 13 7 3 3" xfId="35066" xr:uid="{00000000-0005-0000-0000-000064880000}"/>
    <cellStyle name="Normal 3 13 7 4" xfId="35067" xr:uid="{00000000-0005-0000-0000-000065880000}"/>
    <cellStyle name="Normal 3 13 8" xfId="35068" xr:uid="{00000000-0005-0000-0000-000066880000}"/>
    <cellStyle name="Normal 3 13 8 2" xfId="35069" xr:uid="{00000000-0005-0000-0000-000067880000}"/>
    <cellStyle name="Normal 3 13 8 2 2" xfId="35070" xr:uid="{00000000-0005-0000-0000-000068880000}"/>
    <cellStyle name="Normal 3 13 8 2 2 2" xfId="35071" xr:uid="{00000000-0005-0000-0000-000069880000}"/>
    <cellStyle name="Normal 3 13 8 2 2 3" xfId="35072" xr:uid="{00000000-0005-0000-0000-00006A880000}"/>
    <cellStyle name="Normal 3 13 8 2 3" xfId="35073" xr:uid="{00000000-0005-0000-0000-00006B880000}"/>
    <cellStyle name="Normal 3 13 8 2 4" xfId="35074" xr:uid="{00000000-0005-0000-0000-00006C880000}"/>
    <cellStyle name="Normal 3 13 8 3" xfId="35075" xr:uid="{00000000-0005-0000-0000-00006D880000}"/>
    <cellStyle name="Normal 3 13 8 3 2" xfId="35076" xr:uid="{00000000-0005-0000-0000-00006E880000}"/>
    <cellStyle name="Normal 3 13 8 3 3" xfId="35077" xr:uid="{00000000-0005-0000-0000-00006F880000}"/>
    <cellStyle name="Normal 3 13 8 4" xfId="35078" xr:uid="{00000000-0005-0000-0000-000070880000}"/>
    <cellStyle name="Normal 3 13 9" xfId="35079" xr:uid="{00000000-0005-0000-0000-000071880000}"/>
    <cellStyle name="Normal 3 13 9 2" xfId="35080" xr:uid="{00000000-0005-0000-0000-000072880000}"/>
    <cellStyle name="Normal 3 13 9 2 2" xfId="35081" xr:uid="{00000000-0005-0000-0000-000073880000}"/>
    <cellStyle name="Normal 3 13 9 2 2 2" xfId="35082" xr:uid="{00000000-0005-0000-0000-000074880000}"/>
    <cellStyle name="Normal 3 13 9 2 2 3" xfId="35083" xr:uid="{00000000-0005-0000-0000-000075880000}"/>
    <cellStyle name="Normal 3 13 9 2 3" xfId="35084" xr:uid="{00000000-0005-0000-0000-000076880000}"/>
    <cellStyle name="Normal 3 13 9 2 4" xfId="35085" xr:uid="{00000000-0005-0000-0000-000077880000}"/>
    <cellStyle name="Normal 3 13 9 3" xfId="35086" xr:uid="{00000000-0005-0000-0000-000078880000}"/>
    <cellStyle name="Normal 3 13 9 3 2" xfId="35087" xr:uid="{00000000-0005-0000-0000-000079880000}"/>
    <cellStyle name="Normal 3 13 9 3 3" xfId="35088" xr:uid="{00000000-0005-0000-0000-00007A880000}"/>
    <cellStyle name="Normal 3 13 9 4" xfId="35089" xr:uid="{00000000-0005-0000-0000-00007B880000}"/>
    <cellStyle name="Normal 3 14" xfId="35090" xr:uid="{00000000-0005-0000-0000-00007C880000}"/>
    <cellStyle name="Normal 3 14 10" xfId="35091" xr:uid="{00000000-0005-0000-0000-00007D880000}"/>
    <cellStyle name="Normal 3 14 10 2" xfId="35092" xr:uid="{00000000-0005-0000-0000-00007E880000}"/>
    <cellStyle name="Normal 3 14 10 2 2" xfId="35093" xr:uid="{00000000-0005-0000-0000-00007F880000}"/>
    <cellStyle name="Normal 3 14 10 2 2 2" xfId="35094" xr:uid="{00000000-0005-0000-0000-000080880000}"/>
    <cellStyle name="Normal 3 14 10 2 2 3" xfId="35095" xr:uid="{00000000-0005-0000-0000-000081880000}"/>
    <cellStyle name="Normal 3 14 10 2 3" xfId="35096" xr:uid="{00000000-0005-0000-0000-000082880000}"/>
    <cellStyle name="Normal 3 14 10 2 4" xfId="35097" xr:uid="{00000000-0005-0000-0000-000083880000}"/>
    <cellStyle name="Normal 3 14 10 3" xfId="35098" xr:uid="{00000000-0005-0000-0000-000084880000}"/>
    <cellStyle name="Normal 3 14 10 3 2" xfId="35099" xr:uid="{00000000-0005-0000-0000-000085880000}"/>
    <cellStyle name="Normal 3 14 10 3 3" xfId="35100" xr:uid="{00000000-0005-0000-0000-000086880000}"/>
    <cellStyle name="Normal 3 14 10 4" xfId="35101" xr:uid="{00000000-0005-0000-0000-000087880000}"/>
    <cellStyle name="Normal 3 14 11" xfId="35102" xr:uid="{00000000-0005-0000-0000-000088880000}"/>
    <cellStyle name="Normal 3 14 11 2" xfId="35103" xr:uid="{00000000-0005-0000-0000-000089880000}"/>
    <cellStyle name="Normal 3 14 11 2 2" xfId="35104" xr:uid="{00000000-0005-0000-0000-00008A880000}"/>
    <cellStyle name="Normal 3 14 11 2 2 2" xfId="35105" xr:uid="{00000000-0005-0000-0000-00008B880000}"/>
    <cellStyle name="Normal 3 14 11 2 2 3" xfId="35106" xr:uid="{00000000-0005-0000-0000-00008C880000}"/>
    <cellStyle name="Normal 3 14 11 2 3" xfId="35107" xr:uid="{00000000-0005-0000-0000-00008D880000}"/>
    <cellStyle name="Normal 3 14 11 2 4" xfId="35108" xr:uid="{00000000-0005-0000-0000-00008E880000}"/>
    <cellStyle name="Normal 3 14 11 3" xfId="35109" xr:uid="{00000000-0005-0000-0000-00008F880000}"/>
    <cellStyle name="Normal 3 14 11 3 2" xfId="35110" xr:uid="{00000000-0005-0000-0000-000090880000}"/>
    <cellStyle name="Normal 3 14 11 3 3" xfId="35111" xr:uid="{00000000-0005-0000-0000-000091880000}"/>
    <cellStyle name="Normal 3 14 11 4" xfId="35112" xr:uid="{00000000-0005-0000-0000-000092880000}"/>
    <cellStyle name="Normal 3 14 12" xfId="35113" xr:uid="{00000000-0005-0000-0000-000093880000}"/>
    <cellStyle name="Normal 3 14 12 2" xfId="35114" xr:uid="{00000000-0005-0000-0000-000094880000}"/>
    <cellStyle name="Normal 3 14 12 2 2" xfId="35115" xr:uid="{00000000-0005-0000-0000-000095880000}"/>
    <cellStyle name="Normal 3 14 12 2 2 2" xfId="35116" xr:uid="{00000000-0005-0000-0000-000096880000}"/>
    <cellStyle name="Normal 3 14 12 2 2 3" xfId="35117" xr:uid="{00000000-0005-0000-0000-000097880000}"/>
    <cellStyle name="Normal 3 14 12 2 3" xfId="35118" xr:uid="{00000000-0005-0000-0000-000098880000}"/>
    <cellStyle name="Normal 3 14 12 2 4" xfId="35119" xr:uid="{00000000-0005-0000-0000-000099880000}"/>
    <cellStyle name="Normal 3 14 12 3" xfId="35120" xr:uid="{00000000-0005-0000-0000-00009A880000}"/>
    <cellStyle name="Normal 3 14 12 3 2" xfId="35121" xr:uid="{00000000-0005-0000-0000-00009B880000}"/>
    <cellStyle name="Normal 3 14 12 3 3" xfId="35122" xr:uid="{00000000-0005-0000-0000-00009C880000}"/>
    <cellStyle name="Normal 3 14 12 4" xfId="35123" xr:uid="{00000000-0005-0000-0000-00009D880000}"/>
    <cellStyle name="Normal 3 14 13" xfId="35124" xr:uid="{00000000-0005-0000-0000-00009E880000}"/>
    <cellStyle name="Normal 3 14 13 2" xfId="35125" xr:uid="{00000000-0005-0000-0000-00009F880000}"/>
    <cellStyle name="Normal 3 14 13 2 2" xfId="35126" xr:uid="{00000000-0005-0000-0000-0000A0880000}"/>
    <cellStyle name="Normal 3 14 13 2 2 2" xfId="35127" xr:uid="{00000000-0005-0000-0000-0000A1880000}"/>
    <cellStyle name="Normal 3 14 13 2 2 3" xfId="35128" xr:uid="{00000000-0005-0000-0000-0000A2880000}"/>
    <cellStyle name="Normal 3 14 13 2 3" xfId="35129" xr:uid="{00000000-0005-0000-0000-0000A3880000}"/>
    <cellStyle name="Normal 3 14 13 2 4" xfId="35130" xr:uid="{00000000-0005-0000-0000-0000A4880000}"/>
    <cellStyle name="Normal 3 14 13 3" xfId="35131" xr:uid="{00000000-0005-0000-0000-0000A5880000}"/>
    <cellStyle name="Normal 3 14 13 3 2" xfId="35132" xr:uid="{00000000-0005-0000-0000-0000A6880000}"/>
    <cellStyle name="Normal 3 14 13 3 3" xfId="35133" xr:uid="{00000000-0005-0000-0000-0000A7880000}"/>
    <cellStyle name="Normal 3 14 13 4" xfId="35134" xr:uid="{00000000-0005-0000-0000-0000A8880000}"/>
    <cellStyle name="Normal 3 14 14" xfId="35135" xr:uid="{00000000-0005-0000-0000-0000A9880000}"/>
    <cellStyle name="Normal 3 14 14 2" xfId="35136" xr:uid="{00000000-0005-0000-0000-0000AA880000}"/>
    <cellStyle name="Normal 3 14 14 2 2" xfId="35137" xr:uid="{00000000-0005-0000-0000-0000AB880000}"/>
    <cellStyle name="Normal 3 14 14 2 2 2" xfId="35138" xr:uid="{00000000-0005-0000-0000-0000AC880000}"/>
    <cellStyle name="Normal 3 14 14 2 2 3" xfId="35139" xr:uid="{00000000-0005-0000-0000-0000AD880000}"/>
    <cellStyle name="Normal 3 14 14 2 3" xfId="35140" xr:uid="{00000000-0005-0000-0000-0000AE880000}"/>
    <cellStyle name="Normal 3 14 14 2 4" xfId="35141" xr:uid="{00000000-0005-0000-0000-0000AF880000}"/>
    <cellStyle name="Normal 3 14 14 3" xfId="35142" xr:uid="{00000000-0005-0000-0000-0000B0880000}"/>
    <cellStyle name="Normal 3 14 14 3 2" xfId="35143" xr:uid="{00000000-0005-0000-0000-0000B1880000}"/>
    <cellStyle name="Normal 3 14 14 3 3" xfId="35144" xr:uid="{00000000-0005-0000-0000-0000B2880000}"/>
    <cellStyle name="Normal 3 14 14 4" xfId="35145" xr:uid="{00000000-0005-0000-0000-0000B3880000}"/>
    <cellStyle name="Normal 3 14 15" xfId="35146" xr:uid="{00000000-0005-0000-0000-0000B4880000}"/>
    <cellStyle name="Normal 3 14 15 2" xfId="35147" xr:uid="{00000000-0005-0000-0000-0000B5880000}"/>
    <cellStyle name="Normal 3 14 15 2 2" xfId="35148" xr:uid="{00000000-0005-0000-0000-0000B6880000}"/>
    <cellStyle name="Normal 3 14 15 2 2 2" xfId="35149" xr:uid="{00000000-0005-0000-0000-0000B7880000}"/>
    <cellStyle name="Normal 3 14 15 2 2 3" xfId="35150" xr:uid="{00000000-0005-0000-0000-0000B8880000}"/>
    <cellStyle name="Normal 3 14 15 2 3" xfId="35151" xr:uid="{00000000-0005-0000-0000-0000B9880000}"/>
    <cellStyle name="Normal 3 14 15 2 4" xfId="35152" xr:uid="{00000000-0005-0000-0000-0000BA880000}"/>
    <cellStyle name="Normal 3 14 15 3" xfId="35153" xr:uid="{00000000-0005-0000-0000-0000BB880000}"/>
    <cellStyle name="Normal 3 14 15 3 2" xfId="35154" xr:uid="{00000000-0005-0000-0000-0000BC880000}"/>
    <cellStyle name="Normal 3 14 15 3 3" xfId="35155" xr:uid="{00000000-0005-0000-0000-0000BD880000}"/>
    <cellStyle name="Normal 3 14 15 4" xfId="35156" xr:uid="{00000000-0005-0000-0000-0000BE880000}"/>
    <cellStyle name="Normal 3 14 16" xfId="35157" xr:uid="{00000000-0005-0000-0000-0000BF880000}"/>
    <cellStyle name="Normal 3 14 16 2" xfId="35158" xr:uid="{00000000-0005-0000-0000-0000C0880000}"/>
    <cellStyle name="Normal 3 14 16 2 2" xfId="35159" xr:uid="{00000000-0005-0000-0000-0000C1880000}"/>
    <cellStyle name="Normal 3 14 16 2 2 2" xfId="35160" xr:uid="{00000000-0005-0000-0000-0000C2880000}"/>
    <cellStyle name="Normal 3 14 16 2 2 3" xfId="35161" xr:uid="{00000000-0005-0000-0000-0000C3880000}"/>
    <cellStyle name="Normal 3 14 16 2 3" xfId="35162" xr:uid="{00000000-0005-0000-0000-0000C4880000}"/>
    <cellStyle name="Normal 3 14 16 2 4" xfId="35163" xr:uid="{00000000-0005-0000-0000-0000C5880000}"/>
    <cellStyle name="Normal 3 14 16 3" xfId="35164" xr:uid="{00000000-0005-0000-0000-0000C6880000}"/>
    <cellStyle name="Normal 3 14 16 3 2" xfId="35165" xr:uid="{00000000-0005-0000-0000-0000C7880000}"/>
    <cellStyle name="Normal 3 14 16 3 3" xfId="35166" xr:uid="{00000000-0005-0000-0000-0000C8880000}"/>
    <cellStyle name="Normal 3 14 16 4" xfId="35167" xr:uid="{00000000-0005-0000-0000-0000C9880000}"/>
    <cellStyle name="Normal 3 14 17" xfId="35168" xr:uid="{00000000-0005-0000-0000-0000CA880000}"/>
    <cellStyle name="Normal 3 14 17 2" xfId="35169" xr:uid="{00000000-0005-0000-0000-0000CB880000}"/>
    <cellStyle name="Normal 3 14 17 2 2" xfId="35170" xr:uid="{00000000-0005-0000-0000-0000CC880000}"/>
    <cellStyle name="Normal 3 14 17 2 2 2" xfId="35171" xr:uid="{00000000-0005-0000-0000-0000CD880000}"/>
    <cellStyle name="Normal 3 14 17 2 2 3" xfId="35172" xr:uid="{00000000-0005-0000-0000-0000CE880000}"/>
    <cellStyle name="Normal 3 14 17 2 3" xfId="35173" xr:uid="{00000000-0005-0000-0000-0000CF880000}"/>
    <cellStyle name="Normal 3 14 17 2 4" xfId="35174" xr:uid="{00000000-0005-0000-0000-0000D0880000}"/>
    <cellStyle name="Normal 3 14 17 3" xfId="35175" xr:uid="{00000000-0005-0000-0000-0000D1880000}"/>
    <cellStyle name="Normal 3 14 17 3 2" xfId="35176" xr:uid="{00000000-0005-0000-0000-0000D2880000}"/>
    <cellStyle name="Normal 3 14 17 3 3" xfId="35177" xr:uid="{00000000-0005-0000-0000-0000D3880000}"/>
    <cellStyle name="Normal 3 14 17 4" xfId="35178" xr:uid="{00000000-0005-0000-0000-0000D4880000}"/>
    <cellStyle name="Normal 3 14 18" xfId="35179" xr:uid="{00000000-0005-0000-0000-0000D5880000}"/>
    <cellStyle name="Normal 3 14 18 2" xfId="35180" xr:uid="{00000000-0005-0000-0000-0000D6880000}"/>
    <cellStyle name="Normal 3 14 18 2 2" xfId="35181" xr:uid="{00000000-0005-0000-0000-0000D7880000}"/>
    <cellStyle name="Normal 3 14 18 2 2 2" xfId="35182" xr:uid="{00000000-0005-0000-0000-0000D8880000}"/>
    <cellStyle name="Normal 3 14 18 2 2 3" xfId="35183" xr:uid="{00000000-0005-0000-0000-0000D9880000}"/>
    <cellStyle name="Normal 3 14 18 2 3" xfId="35184" xr:uid="{00000000-0005-0000-0000-0000DA880000}"/>
    <cellStyle name="Normal 3 14 18 2 4" xfId="35185" xr:uid="{00000000-0005-0000-0000-0000DB880000}"/>
    <cellStyle name="Normal 3 14 18 3" xfId="35186" xr:uid="{00000000-0005-0000-0000-0000DC880000}"/>
    <cellStyle name="Normal 3 14 18 3 2" xfId="35187" xr:uid="{00000000-0005-0000-0000-0000DD880000}"/>
    <cellStyle name="Normal 3 14 18 3 3" xfId="35188" xr:uid="{00000000-0005-0000-0000-0000DE880000}"/>
    <cellStyle name="Normal 3 14 18 4" xfId="35189" xr:uid="{00000000-0005-0000-0000-0000DF880000}"/>
    <cellStyle name="Normal 3 14 19" xfId="35190" xr:uid="{00000000-0005-0000-0000-0000E0880000}"/>
    <cellStyle name="Normal 3 14 19 2" xfId="35191" xr:uid="{00000000-0005-0000-0000-0000E1880000}"/>
    <cellStyle name="Normal 3 14 19 2 2" xfId="35192" xr:uid="{00000000-0005-0000-0000-0000E2880000}"/>
    <cellStyle name="Normal 3 14 19 2 2 2" xfId="35193" xr:uid="{00000000-0005-0000-0000-0000E3880000}"/>
    <cellStyle name="Normal 3 14 19 2 2 3" xfId="35194" xr:uid="{00000000-0005-0000-0000-0000E4880000}"/>
    <cellStyle name="Normal 3 14 19 2 3" xfId="35195" xr:uid="{00000000-0005-0000-0000-0000E5880000}"/>
    <cellStyle name="Normal 3 14 19 2 4" xfId="35196" xr:uid="{00000000-0005-0000-0000-0000E6880000}"/>
    <cellStyle name="Normal 3 14 19 3" xfId="35197" xr:uid="{00000000-0005-0000-0000-0000E7880000}"/>
    <cellStyle name="Normal 3 14 19 3 2" xfId="35198" xr:uid="{00000000-0005-0000-0000-0000E8880000}"/>
    <cellStyle name="Normal 3 14 19 3 3" xfId="35199" xr:uid="{00000000-0005-0000-0000-0000E9880000}"/>
    <cellStyle name="Normal 3 14 19 4" xfId="35200" xr:uid="{00000000-0005-0000-0000-0000EA880000}"/>
    <cellStyle name="Normal 3 14 2" xfId="35201" xr:uid="{00000000-0005-0000-0000-0000EB880000}"/>
    <cellStyle name="Normal 3 14 2 2" xfId="35202" xr:uid="{00000000-0005-0000-0000-0000EC880000}"/>
    <cellStyle name="Normal 3 14 2 2 2" xfId="35203" xr:uid="{00000000-0005-0000-0000-0000ED880000}"/>
    <cellStyle name="Normal 3 14 2 2 2 2" xfId="35204" xr:uid="{00000000-0005-0000-0000-0000EE880000}"/>
    <cellStyle name="Normal 3 14 2 2 2 3" xfId="35205" xr:uid="{00000000-0005-0000-0000-0000EF880000}"/>
    <cellStyle name="Normal 3 14 2 2 3" xfId="35206" xr:uid="{00000000-0005-0000-0000-0000F0880000}"/>
    <cellStyle name="Normal 3 14 2 2 4" xfId="35207" xr:uid="{00000000-0005-0000-0000-0000F1880000}"/>
    <cellStyle name="Normal 3 14 2 3" xfId="35208" xr:uid="{00000000-0005-0000-0000-0000F2880000}"/>
    <cellStyle name="Normal 3 14 2 3 2" xfId="35209" xr:uid="{00000000-0005-0000-0000-0000F3880000}"/>
    <cellStyle name="Normal 3 14 2 3 3" xfId="35210" xr:uid="{00000000-0005-0000-0000-0000F4880000}"/>
    <cellStyle name="Normal 3 14 2 4" xfId="35211" xr:uid="{00000000-0005-0000-0000-0000F5880000}"/>
    <cellStyle name="Normal 3 14 20" xfId="35212" xr:uid="{00000000-0005-0000-0000-0000F6880000}"/>
    <cellStyle name="Normal 3 14 20 2" xfId="35213" xr:uid="{00000000-0005-0000-0000-0000F7880000}"/>
    <cellStyle name="Normal 3 14 20 2 2" xfId="35214" xr:uid="{00000000-0005-0000-0000-0000F8880000}"/>
    <cellStyle name="Normal 3 14 20 2 2 2" xfId="35215" xr:uid="{00000000-0005-0000-0000-0000F9880000}"/>
    <cellStyle name="Normal 3 14 20 2 2 3" xfId="35216" xr:uid="{00000000-0005-0000-0000-0000FA880000}"/>
    <cellStyle name="Normal 3 14 20 2 3" xfId="35217" xr:uid="{00000000-0005-0000-0000-0000FB880000}"/>
    <cellStyle name="Normal 3 14 20 2 4" xfId="35218" xr:uid="{00000000-0005-0000-0000-0000FC880000}"/>
    <cellStyle name="Normal 3 14 20 3" xfId="35219" xr:uid="{00000000-0005-0000-0000-0000FD880000}"/>
    <cellStyle name="Normal 3 14 20 3 2" xfId="35220" xr:uid="{00000000-0005-0000-0000-0000FE880000}"/>
    <cellStyle name="Normal 3 14 20 3 3" xfId="35221" xr:uid="{00000000-0005-0000-0000-0000FF880000}"/>
    <cellStyle name="Normal 3 14 20 4" xfId="35222" xr:uid="{00000000-0005-0000-0000-000000890000}"/>
    <cellStyle name="Normal 3 14 21" xfId="35223" xr:uid="{00000000-0005-0000-0000-000001890000}"/>
    <cellStyle name="Normal 3 14 21 2" xfId="35224" xr:uid="{00000000-0005-0000-0000-000002890000}"/>
    <cellStyle name="Normal 3 14 21 2 2" xfId="35225" xr:uid="{00000000-0005-0000-0000-000003890000}"/>
    <cellStyle name="Normal 3 14 21 2 2 2" xfId="35226" xr:uid="{00000000-0005-0000-0000-000004890000}"/>
    <cellStyle name="Normal 3 14 21 2 2 3" xfId="35227" xr:uid="{00000000-0005-0000-0000-000005890000}"/>
    <cellStyle name="Normal 3 14 21 2 3" xfId="35228" xr:uid="{00000000-0005-0000-0000-000006890000}"/>
    <cellStyle name="Normal 3 14 21 2 4" xfId="35229" xr:uid="{00000000-0005-0000-0000-000007890000}"/>
    <cellStyle name="Normal 3 14 21 3" xfId="35230" xr:uid="{00000000-0005-0000-0000-000008890000}"/>
    <cellStyle name="Normal 3 14 21 3 2" xfId="35231" xr:uid="{00000000-0005-0000-0000-000009890000}"/>
    <cellStyle name="Normal 3 14 21 3 3" xfId="35232" xr:uid="{00000000-0005-0000-0000-00000A890000}"/>
    <cellStyle name="Normal 3 14 21 4" xfId="35233" xr:uid="{00000000-0005-0000-0000-00000B890000}"/>
    <cellStyle name="Normal 3 14 22" xfId="35234" xr:uid="{00000000-0005-0000-0000-00000C890000}"/>
    <cellStyle name="Normal 3 14 22 2" xfId="35235" xr:uid="{00000000-0005-0000-0000-00000D890000}"/>
    <cellStyle name="Normal 3 14 22 2 2" xfId="35236" xr:uid="{00000000-0005-0000-0000-00000E890000}"/>
    <cellStyle name="Normal 3 14 22 2 2 2" xfId="35237" xr:uid="{00000000-0005-0000-0000-00000F890000}"/>
    <cellStyle name="Normal 3 14 22 2 2 3" xfId="35238" xr:uid="{00000000-0005-0000-0000-000010890000}"/>
    <cellStyle name="Normal 3 14 22 2 3" xfId="35239" xr:uid="{00000000-0005-0000-0000-000011890000}"/>
    <cellStyle name="Normal 3 14 22 2 4" xfId="35240" xr:uid="{00000000-0005-0000-0000-000012890000}"/>
    <cellStyle name="Normal 3 14 22 3" xfId="35241" xr:uid="{00000000-0005-0000-0000-000013890000}"/>
    <cellStyle name="Normal 3 14 22 3 2" xfId="35242" xr:uid="{00000000-0005-0000-0000-000014890000}"/>
    <cellStyle name="Normal 3 14 22 3 3" xfId="35243" xr:uid="{00000000-0005-0000-0000-000015890000}"/>
    <cellStyle name="Normal 3 14 22 4" xfId="35244" xr:uid="{00000000-0005-0000-0000-000016890000}"/>
    <cellStyle name="Normal 3 14 23" xfId="35245" xr:uid="{00000000-0005-0000-0000-000017890000}"/>
    <cellStyle name="Normal 3 14 23 2" xfId="35246" xr:uid="{00000000-0005-0000-0000-000018890000}"/>
    <cellStyle name="Normal 3 14 23 2 2" xfId="35247" xr:uid="{00000000-0005-0000-0000-000019890000}"/>
    <cellStyle name="Normal 3 14 23 2 2 2" xfId="35248" xr:uid="{00000000-0005-0000-0000-00001A890000}"/>
    <cellStyle name="Normal 3 14 23 2 2 3" xfId="35249" xr:uid="{00000000-0005-0000-0000-00001B890000}"/>
    <cellStyle name="Normal 3 14 23 2 3" xfId="35250" xr:uid="{00000000-0005-0000-0000-00001C890000}"/>
    <cellStyle name="Normal 3 14 23 2 4" xfId="35251" xr:uid="{00000000-0005-0000-0000-00001D890000}"/>
    <cellStyle name="Normal 3 14 23 3" xfId="35252" xr:uid="{00000000-0005-0000-0000-00001E890000}"/>
    <cellStyle name="Normal 3 14 23 3 2" xfId="35253" xr:uid="{00000000-0005-0000-0000-00001F890000}"/>
    <cellStyle name="Normal 3 14 23 3 3" xfId="35254" xr:uid="{00000000-0005-0000-0000-000020890000}"/>
    <cellStyle name="Normal 3 14 23 4" xfId="35255" xr:uid="{00000000-0005-0000-0000-000021890000}"/>
    <cellStyle name="Normal 3 14 24" xfId="35256" xr:uid="{00000000-0005-0000-0000-000022890000}"/>
    <cellStyle name="Normal 3 14 24 2" xfId="35257" xr:uid="{00000000-0005-0000-0000-000023890000}"/>
    <cellStyle name="Normal 3 14 24 2 2" xfId="35258" xr:uid="{00000000-0005-0000-0000-000024890000}"/>
    <cellStyle name="Normal 3 14 24 2 3" xfId="35259" xr:uid="{00000000-0005-0000-0000-000025890000}"/>
    <cellStyle name="Normal 3 14 24 3" xfId="35260" xr:uid="{00000000-0005-0000-0000-000026890000}"/>
    <cellStyle name="Normal 3 14 24 4" xfId="35261" xr:uid="{00000000-0005-0000-0000-000027890000}"/>
    <cellStyle name="Normal 3 14 25" xfId="35262" xr:uid="{00000000-0005-0000-0000-000028890000}"/>
    <cellStyle name="Normal 3 14 25 2" xfId="35263" xr:uid="{00000000-0005-0000-0000-000029890000}"/>
    <cellStyle name="Normal 3 14 25 3" xfId="35264" xr:uid="{00000000-0005-0000-0000-00002A890000}"/>
    <cellStyle name="Normal 3 14 26" xfId="35265" xr:uid="{00000000-0005-0000-0000-00002B890000}"/>
    <cellStyle name="Normal 3 14 3" xfId="35266" xr:uid="{00000000-0005-0000-0000-00002C890000}"/>
    <cellStyle name="Normal 3 14 3 2" xfId="35267" xr:uid="{00000000-0005-0000-0000-00002D890000}"/>
    <cellStyle name="Normal 3 14 3 2 2" xfId="35268" xr:uid="{00000000-0005-0000-0000-00002E890000}"/>
    <cellStyle name="Normal 3 14 3 2 2 2" xfId="35269" xr:uid="{00000000-0005-0000-0000-00002F890000}"/>
    <cellStyle name="Normal 3 14 3 2 2 3" xfId="35270" xr:uid="{00000000-0005-0000-0000-000030890000}"/>
    <cellStyle name="Normal 3 14 3 2 3" xfId="35271" xr:uid="{00000000-0005-0000-0000-000031890000}"/>
    <cellStyle name="Normal 3 14 3 2 4" xfId="35272" xr:uid="{00000000-0005-0000-0000-000032890000}"/>
    <cellStyle name="Normal 3 14 3 3" xfId="35273" xr:uid="{00000000-0005-0000-0000-000033890000}"/>
    <cellStyle name="Normal 3 14 3 3 2" xfId="35274" xr:uid="{00000000-0005-0000-0000-000034890000}"/>
    <cellStyle name="Normal 3 14 3 3 3" xfId="35275" xr:uid="{00000000-0005-0000-0000-000035890000}"/>
    <cellStyle name="Normal 3 14 3 4" xfId="35276" xr:uid="{00000000-0005-0000-0000-000036890000}"/>
    <cellStyle name="Normal 3 14 4" xfId="35277" xr:uid="{00000000-0005-0000-0000-000037890000}"/>
    <cellStyle name="Normal 3 14 4 2" xfId="35278" xr:uid="{00000000-0005-0000-0000-000038890000}"/>
    <cellStyle name="Normal 3 14 4 2 2" xfId="35279" xr:uid="{00000000-0005-0000-0000-000039890000}"/>
    <cellStyle name="Normal 3 14 4 2 2 2" xfId="35280" xr:uid="{00000000-0005-0000-0000-00003A890000}"/>
    <cellStyle name="Normal 3 14 4 2 2 3" xfId="35281" xr:uid="{00000000-0005-0000-0000-00003B890000}"/>
    <cellStyle name="Normal 3 14 4 2 3" xfId="35282" xr:uid="{00000000-0005-0000-0000-00003C890000}"/>
    <cellStyle name="Normal 3 14 4 2 4" xfId="35283" xr:uid="{00000000-0005-0000-0000-00003D890000}"/>
    <cellStyle name="Normal 3 14 4 3" xfId="35284" xr:uid="{00000000-0005-0000-0000-00003E890000}"/>
    <cellStyle name="Normal 3 14 4 3 2" xfId="35285" xr:uid="{00000000-0005-0000-0000-00003F890000}"/>
    <cellStyle name="Normal 3 14 4 3 3" xfId="35286" xr:uid="{00000000-0005-0000-0000-000040890000}"/>
    <cellStyle name="Normal 3 14 4 4" xfId="35287" xr:uid="{00000000-0005-0000-0000-000041890000}"/>
    <cellStyle name="Normal 3 14 5" xfId="35288" xr:uid="{00000000-0005-0000-0000-000042890000}"/>
    <cellStyle name="Normal 3 14 5 2" xfId="35289" xr:uid="{00000000-0005-0000-0000-000043890000}"/>
    <cellStyle name="Normal 3 14 5 2 2" xfId="35290" xr:uid="{00000000-0005-0000-0000-000044890000}"/>
    <cellStyle name="Normal 3 14 5 2 2 2" xfId="35291" xr:uid="{00000000-0005-0000-0000-000045890000}"/>
    <cellStyle name="Normal 3 14 5 2 2 3" xfId="35292" xr:uid="{00000000-0005-0000-0000-000046890000}"/>
    <cellStyle name="Normal 3 14 5 2 3" xfId="35293" xr:uid="{00000000-0005-0000-0000-000047890000}"/>
    <cellStyle name="Normal 3 14 5 2 4" xfId="35294" xr:uid="{00000000-0005-0000-0000-000048890000}"/>
    <cellStyle name="Normal 3 14 5 3" xfId="35295" xr:uid="{00000000-0005-0000-0000-000049890000}"/>
    <cellStyle name="Normal 3 14 5 3 2" xfId="35296" xr:uid="{00000000-0005-0000-0000-00004A890000}"/>
    <cellStyle name="Normal 3 14 5 3 3" xfId="35297" xr:uid="{00000000-0005-0000-0000-00004B890000}"/>
    <cellStyle name="Normal 3 14 5 4" xfId="35298" xr:uid="{00000000-0005-0000-0000-00004C890000}"/>
    <cellStyle name="Normal 3 14 6" xfId="35299" xr:uid="{00000000-0005-0000-0000-00004D890000}"/>
    <cellStyle name="Normal 3 14 6 2" xfId="35300" xr:uid="{00000000-0005-0000-0000-00004E890000}"/>
    <cellStyle name="Normal 3 14 6 2 2" xfId="35301" xr:uid="{00000000-0005-0000-0000-00004F890000}"/>
    <cellStyle name="Normal 3 14 6 2 2 2" xfId="35302" xr:uid="{00000000-0005-0000-0000-000050890000}"/>
    <cellStyle name="Normal 3 14 6 2 2 3" xfId="35303" xr:uid="{00000000-0005-0000-0000-000051890000}"/>
    <cellStyle name="Normal 3 14 6 2 3" xfId="35304" xr:uid="{00000000-0005-0000-0000-000052890000}"/>
    <cellStyle name="Normal 3 14 6 2 4" xfId="35305" xr:uid="{00000000-0005-0000-0000-000053890000}"/>
    <cellStyle name="Normal 3 14 6 3" xfId="35306" xr:uid="{00000000-0005-0000-0000-000054890000}"/>
    <cellStyle name="Normal 3 14 6 3 2" xfId="35307" xr:uid="{00000000-0005-0000-0000-000055890000}"/>
    <cellStyle name="Normal 3 14 6 3 3" xfId="35308" xr:uid="{00000000-0005-0000-0000-000056890000}"/>
    <cellStyle name="Normal 3 14 6 4" xfId="35309" xr:uid="{00000000-0005-0000-0000-000057890000}"/>
    <cellStyle name="Normal 3 14 7" xfId="35310" xr:uid="{00000000-0005-0000-0000-000058890000}"/>
    <cellStyle name="Normal 3 14 7 2" xfId="35311" xr:uid="{00000000-0005-0000-0000-000059890000}"/>
    <cellStyle name="Normal 3 14 7 2 2" xfId="35312" xr:uid="{00000000-0005-0000-0000-00005A890000}"/>
    <cellStyle name="Normal 3 14 7 2 2 2" xfId="35313" xr:uid="{00000000-0005-0000-0000-00005B890000}"/>
    <cellStyle name="Normal 3 14 7 2 2 3" xfId="35314" xr:uid="{00000000-0005-0000-0000-00005C890000}"/>
    <cellStyle name="Normal 3 14 7 2 3" xfId="35315" xr:uid="{00000000-0005-0000-0000-00005D890000}"/>
    <cellStyle name="Normal 3 14 7 2 4" xfId="35316" xr:uid="{00000000-0005-0000-0000-00005E890000}"/>
    <cellStyle name="Normal 3 14 7 3" xfId="35317" xr:uid="{00000000-0005-0000-0000-00005F890000}"/>
    <cellStyle name="Normal 3 14 7 3 2" xfId="35318" xr:uid="{00000000-0005-0000-0000-000060890000}"/>
    <cellStyle name="Normal 3 14 7 3 3" xfId="35319" xr:uid="{00000000-0005-0000-0000-000061890000}"/>
    <cellStyle name="Normal 3 14 7 4" xfId="35320" xr:uid="{00000000-0005-0000-0000-000062890000}"/>
    <cellStyle name="Normal 3 14 8" xfId="35321" xr:uid="{00000000-0005-0000-0000-000063890000}"/>
    <cellStyle name="Normal 3 14 8 2" xfId="35322" xr:uid="{00000000-0005-0000-0000-000064890000}"/>
    <cellStyle name="Normal 3 14 8 2 2" xfId="35323" xr:uid="{00000000-0005-0000-0000-000065890000}"/>
    <cellStyle name="Normal 3 14 8 2 2 2" xfId="35324" xr:uid="{00000000-0005-0000-0000-000066890000}"/>
    <cellStyle name="Normal 3 14 8 2 2 3" xfId="35325" xr:uid="{00000000-0005-0000-0000-000067890000}"/>
    <cellStyle name="Normal 3 14 8 2 3" xfId="35326" xr:uid="{00000000-0005-0000-0000-000068890000}"/>
    <cellStyle name="Normal 3 14 8 2 4" xfId="35327" xr:uid="{00000000-0005-0000-0000-000069890000}"/>
    <cellStyle name="Normal 3 14 8 3" xfId="35328" xr:uid="{00000000-0005-0000-0000-00006A890000}"/>
    <cellStyle name="Normal 3 14 8 3 2" xfId="35329" xr:uid="{00000000-0005-0000-0000-00006B890000}"/>
    <cellStyle name="Normal 3 14 8 3 3" xfId="35330" xr:uid="{00000000-0005-0000-0000-00006C890000}"/>
    <cellStyle name="Normal 3 14 8 4" xfId="35331" xr:uid="{00000000-0005-0000-0000-00006D890000}"/>
    <cellStyle name="Normal 3 14 9" xfId="35332" xr:uid="{00000000-0005-0000-0000-00006E890000}"/>
    <cellStyle name="Normal 3 14 9 2" xfId="35333" xr:uid="{00000000-0005-0000-0000-00006F890000}"/>
    <cellStyle name="Normal 3 14 9 2 2" xfId="35334" xr:uid="{00000000-0005-0000-0000-000070890000}"/>
    <cellStyle name="Normal 3 14 9 2 2 2" xfId="35335" xr:uid="{00000000-0005-0000-0000-000071890000}"/>
    <cellStyle name="Normal 3 14 9 2 2 3" xfId="35336" xr:uid="{00000000-0005-0000-0000-000072890000}"/>
    <cellStyle name="Normal 3 14 9 2 3" xfId="35337" xr:uid="{00000000-0005-0000-0000-000073890000}"/>
    <cellStyle name="Normal 3 14 9 2 4" xfId="35338" xr:uid="{00000000-0005-0000-0000-000074890000}"/>
    <cellStyle name="Normal 3 14 9 3" xfId="35339" xr:uid="{00000000-0005-0000-0000-000075890000}"/>
    <cellStyle name="Normal 3 14 9 3 2" xfId="35340" xr:uid="{00000000-0005-0000-0000-000076890000}"/>
    <cellStyle name="Normal 3 14 9 3 3" xfId="35341" xr:uid="{00000000-0005-0000-0000-000077890000}"/>
    <cellStyle name="Normal 3 14 9 4" xfId="35342" xr:uid="{00000000-0005-0000-0000-000078890000}"/>
    <cellStyle name="Normal 3 15" xfId="35343" xr:uid="{00000000-0005-0000-0000-000079890000}"/>
    <cellStyle name="Normal 3 15 10" xfId="35344" xr:uid="{00000000-0005-0000-0000-00007A890000}"/>
    <cellStyle name="Normal 3 15 10 2" xfId="35345" xr:uid="{00000000-0005-0000-0000-00007B890000}"/>
    <cellStyle name="Normal 3 15 10 2 2" xfId="35346" xr:uid="{00000000-0005-0000-0000-00007C890000}"/>
    <cellStyle name="Normal 3 15 10 2 2 2" xfId="35347" xr:uid="{00000000-0005-0000-0000-00007D890000}"/>
    <cellStyle name="Normal 3 15 10 2 2 3" xfId="35348" xr:uid="{00000000-0005-0000-0000-00007E890000}"/>
    <cellStyle name="Normal 3 15 10 2 3" xfId="35349" xr:uid="{00000000-0005-0000-0000-00007F890000}"/>
    <cellStyle name="Normal 3 15 10 2 4" xfId="35350" xr:uid="{00000000-0005-0000-0000-000080890000}"/>
    <cellStyle name="Normal 3 15 10 3" xfId="35351" xr:uid="{00000000-0005-0000-0000-000081890000}"/>
    <cellStyle name="Normal 3 15 10 3 2" xfId="35352" xr:uid="{00000000-0005-0000-0000-000082890000}"/>
    <cellStyle name="Normal 3 15 10 3 3" xfId="35353" xr:uid="{00000000-0005-0000-0000-000083890000}"/>
    <cellStyle name="Normal 3 15 10 4" xfId="35354" xr:uid="{00000000-0005-0000-0000-000084890000}"/>
    <cellStyle name="Normal 3 15 11" xfId="35355" xr:uid="{00000000-0005-0000-0000-000085890000}"/>
    <cellStyle name="Normal 3 15 11 2" xfId="35356" xr:uid="{00000000-0005-0000-0000-000086890000}"/>
    <cellStyle name="Normal 3 15 11 2 2" xfId="35357" xr:uid="{00000000-0005-0000-0000-000087890000}"/>
    <cellStyle name="Normal 3 15 11 2 2 2" xfId="35358" xr:uid="{00000000-0005-0000-0000-000088890000}"/>
    <cellStyle name="Normal 3 15 11 2 2 3" xfId="35359" xr:uid="{00000000-0005-0000-0000-000089890000}"/>
    <cellStyle name="Normal 3 15 11 2 3" xfId="35360" xr:uid="{00000000-0005-0000-0000-00008A890000}"/>
    <cellStyle name="Normal 3 15 11 2 4" xfId="35361" xr:uid="{00000000-0005-0000-0000-00008B890000}"/>
    <cellStyle name="Normal 3 15 11 3" xfId="35362" xr:uid="{00000000-0005-0000-0000-00008C890000}"/>
    <cellStyle name="Normal 3 15 11 3 2" xfId="35363" xr:uid="{00000000-0005-0000-0000-00008D890000}"/>
    <cellStyle name="Normal 3 15 11 3 3" xfId="35364" xr:uid="{00000000-0005-0000-0000-00008E890000}"/>
    <cellStyle name="Normal 3 15 11 4" xfId="35365" xr:uid="{00000000-0005-0000-0000-00008F890000}"/>
    <cellStyle name="Normal 3 15 12" xfId="35366" xr:uid="{00000000-0005-0000-0000-000090890000}"/>
    <cellStyle name="Normal 3 15 12 2" xfId="35367" xr:uid="{00000000-0005-0000-0000-000091890000}"/>
    <cellStyle name="Normal 3 15 12 2 2" xfId="35368" xr:uid="{00000000-0005-0000-0000-000092890000}"/>
    <cellStyle name="Normal 3 15 12 2 2 2" xfId="35369" xr:uid="{00000000-0005-0000-0000-000093890000}"/>
    <cellStyle name="Normal 3 15 12 2 2 3" xfId="35370" xr:uid="{00000000-0005-0000-0000-000094890000}"/>
    <cellStyle name="Normal 3 15 12 2 3" xfId="35371" xr:uid="{00000000-0005-0000-0000-000095890000}"/>
    <cellStyle name="Normal 3 15 12 2 4" xfId="35372" xr:uid="{00000000-0005-0000-0000-000096890000}"/>
    <cellStyle name="Normal 3 15 12 3" xfId="35373" xr:uid="{00000000-0005-0000-0000-000097890000}"/>
    <cellStyle name="Normal 3 15 12 3 2" xfId="35374" xr:uid="{00000000-0005-0000-0000-000098890000}"/>
    <cellStyle name="Normal 3 15 12 3 3" xfId="35375" xr:uid="{00000000-0005-0000-0000-000099890000}"/>
    <cellStyle name="Normal 3 15 12 4" xfId="35376" xr:uid="{00000000-0005-0000-0000-00009A890000}"/>
    <cellStyle name="Normal 3 15 13" xfId="35377" xr:uid="{00000000-0005-0000-0000-00009B890000}"/>
    <cellStyle name="Normal 3 15 13 2" xfId="35378" xr:uid="{00000000-0005-0000-0000-00009C890000}"/>
    <cellStyle name="Normal 3 15 13 2 2" xfId="35379" xr:uid="{00000000-0005-0000-0000-00009D890000}"/>
    <cellStyle name="Normal 3 15 13 2 2 2" xfId="35380" xr:uid="{00000000-0005-0000-0000-00009E890000}"/>
    <cellStyle name="Normal 3 15 13 2 2 3" xfId="35381" xr:uid="{00000000-0005-0000-0000-00009F890000}"/>
    <cellStyle name="Normal 3 15 13 2 3" xfId="35382" xr:uid="{00000000-0005-0000-0000-0000A0890000}"/>
    <cellStyle name="Normal 3 15 13 2 4" xfId="35383" xr:uid="{00000000-0005-0000-0000-0000A1890000}"/>
    <cellStyle name="Normal 3 15 13 3" xfId="35384" xr:uid="{00000000-0005-0000-0000-0000A2890000}"/>
    <cellStyle name="Normal 3 15 13 3 2" xfId="35385" xr:uid="{00000000-0005-0000-0000-0000A3890000}"/>
    <cellStyle name="Normal 3 15 13 3 3" xfId="35386" xr:uid="{00000000-0005-0000-0000-0000A4890000}"/>
    <cellStyle name="Normal 3 15 13 4" xfId="35387" xr:uid="{00000000-0005-0000-0000-0000A5890000}"/>
    <cellStyle name="Normal 3 15 14" xfId="35388" xr:uid="{00000000-0005-0000-0000-0000A6890000}"/>
    <cellStyle name="Normal 3 15 14 2" xfId="35389" xr:uid="{00000000-0005-0000-0000-0000A7890000}"/>
    <cellStyle name="Normal 3 15 14 2 2" xfId="35390" xr:uid="{00000000-0005-0000-0000-0000A8890000}"/>
    <cellStyle name="Normal 3 15 14 2 2 2" xfId="35391" xr:uid="{00000000-0005-0000-0000-0000A9890000}"/>
    <cellStyle name="Normal 3 15 14 2 2 3" xfId="35392" xr:uid="{00000000-0005-0000-0000-0000AA890000}"/>
    <cellStyle name="Normal 3 15 14 2 3" xfId="35393" xr:uid="{00000000-0005-0000-0000-0000AB890000}"/>
    <cellStyle name="Normal 3 15 14 2 4" xfId="35394" xr:uid="{00000000-0005-0000-0000-0000AC890000}"/>
    <cellStyle name="Normal 3 15 14 3" xfId="35395" xr:uid="{00000000-0005-0000-0000-0000AD890000}"/>
    <cellStyle name="Normal 3 15 14 3 2" xfId="35396" xr:uid="{00000000-0005-0000-0000-0000AE890000}"/>
    <cellStyle name="Normal 3 15 14 3 3" xfId="35397" xr:uid="{00000000-0005-0000-0000-0000AF890000}"/>
    <cellStyle name="Normal 3 15 14 4" xfId="35398" xr:uid="{00000000-0005-0000-0000-0000B0890000}"/>
    <cellStyle name="Normal 3 15 15" xfId="35399" xr:uid="{00000000-0005-0000-0000-0000B1890000}"/>
    <cellStyle name="Normal 3 15 15 2" xfId="35400" xr:uid="{00000000-0005-0000-0000-0000B2890000}"/>
    <cellStyle name="Normal 3 15 15 2 2" xfId="35401" xr:uid="{00000000-0005-0000-0000-0000B3890000}"/>
    <cellStyle name="Normal 3 15 15 2 2 2" xfId="35402" xr:uid="{00000000-0005-0000-0000-0000B4890000}"/>
    <cellStyle name="Normal 3 15 15 2 2 3" xfId="35403" xr:uid="{00000000-0005-0000-0000-0000B5890000}"/>
    <cellStyle name="Normal 3 15 15 2 3" xfId="35404" xr:uid="{00000000-0005-0000-0000-0000B6890000}"/>
    <cellStyle name="Normal 3 15 15 2 4" xfId="35405" xr:uid="{00000000-0005-0000-0000-0000B7890000}"/>
    <cellStyle name="Normal 3 15 15 3" xfId="35406" xr:uid="{00000000-0005-0000-0000-0000B8890000}"/>
    <cellStyle name="Normal 3 15 15 3 2" xfId="35407" xr:uid="{00000000-0005-0000-0000-0000B9890000}"/>
    <cellStyle name="Normal 3 15 15 3 3" xfId="35408" xr:uid="{00000000-0005-0000-0000-0000BA890000}"/>
    <cellStyle name="Normal 3 15 15 4" xfId="35409" xr:uid="{00000000-0005-0000-0000-0000BB890000}"/>
    <cellStyle name="Normal 3 15 16" xfId="35410" xr:uid="{00000000-0005-0000-0000-0000BC890000}"/>
    <cellStyle name="Normal 3 15 16 2" xfId="35411" xr:uid="{00000000-0005-0000-0000-0000BD890000}"/>
    <cellStyle name="Normal 3 15 16 2 2" xfId="35412" xr:uid="{00000000-0005-0000-0000-0000BE890000}"/>
    <cellStyle name="Normal 3 15 16 2 2 2" xfId="35413" xr:uid="{00000000-0005-0000-0000-0000BF890000}"/>
    <cellStyle name="Normal 3 15 16 2 2 3" xfId="35414" xr:uid="{00000000-0005-0000-0000-0000C0890000}"/>
    <cellStyle name="Normal 3 15 16 2 3" xfId="35415" xr:uid="{00000000-0005-0000-0000-0000C1890000}"/>
    <cellStyle name="Normal 3 15 16 2 4" xfId="35416" xr:uid="{00000000-0005-0000-0000-0000C2890000}"/>
    <cellStyle name="Normal 3 15 16 3" xfId="35417" xr:uid="{00000000-0005-0000-0000-0000C3890000}"/>
    <cellStyle name="Normal 3 15 16 3 2" xfId="35418" xr:uid="{00000000-0005-0000-0000-0000C4890000}"/>
    <cellStyle name="Normal 3 15 16 3 3" xfId="35419" xr:uid="{00000000-0005-0000-0000-0000C5890000}"/>
    <cellStyle name="Normal 3 15 16 4" xfId="35420" xr:uid="{00000000-0005-0000-0000-0000C6890000}"/>
    <cellStyle name="Normal 3 15 17" xfId="35421" xr:uid="{00000000-0005-0000-0000-0000C7890000}"/>
    <cellStyle name="Normal 3 15 17 2" xfId="35422" xr:uid="{00000000-0005-0000-0000-0000C8890000}"/>
    <cellStyle name="Normal 3 15 17 2 2" xfId="35423" xr:uid="{00000000-0005-0000-0000-0000C9890000}"/>
    <cellStyle name="Normal 3 15 17 2 2 2" xfId="35424" xr:uid="{00000000-0005-0000-0000-0000CA890000}"/>
    <cellStyle name="Normal 3 15 17 2 2 3" xfId="35425" xr:uid="{00000000-0005-0000-0000-0000CB890000}"/>
    <cellStyle name="Normal 3 15 17 2 3" xfId="35426" xr:uid="{00000000-0005-0000-0000-0000CC890000}"/>
    <cellStyle name="Normal 3 15 17 2 4" xfId="35427" xr:uid="{00000000-0005-0000-0000-0000CD890000}"/>
    <cellStyle name="Normal 3 15 17 3" xfId="35428" xr:uid="{00000000-0005-0000-0000-0000CE890000}"/>
    <cellStyle name="Normal 3 15 17 3 2" xfId="35429" xr:uid="{00000000-0005-0000-0000-0000CF890000}"/>
    <cellStyle name="Normal 3 15 17 3 3" xfId="35430" xr:uid="{00000000-0005-0000-0000-0000D0890000}"/>
    <cellStyle name="Normal 3 15 17 4" xfId="35431" xr:uid="{00000000-0005-0000-0000-0000D1890000}"/>
    <cellStyle name="Normal 3 15 18" xfId="35432" xr:uid="{00000000-0005-0000-0000-0000D2890000}"/>
    <cellStyle name="Normal 3 15 18 2" xfId="35433" xr:uid="{00000000-0005-0000-0000-0000D3890000}"/>
    <cellStyle name="Normal 3 15 18 2 2" xfId="35434" xr:uid="{00000000-0005-0000-0000-0000D4890000}"/>
    <cellStyle name="Normal 3 15 18 2 2 2" xfId="35435" xr:uid="{00000000-0005-0000-0000-0000D5890000}"/>
    <cellStyle name="Normal 3 15 18 2 2 3" xfId="35436" xr:uid="{00000000-0005-0000-0000-0000D6890000}"/>
    <cellStyle name="Normal 3 15 18 2 3" xfId="35437" xr:uid="{00000000-0005-0000-0000-0000D7890000}"/>
    <cellStyle name="Normal 3 15 18 2 4" xfId="35438" xr:uid="{00000000-0005-0000-0000-0000D8890000}"/>
    <cellStyle name="Normal 3 15 18 3" xfId="35439" xr:uid="{00000000-0005-0000-0000-0000D9890000}"/>
    <cellStyle name="Normal 3 15 18 3 2" xfId="35440" xr:uid="{00000000-0005-0000-0000-0000DA890000}"/>
    <cellStyle name="Normal 3 15 18 3 3" xfId="35441" xr:uid="{00000000-0005-0000-0000-0000DB890000}"/>
    <cellStyle name="Normal 3 15 18 4" xfId="35442" xr:uid="{00000000-0005-0000-0000-0000DC890000}"/>
    <cellStyle name="Normal 3 15 19" xfId="35443" xr:uid="{00000000-0005-0000-0000-0000DD890000}"/>
    <cellStyle name="Normal 3 15 19 2" xfId="35444" xr:uid="{00000000-0005-0000-0000-0000DE890000}"/>
    <cellStyle name="Normal 3 15 19 2 2" xfId="35445" xr:uid="{00000000-0005-0000-0000-0000DF890000}"/>
    <cellStyle name="Normal 3 15 19 2 2 2" xfId="35446" xr:uid="{00000000-0005-0000-0000-0000E0890000}"/>
    <cellStyle name="Normal 3 15 19 2 2 3" xfId="35447" xr:uid="{00000000-0005-0000-0000-0000E1890000}"/>
    <cellStyle name="Normal 3 15 19 2 3" xfId="35448" xr:uid="{00000000-0005-0000-0000-0000E2890000}"/>
    <cellStyle name="Normal 3 15 19 2 4" xfId="35449" xr:uid="{00000000-0005-0000-0000-0000E3890000}"/>
    <cellStyle name="Normal 3 15 19 3" xfId="35450" xr:uid="{00000000-0005-0000-0000-0000E4890000}"/>
    <cellStyle name="Normal 3 15 19 3 2" xfId="35451" xr:uid="{00000000-0005-0000-0000-0000E5890000}"/>
    <cellStyle name="Normal 3 15 19 3 3" xfId="35452" xr:uid="{00000000-0005-0000-0000-0000E6890000}"/>
    <cellStyle name="Normal 3 15 19 4" xfId="35453" xr:uid="{00000000-0005-0000-0000-0000E7890000}"/>
    <cellStyle name="Normal 3 15 2" xfId="35454" xr:uid="{00000000-0005-0000-0000-0000E8890000}"/>
    <cellStyle name="Normal 3 15 2 2" xfId="35455" xr:uid="{00000000-0005-0000-0000-0000E9890000}"/>
    <cellStyle name="Normal 3 15 2 2 2" xfId="35456" xr:uid="{00000000-0005-0000-0000-0000EA890000}"/>
    <cellStyle name="Normal 3 15 2 2 2 2" xfId="35457" xr:uid="{00000000-0005-0000-0000-0000EB890000}"/>
    <cellStyle name="Normal 3 15 2 2 2 3" xfId="35458" xr:uid="{00000000-0005-0000-0000-0000EC890000}"/>
    <cellStyle name="Normal 3 15 2 2 3" xfId="35459" xr:uid="{00000000-0005-0000-0000-0000ED890000}"/>
    <cellStyle name="Normal 3 15 2 2 4" xfId="35460" xr:uid="{00000000-0005-0000-0000-0000EE890000}"/>
    <cellStyle name="Normal 3 15 2 3" xfId="35461" xr:uid="{00000000-0005-0000-0000-0000EF890000}"/>
    <cellStyle name="Normal 3 15 2 3 2" xfId="35462" xr:uid="{00000000-0005-0000-0000-0000F0890000}"/>
    <cellStyle name="Normal 3 15 2 3 3" xfId="35463" xr:uid="{00000000-0005-0000-0000-0000F1890000}"/>
    <cellStyle name="Normal 3 15 2 4" xfId="35464" xr:uid="{00000000-0005-0000-0000-0000F2890000}"/>
    <cellStyle name="Normal 3 15 20" xfId="35465" xr:uid="{00000000-0005-0000-0000-0000F3890000}"/>
    <cellStyle name="Normal 3 15 20 2" xfId="35466" xr:uid="{00000000-0005-0000-0000-0000F4890000}"/>
    <cellStyle name="Normal 3 15 20 2 2" xfId="35467" xr:uid="{00000000-0005-0000-0000-0000F5890000}"/>
    <cellStyle name="Normal 3 15 20 2 2 2" xfId="35468" xr:uid="{00000000-0005-0000-0000-0000F6890000}"/>
    <cellStyle name="Normal 3 15 20 2 2 3" xfId="35469" xr:uid="{00000000-0005-0000-0000-0000F7890000}"/>
    <cellStyle name="Normal 3 15 20 2 3" xfId="35470" xr:uid="{00000000-0005-0000-0000-0000F8890000}"/>
    <cellStyle name="Normal 3 15 20 2 4" xfId="35471" xr:uid="{00000000-0005-0000-0000-0000F9890000}"/>
    <cellStyle name="Normal 3 15 20 3" xfId="35472" xr:uid="{00000000-0005-0000-0000-0000FA890000}"/>
    <cellStyle name="Normal 3 15 20 3 2" xfId="35473" xr:uid="{00000000-0005-0000-0000-0000FB890000}"/>
    <cellStyle name="Normal 3 15 20 3 3" xfId="35474" xr:uid="{00000000-0005-0000-0000-0000FC890000}"/>
    <cellStyle name="Normal 3 15 20 4" xfId="35475" xr:uid="{00000000-0005-0000-0000-0000FD890000}"/>
    <cellStyle name="Normal 3 15 21" xfId="35476" xr:uid="{00000000-0005-0000-0000-0000FE890000}"/>
    <cellStyle name="Normal 3 15 21 2" xfId="35477" xr:uid="{00000000-0005-0000-0000-0000FF890000}"/>
    <cellStyle name="Normal 3 15 21 2 2" xfId="35478" xr:uid="{00000000-0005-0000-0000-0000008A0000}"/>
    <cellStyle name="Normal 3 15 21 2 2 2" xfId="35479" xr:uid="{00000000-0005-0000-0000-0000018A0000}"/>
    <cellStyle name="Normal 3 15 21 2 2 3" xfId="35480" xr:uid="{00000000-0005-0000-0000-0000028A0000}"/>
    <cellStyle name="Normal 3 15 21 2 3" xfId="35481" xr:uid="{00000000-0005-0000-0000-0000038A0000}"/>
    <cellStyle name="Normal 3 15 21 2 4" xfId="35482" xr:uid="{00000000-0005-0000-0000-0000048A0000}"/>
    <cellStyle name="Normal 3 15 21 3" xfId="35483" xr:uid="{00000000-0005-0000-0000-0000058A0000}"/>
    <cellStyle name="Normal 3 15 21 3 2" xfId="35484" xr:uid="{00000000-0005-0000-0000-0000068A0000}"/>
    <cellStyle name="Normal 3 15 21 3 3" xfId="35485" xr:uid="{00000000-0005-0000-0000-0000078A0000}"/>
    <cellStyle name="Normal 3 15 21 4" xfId="35486" xr:uid="{00000000-0005-0000-0000-0000088A0000}"/>
    <cellStyle name="Normal 3 15 22" xfId="35487" xr:uid="{00000000-0005-0000-0000-0000098A0000}"/>
    <cellStyle name="Normal 3 15 22 2" xfId="35488" xr:uid="{00000000-0005-0000-0000-00000A8A0000}"/>
    <cellStyle name="Normal 3 15 22 2 2" xfId="35489" xr:uid="{00000000-0005-0000-0000-00000B8A0000}"/>
    <cellStyle name="Normal 3 15 22 2 2 2" xfId="35490" xr:uid="{00000000-0005-0000-0000-00000C8A0000}"/>
    <cellStyle name="Normal 3 15 22 2 2 3" xfId="35491" xr:uid="{00000000-0005-0000-0000-00000D8A0000}"/>
    <cellStyle name="Normal 3 15 22 2 3" xfId="35492" xr:uid="{00000000-0005-0000-0000-00000E8A0000}"/>
    <cellStyle name="Normal 3 15 22 2 4" xfId="35493" xr:uid="{00000000-0005-0000-0000-00000F8A0000}"/>
    <cellStyle name="Normal 3 15 22 3" xfId="35494" xr:uid="{00000000-0005-0000-0000-0000108A0000}"/>
    <cellStyle name="Normal 3 15 22 3 2" xfId="35495" xr:uid="{00000000-0005-0000-0000-0000118A0000}"/>
    <cellStyle name="Normal 3 15 22 3 3" xfId="35496" xr:uid="{00000000-0005-0000-0000-0000128A0000}"/>
    <cellStyle name="Normal 3 15 22 4" xfId="35497" xr:uid="{00000000-0005-0000-0000-0000138A0000}"/>
    <cellStyle name="Normal 3 15 23" xfId="35498" xr:uid="{00000000-0005-0000-0000-0000148A0000}"/>
    <cellStyle name="Normal 3 15 23 2" xfId="35499" xr:uid="{00000000-0005-0000-0000-0000158A0000}"/>
    <cellStyle name="Normal 3 15 23 2 2" xfId="35500" xr:uid="{00000000-0005-0000-0000-0000168A0000}"/>
    <cellStyle name="Normal 3 15 23 2 2 2" xfId="35501" xr:uid="{00000000-0005-0000-0000-0000178A0000}"/>
    <cellStyle name="Normal 3 15 23 2 2 3" xfId="35502" xr:uid="{00000000-0005-0000-0000-0000188A0000}"/>
    <cellStyle name="Normal 3 15 23 2 3" xfId="35503" xr:uid="{00000000-0005-0000-0000-0000198A0000}"/>
    <cellStyle name="Normal 3 15 23 2 4" xfId="35504" xr:uid="{00000000-0005-0000-0000-00001A8A0000}"/>
    <cellStyle name="Normal 3 15 23 3" xfId="35505" xr:uid="{00000000-0005-0000-0000-00001B8A0000}"/>
    <cellStyle name="Normal 3 15 23 3 2" xfId="35506" xr:uid="{00000000-0005-0000-0000-00001C8A0000}"/>
    <cellStyle name="Normal 3 15 23 3 3" xfId="35507" xr:uid="{00000000-0005-0000-0000-00001D8A0000}"/>
    <cellStyle name="Normal 3 15 23 4" xfId="35508" xr:uid="{00000000-0005-0000-0000-00001E8A0000}"/>
    <cellStyle name="Normal 3 15 24" xfId="35509" xr:uid="{00000000-0005-0000-0000-00001F8A0000}"/>
    <cellStyle name="Normal 3 15 24 2" xfId="35510" xr:uid="{00000000-0005-0000-0000-0000208A0000}"/>
    <cellStyle name="Normal 3 15 24 2 2" xfId="35511" xr:uid="{00000000-0005-0000-0000-0000218A0000}"/>
    <cellStyle name="Normal 3 15 24 2 3" xfId="35512" xr:uid="{00000000-0005-0000-0000-0000228A0000}"/>
    <cellStyle name="Normal 3 15 24 3" xfId="35513" xr:uid="{00000000-0005-0000-0000-0000238A0000}"/>
    <cellStyle name="Normal 3 15 24 4" xfId="35514" xr:uid="{00000000-0005-0000-0000-0000248A0000}"/>
    <cellStyle name="Normal 3 15 25" xfId="35515" xr:uid="{00000000-0005-0000-0000-0000258A0000}"/>
    <cellStyle name="Normal 3 15 25 2" xfId="35516" xr:uid="{00000000-0005-0000-0000-0000268A0000}"/>
    <cellStyle name="Normal 3 15 25 3" xfId="35517" xr:uid="{00000000-0005-0000-0000-0000278A0000}"/>
    <cellStyle name="Normal 3 15 26" xfId="35518" xr:uid="{00000000-0005-0000-0000-0000288A0000}"/>
    <cellStyle name="Normal 3 15 3" xfId="35519" xr:uid="{00000000-0005-0000-0000-0000298A0000}"/>
    <cellStyle name="Normal 3 15 3 2" xfId="35520" xr:uid="{00000000-0005-0000-0000-00002A8A0000}"/>
    <cellStyle name="Normal 3 15 3 2 2" xfId="35521" xr:uid="{00000000-0005-0000-0000-00002B8A0000}"/>
    <cellStyle name="Normal 3 15 3 2 2 2" xfId="35522" xr:uid="{00000000-0005-0000-0000-00002C8A0000}"/>
    <cellStyle name="Normal 3 15 3 2 2 3" xfId="35523" xr:uid="{00000000-0005-0000-0000-00002D8A0000}"/>
    <cellStyle name="Normal 3 15 3 2 3" xfId="35524" xr:uid="{00000000-0005-0000-0000-00002E8A0000}"/>
    <cellStyle name="Normal 3 15 3 2 4" xfId="35525" xr:uid="{00000000-0005-0000-0000-00002F8A0000}"/>
    <cellStyle name="Normal 3 15 3 3" xfId="35526" xr:uid="{00000000-0005-0000-0000-0000308A0000}"/>
    <cellStyle name="Normal 3 15 3 3 2" xfId="35527" xr:uid="{00000000-0005-0000-0000-0000318A0000}"/>
    <cellStyle name="Normal 3 15 3 3 3" xfId="35528" xr:uid="{00000000-0005-0000-0000-0000328A0000}"/>
    <cellStyle name="Normal 3 15 3 4" xfId="35529" xr:uid="{00000000-0005-0000-0000-0000338A0000}"/>
    <cellStyle name="Normal 3 15 4" xfId="35530" xr:uid="{00000000-0005-0000-0000-0000348A0000}"/>
    <cellStyle name="Normal 3 15 4 2" xfId="35531" xr:uid="{00000000-0005-0000-0000-0000358A0000}"/>
    <cellStyle name="Normal 3 15 4 2 2" xfId="35532" xr:uid="{00000000-0005-0000-0000-0000368A0000}"/>
    <cellStyle name="Normal 3 15 4 2 2 2" xfId="35533" xr:uid="{00000000-0005-0000-0000-0000378A0000}"/>
    <cellStyle name="Normal 3 15 4 2 2 3" xfId="35534" xr:uid="{00000000-0005-0000-0000-0000388A0000}"/>
    <cellStyle name="Normal 3 15 4 2 3" xfId="35535" xr:uid="{00000000-0005-0000-0000-0000398A0000}"/>
    <cellStyle name="Normal 3 15 4 2 4" xfId="35536" xr:uid="{00000000-0005-0000-0000-00003A8A0000}"/>
    <cellStyle name="Normal 3 15 4 3" xfId="35537" xr:uid="{00000000-0005-0000-0000-00003B8A0000}"/>
    <cellStyle name="Normal 3 15 4 3 2" xfId="35538" xr:uid="{00000000-0005-0000-0000-00003C8A0000}"/>
    <cellStyle name="Normal 3 15 4 3 3" xfId="35539" xr:uid="{00000000-0005-0000-0000-00003D8A0000}"/>
    <cellStyle name="Normal 3 15 4 4" xfId="35540" xr:uid="{00000000-0005-0000-0000-00003E8A0000}"/>
    <cellStyle name="Normal 3 15 5" xfId="35541" xr:uid="{00000000-0005-0000-0000-00003F8A0000}"/>
    <cellStyle name="Normal 3 15 5 2" xfId="35542" xr:uid="{00000000-0005-0000-0000-0000408A0000}"/>
    <cellStyle name="Normal 3 15 5 2 2" xfId="35543" xr:uid="{00000000-0005-0000-0000-0000418A0000}"/>
    <cellStyle name="Normal 3 15 5 2 2 2" xfId="35544" xr:uid="{00000000-0005-0000-0000-0000428A0000}"/>
    <cellStyle name="Normal 3 15 5 2 2 3" xfId="35545" xr:uid="{00000000-0005-0000-0000-0000438A0000}"/>
    <cellStyle name="Normal 3 15 5 2 3" xfId="35546" xr:uid="{00000000-0005-0000-0000-0000448A0000}"/>
    <cellStyle name="Normal 3 15 5 2 4" xfId="35547" xr:uid="{00000000-0005-0000-0000-0000458A0000}"/>
    <cellStyle name="Normal 3 15 5 3" xfId="35548" xr:uid="{00000000-0005-0000-0000-0000468A0000}"/>
    <cellStyle name="Normal 3 15 5 3 2" xfId="35549" xr:uid="{00000000-0005-0000-0000-0000478A0000}"/>
    <cellStyle name="Normal 3 15 5 3 3" xfId="35550" xr:uid="{00000000-0005-0000-0000-0000488A0000}"/>
    <cellStyle name="Normal 3 15 5 4" xfId="35551" xr:uid="{00000000-0005-0000-0000-0000498A0000}"/>
    <cellStyle name="Normal 3 15 6" xfId="35552" xr:uid="{00000000-0005-0000-0000-00004A8A0000}"/>
    <cellStyle name="Normal 3 15 6 2" xfId="35553" xr:uid="{00000000-0005-0000-0000-00004B8A0000}"/>
    <cellStyle name="Normal 3 15 6 2 2" xfId="35554" xr:uid="{00000000-0005-0000-0000-00004C8A0000}"/>
    <cellStyle name="Normal 3 15 6 2 2 2" xfId="35555" xr:uid="{00000000-0005-0000-0000-00004D8A0000}"/>
    <cellStyle name="Normal 3 15 6 2 2 3" xfId="35556" xr:uid="{00000000-0005-0000-0000-00004E8A0000}"/>
    <cellStyle name="Normal 3 15 6 2 3" xfId="35557" xr:uid="{00000000-0005-0000-0000-00004F8A0000}"/>
    <cellStyle name="Normal 3 15 6 2 4" xfId="35558" xr:uid="{00000000-0005-0000-0000-0000508A0000}"/>
    <cellStyle name="Normal 3 15 6 3" xfId="35559" xr:uid="{00000000-0005-0000-0000-0000518A0000}"/>
    <cellStyle name="Normal 3 15 6 3 2" xfId="35560" xr:uid="{00000000-0005-0000-0000-0000528A0000}"/>
    <cellStyle name="Normal 3 15 6 3 3" xfId="35561" xr:uid="{00000000-0005-0000-0000-0000538A0000}"/>
    <cellStyle name="Normal 3 15 6 4" xfId="35562" xr:uid="{00000000-0005-0000-0000-0000548A0000}"/>
    <cellStyle name="Normal 3 15 7" xfId="35563" xr:uid="{00000000-0005-0000-0000-0000558A0000}"/>
    <cellStyle name="Normal 3 15 7 2" xfId="35564" xr:uid="{00000000-0005-0000-0000-0000568A0000}"/>
    <cellStyle name="Normal 3 15 7 2 2" xfId="35565" xr:uid="{00000000-0005-0000-0000-0000578A0000}"/>
    <cellStyle name="Normal 3 15 7 2 2 2" xfId="35566" xr:uid="{00000000-0005-0000-0000-0000588A0000}"/>
    <cellStyle name="Normal 3 15 7 2 2 3" xfId="35567" xr:uid="{00000000-0005-0000-0000-0000598A0000}"/>
    <cellStyle name="Normal 3 15 7 2 3" xfId="35568" xr:uid="{00000000-0005-0000-0000-00005A8A0000}"/>
    <cellStyle name="Normal 3 15 7 2 4" xfId="35569" xr:uid="{00000000-0005-0000-0000-00005B8A0000}"/>
    <cellStyle name="Normal 3 15 7 3" xfId="35570" xr:uid="{00000000-0005-0000-0000-00005C8A0000}"/>
    <cellStyle name="Normal 3 15 7 3 2" xfId="35571" xr:uid="{00000000-0005-0000-0000-00005D8A0000}"/>
    <cellStyle name="Normal 3 15 7 3 3" xfId="35572" xr:uid="{00000000-0005-0000-0000-00005E8A0000}"/>
    <cellStyle name="Normal 3 15 7 4" xfId="35573" xr:uid="{00000000-0005-0000-0000-00005F8A0000}"/>
    <cellStyle name="Normal 3 15 8" xfId="35574" xr:uid="{00000000-0005-0000-0000-0000608A0000}"/>
    <cellStyle name="Normal 3 15 8 2" xfId="35575" xr:uid="{00000000-0005-0000-0000-0000618A0000}"/>
    <cellStyle name="Normal 3 15 8 2 2" xfId="35576" xr:uid="{00000000-0005-0000-0000-0000628A0000}"/>
    <cellStyle name="Normal 3 15 8 2 2 2" xfId="35577" xr:uid="{00000000-0005-0000-0000-0000638A0000}"/>
    <cellStyle name="Normal 3 15 8 2 2 3" xfId="35578" xr:uid="{00000000-0005-0000-0000-0000648A0000}"/>
    <cellStyle name="Normal 3 15 8 2 3" xfId="35579" xr:uid="{00000000-0005-0000-0000-0000658A0000}"/>
    <cellStyle name="Normal 3 15 8 2 4" xfId="35580" xr:uid="{00000000-0005-0000-0000-0000668A0000}"/>
    <cellStyle name="Normal 3 15 8 3" xfId="35581" xr:uid="{00000000-0005-0000-0000-0000678A0000}"/>
    <cellStyle name="Normal 3 15 8 3 2" xfId="35582" xr:uid="{00000000-0005-0000-0000-0000688A0000}"/>
    <cellStyle name="Normal 3 15 8 3 3" xfId="35583" xr:uid="{00000000-0005-0000-0000-0000698A0000}"/>
    <cellStyle name="Normal 3 15 8 4" xfId="35584" xr:uid="{00000000-0005-0000-0000-00006A8A0000}"/>
    <cellStyle name="Normal 3 15 9" xfId="35585" xr:uid="{00000000-0005-0000-0000-00006B8A0000}"/>
    <cellStyle name="Normal 3 15 9 2" xfId="35586" xr:uid="{00000000-0005-0000-0000-00006C8A0000}"/>
    <cellStyle name="Normal 3 15 9 2 2" xfId="35587" xr:uid="{00000000-0005-0000-0000-00006D8A0000}"/>
    <cellStyle name="Normal 3 15 9 2 2 2" xfId="35588" xr:uid="{00000000-0005-0000-0000-00006E8A0000}"/>
    <cellStyle name="Normal 3 15 9 2 2 3" xfId="35589" xr:uid="{00000000-0005-0000-0000-00006F8A0000}"/>
    <cellStyle name="Normal 3 15 9 2 3" xfId="35590" xr:uid="{00000000-0005-0000-0000-0000708A0000}"/>
    <cellStyle name="Normal 3 15 9 2 4" xfId="35591" xr:uid="{00000000-0005-0000-0000-0000718A0000}"/>
    <cellStyle name="Normal 3 15 9 3" xfId="35592" xr:uid="{00000000-0005-0000-0000-0000728A0000}"/>
    <cellStyle name="Normal 3 15 9 3 2" xfId="35593" xr:uid="{00000000-0005-0000-0000-0000738A0000}"/>
    <cellStyle name="Normal 3 15 9 3 3" xfId="35594" xr:uid="{00000000-0005-0000-0000-0000748A0000}"/>
    <cellStyle name="Normal 3 15 9 4" xfId="35595" xr:uid="{00000000-0005-0000-0000-0000758A0000}"/>
    <cellStyle name="Normal 3 16" xfId="35596" xr:uid="{00000000-0005-0000-0000-0000768A0000}"/>
    <cellStyle name="Normal 3 16 10" xfId="35597" xr:uid="{00000000-0005-0000-0000-0000778A0000}"/>
    <cellStyle name="Normal 3 16 10 2" xfId="35598" xr:uid="{00000000-0005-0000-0000-0000788A0000}"/>
    <cellStyle name="Normal 3 16 10 2 2" xfId="35599" xr:uid="{00000000-0005-0000-0000-0000798A0000}"/>
    <cellStyle name="Normal 3 16 10 2 2 2" xfId="35600" xr:uid="{00000000-0005-0000-0000-00007A8A0000}"/>
    <cellStyle name="Normal 3 16 10 2 2 3" xfId="35601" xr:uid="{00000000-0005-0000-0000-00007B8A0000}"/>
    <cellStyle name="Normal 3 16 10 2 3" xfId="35602" xr:uid="{00000000-0005-0000-0000-00007C8A0000}"/>
    <cellStyle name="Normal 3 16 10 2 4" xfId="35603" xr:uid="{00000000-0005-0000-0000-00007D8A0000}"/>
    <cellStyle name="Normal 3 16 10 3" xfId="35604" xr:uid="{00000000-0005-0000-0000-00007E8A0000}"/>
    <cellStyle name="Normal 3 16 10 3 2" xfId="35605" xr:uid="{00000000-0005-0000-0000-00007F8A0000}"/>
    <cellStyle name="Normal 3 16 10 3 3" xfId="35606" xr:uid="{00000000-0005-0000-0000-0000808A0000}"/>
    <cellStyle name="Normal 3 16 10 4" xfId="35607" xr:uid="{00000000-0005-0000-0000-0000818A0000}"/>
    <cellStyle name="Normal 3 16 11" xfId="35608" xr:uid="{00000000-0005-0000-0000-0000828A0000}"/>
    <cellStyle name="Normal 3 16 11 2" xfId="35609" xr:uid="{00000000-0005-0000-0000-0000838A0000}"/>
    <cellStyle name="Normal 3 16 11 2 2" xfId="35610" xr:uid="{00000000-0005-0000-0000-0000848A0000}"/>
    <cellStyle name="Normal 3 16 11 2 2 2" xfId="35611" xr:uid="{00000000-0005-0000-0000-0000858A0000}"/>
    <cellStyle name="Normal 3 16 11 2 2 3" xfId="35612" xr:uid="{00000000-0005-0000-0000-0000868A0000}"/>
    <cellStyle name="Normal 3 16 11 2 3" xfId="35613" xr:uid="{00000000-0005-0000-0000-0000878A0000}"/>
    <cellStyle name="Normal 3 16 11 2 4" xfId="35614" xr:uid="{00000000-0005-0000-0000-0000888A0000}"/>
    <cellStyle name="Normal 3 16 11 3" xfId="35615" xr:uid="{00000000-0005-0000-0000-0000898A0000}"/>
    <cellStyle name="Normal 3 16 11 3 2" xfId="35616" xr:uid="{00000000-0005-0000-0000-00008A8A0000}"/>
    <cellStyle name="Normal 3 16 11 3 3" xfId="35617" xr:uid="{00000000-0005-0000-0000-00008B8A0000}"/>
    <cellStyle name="Normal 3 16 11 4" xfId="35618" xr:uid="{00000000-0005-0000-0000-00008C8A0000}"/>
    <cellStyle name="Normal 3 16 12" xfId="35619" xr:uid="{00000000-0005-0000-0000-00008D8A0000}"/>
    <cellStyle name="Normal 3 16 12 2" xfId="35620" xr:uid="{00000000-0005-0000-0000-00008E8A0000}"/>
    <cellStyle name="Normal 3 16 12 2 2" xfId="35621" xr:uid="{00000000-0005-0000-0000-00008F8A0000}"/>
    <cellStyle name="Normal 3 16 12 2 2 2" xfId="35622" xr:uid="{00000000-0005-0000-0000-0000908A0000}"/>
    <cellStyle name="Normal 3 16 12 2 2 3" xfId="35623" xr:uid="{00000000-0005-0000-0000-0000918A0000}"/>
    <cellStyle name="Normal 3 16 12 2 3" xfId="35624" xr:uid="{00000000-0005-0000-0000-0000928A0000}"/>
    <cellStyle name="Normal 3 16 12 2 4" xfId="35625" xr:uid="{00000000-0005-0000-0000-0000938A0000}"/>
    <cellStyle name="Normal 3 16 12 3" xfId="35626" xr:uid="{00000000-0005-0000-0000-0000948A0000}"/>
    <cellStyle name="Normal 3 16 12 3 2" xfId="35627" xr:uid="{00000000-0005-0000-0000-0000958A0000}"/>
    <cellStyle name="Normal 3 16 12 3 3" xfId="35628" xr:uid="{00000000-0005-0000-0000-0000968A0000}"/>
    <cellStyle name="Normal 3 16 12 4" xfId="35629" xr:uid="{00000000-0005-0000-0000-0000978A0000}"/>
    <cellStyle name="Normal 3 16 13" xfId="35630" xr:uid="{00000000-0005-0000-0000-0000988A0000}"/>
    <cellStyle name="Normal 3 16 13 2" xfId="35631" xr:uid="{00000000-0005-0000-0000-0000998A0000}"/>
    <cellStyle name="Normal 3 16 13 2 2" xfId="35632" xr:uid="{00000000-0005-0000-0000-00009A8A0000}"/>
    <cellStyle name="Normal 3 16 13 2 2 2" xfId="35633" xr:uid="{00000000-0005-0000-0000-00009B8A0000}"/>
    <cellStyle name="Normal 3 16 13 2 2 3" xfId="35634" xr:uid="{00000000-0005-0000-0000-00009C8A0000}"/>
    <cellStyle name="Normal 3 16 13 2 3" xfId="35635" xr:uid="{00000000-0005-0000-0000-00009D8A0000}"/>
    <cellStyle name="Normal 3 16 13 2 4" xfId="35636" xr:uid="{00000000-0005-0000-0000-00009E8A0000}"/>
    <cellStyle name="Normal 3 16 13 3" xfId="35637" xr:uid="{00000000-0005-0000-0000-00009F8A0000}"/>
    <cellStyle name="Normal 3 16 13 3 2" xfId="35638" xr:uid="{00000000-0005-0000-0000-0000A08A0000}"/>
    <cellStyle name="Normal 3 16 13 3 3" xfId="35639" xr:uid="{00000000-0005-0000-0000-0000A18A0000}"/>
    <cellStyle name="Normal 3 16 13 4" xfId="35640" xr:uid="{00000000-0005-0000-0000-0000A28A0000}"/>
    <cellStyle name="Normal 3 16 14" xfId="35641" xr:uid="{00000000-0005-0000-0000-0000A38A0000}"/>
    <cellStyle name="Normal 3 16 14 2" xfId="35642" xr:uid="{00000000-0005-0000-0000-0000A48A0000}"/>
    <cellStyle name="Normal 3 16 14 2 2" xfId="35643" xr:uid="{00000000-0005-0000-0000-0000A58A0000}"/>
    <cellStyle name="Normal 3 16 14 2 2 2" xfId="35644" xr:uid="{00000000-0005-0000-0000-0000A68A0000}"/>
    <cellStyle name="Normal 3 16 14 2 2 3" xfId="35645" xr:uid="{00000000-0005-0000-0000-0000A78A0000}"/>
    <cellStyle name="Normal 3 16 14 2 3" xfId="35646" xr:uid="{00000000-0005-0000-0000-0000A88A0000}"/>
    <cellStyle name="Normal 3 16 14 2 4" xfId="35647" xr:uid="{00000000-0005-0000-0000-0000A98A0000}"/>
    <cellStyle name="Normal 3 16 14 3" xfId="35648" xr:uid="{00000000-0005-0000-0000-0000AA8A0000}"/>
    <cellStyle name="Normal 3 16 14 3 2" xfId="35649" xr:uid="{00000000-0005-0000-0000-0000AB8A0000}"/>
    <cellStyle name="Normal 3 16 14 3 3" xfId="35650" xr:uid="{00000000-0005-0000-0000-0000AC8A0000}"/>
    <cellStyle name="Normal 3 16 14 4" xfId="35651" xr:uid="{00000000-0005-0000-0000-0000AD8A0000}"/>
    <cellStyle name="Normal 3 16 15" xfId="35652" xr:uid="{00000000-0005-0000-0000-0000AE8A0000}"/>
    <cellStyle name="Normal 3 16 15 2" xfId="35653" xr:uid="{00000000-0005-0000-0000-0000AF8A0000}"/>
    <cellStyle name="Normal 3 16 15 2 2" xfId="35654" xr:uid="{00000000-0005-0000-0000-0000B08A0000}"/>
    <cellStyle name="Normal 3 16 15 2 2 2" xfId="35655" xr:uid="{00000000-0005-0000-0000-0000B18A0000}"/>
    <cellStyle name="Normal 3 16 15 2 2 3" xfId="35656" xr:uid="{00000000-0005-0000-0000-0000B28A0000}"/>
    <cellStyle name="Normal 3 16 15 2 3" xfId="35657" xr:uid="{00000000-0005-0000-0000-0000B38A0000}"/>
    <cellStyle name="Normal 3 16 15 2 4" xfId="35658" xr:uid="{00000000-0005-0000-0000-0000B48A0000}"/>
    <cellStyle name="Normal 3 16 15 3" xfId="35659" xr:uid="{00000000-0005-0000-0000-0000B58A0000}"/>
    <cellStyle name="Normal 3 16 15 3 2" xfId="35660" xr:uid="{00000000-0005-0000-0000-0000B68A0000}"/>
    <cellStyle name="Normal 3 16 15 3 3" xfId="35661" xr:uid="{00000000-0005-0000-0000-0000B78A0000}"/>
    <cellStyle name="Normal 3 16 15 4" xfId="35662" xr:uid="{00000000-0005-0000-0000-0000B88A0000}"/>
    <cellStyle name="Normal 3 16 16" xfId="35663" xr:uid="{00000000-0005-0000-0000-0000B98A0000}"/>
    <cellStyle name="Normal 3 16 16 2" xfId="35664" xr:uid="{00000000-0005-0000-0000-0000BA8A0000}"/>
    <cellStyle name="Normal 3 16 16 2 2" xfId="35665" xr:uid="{00000000-0005-0000-0000-0000BB8A0000}"/>
    <cellStyle name="Normal 3 16 16 2 2 2" xfId="35666" xr:uid="{00000000-0005-0000-0000-0000BC8A0000}"/>
    <cellStyle name="Normal 3 16 16 2 2 3" xfId="35667" xr:uid="{00000000-0005-0000-0000-0000BD8A0000}"/>
    <cellStyle name="Normal 3 16 16 2 3" xfId="35668" xr:uid="{00000000-0005-0000-0000-0000BE8A0000}"/>
    <cellStyle name="Normal 3 16 16 2 4" xfId="35669" xr:uid="{00000000-0005-0000-0000-0000BF8A0000}"/>
    <cellStyle name="Normal 3 16 16 3" xfId="35670" xr:uid="{00000000-0005-0000-0000-0000C08A0000}"/>
    <cellStyle name="Normal 3 16 16 3 2" xfId="35671" xr:uid="{00000000-0005-0000-0000-0000C18A0000}"/>
    <cellStyle name="Normal 3 16 16 3 3" xfId="35672" xr:uid="{00000000-0005-0000-0000-0000C28A0000}"/>
    <cellStyle name="Normal 3 16 16 4" xfId="35673" xr:uid="{00000000-0005-0000-0000-0000C38A0000}"/>
    <cellStyle name="Normal 3 16 17" xfId="35674" xr:uid="{00000000-0005-0000-0000-0000C48A0000}"/>
    <cellStyle name="Normal 3 16 17 2" xfId="35675" xr:uid="{00000000-0005-0000-0000-0000C58A0000}"/>
    <cellStyle name="Normal 3 16 17 2 2" xfId="35676" xr:uid="{00000000-0005-0000-0000-0000C68A0000}"/>
    <cellStyle name="Normal 3 16 17 2 2 2" xfId="35677" xr:uid="{00000000-0005-0000-0000-0000C78A0000}"/>
    <cellStyle name="Normal 3 16 17 2 2 3" xfId="35678" xr:uid="{00000000-0005-0000-0000-0000C88A0000}"/>
    <cellStyle name="Normal 3 16 17 2 3" xfId="35679" xr:uid="{00000000-0005-0000-0000-0000C98A0000}"/>
    <cellStyle name="Normal 3 16 17 2 4" xfId="35680" xr:uid="{00000000-0005-0000-0000-0000CA8A0000}"/>
    <cellStyle name="Normal 3 16 17 3" xfId="35681" xr:uid="{00000000-0005-0000-0000-0000CB8A0000}"/>
    <cellStyle name="Normal 3 16 17 3 2" xfId="35682" xr:uid="{00000000-0005-0000-0000-0000CC8A0000}"/>
    <cellStyle name="Normal 3 16 17 3 3" xfId="35683" xr:uid="{00000000-0005-0000-0000-0000CD8A0000}"/>
    <cellStyle name="Normal 3 16 17 4" xfId="35684" xr:uid="{00000000-0005-0000-0000-0000CE8A0000}"/>
    <cellStyle name="Normal 3 16 18" xfId="35685" xr:uid="{00000000-0005-0000-0000-0000CF8A0000}"/>
    <cellStyle name="Normal 3 16 18 2" xfId="35686" xr:uid="{00000000-0005-0000-0000-0000D08A0000}"/>
    <cellStyle name="Normal 3 16 18 2 2" xfId="35687" xr:uid="{00000000-0005-0000-0000-0000D18A0000}"/>
    <cellStyle name="Normal 3 16 18 2 2 2" xfId="35688" xr:uid="{00000000-0005-0000-0000-0000D28A0000}"/>
    <cellStyle name="Normal 3 16 18 2 2 3" xfId="35689" xr:uid="{00000000-0005-0000-0000-0000D38A0000}"/>
    <cellStyle name="Normal 3 16 18 2 3" xfId="35690" xr:uid="{00000000-0005-0000-0000-0000D48A0000}"/>
    <cellStyle name="Normal 3 16 18 2 4" xfId="35691" xr:uid="{00000000-0005-0000-0000-0000D58A0000}"/>
    <cellStyle name="Normal 3 16 18 3" xfId="35692" xr:uid="{00000000-0005-0000-0000-0000D68A0000}"/>
    <cellStyle name="Normal 3 16 18 3 2" xfId="35693" xr:uid="{00000000-0005-0000-0000-0000D78A0000}"/>
    <cellStyle name="Normal 3 16 18 3 3" xfId="35694" xr:uid="{00000000-0005-0000-0000-0000D88A0000}"/>
    <cellStyle name="Normal 3 16 18 4" xfId="35695" xr:uid="{00000000-0005-0000-0000-0000D98A0000}"/>
    <cellStyle name="Normal 3 16 19" xfId="35696" xr:uid="{00000000-0005-0000-0000-0000DA8A0000}"/>
    <cellStyle name="Normal 3 16 19 2" xfId="35697" xr:uid="{00000000-0005-0000-0000-0000DB8A0000}"/>
    <cellStyle name="Normal 3 16 19 2 2" xfId="35698" xr:uid="{00000000-0005-0000-0000-0000DC8A0000}"/>
    <cellStyle name="Normal 3 16 19 2 2 2" xfId="35699" xr:uid="{00000000-0005-0000-0000-0000DD8A0000}"/>
    <cellStyle name="Normal 3 16 19 2 2 3" xfId="35700" xr:uid="{00000000-0005-0000-0000-0000DE8A0000}"/>
    <cellStyle name="Normal 3 16 19 2 3" xfId="35701" xr:uid="{00000000-0005-0000-0000-0000DF8A0000}"/>
    <cellStyle name="Normal 3 16 19 2 4" xfId="35702" xr:uid="{00000000-0005-0000-0000-0000E08A0000}"/>
    <cellStyle name="Normal 3 16 19 3" xfId="35703" xr:uid="{00000000-0005-0000-0000-0000E18A0000}"/>
    <cellStyle name="Normal 3 16 19 3 2" xfId="35704" xr:uid="{00000000-0005-0000-0000-0000E28A0000}"/>
    <cellStyle name="Normal 3 16 19 3 3" xfId="35705" xr:uid="{00000000-0005-0000-0000-0000E38A0000}"/>
    <cellStyle name="Normal 3 16 19 4" xfId="35706" xr:uid="{00000000-0005-0000-0000-0000E48A0000}"/>
    <cellStyle name="Normal 3 16 2" xfId="35707" xr:uid="{00000000-0005-0000-0000-0000E58A0000}"/>
    <cellStyle name="Normal 3 16 2 2" xfId="35708" xr:uid="{00000000-0005-0000-0000-0000E68A0000}"/>
    <cellStyle name="Normal 3 16 2 2 2" xfId="35709" xr:uid="{00000000-0005-0000-0000-0000E78A0000}"/>
    <cellStyle name="Normal 3 16 2 2 2 2" xfId="35710" xr:uid="{00000000-0005-0000-0000-0000E88A0000}"/>
    <cellStyle name="Normal 3 16 2 2 2 3" xfId="35711" xr:uid="{00000000-0005-0000-0000-0000E98A0000}"/>
    <cellStyle name="Normal 3 16 2 2 3" xfId="35712" xr:uid="{00000000-0005-0000-0000-0000EA8A0000}"/>
    <cellStyle name="Normal 3 16 2 2 4" xfId="35713" xr:uid="{00000000-0005-0000-0000-0000EB8A0000}"/>
    <cellStyle name="Normal 3 16 2 3" xfId="35714" xr:uid="{00000000-0005-0000-0000-0000EC8A0000}"/>
    <cellStyle name="Normal 3 16 2 3 2" xfId="35715" xr:uid="{00000000-0005-0000-0000-0000ED8A0000}"/>
    <cellStyle name="Normal 3 16 2 3 3" xfId="35716" xr:uid="{00000000-0005-0000-0000-0000EE8A0000}"/>
    <cellStyle name="Normal 3 16 2 4" xfId="35717" xr:uid="{00000000-0005-0000-0000-0000EF8A0000}"/>
    <cellStyle name="Normal 3 16 20" xfId="35718" xr:uid="{00000000-0005-0000-0000-0000F08A0000}"/>
    <cellStyle name="Normal 3 16 20 2" xfId="35719" xr:uid="{00000000-0005-0000-0000-0000F18A0000}"/>
    <cellStyle name="Normal 3 16 20 2 2" xfId="35720" xr:uid="{00000000-0005-0000-0000-0000F28A0000}"/>
    <cellStyle name="Normal 3 16 20 2 2 2" xfId="35721" xr:uid="{00000000-0005-0000-0000-0000F38A0000}"/>
    <cellStyle name="Normal 3 16 20 2 2 3" xfId="35722" xr:uid="{00000000-0005-0000-0000-0000F48A0000}"/>
    <cellStyle name="Normal 3 16 20 2 3" xfId="35723" xr:uid="{00000000-0005-0000-0000-0000F58A0000}"/>
    <cellStyle name="Normal 3 16 20 2 4" xfId="35724" xr:uid="{00000000-0005-0000-0000-0000F68A0000}"/>
    <cellStyle name="Normal 3 16 20 3" xfId="35725" xr:uid="{00000000-0005-0000-0000-0000F78A0000}"/>
    <cellStyle name="Normal 3 16 20 3 2" xfId="35726" xr:uid="{00000000-0005-0000-0000-0000F88A0000}"/>
    <cellStyle name="Normal 3 16 20 3 3" xfId="35727" xr:uid="{00000000-0005-0000-0000-0000F98A0000}"/>
    <cellStyle name="Normal 3 16 20 4" xfId="35728" xr:uid="{00000000-0005-0000-0000-0000FA8A0000}"/>
    <cellStyle name="Normal 3 16 21" xfId="35729" xr:uid="{00000000-0005-0000-0000-0000FB8A0000}"/>
    <cellStyle name="Normal 3 16 21 2" xfId="35730" xr:uid="{00000000-0005-0000-0000-0000FC8A0000}"/>
    <cellStyle name="Normal 3 16 21 2 2" xfId="35731" xr:uid="{00000000-0005-0000-0000-0000FD8A0000}"/>
    <cellStyle name="Normal 3 16 21 2 2 2" xfId="35732" xr:uid="{00000000-0005-0000-0000-0000FE8A0000}"/>
    <cellStyle name="Normal 3 16 21 2 2 3" xfId="35733" xr:uid="{00000000-0005-0000-0000-0000FF8A0000}"/>
    <cellStyle name="Normal 3 16 21 2 3" xfId="35734" xr:uid="{00000000-0005-0000-0000-0000008B0000}"/>
    <cellStyle name="Normal 3 16 21 2 4" xfId="35735" xr:uid="{00000000-0005-0000-0000-0000018B0000}"/>
    <cellStyle name="Normal 3 16 21 3" xfId="35736" xr:uid="{00000000-0005-0000-0000-0000028B0000}"/>
    <cellStyle name="Normal 3 16 21 3 2" xfId="35737" xr:uid="{00000000-0005-0000-0000-0000038B0000}"/>
    <cellStyle name="Normal 3 16 21 3 3" xfId="35738" xr:uid="{00000000-0005-0000-0000-0000048B0000}"/>
    <cellStyle name="Normal 3 16 21 4" xfId="35739" xr:uid="{00000000-0005-0000-0000-0000058B0000}"/>
    <cellStyle name="Normal 3 16 22" xfId="35740" xr:uid="{00000000-0005-0000-0000-0000068B0000}"/>
    <cellStyle name="Normal 3 16 22 2" xfId="35741" xr:uid="{00000000-0005-0000-0000-0000078B0000}"/>
    <cellStyle name="Normal 3 16 22 2 2" xfId="35742" xr:uid="{00000000-0005-0000-0000-0000088B0000}"/>
    <cellStyle name="Normal 3 16 22 2 2 2" xfId="35743" xr:uid="{00000000-0005-0000-0000-0000098B0000}"/>
    <cellStyle name="Normal 3 16 22 2 2 3" xfId="35744" xr:uid="{00000000-0005-0000-0000-00000A8B0000}"/>
    <cellStyle name="Normal 3 16 22 2 3" xfId="35745" xr:uid="{00000000-0005-0000-0000-00000B8B0000}"/>
    <cellStyle name="Normal 3 16 22 2 4" xfId="35746" xr:uid="{00000000-0005-0000-0000-00000C8B0000}"/>
    <cellStyle name="Normal 3 16 22 3" xfId="35747" xr:uid="{00000000-0005-0000-0000-00000D8B0000}"/>
    <cellStyle name="Normal 3 16 22 3 2" xfId="35748" xr:uid="{00000000-0005-0000-0000-00000E8B0000}"/>
    <cellStyle name="Normal 3 16 22 3 3" xfId="35749" xr:uid="{00000000-0005-0000-0000-00000F8B0000}"/>
    <cellStyle name="Normal 3 16 22 4" xfId="35750" xr:uid="{00000000-0005-0000-0000-0000108B0000}"/>
    <cellStyle name="Normal 3 16 23" xfId="35751" xr:uid="{00000000-0005-0000-0000-0000118B0000}"/>
    <cellStyle name="Normal 3 16 23 2" xfId="35752" xr:uid="{00000000-0005-0000-0000-0000128B0000}"/>
    <cellStyle name="Normal 3 16 23 2 2" xfId="35753" xr:uid="{00000000-0005-0000-0000-0000138B0000}"/>
    <cellStyle name="Normal 3 16 23 2 2 2" xfId="35754" xr:uid="{00000000-0005-0000-0000-0000148B0000}"/>
    <cellStyle name="Normal 3 16 23 2 2 3" xfId="35755" xr:uid="{00000000-0005-0000-0000-0000158B0000}"/>
    <cellStyle name="Normal 3 16 23 2 3" xfId="35756" xr:uid="{00000000-0005-0000-0000-0000168B0000}"/>
    <cellStyle name="Normal 3 16 23 2 4" xfId="35757" xr:uid="{00000000-0005-0000-0000-0000178B0000}"/>
    <cellStyle name="Normal 3 16 23 3" xfId="35758" xr:uid="{00000000-0005-0000-0000-0000188B0000}"/>
    <cellStyle name="Normal 3 16 23 3 2" xfId="35759" xr:uid="{00000000-0005-0000-0000-0000198B0000}"/>
    <cellStyle name="Normal 3 16 23 3 3" xfId="35760" xr:uid="{00000000-0005-0000-0000-00001A8B0000}"/>
    <cellStyle name="Normal 3 16 23 4" xfId="35761" xr:uid="{00000000-0005-0000-0000-00001B8B0000}"/>
    <cellStyle name="Normal 3 16 24" xfId="35762" xr:uid="{00000000-0005-0000-0000-00001C8B0000}"/>
    <cellStyle name="Normal 3 16 24 2" xfId="35763" xr:uid="{00000000-0005-0000-0000-00001D8B0000}"/>
    <cellStyle name="Normal 3 16 24 2 2" xfId="35764" xr:uid="{00000000-0005-0000-0000-00001E8B0000}"/>
    <cellStyle name="Normal 3 16 24 2 3" xfId="35765" xr:uid="{00000000-0005-0000-0000-00001F8B0000}"/>
    <cellStyle name="Normal 3 16 24 3" xfId="35766" xr:uid="{00000000-0005-0000-0000-0000208B0000}"/>
    <cellStyle name="Normal 3 16 24 4" xfId="35767" xr:uid="{00000000-0005-0000-0000-0000218B0000}"/>
    <cellStyle name="Normal 3 16 25" xfId="35768" xr:uid="{00000000-0005-0000-0000-0000228B0000}"/>
    <cellStyle name="Normal 3 16 25 2" xfId="35769" xr:uid="{00000000-0005-0000-0000-0000238B0000}"/>
    <cellStyle name="Normal 3 16 25 3" xfId="35770" xr:uid="{00000000-0005-0000-0000-0000248B0000}"/>
    <cellStyle name="Normal 3 16 26" xfId="35771" xr:uid="{00000000-0005-0000-0000-0000258B0000}"/>
    <cellStyle name="Normal 3 16 3" xfId="35772" xr:uid="{00000000-0005-0000-0000-0000268B0000}"/>
    <cellStyle name="Normal 3 16 3 2" xfId="35773" xr:uid="{00000000-0005-0000-0000-0000278B0000}"/>
    <cellStyle name="Normal 3 16 3 2 2" xfId="35774" xr:uid="{00000000-0005-0000-0000-0000288B0000}"/>
    <cellStyle name="Normal 3 16 3 2 2 2" xfId="35775" xr:uid="{00000000-0005-0000-0000-0000298B0000}"/>
    <cellStyle name="Normal 3 16 3 2 2 3" xfId="35776" xr:uid="{00000000-0005-0000-0000-00002A8B0000}"/>
    <cellStyle name="Normal 3 16 3 2 3" xfId="35777" xr:uid="{00000000-0005-0000-0000-00002B8B0000}"/>
    <cellStyle name="Normal 3 16 3 2 4" xfId="35778" xr:uid="{00000000-0005-0000-0000-00002C8B0000}"/>
    <cellStyle name="Normal 3 16 3 3" xfId="35779" xr:uid="{00000000-0005-0000-0000-00002D8B0000}"/>
    <cellStyle name="Normal 3 16 3 3 2" xfId="35780" xr:uid="{00000000-0005-0000-0000-00002E8B0000}"/>
    <cellStyle name="Normal 3 16 3 3 3" xfId="35781" xr:uid="{00000000-0005-0000-0000-00002F8B0000}"/>
    <cellStyle name="Normal 3 16 3 4" xfId="35782" xr:uid="{00000000-0005-0000-0000-0000308B0000}"/>
    <cellStyle name="Normal 3 16 4" xfId="35783" xr:uid="{00000000-0005-0000-0000-0000318B0000}"/>
    <cellStyle name="Normal 3 16 4 2" xfId="35784" xr:uid="{00000000-0005-0000-0000-0000328B0000}"/>
    <cellStyle name="Normal 3 16 4 2 2" xfId="35785" xr:uid="{00000000-0005-0000-0000-0000338B0000}"/>
    <cellStyle name="Normal 3 16 4 2 2 2" xfId="35786" xr:uid="{00000000-0005-0000-0000-0000348B0000}"/>
    <cellStyle name="Normal 3 16 4 2 2 3" xfId="35787" xr:uid="{00000000-0005-0000-0000-0000358B0000}"/>
    <cellStyle name="Normal 3 16 4 2 3" xfId="35788" xr:uid="{00000000-0005-0000-0000-0000368B0000}"/>
    <cellStyle name="Normal 3 16 4 2 4" xfId="35789" xr:uid="{00000000-0005-0000-0000-0000378B0000}"/>
    <cellStyle name="Normal 3 16 4 3" xfId="35790" xr:uid="{00000000-0005-0000-0000-0000388B0000}"/>
    <cellStyle name="Normal 3 16 4 3 2" xfId="35791" xr:uid="{00000000-0005-0000-0000-0000398B0000}"/>
    <cellStyle name="Normal 3 16 4 3 3" xfId="35792" xr:uid="{00000000-0005-0000-0000-00003A8B0000}"/>
    <cellStyle name="Normal 3 16 4 4" xfId="35793" xr:uid="{00000000-0005-0000-0000-00003B8B0000}"/>
    <cellStyle name="Normal 3 16 5" xfId="35794" xr:uid="{00000000-0005-0000-0000-00003C8B0000}"/>
    <cellStyle name="Normal 3 16 5 2" xfId="35795" xr:uid="{00000000-0005-0000-0000-00003D8B0000}"/>
    <cellStyle name="Normal 3 16 5 2 2" xfId="35796" xr:uid="{00000000-0005-0000-0000-00003E8B0000}"/>
    <cellStyle name="Normal 3 16 5 2 2 2" xfId="35797" xr:uid="{00000000-0005-0000-0000-00003F8B0000}"/>
    <cellStyle name="Normal 3 16 5 2 2 3" xfId="35798" xr:uid="{00000000-0005-0000-0000-0000408B0000}"/>
    <cellStyle name="Normal 3 16 5 2 3" xfId="35799" xr:uid="{00000000-0005-0000-0000-0000418B0000}"/>
    <cellStyle name="Normal 3 16 5 2 4" xfId="35800" xr:uid="{00000000-0005-0000-0000-0000428B0000}"/>
    <cellStyle name="Normal 3 16 5 3" xfId="35801" xr:uid="{00000000-0005-0000-0000-0000438B0000}"/>
    <cellStyle name="Normal 3 16 5 3 2" xfId="35802" xr:uid="{00000000-0005-0000-0000-0000448B0000}"/>
    <cellStyle name="Normal 3 16 5 3 3" xfId="35803" xr:uid="{00000000-0005-0000-0000-0000458B0000}"/>
    <cellStyle name="Normal 3 16 5 4" xfId="35804" xr:uid="{00000000-0005-0000-0000-0000468B0000}"/>
    <cellStyle name="Normal 3 16 6" xfId="35805" xr:uid="{00000000-0005-0000-0000-0000478B0000}"/>
    <cellStyle name="Normal 3 16 6 2" xfId="35806" xr:uid="{00000000-0005-0000-0000-0000488B0000}"/>
    <cellStyle name="Normal 3 16 6 2 2" xfId="35807" xr:uid="{00000000-0005-0000-0000-0000498B0000}"/>
    <cellStyle name="Normal 3 16 6 2 2 2" xfId="35808" xr:uid="{00000000-0005-0000-0000-00004A8B0000}"/>
    <cellStyle name="Normal 3 16 6 2 2 3" xfId="35809" xr:uid="{00000000-0005-0000-0000-00004B8B0000}"/>
    <cellStyle name="Normal 3 16 6 2 3" xfId="35810" xr:uid="{00000000-0005-0000-0000-00004C8B0000}"/>
    <cellStyle name="Normal 3 16 6 2 4" xfId="35811" xr:uid="{00000000-0005-0000-0000-00004D8B0000}"/>
    <cellStyle name="Normal 3 16 6 3" xfId="35812" xr:uid="{00000000-0005-0000-0000-00004E8B0000}"/>
    <cellStyle name="Normal 3 16 6 3 2" xfId="35813" xr:uid="{00000000-0005-0000-0000-00004F8B0000}"/>
    <cellStyle name="Normal 3 16 6 3 3" xfId="35814" xr:uid="{00000000-0005-0000-0000-0000508B0000}"/>
    <cellStyle name="Normal 3 16 6 4" xfId="35815" xr:uid="{00000000-0005-0000-0000-0000518B0000}"/>
    <cellStyle name="Normal 3 16 7" xfId="35816" xr:uid="{00000000-0005-0000-0000-0000528B0000}"/>
    <cellStyle name="Normal 3 16 7 2" xfId="35817" xr:uid="{00000000-0005-0000-0000-0000538B0000}"/>
    <cellStyle name="Normal 3 16 7 2 2" xfId="35818" xr:uid="{00000000-0005-0000-0000-0000548B0000}"/>
    <cellStyle name="Normal 3 16 7 2 2 2" xfId="35819" xr:uid="{00000000-0005-0000-0000-0000558B0000}"/>
    <cellStyle name="Normal 3 16 7 2 2 3" xfId="35820" xr:uid="{00000000-0005-0000-0000-0000568B0000}"/>
    <cellStyle name="Normal 3 16 7 2 3" xfId="35821" xr:uid="{00000000-0005-0000-0000-0000578B0000}"/>
    <cellStyle name="Normal 3 16 7 2 4" xfId="35822" xr:uid="{00000000-0005-0000-0000-0000588B0000}"/>
    <cellStyle name="Normal 3 16 7 3" xfId="35823" xr:uid="{00000000-0005-0000-0000-0000598B0000}"/>
    <cellStyle name="Normal 3 16 7 3 2" xfId="35824" xr:uid="{00000000-0005-0000-0000-00005A8B0000}"/>
    <cellStyle name="Normal 3 16 7 3 3" xfId="35825" xr:uid="{00000000-0005-0000-0000-00005B8B0000}"/>
    <cellStyle name="Normal 3 16 7 4" xfId="35826" xr:uid="{00000000-0005-0000-0000-00005C8B0000}"/>
    <cellStyle name="Normal 3 16 8" xfId="35827" xr:uid="{00000000-0005-0000-0000-00005D8B0000}"/>
    <cellStyle name="Normal 3 16 8 2" xfId="35828" xr:uid="{00000000-0005-0000-0000-00005E8B0000}"/>
    <cellStyle name="Normal 3 16 8 2 2" xfId="35829" xr:uid="{00000000-0005-0000-0000-00005F8B0000}"/>
    <cellStyle name="Normal 3 16 8 2 2 2" xfId="35830" xr:uid="{00000000-0005-0000-0000-0000608B0000}"/>
    <cellStyle name="Normal 3 16 8 2 2 3" xfId="35831" xr:uid="{00000000-0005-0000-0000-0000618B0000}"/>
    <cellStyle name="Normal 3 16 8 2 3" xfId="35832" xr:uid="{00000000-0005-0000-0000-0000628B0000}"/>
    <cellStyle name="Normal 3 16 8 2 4" xfId="35833" xr:uid="{00000000-0005-0000-0000-0000638B0000}"/>
    <cellStyle name="Normal 3 16 8 3" xfId="35834" xr:uid="{00000000-0005-0000-0000-0000648B0000}"/>
    <cellStyle name="Normal 3 16 8 3 2" xfId="35835" xr:uid="{00000000-0005-0000-0000-0000658B0000}"/>
    <cellStyle name="Normal 3 16 8 3 3" xfId="35836" xr:uid="{00000000-0005-0000-0000-0000668B0000}"/>
    <cellStyle name="Normal 3 16 8 4" xfId="35837" xr:uid="{00000000-0005-0000-0000-0000678B0000}"/>
    <cellStyle name="Normal 3 16 9" xfId="35838" xr:uid="{00000000-0005-0000-0000-0000688B0000}"/>
    <cellStyle name="Normal 3 16 9 2" xfId="35839" xr:uid="{00000000-0005-0000-0000-0000698B0000}"/>
    <cellStyle name="Normal 3 16 9 2 2" xfId="35840" xr:uid="{00000000-0005-0000-0000-00006A8B0000}"/>
    <cellStyle name="Normal 3 16 9 2 2 2" xfId="35841" xr:uid="{00000000-0005-0000-0000-00006B8B0000}"/>
    <cellStyle name="Normal 3 16 9 2 2 3" xfId="35842" xr:uid="{00000000-0005-0000-0000-00006C8B0000}"/>
    <cellStyle name="Normal 3 16 9 2 3" xfId="35843" xr:uid="{00000000-0005-0000-0000-00006D8B0000}"/>
    <cellStyle name="Normal 3 16 9 2 4" xfId="35844" xr:uid="{00000000-0005-0000-0000-00006E8B0000}"/>
    <cellStyle name="Normal 3 16 9 3" xfId="35845" xr:uid="{00000000-0005-0000-0000-00006F8B0000}"/>
    <cellStyle name="Normal 3 16 9 3 2" xfId="35846" xr:uid="{00000000-0005-0000-0000-0000708B0000}"/>
    <cellStyle name="Normal 3 16 9 3 3" xfId="35847" xr:uid="{00000000-0005-0000-0000-0000718B0000}"/>
    <cellStyle name="Normal 3 16 9 4" xfId="35848" xr:uid="{00000000-0005-0000-0000-0000728B0000}"/>
    <cellStyle name="Normal 3 17" xfId="35849" xr:uid="{00000000-0005-0000-0000-0000738B0000}"/>
    <cellStyle name="Normal 3 17 10" xfId="35850" xr:uid="{00000000-0005-0000-0000-0000748B0000}"/>
    <cellStyle name="Normal 3 17 10 2" xfId="35851" xr:uid="{00000000-0005-0000-0000-0000758B0000}"/>
    <cellStyle name="Normal 3 17 10 2 2" xfId="35852" xr:uid="{00000000-0005-0000-0000-0000768B0000}"/>
    <cellStyle name="Normal 3 17 10 2 2 2" xfId="35853" xr:uid="{00000000-0005-0000-0000-0000778B0000}"/>
    <cellStyle name="Normal 3 17 10 2 2 3" xfId="35854" xr:uid="{00000000-0005-0000-0000-0000788B0000}"/>
    <cellStyle name="Normal 3 17 10 2 3" xfId="35855" xr:uid="{00000000-0005-0000-0000-0000798B0000}"/>
    <cellStyle name="Normal 3 17 10 2 4" xfId="35856" xr:uid="{00000000-0005-0000-0000-00007A8B0000}"/>
    <cellStyle name="Normal 3 17 10 3" xfId="35857" xr:uid="{00000000-0005-0000-0000-00007B8B0000}"/>
    <cellStyle name="Normal 3 17 10 3 2" xfId="35858" xr:uid="{00000000-0005-0000-0000-00007C8B0000}"/>
    <cellStyle name="Normal 3 17 10 3 3" xfId="35859" xr:uid="{00000000-0005-0000-0000-00007D8B0000}"/>
    <cellStyle name="Normal 3 17 10 4" xfId="35860" xr:uid="{00000000-0005-0000-0000-00007E8B0000}"/>
    <cellStyle name="Normal 3 17 11" xfId="35861" xr:uid="{00000000-0005-0000-0000-00007F8B0000}"/>
    <cellStyle name="Normal 3 17 11 2" xfId="35862" xr:uid="{00000000-0005-0000-0000-0000808B0000}"/>
    <cellStyle name="Normal 3 17 11 2 2" xfId="35863" xr:uid="{00000000-0005-0000-0000-0000818B0000}"/>
    <cellStyle name="Normal 3 17 11 2 2 2" xfId="35864" xr:uid="{00000000-0005-0000-0000-0000828B0000}"/>
    <cellStyle name="Normal 3 17 11 2 2 3" xfId="35865" xr:uid="{00000000-0005-0000-0000-0000838B0000}"/>
    <cellStyle name="Normal 3 17 11 2 3" xfId="35866" xr:uid="{00000000-0005-0000-0000-0000848B0000}"/>
    <cellStyle name="Normal 3 17 11 2 4" xfId="35867" xr:uid="{00000000-0005-0000-0000-0000858B0000}"/>
    <cellStyle name="Normal 3 17 11 3" xfId="35868" xr:uid="{00000000-0005-0000-0000-0000868B0000}"/>
    <cellStyle name="Normal 3 17 11 3 2" xfId="35869" xr:uid="{00000000-0005-0000-0000-0000878B0000}"/>
    <cellStyle name="Normal 3 17 11 3 3" xfId="35870" xr:uid="{00000000-0005-0000-0000-0000888B0000}"/>
    <cellStyle name="Normal 3 17 11 4" xfId="35871" xr:uid="{00000000-0005-0000-0000-0000898B0000}"/>
    <cellStyle name="Normal 3 17 12" xfId="35872" xr:uid="{00000000-0005-0000-0000-00008A8B0000}"/>
    <cellStyle name="Normal 3 17 12 2" xfId="35873" xr:uid="{00000000-0005-0000-0000-00008B8B0000}"/>
    <cellStyle name="Normal 3 17 12 2 2" xfId="35874" xr:uid="{00000000-0005-0000-0000-00008C8B0000}"/>
    <cellStyle name="Normal 3 17 12 2 2 2" xfId="35875" xr:uid="{00000000-0005-0000-0000-00008D8B0000}"/>
    <cellStyle name="Normal 3 17 12 2 2 3" xfId="35876" xr:uid="{00000000-0005-0000-0000-00008E8B0000}"/>
    <cellStyle name="Normal 3 17 12 2 3" xfId="35877" xr:uid="{00000000-0005-0000-0000-00008F8B0000}"/>
    <cellStyle name="Normal 3 17 12 2 4" xfId="35878" xr:uid="{00000000-0005-0000-0000-0000908B0000}"/>
    <cellStyle name="Normal 3 17 12 3" xfId="35879" xr:uid="{00000000-0005-0000-0000-0000918B0000}"/>
    <cellStyle name="Normal 3 17 12 3 2" xfId="35880" xr:uid="{00000000-0005-0000-0000-0000928B0000}"/>
    <cellStyle name="Normal 3 17 12 3 3" xfId="35881" xr:uid="{00000000-0005-0000-0000-0000938B0000}"/>
    <cellStyle name="Normal 3 17 12 4" xfId="35882" xr:uid="{00000000-0005-0000-0000-0000948B0000}"/>
    <cellStyle name="Normal 3 17 13" xfId="35883" xr:uid="{00000000-0005-0000-0000-0000958B0000}"/>
    <cellStyle name="Normal 3 17 13 2" xfId="35884" xr:uid="{00000000-0005-0000-0000-0000968B0000}"/>
    <cellStyle name="Normal 3 17 13 2 2" xfId="35885" xr:uid="{00000000-0005-0000-0000-0000978B0000}"/>
    <cellStyle name="Normal 3 17 13 2 2 2" xfId="35886" xr:uid="{00000000-0005-0000-0000-0000988B0000}"/>
    <cellStyle name="Normal 3 17 13 2 2 3" xfId="35887" xr:uid="{00000000-0005-0000-0000-0000998B0000}"/>
    <cellStyle name="Normal 3 17 13 2 3" xfId="35888" xr:uid="{00000000-0005-0000-0000-00009A8B0000}"/>
    <cellStyle name="Normal 3 17 13 2 4" xfId="35889" xr:uid="{00000000-0005-0000-0000-00009B8B0000}"/>
    <cellStyle name="Normal 3 17 13 3" xfId="35890" xr:uid="{00000000-0005-0000-0000-00009C8B0000}"/>
    <cellStyle name="Normal 3 17 13 3 2" xfId="35891" xr:uid="{00000000-0005-0000-0000-00009D8B0000}"/>
    <cellStyle name="Normal 3 17 13 3 3" xfId="35892" xr:uid="{00000000-0005-0000-0000-00009E8B0000}"/>
    <cellStyle name="Normal 3 17 13 4" xfId="35893" xr:uid="{00000000-0005-0000-0000-00009F8B0000}"/>
    <cellStyle name="Normal 3 17 14" xfId="35894" xr:uid="{00000000-0005-0000-0000-0000A08B0000}"/>
    <cellStyle name="Normal 3 17 14 2" xfId="35895" xr:uid="{00000000-0005-0000-0000-0000A18B0000}"/>
    <cellStyle name="Normal 3 17 14 2 2" xfId="35896" xr:uid="{00000000-0005-0000-0000-0000A28B0000}"/>
    <cellStyle name="Normal 3 17 14 2 2 2" xfId="35897" xr:uid="{00000000-0005-0000-0000-0000A38B0000}"/>
    <cellStyle name="Normal 3 17 14 2 2 3" xfId="35898" xr:uid="{00000000-0005-0000-0000-0000A48B0000}"/>
    <cellStyle name="Normal 3 17 14 2 3" xfId="35899" xr:uid="{00000000-0005-0000-0000-0000A58B0000}"/>
    <cellStyle name="Normal 3 17 14 2 4" xfId="35900" xr:uid="{00000000-0005-0000-0000-0000A68B0000}"/>
    <cellStyle name="Normal 3 17 14 3" xfId="35901" xr:uid="{00000000-0005-0000-0000-0000A78B0000}"/>
    <cellStyle name="Normal 3 17 14 3 2" xfId="35902" xr:uid="{00000000-0005-0000-0000-0000A88B0000}"/>
    <cellStyle name="Normal 3 17 14 3 3" xfId="35903" xr:uid="{00000000-0005-0000-0000-0000A98B0000}"/>
    <cellStyle name="Normal 3 17 14 4" xfId="35904" xr:uid="{00000000-0005-0000-0000-0000AA8B0000}"/>
    <cellStyle name="Normal 3 17 15" xfId="35905" xr:uid="{00000000-0005-0000-0000-0000AB8B0000}"/>
    <cellStyle name="Normal 3 17 15 2" xfId="35906" xr:uid="{00000000-0005-0000-0000-0000AC8B0000}"/>
    <cellStyle name="Normal 3 17 15 2 2" xfId="35907" xr:uid="{00000000-0005-0000-0000-0000AD8B0000}"/>
    <cellStyle name="Normal 3 17 15 2 2 2" xfId="35908" xr:uid="{00000000-0005-0000-0000-0000AE8B0000}"/>
    <cellStyle name="Normal 3 17 15 2 2 3" xfId="35909" xr:uid="{00000000-0005-0000-0000-0000AF8B0000}"/>
    <cellStyle name="Normal 3 17 15 2 3" xfId="35910" xr:uid="{00000000-0005-0000-0000-0000B08B0000}"/>
    <cellStyle name="Normal 3 17 15 2 4" xfId="35911" xr:uid="{00000000-0005-0000-0000-0000B18B0000}"/>
    <cellStyle name="Normal 3 17 15 3" xfId="35912" xr:uid="{00000000-0005-0000-0000-0000B28B0000}"/>
    <cellStyle name="Normal 3 17 15 3 2" xfId="35913" xr:uid="{00000000-0005-0000-0000-0000B38B0000}"/>
    <cellStyle name="Normal 3 17 15 3 3" xfId="35914" xr:uid="{00000000-0005-0000-0000-0000B48B0000}"/>
    <cellStyle name="Normal 3 17 15 4" xfId="35915" xr:uid="{00000000-0005-0000-0000-0000B58B0000}"/>
    <cellStyle name="Normal 3 17 16" xfId="35916" xr:uid="{00000000-0005-0000-0000-0000B68B0000}"/>
    <cellStyle name="Normal 3 17 16 2" xfId="35917" xr:uid="{00000000-0005-0000-0000-0000B78B0000}"/>
    <cellStyle name="Normal 3 17 16 2 2" xfId="35918" xr:uid="{00000000-0005-0000-0000-0000B88B0000}"/>
    <cellStyle name="Normal 3 17 16 2 2 2" xfId="35919" xr:uid="{00000000-0005-0000-0000-0000B98B0000}"/>
    <cellStyle name="Normal 3 17 16 2 2 3" xfId="35920" xr:uid="{00000000-0005-0000-0000-0000BA8B0000}"/>
    <cellStyle name="Normal 3 17 16 2 3" xfId="35921" xr:uid="{00000000-0005-0000-0000-0000BB8B0000}"/>
    <cellStyle name="Normal 3 17 16 2 4" xfId="35922" xr:uid="{00000000-0005-0000-0000-0000BC8B0000}"/>
    <cellStyle name="Normal 3 17 16 3" xfId="35923" xr:uid="{00000000-0005-0000-0000-0000BD8B0000}"/>
    <cellStyle name="Normal 3 17 16 3 2" xfId="35924" xr:uid="{00000000-0005-0000-0000-0000BE8B0000}"/>
    <cellStyle name="Normal 3 17 16 3 3" xfId="35925" xr:uid="{00000000-0005-0000-0000-0000BF8B0000}"/>
    <cellStyle name="Normal 3 17 16 4" xfId="35926" xr:uid="{00000000-0005-0000-0000-0000C08B0000}"/>
    <cellStyle name="Normal 3 17 17" xfId="35927" xr:uid="{00000000-0005-0000-0000-0000C18B0000}"/>
    <cellStyle name="Normal 3 17 17 2" xfId="35928" xr:uid="{00000000-0005-0000-0000-0000C28B0000}"/>
    <cellStyle name="Normal 3 17 17 2 2" xfId="35929" xr:uid="{00000000-0005-0000-0000-0000C38B0000}"/>
    <cellStyle name="Normal 3 17 17 2 2 2" xfId="35930" xr:uid="{00000000-0005-0000-0000-0000C48B0000}"/>
    <cellStyle name="Normal 3 17 17 2 2 3" xfId="35931" xr:uid="{00000000-0005-0000-0000-0000C58B0000}"/>
    <cellStyle name="Normal 3 17 17 2 3" xfId="35932" xr:uid="{00000000-0005-0000-0000-0000C68B0000}"/>
    <cellStyle name="Normal 3 17 17 2 4" xfId="35933" xr:uid="{00000000-0005-0000-0000-0000C78B0000}"/>
    <cellStyle name="Normal 3 17 17 3" xfId="35934" xr:uid="{00000000-0005-0000-0000-0000C88B0000}"/>
    <cellStyle name="Normal 3 17 17 3 2" xfId="35935" xr:uid="{00000000-0005-0000-0000-0000C98B0000}"/>
    <cellStyle name="Normal 3 17 17 3 3" xfId="35936" xr:uid="{00000000-0005-0000-0000-0000CA8B0000}"/>
    <cellStyle name="Normal 3 17 17 4" xfId="35937" xr:uid="{00000000-0005-0000-0000-0000CB8B0000}"/>
    <cellStyle name="Normal 3 17 18" xfId="35938" xr:uid="{00000000-0005-0000-0000-0000CC8B0000}"/>
    <cellStyle name="Normal 3 17 18 2" xfId="35939" xr:uid="{00000000-0005-0000-0000-0000CD8B0000}"/>
    <cellStyle name="Normal 3 17 18 2 2" xfId="35940" xr:uid="{00000000-0005-0000-0000-0000CE8B0000}"/>
    <cellStyle name="Normal 3 17 18 2 2 2" xfId="35941" xr:uid="{00000000-0005-0000-0000-0000CF8B0000}"/>
    <cellStyle name="Normal 3 17 18 2 2 3" xfId="35942" xr:uid="{00000000-0005-0000-0000-0000D08B0000}"/>
    <cellStyle name="Normal 3 17 18 2 3" xfId="35943" xr:uid="{00000000-0005-0000-0000-0000D18B0000}"/>
    <cellStyle name="Normal 3 17 18 2 4" xfId="35944" xr:uid="{00000000-0005-0000-0000-0000D28B0000}"/>
    <cellStyle name="Normal 3 17 18 3" xfId="35945" xr:uid="{00000000-0005-0000-0000-0000D38B0000}"/>
    <cellStyle name="Normal 3 17 18 3 2" xfId="35946" xr:uid="{00000000-0005-0000-0000-0000D48B0000}"/>
    <cellStyle name="Normal 3 17 18 3 3" xfId="35947" xr:uid="{00000000-0005-0000-0000-0000D58B0000}"/>
    <cellStyle name="Normal 3 17 18 4" xfId="35948" xr:uid="{00000000-0005-0000-0000-0000D68B0000}"/>
    <cellStyle name="Normal 3 17 19" xfId="35949" xr:uid="{00000000-0005-0000-0000-0000D78B0000}"/>
    <cellStyle name="Normal 3 17 19 2" xfId="35950" xr:uid="{00000000-0005-0000-0000-0000D88B0000}"/>
    <cellStyle name="Normal 3 17 19 2 2" xfId="35951" xr:uid="{00000000-0005-0000-0000-0000D98B0000}"/>
    <cellStyle name="Normal 3 17 19 2 2 2" xfId="35952" xr:uid="{00000000-0005-0000-0000-0000DA8B0000}"/>
    <cellStyle name="Normal 3 17 19 2 2 3" xfId="35953" xr:uid="{00000000-0005-0000-0000-0000DB8B0000}"/>
    <cellStyle name="Normal 3 17 19 2 3" xfId="35954" xr:uid="{00000000-0005-0000-0000-0000DC8B0000}"/>
    <cellStyle name="Normal 3 17 19 2 4" xfId="35955" xr:uid="{00000000-0005-0000-0000-0000DD8B0000}"/>
    <cellStyle name="Normal 3 17 19 3" xfId="35956" xr:uid="{00000000-0005-0000-0000-0000DE8B0000}"/>
    <cellStyle name="Normal 3 17 19 3 2" xfId="35957" xr:uid="{00000000-0005-0000-0000-0000DF8B0000}"/>
    <cellStyle name="Normal 3 17 19 3 3" xfId="35958" xr:uid="{00000000-0005-0000-0000-0000E08B0000}"/>
    <cellStyle name="Normal 3 17 19 4" xfId="35959" xr:uid="{00000000-0005-0000-0000-0000E18B0000}"/>
    <cellStyle name="Normal 3 17 2" xfId="35960" xr:uid="{00000000-0005-0000-0000-0000E28B0000}"/>
    <cellStyle name="Normal 3 17 2 2" xfId="35961" xr:uid="{00000000-0005-0000-0000-0000E38B0000}"/>
    <cellStyle name="Normal 3 17 2 2 2" xfId="35962" xr:uid="{00000000-0005-0000-0000-0000E48B0000}"/>
    <cellStyle name="Normal 3 17 2 2 2 2" xfId="35963" xr:uid="{00000000-0005-0000-0000-0000E58B0000}"/>
    <cellStyle name="Normal 3 17 2 2 2 3" xfId="35964" xr:uid="{00000000-0005-0000-0000-0000E68B0000}"/>
    <cellStyle name="Normal 3 17 2 2 3" xfId="35965" xr:uid="{00000000-0005-0000-0000-0000E78B0000}"/>
    <cellStyle name="Normal 3 17 2 2 4" xfId="35966" xr:uid="{00000000-0005-0000-0000-0000E88B0000}"/>
    <cellStyle name="Normal 3 17 2 3" xfId="35967" xr:uid="{00000000-0005-0000-0000-0000E98B0000}"/>
    <cellStyle name="Normal 3 17 2 3 2" xfId="35968" xr:uid="{00000000-0005-0000-0000-0000EA8B0000}"/>
    <cellStyle name="Normal 3 17 2 3 3" xfId="35969" xr:uid="{00000000-0005-0000-0000-0000EB8B0000}"/>
    <cellStyle name="Normal 3 17 2 4" xfId="35970" xr:uid="{00000000-0005-0000-0000-0000EC8B0000}"/>
    <cellStyle name="Normal 3 17 20" xfId="35971" xr:uid="{00000000-0005-0000-0000-0000ED8B0000}"/>
    <cellStyle name="Normal 3 17 20 2" xfId="35972" xr:uid="{00000000-0005-0000-0000-0000EE8B0000}"/>
    <cellStyle name="Normal 3 17 20 2 2" xfId="35973" xr:uid="{00000000-0005-0000-0000-0000EF8B0000}"/>
    <cellStyle name="Normal 3 17 20 2 2 2" xfId="35974" xr:uid="{00000000-0005-0000-0000-0000F08B0000}"/>
    <cellStyle name="Normal 3 17 20 2 2 3" xfId="35975" xr:uid="{00000000-0005-0000-0000-0000F18B0000}"/>
    <cellStyle name="Normal 3 17 20 2 3" xfId="35976" xr:uid="{00000000-0005-0000-0000-0000F28B0000}"/>
    <cellStyle name="Normal 3 17 20 2 4" xfId="35977" xr:uid="{00000000-0005-0000-0000-0000F38B0000}"/>
    <cellStyle name="Normal 3 17 20 3" xfId="35978" xr:uid="{00000000-0005-0000-0000-0000F48B0000}"/>
    <cellStyle name="Normal 3 17 20 3 2" xfId="35979" xr:uid="{00000000-0005-0000-0000-0000F58B0000}"/>
    <cellStyle name="Normal 3 17 20 3 3" xfId="35980" xr:uid="{00000000-0005-0000-0000-0000F68B0000}"/>
    <cellStyle name="Normal 3 17 20 4" xfId="35981" xr:uid="{00000000-0005-0000-0000-0000F78B0000}"/>
    <cellStyle name="Normal 3 17 21" xfId="35982" xr:uid="{00000000-0005-0000-0000-0000F88B0000}"/>
    <cellStyle name="Normal 3 17 21 2" xfId="35983" xr:uid="{00000000-0005-0000-0000-0000F98B0000}"/>
    <cellStyle name="Normal 3 17 21 2 2" xfId="35984" xr:uid="{00000000-0005-0000-0000-0000FA8B0000}"/>
    <cellStyle name="Normal 3 17 21 2 2 2" xfId="35985" xr:uid="{00000000-0005-0000-0000-0000FB8B0000}"/>
    <cellStyle name="Normal 3 17 21 2 2 3" xfId="35986" xr:uid="{00000000-0005-0000-0000-0000FC8B0000}"/>
    <cellStyle name="Normal 3 17 21 2 3" xfId="35987" xr:uid="{00000000-0005-0000-0000-0000FD8B0000}"/>
    <cellStyle name="Normal 3 17 21 2 4" xfId="35988" xr:uid="{00000000-0005-0000-0000-0000FE8B0000}"/>
    <cellStyle name="Normal 3 17 21 3" xfId="35989" xr:uid="{00000000-0005-0000-0000-0000FF8B0000}"/>
    <cellStyle name="Normal 3 17 21 3 2" xfId="35990" xr:uid="{00000000-0005-0000-0000-0000008C0000}"/>
    <cellStyle name="Normal 3 17 21 3 3" xfId="35991" xr:uid="{00000000-0005-0000-0000-0000018C0000}"/>
    <cellStyle name="Normal 3 17 21 4" xfId="35992" xr:uid="{00000000-0005-0000-0000-0000028C0000}"/>
    <cellStyle name="Normal 3 17 22" xfId="35993" xr:uid="{00000000-0005-0000-0000-0000038C0000}"/>
    <cellStyle name="Normal 3 17 22 2" xfId="35994" xr:uid="{00000000-0005-0000-0000-0000048C0000}"/>
    <cellStyle name="Normal 3 17 22 2 2" xfId="35995" xr:uid="{00000000-0005-0000-0000-0000058C0000}"/>
    <cellStyle name="Normal 3 17 22 2 2 2" xfId="35996" xr:uid="{00000000-0005-0000-0000-0000068C0000}"/>
    <cellStyle name="Normal 3 17 22 2 2 3" xfId="35997" xr:uid="{00000000-0005-0000-0000-0000078C0000}"/>
    <cellStyle name="Normal 3 17 22 2 3" xfId="35998" xr:uid="{00000000-0005-0000-0000-0000088C0000}"/>
    <cellStyle name="Normal 3 17 22 2 4" xfId="35999" xr:uid="{00000000-0005-0000-0000-0000098C0000}"/>
    <cellStyle name="Normal 3 17 22 3" xfId="36000" xr:uid="{00000000-0005-0000-0000-00000A8C0000}"/>
    <cellStyle name="Normal 3 17 22 3 2" xfId="36001" xr:uid="{00000000-0005-0000-0000-00000B8C0000}"/>
    <cellStyle name="Normal 3 17 22 3 3" xfId="36002" xr:uid="{00000000-0005-0000-0000-00000C8C0000}"/>
    <cellStyle name="Normal 3 17 22 4" xfId="36003" xr:uid="{00000000-0005-0000-0000-00000D8C0000}"/>
    <cellStyle name="Normal 3 17 23" xfId="36004" xr:uid="{00000000-0005-0000-0000-00000E8C0000}"/>
    <cellStyle name="Normal 3 17 23 2" xfId="36005" xr:uid="{00000000-0005-0000-0000-00000F8C0000}"/>
    <cellStyle name="Normal 3 17 23 2 2" xfId="36006" xr:uid="{00000000-0005-0000-0000-0000108C0000}"/>
    <cellStyle name="Normal 3 17 23 2 2 2" xfId="36007" xr:uid="{00000000-0005-0000-0000-0000118C0000}"/>
    <cellStyle name="Normal 3 17 23 2 2 3" xfId="36008" xr:uid="{00000000-0005-0000-0000-0000128C0000}"/>
    <cellStyle name="Normal 3 17 23 2 3" xfId="36009" xr:uid="{00000000-0005-0000-0000-0000138C0000}"/>
    <cellStyle name="Normal 3 17 23 2 4" xfId="36010" xr:uid="{00000000-0005-0000-0000-0000148C0000}"/>
    <cellStyle name="Normal 3 17 23 3" xfId="36011" xr:uid="{00000000-0005-0000-0000-0000158C0000}"/>
    <cellStyle name="Normal 3 17 23 3 2" xfId="36012" xr:uid="{00000000-0005-0000-0000-0000168C0000}"/>
    <cellStyle name="Normal 3 17 23 3 3" xfId="36013" xr:uid="{00000000-0005-0000-0000-0000178C0000}"/>
    <cellStyle name="Normal 3 17 23 4" xfId="36014" xr:uid="{00000000-0005-0000-0000-0000188C0000}"/>
    <cellStyle name="Normal 3 17 24" xfId="36015" xr:uid="{00000000-0005-0000-0000-0000198C0000}"/>
    <cellStyle name="Normal 3 17 24 2" xfId="36016" xr:uid="{00000000-0005-0000-0000-00001A8C0000}"/>
    <cellStyle name="Normal 3 17 24 2 2" xfId="36017" xr:uid="{00000000-0005-0000-0000-00001B8C0000}"/>
    <cellStyle name="Normal 3 17 24 2 3" xfId="36018" xr:uid="{00000000-0005-0000-0000-00001C8C0000}"/>
    <cellStyle name="Normal 3 17 24 3" xfId="36019" xr:uid="{00000000-0005-0000-0000-00001D8C0000}"/>
    <cellStyle name="Normal 3 17 24 4" xfId="36020" xr:uid="{00000000-0005-0000-0000-00001E8C0000}"/>
    <cellStyle name="Normal 3 17 25" xfId="36021" xr:uid="{00000000-0005-0000-0000-00001F8C0000}"/>
    <cellStyle name="Normal 3 17 25 2" xfId="36022" xr:uid="{00000000-0005-0000-0000-0000208C0000}"/>
    <cellStyle name="Normal 3 17 25 3" xfId="36023" xr:uid="{00000000-0005-0000-0000-0000218C0000}"/>
    <cellStyle name="Normal 3 17 26" xfId="36024" xr:uid="{00000000-0005-0000-0000-0000228C0000}"/>
    <cellStyle name="Normal 3 17 3" xfId="36025" xr:uid="{00000000-0005-0000-0000-0000238C0000}"/>
    <cellStyle name="Normal 3 17 3 2" xfId="36026" xr:uid="{00000000-0005-0000-0000-0000248C0000}"/>
    <cellStyle name="Normal 3 17 3 2 2" xfId="36027" xr:uid="{00000000-0005-0000-0000-0000258C0000}"/>
    <cellStyle name="Normal 3 17 3 2 2 2" xfId="36028" xr:uid="{00000000-0005-0000-0000-0000268C0000}"/>
    <cellStyle name="Normal 3 17 3 2 2 3" xfId="36029" xr:uid="{00000000-0005-0000-0000-0000278C0000}"/>
    <cellStyle name="Normal 3 17 3 2 3" xfId="36030" xr:uid="{00000000-0005-0000-0000-0000288C0000}"/>
    <cellStyle name="Normal 3 17 3 2 4" xfId="36031" xr:uid="{00000000-0005-0000-0000-0000298C0000}"/>
    <cellStyle name="Normal 3 17 3 3" xfId="36032" xr:uid="{00000000-0005-0000-0000-00002A8C0000}"/>
    <cellStyle name="Normal 3 17 3 3 2" xfId="36033" xr:uid="{00000000-0005-0000-0000-00002B8C0000}"/>
    <cellStyle name="Normal 3 17 3 3 3" xfId="36034" xr:uid="{00000000-0005-0000-0000-00002C8C0000}"/>
    <cellStyle name="Normal 3 17 3 4" xfId="36035" xr:uid="{00000000-0005-0000-0000-00002D8C0000}"/>
    <cellStyle name="Normal 3 17 4" xfId="36036" xr:uid="{00000000-0005-0000-0000-00002E8C0000}"/>
    <cellStyle name="Normal 3 17 4 2" xfId="36037" xr:uid="{00000000-0005-0000-0000-00002F8C0000}"/>
    <cellStyle name="Normal 3 17 4 2 2" xfId="36038" xr:uid="{00000000-0005-0000-0000-0000308C0000}"/>
    <cellStyle name="Normal 3 17 4 2 2 2" xfId="36039" xr:uid="{00000000-0005-0000-0000-0000318C0000}"/>
    <cellStyle name="Normal 3 17 4 2 2 3" xfId="36040" xr:uid="{00000000-0005-0000-0000-0000328C0000}"/>
    <cellStyle name="Normal 3 17 4 2 3" xfId="36041" xr:uid="{00000000-0005-0000-0000-0000338C0000}"/>
    <cellStyle name="Normal 3 17 4 2 4" xfId="36042" xr:uid="{00000000-0005-0000-0000-0000348C0000}"/>
    <cellStyle name="Normal 3 17 4 3" xfId="36043" xr:uid="{00000000-0005-0000-0000-0000358C0000}"/>
    <cellStyle name="Normal 3 17 4 3 2" xfId="36044" xr:uid="{00000000-0005-0000-0000-0000368C0000}"/>
    <cellStyle name="Normal 3 17 4 3 3" xfId="36045" xr:uid="{00000000-0005-0000-0000-0000378C0000}"/>
    <cellStyle name="Normal 3 17 4 4" xfId="36046" xr:uid="{00000000-0005-0000-0000-0000388C0000}"/>
    <cellStyle name="Normal 3 17 5" xfId="36047" xr:uid="{00000000-0005-0000-0000-0000398C0000}"/>
    <cellStyle name="Normal 3 17 5 2" xfId="36048" xr:uid="{00000000-0005-0000-0000-00003A8C0000}"/>
    <cellStyle name="Normal 3 17 5 2 2" xfId="36049" xr:uid="{00000000-0005-0000-0000-00003B8C0000}"/>
    <cellStyle name="Normal 3 17 5 2 2 2" xfId="36050" xr:uid="{00000000-0005-0000-0000-00003C8C0000}"/>
    <cellStyle name="Normal 3 17 5 2 2 3" xfId="36051" xr:uid="{00000000-0005-0000-0000-00003D8C0000}"/>
    <cellStyle name="Normal 3 17 5 2 3" xfId="36052" xr:uid="{00000000-0005-0000-0000-00003E8C0000}"/>
    <cellStyle name="Normal 3 17 5 2 4" xfId="36053" xr:uid="{00000000-0005-0000-0000-00003F8C0000}"/>
    <cellStyle name="Normal 3 17 5 3" xfId="36054" xr:uid="{00000000-0005-0000-0000-0000408C0000}"/>
    <cellStyle name="Normal 3 17 5 3 2" xfId="36055" xr:uid="{00000000-0005-0000-0000-0000418C0000}"/>
    <cellStyle name="Normal 3 17 5 3 3" xfId="36056" xr:uid="{00000000-0005-0000-0000-0000428C0000}"/>
    <cellStyle name="Normal 3 17 5 4" xfId="36057" xr:uid="{00000000-0005-0000-0000-0000438C0000}"/>
    <cellStyle name="Normal 3 17 6" xfId="36058" xr:uid="{00000000-0005-0000-0000-0000448C0000}"/>
    <cellStyle name="Normal 3 17 6 2" xfId="36059" xr:uid="{00000000-0005-0000-0000-0000458C0000}"/>
    <cellStyle name="Normal 3 17 6 2 2" xfId="36060" xr:uid="{00000000-0005-0000-0000-0000468C0000}"/>
    <cellStyle name="Normal 3 17 6 2 2 2" xfId="36061" xr:uid="{00000000-0005-0000-0000-0000478C0000}"/>
    <cellStyle name="Normal 3 17 6 2 2 3" xfId="36062" xr:uid="{00000000-0005-0000-0000-0000488C0000}"/>
    <cellStyle name="Normal 3 17 6 2 3" xfId="36063" xr:uid="{00000000-0005-0000-0000-0000498C0000}"/>
    <cellStyle name="Normal 3 17 6 2 4" xfId="36064" xr:uid="{00000000-0005-0000-0000-00004A8C0000}"/>
    <cellStyle name="Normal 3 17 6 3" xfId="36065" xr:uid="{00000000-0005-0000-0000-00004B8C0000}"/>
    <cellStyle name="Normal 3 17 6 3 2" xfId="36066" xr:uid="{00000000-0005-0000-0000-00004C8C0000}"/>
    <cellStyle name="Normal 3 17 6 3 3" xfId="36067" xr:uid="{00000000-0005-0000-0000-00004D8C0000}"/>
    <cellStyle name="Normal 3 17 6 4" xfId="36068" xr:uid="{00000000-0005-0000-0000-00004E8C0000}"/>
    <cellStyle name="Normal 3 17 7" xfId="36069" xr:uid="{00000000-0005-0000-0000-00004F8C0000}"/>
    <cellStyle name="Normal 3 17 7 2" xfId="36070" xr:uid="{00000000-0005-0000-0000-0000508C0000}"/>
    <cellStyle name="Normal 3 17 7 2 2" xfId="36071" xr:uid="{00000000-0005-0000-0000-0000518C0000}"/>
    <cellStyle name="Normal 3 17 7 2 2 2" xfId="36072" xr:uid="{00000000-0005-0000-0000-0000528C0000}"/>
    <cellStyle name="Normal 3 17 7 2 2 3" xfId="36073" xr:uid="{00000000-0005-0000-0000-0000538C0000}"/>
    <cellStyle name="Normal 3 17 7 2 3" xfId="36074" xr:uid="{00000000-0005-0000-0000-0000548C0000}"/>
    <cellStyle name="Normal 3 17 7 2 4" xfId="36075" xr:uid="{00000000-0005-0000-0000-0000558C0000}"/>
    <cellStyle name="Normal 3 17 7 3" xfId="36076" xr:uid="{00000000-0005-0000-0000-0000568C0000}"/>
    <cellStyle name="Normal 3 17 7 3 2" xfId="36077" xr:uid="{00000000-0005-0000-0000-0000578C0000}"/>
    <cellStyle name="Normal 3 17 7 3 3" xfId="36078" xr:uid="{00000000-0005-0000-0000-0000588C0000}"/>
    <cellStyle name="Normal 3 17 7 4" xfId="36079" xr:uid="{00000000-0005-0000-0000-0000598C0000}"/>
    <cellStyle name="Normal 3 17 8" xfId="36080" xr:uid="{00000000-0005-0000-0000-00005A8C0000}"/>
    <cellStyle name="Normal 3 17 8 2" xfId="36081" xr:uid="{00000000-0005-0000-0000-00005B8C0000}"/>
    <cellStyle name="Normal 3 17 8 2 2" xfId="36082" xr:uid="{00000000-0005-0000-0000-00005C8C0000}"/>
    <cellStyle name="Normal 3 17 8 2 2 2" xfId="36083" xr:uid="{00000000-0005-0000-0000-00005D8C0000}"/>
    <cellStyle name="Normal 3 17 8 2 2 3" xfId="36084" xr:uid="{00000000-0005-0000-0000-00005E8C0000}"/>
    <cellStyle name="Normal 3 17 8 2 3" xfId="36085" xr:uid="{00000000-0005-0000-0000-00005F8C0000}"/>
    <cellStyle name="Normal 3 17 8 2 4" xfId="36086" xr:uid="{00000000-0005-0000-0000-0000608C0000}"/>
    <cellStyle name="Normal 3 17 8 3" xfId="36087" xr:uid="{00000000-0005-0000-0000-0000618C0000}"/>
    <cellStyle name="Normal 3 17 8 3 2" xfId="36088" xr:uid="{00000000-0005-0000-0000-0000628C0000}"/>
    <cellStyle name="Normal 3 17 8 3 3" xfId="36089" xr:uid="{00000000-0005-0000-0000-0000638C0000}"/>
    <cellStyle name="Normal 3 17 8 4" xfId="36090" xr:uid="{00000000-0005-0000-0000-0000648C0000}"/>
    <cellStyle name="Normal 3 17 9" xfId="36091" xr:uid="{00000000-0005-0000-0000-0000658C0000}"/>
    <cellStyle name="Normal 3 17 9 2" xfId="36092" xr:uid="{00000000-0005-0000-0000-0000668C0000}"/>
    <cellStyle name="Normal 3 17 9 2 2" xfId="36093" xr:uid="{00000000-0005-0000-0000-0000678C0000}"/>
    <cellStyle name="Normal 3 17 9 2 2 2" xfId="36094" xr:uid="{00000000-0005-0000-0000-0000688C0000}"/>
    <cellStyle name="Normal 3 17 9 2 2 3" xfId="36095" xr:uid="{00000000-0005-0000-0000-0000698C0000}"/>
    <cellStyle name="Normal 3 17 9 2 3" xfId="36096" xr:uid="{00000000-0005-0000-0000-00006A8C0000}"/>
    <cellStyle name="Normal 3 17 9 2 4" xfId="36097" xr:uid="{00000000-0005-0000-0000-00006B8C0000}"/>
    <cellStyle name="Normal 3 17 9 3" xfId="36098" xr:uid="{00000000-0005-0000-0000-00006C8C0000}"/>
    <cellStyle name="Normal 3 17 9 3 2" xfId="36099" xr:uid="{00000000-0005-0000-0000-00006D8C0000}"/>
    <cellStyle name="Normal 3 17 9 3 3" xfId="36100" xr:uid="{00000000-0005-0000-0000-00006E8C0000}"/>
    <cellStyle name="Normal 3 17 9 4" xfId="36101" xr:uid="{00000000-0005-0000-0000-00006F8C0000}"/>
    <cellStyle name="Normal 3 18" xfId="36102" xr:uid="{00000000-0005-0000-0000-0000708C0000}"/>
    <cellStyle name="Normal 3 18 10" xfId="36103" xr:uid="{00000000-0005-0000-0000-0000718C0000}"/>
    <cellStyle name="Normal 3 18 10 2" xfId="36104" xr:uid="{00000000-0005-0000-0000-0000728C0000}"/>
    <cellStyle name="Normal 3 18 10 2 2" xfId="36105" xr:uid="{00000000-0005-0000-0000-0000738C0000}"/>
    <cellStyle name="Normal 3 18 10 2 2 2" xfId="36106" xr:uid="{00000000-0005-0000-0000-0000748C0000}"/>
    <cellStyle name="Normal 3 18 10 2 2 3" xfId="36107" xr:uid="{00000000-0005-0000-0000-0000758C0000}"/>
    <cellStyle name="Normal 3 18 10 2 3" xfId="36108" xr:uid="{00000000-0005-0000-0000-0000768C0000}"/>
    <cellStyle name="Normal 3 18 10 2 4" xfId="36109" xr:uid="{00000000-0005-0000-0000-0000778C0000}"/>
    <cellStyle name="Normal 3 18 10 3" xfId="36110" xr:uid="{00000000-0005-0000-0000-0000788C0000}"/>
    <cellStyle name="Normal 3 18 10 3 2" xfId="36111" xr:uid="{00000000-0005-0000-0000-0000798C0000}"/>
    <cellStyle name="Normal 3 18 10 3 3" xfId="36112" xr:uid="{00000000-0005-0000-0000-00007A8C0000}"/>
    <cellStyle name="Normal 3 18 10 4" xfId="36113" xr:uid="{00000000-0005-0000-0000-00007B8C0000}"/>
    <cellStyle name="Normal 3 18 11" xfId="36114" xr:uid="{00000000-0005-0000-0000-00007C8C0000}"/>
    <cellStyle name="Normal 3 18 11 2" xfId="36115" xr:uid="{00000000-0005-0000-0000-00007D8C0000}"/>
    <cellStyle name="Normal 3 18 11 2 2" xfId="36116" xr:uid="{00000000-0005-0000-0000-00007E8C0000}"/>
    <cellStyle name="Normal 3 18 11 2 2 2" xfId="36117" xr:uid="{00000000-0005-0000-0000-00007F8C0000}"/>
    <cellStyle name="Normal 3 18 11 2 2 3" xfId="36118" xr:uid="{00000000-0005-0000-0000-0000808C0000}"/>
    <cellStyle name="Normal 3 18 11 2 3" xfId="36119" xr:uid="{00000000-0005-0000-0000-0000818C0000}"/>
    <cellStyle name="Normal 3 18 11 2 4" xfId="36120" xr:uid="{00000000-0005-0000-0000-0000828C0000}"/>
    <cellStyle name="Normal 3 18 11 3" xfId="36121" xr:uid="{00000000-0005-0000-0000-0000838C0000}"/>
    <cellStyle name="Normal 3 18 11 3 2" xfId="36122" xr:uid="{00000000-0005-0000-0000-0000848C0000}"/>
    <cellStyle name="Normal 3 18 11 3 3" xfId="36123" xr:uid="{00000000-0005-0000-0000-0000858C0000}"/>
    <cellStyle name="Normal 3 18 11 4" xfId="36124" xr:uid="{00000000-0005-0000-0000-0000868C0000}"/>
    <cellStyle name="Normal 3 18 12" xfId="36125" xr:uid="{00000000-0005-0000-0000-0000878C0000}"/>
    <cellStyle name="Normal 3 18 12 2" xfId="36126" xr:uid="{00000000-0005-0000-0000-0000888C0000}"/>
    <cellStyle name="Normal 3 18 12 2 2" xfId="36127" xr:uid="{00000000-0005-0000-0000-0000898C0000}"/>
    <cellStyle name="Normal 3 18 12 2 2 2" xfId="36128" xr:uid="{00000000-0005-0000-0000-00008A8C0000}"/>
    <cellStyle name="Normal 3 18 12 2 2 3" xfId="36129" xr:uid="{00000000-0005-0000-0000-00008B8C0000}"/>
    <cellStyle name="Normal 3 18 12 2 3" xfId="36130" xr:uid="{00000000-0005-0000-0000-00008C8C0000}"/>
    <cellStyle name="Normal 3 18 12 2 4" xfId="36131" xr:uid="{00000000-0005-0000-0000-00008D8C0000}"/>
    <cellStyle name="Normal 3 18 12 3" xfId="36132" xr:uid="{00000000-0005-0000-0000-00008E8C0000}"/>
    <cellStyle name="Normal 3 18 12 3 2" xfId="36133" xr:uid="{00000000-0005-0000-0000-00008F8C0000}"/>
    <cellStyle name="Normal 3 18 12 3 3" xfId="36134" xr:uid="{00000000-0005-0000-0000-0000908C0000}"/>
    <cellStyle name="Normal 3 18 12 4" xfId="36135" xr:uid="{00000000-0005-0000-0000-0000918C0000}"/>
    <cellStyle name="Normal 3 18 13" xfId="36136" xr:uid="{00000000-0005-0000-0000-0000928C0000}"/>
    <cellStyle name="Normal 3 18 13 2" xfId="36137" xr:uid="{00000000-0005-0000-0000-0000938C0000}"/>
    <cellStyle name="Normal 3 18 13 2 2" xfId="36138" xr:uid="{00000000-0005-0000-0000-0000948C0000}"/>
    <cellStyle name="Normal 3 18 13 2 2 2" xfId="36139" xr:uid="{00000000-0005-0000-0000-0000958C0000}"/>
    <cellStyle name="Normal 3 18 13 2 2 3" xfId="36140" xr:uid="{00000000-0005-0000-0000-0000968C0000}"/>
    <cellStyle name="Normal 3 18 13 2 3" xfId="36141" xr:uid="{00000000-0005-0000-0000-0000978C0000}"/>
    <cellStyle name="Normal 3 18 13 2 4" xfId="36142" xr:uid="{00000000-0005-0000-0000-0000988C0000}"/>
    <cellStyle name="Normal 3 18 13 3" xfId="36143" xr:uid="{00000000-0005-0000-0000-0000998C0000}"/>
    <cellStyle name="Normal 3 18 13 3 2" xfId="36144" xr:uid="{00000000-0005-0000-0000-00009A8C0000}"/>
    <cellStyle name="Normal 3 18 13 3 3" xfId="36145" xr:uid="{00000000-0005-0000-0000-00009B8C0000}"/>
    <cellStyle name="Normal 3 18 13 4" xfId="36146" xr:uid="{00000000-0005-0000-0000-00009C8C0000}"/>
    <cellStyle name="Normal 3 18 14" xfId="36147" xr:uid="{00000000-0005-0000-0000-00009D8C0000}"/>
    <cellStyle name="Normal 3 18 14 2" xfId="36148" xr:uid="{00000000-0005-0000-0000-00009E8C0000}"/>
    <cellStyle name="Normal 3 18 14 2 2" xfId="36149" xr:uid="{00000000-0005-0000-0000-00009F8C0000}"/>
    <cellStyle name="Normal 3 18 14 2 2 2" xfId="36150" xr:uid="{00000000-0005-0000-0000-0000A08C0000}"/>
    <cellStyle name="Normal 3 18 14 2 2 3" xfId="36151" xr:uid="{00000000-0005-0000-0000-0000A18C0000}"/>
    <cellStyle name="Normal 3 18 14 2 3" xfId="36152" xr:uid="{00000000-0005-0000-0000-0000A28C0000}"/>
    <cellStyle name="Normal 3 18 14 2 4" xfId="36153" xr:uid="{00000000-0005-0000-0000-0000A38C0000}"/>
    <cellStyle name="Normal 3 18 14 3" xfId="36154" xr:uid="{00000000-0005-0000-0000-0000A48C0000}"/>
    <cellStyle name="Normal 3 18 14 3 2" xfId="36155" xr:uid="{00000000-0005-0000-0000-0000A58C0000}"/>
    <cellStyle name="Normal 3 18 14 3 3" xfId="36156" xr:uid="{00000000-0005-0000-0000-0000A68C0000}"/>
    <cellStyle name="Normal 3 18 14 4" xfId="36157" xr:uid="{00000000-0005-0000-0000-0000A78C0000}"/>
    <cellStyle name="Normal 3 18 15" xfId="36158" xr:uid="{00000000-0005-0000-0000-0000A88C0000}"/>
    <cellStyle name="Normal 3 18 15 2" xfId="36159" xr:uid="{00000000-0005-0000-0000-0000A98C0000}"/>
    <cellStyle name="Normal 3 18 15 2 2" xfId="36160" xr:uid="{00000000-0005-0000-0000-0000AA8C0000}"/>
    <cellStyle name="Normal 3 18 15 2 2 2" xfId="36161" xr:uid="{00000000-0005-0000-0000-0000AB8C0000}"/>
    <cellStyle name="Normal 3 18 15 2 2 3" xfId="36162" xr:uid="{00000000-0005-0000-0000-0000AC8C0000}"/>
    <cellStyle name="Normal 3 18 15 2 3" xfId="36163" xr:uid="{00000000-0005-0000-0000-0000AD8C0000}"/>
    <cellStyle name="Normal 3 18 15 2 4" xfId="36164" xr:uid="{00000000-0005-0000-0000-0000AE8C0000}"/>
    <cellStyle name="Normal 3 18 15 3" xfId="36165" xr:uid="{00000000-0005-0000-0000-0000AF8C0000}"/>
    <cellStyle name="Normal 3 18 15 3 2" xfId="36166" xr:uid="{00000000-0005-0000-0000-0000B08C0000}"/>
    <cellStyle name="Normal 3 18 15 3 3" xfId="36167" xr:uid="{00000000-0005-0000-0000-0000B18C0000}"/>
    <cellStyle name="Normal 3 18 15 4" xfId="36168" xr:uid="{00000000-0005-0000-0000-0000B28C0000}"/>
    <cellStyle name="Normal 3 18 16" xfId="36169" xr:uid="{00000000-0005-0000-0000-0000B38C0000}"/>
    <cellStyle name="Normal 3 18 16 2" xfId="36170" xr:uid="{00000000-0005-0000-0000-0000B48C0000}"/>
    <cellStyle name="Normal 3 18 16 2 2" xfId="36171" xr:uid="{00000000-0005-0000-0000-0000B58C0000}"/>
    <cellStyle name="Normal 3 18 16 2 2 2" xfId="36172" xr:uid="{00000000-0005-0000-0000-0000B68C0000}"/>
    <cellStyle name="Normal 3 18 16 2 2 3" xfId="36173" xr:uid="{00000000-0005-0000-0000-0000B78C0000}"/>
    <cellStyle name="Normal 3 18 16 2 3" xfId="36174" xr:uid="{00000000-0005-0000-0000-0000B88C0000}"/>
    <cellStyle name="Normal 3 18 16 2 4" xfId="36175" xr:uid="{00000000-0005-0000-0000-0000B98C0000}"/>
    <cellStyle name="Normal 3 18 16 3" xfId="36176" xr:uid="{00000000-0005-0000-0000-0000BA8C0000}"/>
    <cellStyle name="Normal 3 18 16 3 2" xfId="36177" xr:uid="{00000000-0005-0000-0000-0000BB8C0000}"/>
    <cellStyle name="Normal 3 18 16 3 3" xfId="36178" xr:uid="{00000000-0005-0000-0000-0000BC8C0000}"/>
    <cellStyle name="Normal 3 18 16 4" xfId="36179" xr:uid="{00000000-0005-0000-0000-0000BD8C0000}"/>
    <cellStyle name="Normal 3 18 17" xfId="36180" xr:uid="{00000000-0005-0000-0000-0000BE8C0000}"/>
    <cellStyle name="Normal 3 18 17 2" xfId="36181" xr:uid="{00000000-0005-0000-0000-0000BF8C0000}"/>
    <cellStyle name="Normal 3 18 17 2 2" xfId="36182" xr:uid="{00000000-0005-0000-0000-0000C08C0000}"/>
    <cellStyle name="Normal 3 18 17 2 2 2" xfId="36183" xr:uid="{00000000-0005-0000-0000-0000C18C0000}"/>
    <cellStyle name="Normal 3 18 17 2 2 3" xfId="36184" xr:uid="{00000000-0005-0000-0000-0000C28C0000}"/>
    <cellStyle name="Normal 3 18 17 2 3" xfId="36185" xr:uid="{00000000-0005-0000-0000-0000C38C0000}"/>
    <cellStyle name="Normal 3 18 17 2 4" xfId="36186" xr:uid="{00000000-0005-0000-0000-0000C48C0000}"/>
    <cellStyle name="Normal 3 18 17 3" xfId="36187" xr:uid="{00000000-0005-0000-0000-0000C58C0000}"/>
    <cellStyle name="Normal 3 18 17 3 2" xfId="36188" xr:uid="{00000000-0005-0000-0000-0000C68C0000}"/>
    <cellStyle name="Normal 3 18 17 3 3" xfId="36189" xr:uid="{00000000-0005-0000-0000-0000C78C0000}"/>
    <cellStyle name="Normal 3 18 17 4" xfId="36190" xr:uid="{00000000-0005-0000-0000-0000C88C0000}"/>
    <cellStyle name="Normal 3 18 18" xfId="36191" xr:uid="{00000000-0005-0000-0000-0000C98C0000}"/>
    <cellStyle name="Normal 3 18 18 2" xfId="36192" xr:uid="{00000000-0005-0000-0000-0000CA8C0000}"/>
    <cellStyle name="Normal 3 18 18 2 2" xfId="36193" xr:uid="{00000000-0005-0000-0000-0000CB8C0000}"/>
    <cellStyle name="Normal 3 18 18 2 2 2" xfId="36194" xr:uid="{00000000-0005-0000-0000-0000CC8C0000}"/>
    <cellStyle name="Normal 3 18 18 2 2 3" xfId="36195" xr:uid="{00000000-0005-0000-0000-0000CD8C0000}"/>
    <cellStyle name="Normal 3 18 18 2 3" xfId="36196" xr:uid="{00000000-0005-0000-0000-0000CE8C0000}"/>
    <cellStyle name="Normal 3 18 18 2 4" xfId="36197" xr:uid="{00000000-0005-0000-0000-0000CF8C0000}"/>
    <cellStyle name="Normal 3 18 18 3" xfId="36198" xr:uid="{00000000-0005-0000-0000-0000D08C0000}"/>
    <cellStyle name="Normal 3 18 18 3 2" xfId="36199" xr:uid="{00000000-0005-0000-0000-0000D18C0000}"/>
    <cellStyle name="Normal 3 18 18 3 3" xfId="36200" xr:uid="{00000000-0005-0000-0000-0000D28C0000}"/>
    <cellStyle name="Normal 3 18 18 4" xfId="36201" xr:uid="{00000000-0005-0000-0000-0000D38C0000}"/>
    <cellStyle name="Normal 3 18 19" xfId="36202" xr:uid="{00000000-0005-0000-0000-0000D48C0000}"/>
    <cellStyle name="Normal 3 18 19 2" xfId="36203" xr:uid="{00000000-0005-0000-0000-0000D58C0000}"/>
    <cellStyle name="Normal 3 18 19 2 2" xfId="36204" xr:uid="{00000000-0005-0000-0000-0000D68C0000}"/>
    <cellStyle name="Normal 3 18 19 2 2 2" xfId="36205" xr:uid="{00000000-0005-0000-0000-0000D78C0000}"/>
    <cellStyle name="Normal 3 18 19 2 2 3" xfId="36206" xr:uid="{00000000-0005-0000-0000-0000D88C0000}"/>
    <cellStyle name="Normal 3 18 19 2 3" xfId="36207" xr:uid="{00000000-0005-0000-0000-0000D98C0000}"/>
    <cellStyle name="Normal 3 18 19 2 4" xfId="36208" xr:uid="{00000000-0005-0000-0000-0000DA8C0000}"/>
    <cellStyle name="Normal 3 18 19 3" xfId="36209" xr:uid="{00000000-0005-0000-0000-0000DB8C0000}"/>
    <cellStyle name="Normal 3 18 19 3 2" xfId="36210" xr:uid="{00000000-0005-0000-0000-0000DC8C0000}"/>
    <cellStyle name="Normal 3 18 19 3 3" xfId="36211" xr:uid="{00000000-0005-0000-0000-0000DD8C0000}"/>
    <cellStyle name="Normal 3 18 19 4" xfId="36212" xr:uid="{00000000-0005-0000-0000-0000DE8C0000}"/>
    <cellStyle name="Normal 3 18 2" xfId="36213" xr:uid="{00000000-0005-0000-0000-0000DF8C0000}"/>
    <cellStyle name="Normal 3 18 2 2" xfId="36214" xr:uid="{00000000-0005-0000-0000-0000E08C0000}"/>
    <cellStyle name="Normal 3 18 2 2 2" xfId="36215" xr:uid="{00000000-0005-0000-0000-0000E18C0000}"/>
    <cellStyle name="Normal 3 18 2 2 2 2" xfId="36216" xr:uid="{00000000-0005-0000-0000-0000E28C0000}"/>
    <cellStyle name="Normal 3 18 2 2 2 3" xfId="36217" xr:uid="{00000000-0005-0000-0000-0000E38C0000}"/>
    <cellStyle name="Normal 3 18 2 2 3" xfId="36218" xr:uid="{00000000-0005-0000-0000-0000E48C0000}"/>
    <cellStyle name="Normal 3 18 2 2 4" xfId="36219" xr:uid="{00000000-0005-0000-0000-0000E58C0000}"/>
    <cellStyle name="Normal 3 18 2 3" xfId="36220" xr:uid="{00000000-0005-0000-0000-0000E68C0000}"/>
    <cellStyle name="Normal 3 18 2 3 2" xfId="36221" xr:uid="{00000000-0005-0000-0000-0000E78C0000}"/>
    <cellStyle name="Normal 3 18 2 3 3" xfId="36222" xr:uid="{00000000-0005-0000-0000-0000E88C0000}"/>
    <cellStyle name="Normal 3 18 2 4" xfId="36223" xr:uid="{00000000-0005-0000-0000-0000E98C0000}"/>
    <cellStyle name="Normal 3 18 20" xfId="36224" xr:uid="{00000000-0005-0000-0000-0000EA8C0000}"/>
    <cellStyle name="Normal 3 18 20 2" xfId="36225" xr:uid="{00000000-0005-0000-0000-0000EB8C0000}"/>
    <cellStyle name="Normal 3 18 20 2 2" xfId="36226" xr:uid="{00000000-0005-0000-0000-0000EC8C0000}"/>
    <cellStyle name="Normal 3 18 20 2 2 2" xfId="36227" xr:uid="{00000000-0005-0000-0000-0000ED8C0000}"/>
    <cellStyle name="Normal 3 18 20 2 2 3" xfId="36228" xr:uid="{00000000-0005-0000-0000-0000EE8C0000}"/>
    <cellStyle name="Normal 3 18 20 2 3" xfId="36229" xr:uid="{00000000-0005-0000-0000-0000EF8C0000}"/>
    <cellStyle name="Normal 3 18 20 2 4" xfId="36230" xr:uid="{00000000-0005-0000-0000-0000F08C0000}"/>
    <cellStyle name="Normal 3 18 20 3" xfId="36231" xr:uid="{00000000-0005-0000-0000-0000F18C0000}"/>
    <cellStyle name="Normal 3 18 20 3 2" xfId="36232" xr:uid="{00000000-0005-0000-0000-0000F28C0000}"/>
    <cellStyle name="Normal 3 18 20 3 3" xfId="36233" xr:uid="{00000000-0005-0000-0000-0000F38C0000}"/>
    <cellStyle name="Normal 3 18 20 4" xfId="36234" xr:uid="{00000000-0005-0000-0000-0000F48C0000}"/>
    <cellStyle name="Normal 3 18 21" xfId="36235" xr:uid="{00000000-0005-0000-0000-0000F58C0000}"/>
    <cellStyle name="Normal 3 18 21 2" xfId="36236" xr:uid="{00000000-0005-0000-0000-0000F68C0000}"/>
    <cellStyle name="Normal 3 18 21 2 2" xfId="36237" xr:uid="{00000000-0005-0000-0000-0000F78C0000}"/>
    <cellStyle name="Normal 3 18 21 2 2 2" xfId="36238" xr:uid="{00000000-0005-0000-0000-0000F88C0000}"/>
    <cellStyle name="Normal 3 18 21 2 2 3" xfId="36239" xr:uid="{00000000-0005-0000-0000-0000F98C0000}"/>
    <cellStyle name="Normal 3 18 21 2 3" xfId="36240" xr:uid="{00000000-0005-0000-0000-0000FA8C0000}"/>
    <cellStyle name="Normal 3 18 21 2 4" xfId="36241" xr:uid="{00000000-0005-0000-0000-0000FB8C0000}"/>
    <cellStyle name="Normal 3 18 21 3" xfId="36242" xr:uid="{00000000-0005-0000-0000-0000FC8C0000}"/>
    <cellStyle name="Normal 3 18 21 3 2" xfId="36243" xr:uid="{00000000-0005-0000-0000-0000FD8C0000}"/>
    <cellStyle name="Normal 3 18 21 3 3" xfId="36244" xr:uid="{00000000-0005-0000-0000-0000FE8C0000}"/>
    <cellStyle name="Normal 3 18 21 4" xfId="36245" xr:uid="{00000000-0005-0000-0000-0000FF8C0000}"/>
    <cellStyle name="Normal 3 18 22" xfId="36246" xr:uid="{00000000-0005-0000-0000-0000008D0000}"/>
    <cellStyle name="Normal 3 18 22 2" xfId="36247" xr:uid="{00000000-0005-0000-0000-0000018D0000}"/>
    <cellStyle name="Normal 3 18 22 2 2" xfId="36248" xr:uid="{00000000-0005-0000-0000-0000028D0000}"/>
    <cellStyle name="Normal 3 18 22 2 2 2" xfId="36249" xr:uid="{00000000-0005-0000-0000-0000038D0000}"/>
    <cellStyle name="Normal 3 18 22 2 2 3" xfId="36250" xr:uid="{00000000-0005-0000-0000-0000048D0000}"/>
    <cellStyle name="Normal 3 18 22 2 3" xfId="36251" xr:uid="{00000000-0005-0000-0000-0000058D0000}"/>
    <cellStyle name="Normal 3 18 22 2 4" xfId="36252" xr:uid="{00000000-0005-0000-0000-0000068D0000}"/>
    <cellStyle name="Normal 3 18 22 3" xfId="36253" xr:uid="{00000000-0005-0000-0000-0000078D0000}"/>
    <cellStyle name="Normal 3 18 22 3 2" xfId="36254" xr:uid="{00000000-0005-0000-0000-0000088D0000}"/>
    <cellStyle name="Normal 3 18 22 3 3" xfId="36255" xr:uid="{00000000-0005-0000-0000-0000098D0000}"/>
    <cellStyle name="Normal 3 18 22 4" xfId="36256" xr:uid="{00000000-0005-0000-0000-00000A8D0000}"/>
    <cellStyle name="Normal 3 18 23" xfId="36257" xr:uid="{00000000-0005-0000-0000-00000B8D0000}"/>
    <cellStyle name="Normal 3 18 23 2" xfId="36258" xr:uid="{00000000-0005-0000-0000-00000C8D0000}"/>
    <cellStyle name="Normal 3 18 23 2 2" xfId="36259" xr:uid="{00000000-0005-0000-0000-00000D8D0000}"/>
    <cellStyle name="Normal 3 18 23 2 2 2" xfId="36260" xr:uid="{00000000-0005-0000-0000-00000E8D0000}"/>
    <cellStyle name="Normal 3 18 23 2 2 3" xfId="36261" xr:uid="{00000000-0005-0000-0000-00000F8D0000}"/>
    <cellStyle name="Normal 3 18 23 2 3" xfId="36262" xr:uid="{00000000-0005-0000-0000-0000108D0000}"/>
    <cellStyle name="Normal 3 18 23 2 4" xfId="36263" xr:uid="{00000000-0005-0000-0000-0000118D0000}"/>
    <cellStyle name="Normal 3 18 23 3" xfId="36264" xr:uid="{00000000-0005-0000-0000-0000128D0000}"/>
    <cellStyle name="Normal 3 18 23 3 2" xfId="36265" xr:uid="{00000000-0005-0000-0000-0000138D0000}"/>
    <cellStyle name="Normal 3 18 23 3 3" xfId="36266" xr:uid="{00000000-0005-0000-0000-0000148D0000}"/>
    <cellStyle name="Normal 3 18 23 4" xfId="36267" xr:uid="{00000000-0005-0000-0000-0000158D0000}"/>
    <cellStyle name="Normal 3 18 24" xfId="36268" xr:uid="{00000000-0005-0000-0000-0000168D0000}"/>
    <cellStyle name="Normal 3 18 24 2" xfId="36269" xr:uid="{00000000-0005-0000-0000-0000178D0000}"/>
    <cellStyle name="Normal 3 18 24 2 2" xfId="36270" xr:uid="{00000000-0005-0000-0000-0000188D0000}"/>
    <cellStyle name="Normal 3 18 24 2 3" xfId="36271" xr:uid="{00000000-0005-0000-0000-0000198D0000}"/>
    <cellStyle name="Normal 3 18 24 3" xfId="36272" xr:uid="{00000000-0005-0000-0000-00001A8D0000}"/>
    <cellStyle name="Normal 3 18 24 4" xfId="36273" xr:uid="{00000000-0005-0000-0000-00001B8D0000}"/>
    <cellStyle name="Normal 3 18 25" xfId="36274" xr:uid="{00000000-0005-0000-0000-00001C8D0000}"/>
    <cellStyle name="Normal 3 18 25 2" xfId="36275" xr:uid="{00000000-0005-0000-0000-00001D8D0000}"/>
    <cellStyle name="Normal 3 18 25 3" xfId="36276" xr:uid="{00000000-0005-0000-0000-00001E8D0000}"/>
    <cellStyle name="Normal 3 18 26" xfId="36277" xr:uid="{00000000-0005-0000-0000-00001F8D0000}"/>
    <cellStyle name="Normal 3 18 3" xfId="36278" xr:uid="{00000000-0005-0000-0000-0000208D0000}"/>
    <cellStyle name="Normal 3 18 3 2" xfId="36279" xr:uid="{00000000-0005-0000-0000-0000218D0000}"/>
    <cellStyle name="Normal 3 18 3 2 2" xfId="36280" xr:uid="{00000000-0005-0000-0000-0000228D0000}"/>
    <cellStyle name="Normal 3 18 3 2 2 2" xfId="36281" xr:uid="{00000000-0005-0000-0000-0000238D0000}"/>
    <cellStyle name="Normal 3 18 3 2 2 3" xfId="36282" xr:uid="{00000000-0005-0000-0000-0000248D0000}"/>
    <cellStyle name="Normal 3 18 3 2 3" xfId="36283" xr:uid="{00000000-0005-0000-0000-0000258D0000}"/>
    <cellStyle name="Normal 3 18 3 2 4" xfId="36284" xr:uid="{00000000-0005-0000-0000-0000268D0000}"/>
    <cellStyle name="Normal 3 18 3 3" xfId="36285" xr:uid="{00000000-0005-0000-0000-0000278D0000}"/>
    <cellStyle name="Normal 3 18 3 3 2" xfId="36286" xr:uid="{00000000-0005-0000-0000-0000288D0000}"/>
    <cellStyle name="Normal 3 18 3 3 3" xfId="36287" xr:uid="{00000000-0005-0000-0000-0000298D0000}"/>
    <cellStyle name="Normal 3 18 3 4" xfId="36288" xr:uid="{00000000-0005-0000-0000-00002A8D0000}"/>
    <cellStyle name="Normal 3 18 4" xfId="36289" xr:uid="{00000000-0005-0000-0000-00002B8D0000}"/>
    <cellStyle name="Normal 3 18 4 2" xfId="36290" xr:uid="{00000000-0005-0000-0000-00002C8D0000}"/>
    <cellStyle name="Normal 3 18 4 2 2" xfId="36291" xr:uid="{00000000-0005-0000-0000-00002D8D0000}"/>
    <cellStyle name="Normal 3 18 4 2 2 2" xfId="36292" xr:uid="{00000000-0005-0000-0000-00002E8D0000}"/>
    <cellStyle name="Normal 3 18 4 2 2 3" xfId="36293" xr:uid="{00000000-0005-0000-0000-00002F8D0000}"/>
    <cellStyle name="Normal 3 18 4 2 3" xfId="36294" xr:uid="{00000000-0005-0000-0000-0000308D0000}"/>
    <cellStyle name="Normal 3 18 4 2 4" xfId="36295" xr:uid="{00000000-0005-0000-0000-0000318D0000}"/>
    <cellStyle name="Normal 3 18 4 3" xfId="36296" xr:uid="{00000000-0005-0000-0000-0000328D0000}"/>
    <cellStyle name="Normal 3 18 4 3 2" xfId="36297" xr:uid="{00000000-0005-0000-0000-0000338D0000}"/>
    <cellStyle name="Normal 3 18 4 3 3" xfId="36298" xr:uid="{00000000-0005-0000-0000-0000348D0000}"/>
    <cellStyle name="Normal 3 18 4 4" xfId="36299" xr:uid="{00000000-0005-0000-0000-0000358D0000}"/>
    <cellStyle name="Normal 3 18 5" xfId="36300" xr:uid="{00000000-0005-0000-0000-0000368D0000}"/>
    <cellStyle name="Normal 3 18 5 2" xfId="36301" xr:uid="{00000000-0005-0000-0000-0000378D0000}"/>
    <cellStyle name="Normal 3 18 5 2 2" xfId="36302" xr:uid="{00000000-0005-0000-0000-0000388D0000}"/>
    <cellStyle name="Normal 3 18 5 2 2 2" xfId="36303" xr:uid="{00000000-0005-0000-0000-0000398D0000}"/>
    <cellStyle name="Normal 3 18 5 2 2 3" xfId="36304" xr:uid="{00000000-0005-0000-0000-00003A8D0000}"/>
    <cellStyle name="Normal 3 18 5 2 3" xfId="36305" xr:uid="{00000000-0005-0000-0000-00003B8D0000}"/>
    <cellStyle name="Normal 3 18 5 2 4" xfId="36306" xr:uid="{00000000-0005-0000-0000-00003C8D0000}"/>
    <cellStyle name="Normal 3 18 5 3" xfId="36307" xr:uid="{00000000-0005-0000-0000-00003D8D0000}"/>
    <cellStyle name="Normal 3 18 5 3 2" xfId="36308" xr:uid="{00000000-0005-0000-0000-00003E8D0000}"/>
    <cellStyle name="Normal 3 18 5 3 3" xfId="36309" xr:uid="{00000000-0005-0000-0000-00003F8D0000}"/>
    <cellStyle name="Normal 3 18 5 4" xfId="36310" xr:uid="{00000000-0005-0000-0000-0000408D0000}"/>
    <cellStyle name="Normal 3 18 6" xfId="36311" xr:uid="{00000000-0005-0000-0000-0000418D0000}"/>
    <cellStyle name="Normal 3 18 6 2" xfId="36312" xr:uid="{00000000-0005-0000-0000-0000428D0000}"/>
    <cellStyle name="Normal 3 18 6 2 2" xfId="36313" xr:uid="{00000000-0005-0000-0000-0000438D0000}"/>
    <cellStyle name="Normal 3 18 6 2 2 2" xfId="36314" xr:uid="{00000000-0005-0000-0000-0000448D0000}"/>
    <cellStyle name="Normal 3 18 6 2 2 3" xfId="36315" xr:uid="{00000000-0005-0000-0000-0000458D0000}"/>
    <cellStyle name="Normal 3 18 6 2 3" xfId="36316" xr:uid="{00000000-0005-0000-0000-0000468D0000}"/>
    <cellStyle name="Normal 3 18 6 2 4" xfId="36317" xr:uid="{00000000-0005-0000-0000-0000478D0000}"/>
    <cellStyle name="Normal 3 18 6 3" xfId="36318" xr:uid="{00000000-0005-0000-0000-0000488D0000}"/>
    <cellStyle name="Normal 3 18 6 3 2" xfId="36319" xr:uid="{00000000-0005-0000-0000-0000498D0000}"/>
    <cellStyle name="Normal 3 18 6 3 3" xfId="36320" xr:uid="{00000000-0005-0000-0000-00004A8D0000}"/>
    <cellStyle name="Normal 3 18 6 4" xfId="36321" xr:uid="{00000000-0005-0000-0000-00004B8D0000}"/>
    <cellStyle name="Normal 3 18 7" xfId="36322" xr:uid="{00000000-0005-0000-0000-00004C8D0000}"/>
    <cellStyle name="Normal 3 18 7 2" xfId="36323" xr:uid="{00000000-0005-0000-0000-00004D8D0000}"/>
    <cellStyle name="Normal 3 18 7 2 2" xfId="36324" xr:uid="{00000000-0005-0000-0000-00004E8D0000}"/>
    <cellStyle name="Normal 3 18 7 2 2 2" xfId="36325" xr:uid="{00000000-0005-0000-0000-00004F8D0000}"/>
    <cellStyle name="Normal 3 18 7 2 2 3" xfId="36326" xr:uid="{00000000-0005-0000-0000-0000508D0000}"/>
    <cellStyle name="Normal 3 18 7 2 3" xfId="36327" xr:uid="{00000000-0005-0000-0000-0000518D0000}"/>
    <cellStyle name="Normal 3 18 7 2 4" xfId="36328" xr:uid="{00000000-0005-0000-0000-0000528D0000}"/>
    <cellStyle name="Normal 3 18 7 3" xfId="36329" xr:uid="{00000000-0005-0000-0000-0000538D0000}"/>
    <cellStyle name="Normal 3 18 7 3 2" xfId="36330" xr:uid="{00000000-0005-0000-0000-0000548D0000}"/>
    <cellStyle name="Normal 3 18 7 3 3" xfId="36331" xr:uid="{00000000-0005-0000-0000-0000558D0000}"/>
    <cellStyle name="Normal 3 18 7 4" xfId="36332" xr:uid="{00000000-0005-0000-0000-0000568D0000}"/>
    <cellStyle name="Normal 3 18 8" xfId="36333" xr:uid="{00000000-0005-0000-0000-0000578D0000}"/>
    <cellStyle name="Normal 3 18 8 2" xfId="36334" xr:uid="{00000000-0005-0000-0000-0000588D0000}"/>
    <cellStyle name="Normal 3 18 8 2 2" xfId="36335" xr:uid="{00000000-0005-0000-0000-0000598D0000}"/>
    <cellStyle name="Normal 3 18 8 2 2 2" xfId="36336" xr:uid="{00000000-0005-0000-0000-00005A8D0000}"/>
    <cellStyle name="Normal 3 18 8 2 2 3" xfId="36337" xr:uid="{00000000-0005-0000-0000-00005B8D0000}"/>
    <cellStyle name="Normal 3 18 8 2 3" xfId="36338" xr:uid="{00000000-0005-0000-0000-00005C8D0000}"/>
    <cellStyle name="Normal 3 18 8 2 4" xfId="36339" xr:uid="{00000000-0005-0000-0000-00005D8D0000}"/>
    <cellStyle name="Normal 3 18 8 3" xfId="36340" xr:uid="{00000000-0005-0000-0000-00005E8D0000}"/>
    <cellStyle name="Normal 3 18 8 3 2" xfId="36341" xr:uid="{00000000-0005-0000-0000-00005F8D0000}"/>
    <cellStyle name="Normal 3 18 8 3 3" xfId="36342" xr:uid="{00000000-0005-0000-0000-0000608D0000}"/>
    <cellStyle name="Normal 3 18 8 4" xfId="36343" xr:uid="{00000000-0005-0000-0000-0000618D0000}"/>
    <cellStyle name="Normal 3 18 9" xfId="36344" xr:uid="{00000000-0005-0000-0000-0000628D0000}"/>
    <cellStyle name="Normal 3 18 9 2" xfId="36345" xr:uid="{00000000-0005-0000-0000-0000638D0000}"/>
    <cellStyle name="Normal 3 18 9 2 2" xfId="36346" xr:uid="{00000000-0005-0000-0000-0000648D0000}"/>
    <cellStyle name="Normal 3 18 9 2 2 2" xfId="36347" xr:uid="{00000000-0005-0000-0000-0000658D0000}"/>
    <cellStyle name="Normal 3 18 9 2 2 3" xfId="36348" xr:uid="{00000000-0005-0000-0000-0000668D0000}"/>
    <cellStyle name="Normal 3 18 9 2 3" xfId="36349" xr:uid="{00000000-0005-0000-0000-0000678D0000}"/>
    <cellStyle name="Normal 3 18 9 2 4" xfId="36350" xr:uid="{00000000-0005-0000-0000-0000688D0000}"/>
    <cellStyle name="Normal 3 18 9 3" xfId="36351" xr:uid="{00000000-0005-0000-0000-0000698D0000}"/>
    <cellStyle name="Normal 3 18 9 3 2" xfId="36352" xr:uid="{00000000-0005-0000-0000-00006A8D0000}"/>
    <cellStyle name="Normal 3 18 9 3 3" xfId="36353" xr:uid="{00000000-0005-0000-0000-00006B8D0000}"/>
    <cellStyle name="Normal 3 18 9 4" xfId="36354" xr:uid="{00000000-0005-0000-0000-00006C8D0000}"/>
    <cellStyle name="Normal 3 19" xfId="36355" xr:uid="{00000000-0005-0000-0000-00006D8D0000}"/>
    <cellStyle name="Normal 3 19 10" xfId="36356" xr:uid="{00000000-0005-0000-0000-00006E8D0000}"/>
    <cellStyle name="Normal 3 19 10 2" xfId="36357" xr:uid="{00000000-0005-0000-0000-00006F8D0000}"/>
    <cellStyle name="Normal 3 19 10 2 2" xfId="36358" xr:uid="{00000000-0005-0000-0000-0000708D0000}"/>
    <cellStyle name="Normal 3 19 10 2 2 2" xfId="36359" xr:uid="{00000000-0005-0000-0000-0000718D0000}"/>
    <cellStyle name="Normal 3 19 10 2 2 3" xfId="36360" xr:uid="{00000000-0005-0000-0000-0000728D0000}"/>
    <cellStyle name="Normal 3 19 10 2 3" xfId="36361" xr:uid="{00000000-0005-0000-0000-0000738D0000}"/>
    <cellStyle name="Normal 3 19 10 2 4" xfId="36362" xr:uid="{00000000-0005-0000-0000-0000748D0000}"/>
    <cellStyle name="Normal 3 19 10 3" xfId="36363" xr:uid="{00000000-0005-0000-0000-0000758D0000}"/>
    <cellStyle name="Normal 3 19 10 3 2" xfId="36364" xr:uid="{00000000-0005-0000-0000-0000768D0000}"/>
    <cellStyle name="Normal 3 19 10 3 3" xfId="36365" xr:uid="{00000000-0005-0000-0000-0000778D0000}"/>
    <cellStyle name="Normal 3 19 10 4" xfId="36366" xr:uid="{00000000-0005-0000-0000-0000788D0000}"/>
    <cellStyle name="Normal 3 19 11" xfId="36367" xr:uid="{00000000-0005-0000-0000-0000798D0000}"/>
    <cellStyle name="Normal 3 19 11 2" xfId="36368" xr:uid="{00000000-0005-0000-0000-00007A8D0000}"/>
    <cellStyle name="Normal 3 19 11 2 2" xfId="36369" xr:uid="{00000000-0005-0000-0000-00007B8D0000}"/>
    <cellStyle name="Normal 3 19 11 2 2 2" xfId="36370" xr:uid="{00000000-0005-0000-0000-00007C8D0000}"/>
    <cellStyle name="Normal 3 19 11 2 2 3" xfId="36371" xr:uid="{00000000-0005-0000-0000-00007D8D0000}"/>
    <cellStyle name="Normal 3 19 11 2 3" xfId="36372" xr:uid="{00000000-0005-0000-0000-00007E8D0000}"/>
    <cellStyle name="Normal 3 19 11 2 4" xfId="36373" xr:uid="{00000000-0005-0000-0000-00007F8D0000}"/>
    <cellStyle name="Normal 3 19 11 3" xfId="36374" xr:uid="{00000000-0005-0000-0000-0000808D0000}"/>
    <cellStyle name="Normal 3 19 11 3 2" xfId="36375" xr:uid="{00000000-0005-0000-0000-0000818D0000}"/>
    <cellStyle name="Normal 3 19 11 3 3" xfId="36376" xr:uid="{00000000-0005-0000-0000-0000828D0000}"/>
    <cellStyle name="Normal 3 19 11 4" xfId="36377" xr:uid="{00000000-0005-0000-0000-0000838D0000}"/>
    <cellStyle name="Normal 3 19 12" xfId="36378" xr:uid="{00000000-0005-0000-0000-0000848D0000}"/>
    <cellStyle name="Normal 3 19 12 2" xfId="36379" xr:uid="{00000000-0005-0000-0000-0000858D0000}"/>
    <cellStyle name="Normal 3 19 12 2 2" xfId="36380" xr:uid="{00000000-0005-0000-0000-0000868D0000}"/>
    <cellStyle name="Normal 3 19 12 2 2 2" xfId="36381" xr:uid="{00000000-0005-0000-0000-0000878D0000}"/>
    <cellStyle name="Normal 3 19 12 2 2 3" xfId="36382" xr:uid="{00000000-0005-0000-0000-0000888D0000}"/>
    <cellStyle name="Normal 3 19 12 2 3" xfId="36383" xr:uid="{00000000-0005-0000-0000-0000898D0000}"/>
    <cellStyle name="Normal 3 19 12 2 4" xfId="36384" xr:uid="{00000000-0005-0000-0000-00008A8D0000}"/>
    <cellStyle name="Normal 3 19 12 3" xfId="36385" xr:uid="{00000000-0005-0000-0000-00008B8D0000}"/>
    <cellStyle name="Normal 3 19 12 3 2" xfId="36386" xr:uid="{00000000-0005-0000-0000-00008C8D0000}"/>
    <cellStyle name="Normal 3 19 12 3 3" xfId="36387" xr:uid="{00000000-0005-0000-0000-00008D8D0000}"/>
    <cellStyle name="Normal 3 19 12 4" xfId="36388" xr:uid="{00000000-0005-0000-0000-00008E8D0000}"/>
    <cellStyle name="Normal 3 19 13" xfId="36389" xr:uid="{00000000-0005-0000-0000-00008F8D0000}"/>
    <cellStyle name="Normal 3 19 13 2" xfId="36390" xr:uid="{00000000-0005-0000-0000-0000908D0000}"/>
    <cellStyle name="Normal 3 19 13 2 2" xfId="36391" xr:uid="{00000000-0005-0000-0000-0000918D0000}"/>
    <cellStyle name="Normal 3 19 13 2 2 2" xfId="36392" xr:uid="{00000000-0005-0000-0000-0000928D0000}"/>
    <cellStyle name="Normal 3 19 13 2 2 3" xfId="36393" xr:uid="{00000000-0005-0000-0000-0000938D0000}"/>
    <cellStyle name="Normal 3 19 13 2 3" xfId="36394" xr:uid="{00000000-0005-0000-0000-0000948D0000}"/>
    <cellStyle name="Normal 3 19 13 2 4" xfId="36395" xr:uid="{00000000-0005-0000-0000-0000958D0000}"/>
    <cellStyle name="Normal 3 19 13 3" xfId="36396" xr:uid="{00000000-0005-0000-0000-0000968D0000}"/>
    <cellStyle name="Normal 3 19 13 3 2" xfId="36397" xr:uid="{00000000-0005-0000-0000-0000978D0000}"/>
    <cellStyle name="Normal 3 19 13 3 3" xfId="36398" xr:uid="{00000000-0005-0000-0000-0000988D0000}"/>
    <cellStyle name="Normal 3 19 13 4" xfId="36399" xr:uid="{00000000-0005-0000-0000-0000998D0000}"/>
    <cellStyle name="Normal 3 19 14" xfId="36400" xr:uid="{00000000-0005-0000-0000-00009A8D0000}"/>
    <cellStyle name="Normal 3 19 14 2" xfId="36401" xr:uid="{00000000-0005-0000-0000-00009B8D0000}"/>
    <cellStyle name="Normal 3 19 14 2 2" xfId="36402" xr:uid="{00000000-0005-0000-0000-00009C8D0000}"/>
    <cellStyle name="Normal 3 19 14 2 2 2" xfId="36403" xr:uid="{00000000-0005-0000-0000-00009D8D0000}"/>
    <cellStyle name="Normal 3 19 14 2 2 3" xfId="36404" xr:uid="{00000000-0005-0000-0000-00009E8D0000}"/>
    <cellStyle name="Normal 3 19 14 2 3" xfId="36405" xr:uid="{00000000-0005-0000-0000-00009F8D0000}"/>
    <cellStyle name="Normal 3 19 14 2 4" xfId="36406" xr:uid="{00000000-0005-0000-0000-0000A08D0000}"/>
    <cellStyle name="Normal 3 19 14 3" xfId="36407" xr:uid="{00000000-0005-0000-0000-0000A18D0000}"/>
    <cellStyle name="Normal 3 19 14 3 2" xfId="36408" xr:uid="{00000000-0005-0000-0000-0000A28D0000}"/>
    <cellStyle name="Normal 3 19 14 3 3" xfId="36409" xr:uid="{00000000-0005-0000-0000-0000A38D0000}"/>
    <cellStyle name="Normal 3 19 14 4" xfId="36410" xr:uid="{00000000-0005-0000-0000-0000A48D0000}"/>
    <cellStyle name="Normal 3 19 15" xfId="36411" xr:uid="{00000000-0005-0000-0000-0000A58D0000}"/>
    <cellStyle name="Normal 3 19 15 2" xfId="36412" xr:uid="{00000000-0005-0000-0000-0000A68D0000}"/>
    <cellStyle name="Normal 3 19 15 2 2" xfId="36413" xr:uid="{00000000-0005-0000-0000-0000A78D0000}"/>
    <cellStyle name="Normal 3 19 15 2 2 2" xfId="36414" xr:uid="{00000000-0005-0000-0000-0000A88D0000}"/>
    <cellStyle name="Normal 3 19 15 2 2 3" xfId="36415" xr:uid="{00000000-0005-0000-0000-0000A98D0000}"/>
    <cellStyle name="Normal 3 19 15 2 3" xfId="36416" xr:uid="{00000000-0005-0000-0000-0000AA8D0000}"/>
    <cellStyle name="Normal 3 19 15 2 4" xfId="36417" xr:uid="{00000000-0005-0000-0000-0000AB8D0000}"/>
    <cellStyle name="Normal 3 19 15 3" xfId="36418" xr:uid="{00000000-0005-0000-0000-0000AC8D0000}"/>
    <cellStyle name="Normal 3 19 15 3 2" xfId="36419" xr:uid="{00000000-0005-0000-0000-0000AD8D0000}"/>
    <cellStyle name="Normal 3 19 15 3 3" xfId="36420" xr:uid="{00000000-0005-0000-0000-0000AE8D0000}"/>
    <cellStyle name="Normal 3 19 15 4" xfId="36421" xr:uid="{00000000-0005-0000-0000-0000AF8D0000}"/>
    <cellStyle name="Normal 3 19 16" xfId="36422" xr:uid="{00000000-0005-0000-0000-0000B08D0000}"/>
    <cellStyle name="Normal 3 19 16 2" xfId="36423" xr:uid="{00000000-0005-0000-0000-0000B18D0000}"/>
    <cellStyle name="Normal 3 19 16 2 2" xfId="36424" xr:uid="{00000000-0005-0000-0000-0000B28D0000}"/>
    <cellStyle name="Normal 3 19 16 2 2 2" xfId="36425" xr:uid="{00000000-0005-0000-0000-0000B38D0000}"/>
    <cellStyle name="Normal 3 19 16 2 2 3" xfId="36426" xr:uid="{00000000-0005-0000-0000-0000B48D0000}"/>
    <cellStyle name="Normal 3 19 16 2 3" xfId="36427" xr:uid="{00000000-0005-0000-0000-0000B58D0000}"/>
    <cellStyle name="Normal 3 19 16 2 4" xfId="36428" xr:uid="{00000000-0005-0000-0000-0000B68D0000}"/>
    <cellStyle name="Normal 3 19 16 3" xfId="36429" xr:uid="{00000000-0005-0000-0000-0000B78D0000}"/>
    <cellStyle name="Normal 3 19 16 3 2" xfId="36430" xr:uid="{00000000-0005-0000-0000-0000B88D0000}"/>
    <cellStyle name="Normal 3 19 16 3 3" xfId="36431" xr:uid="{00000000-0005-0000-0000-0000B98D0000}"/>
    <cellStyle name="Normal 3 19 16 4" xfId="36432" xr:uid="{00000000-0005-0000-0000-0000BA8D0000}"/>
    <cellStyle name="Normal 3 19 17" xfId="36433" xr:uid="{00000000-0005-0000-0000-0000BB8D0000}"/>
    <cellStyle name="Normal 3 19 17 2" xfId="36434" xr:uid="{00000000-0005-0000-0000-0000BC8D0000}"/>
    <cellStyle name="Normal 3 19 17 2 2" xfId="36435" xr:uid="{00000000-0005-0000-0000-0000BD8D0000}"/>
    <cellStyle name="Normal 3 19 17 2 2 2" xfId="36436" xr:uid="{00000000-0005-0000-0000-0000BE8D0000}"/>
    <cellStyle name="Normal 3 19 17 2 2 3" xfId="36437" xr:uid="{00000000-0005-0000-0000-0000BF8D0000}"/>
    <cellStyle name="Normal 3 19 17 2 3" xfId="36438" xr:uid="{00000000-0005-0000-0000-0000C08D0000}"/>
    <cellStyle name="Normal 3 19 17 2 4" xfId="36439" xr:uid="{00000000-0005-0000-0000-0000C18D0000}"/>
    <cellStyle name="Normal 3 19 17 3" xfId="36440" xr:uid="{00000000-0005-0000-0000-0000C28D0000}"/>
    <cellStyle name="Normal 3 19 17 3 2" xfId="36441" xr:uid="{00000000-0005-0000-0000-0000C38D0000}"/>
    <cellStyle name="Normal 3 19 17 3 3" xfId="36442" xr:uid="{00000000-0005-0000-0000-0000C48D0000}"/>
    <cellStyle name="Normal 3 19 17 4" xfId="36443" xr:uid="{00000000-0005-0000-0000-0000C58D0000}"/>
    <cellStyle name="Normal 3 19 18" xfId="36444" xr:uid="{00000000-0005-0000-0000-0000C68D0000}"/>
    <cellStyle name="Normal 3 19 18 2" xfId="36445" xr:uid="{00000000-0005-0000-0000-0000C78D0000}"/>
    <cellStyle name="Normal 3 19 18 2 2" xfId="36446" xr:uid="{00000000-0005-0000-0000-0000C88D0000}"/>
    <cellStyle name="Normal 3 19 18 2 2 2" xfId="36447" xr:uid="{00000000-0005-0000-0000-0000C98D0000}"/>
    <cellStyle name="Normal 3 19 18 2 2 3" xfId="36448" xr:uid="{00000000-0005-0000-0000-0000CA8D0000}"/>
    <cellStyle name="Normal 3 19 18 2 3" xfId="36449" xr:uid="{00000000-0005-0000-0000-0000CB8D0000}"/>
    <cellStyle name="Normal 3 19 18 2 4" xfId="36450" xr:uid="{00000000-0005-0000-0000-0000CC8D0000}"/>
    <cellStyle name="Normal 3 19 18 3" xfId="36451" xr:uid="{00000000-0005-0000-0000-0000CD8D0000}"/>
    <cellStyle name="Normal 3 19 18 3 2" xfId="36452" xr:uid="{00000000-0005-0000-0000-0000CE8D0000}"/>
    <cellStyle name="Normal 3 19 18 3 3" xfId="36453" xr:uid="{00000000-0005-0000-0000-0000CF8D0000}"/>
    <cellStyle name="Normal 3 19 18 4" xfId="36454" xr:uid="{00000000-0005-0000-0000-0000D08D0000}"/>
    <cellStyle name="Normal 3 19 19" xfId="36455" xr:uid="{00000000-0005-0000-0000-0000D18D0000}"/>
    <cellStyle name="Normal 3 19 19 2" xfId="36456" xr:uid="{00000000-0005-0000-0000-0000D28D0000}"/>
    <cellStyle name="Normal 3 19 19 2 2" xfId="36457" xr:uid="{00000000-0005-0000-0000-0000D38D0000}"/>
    <cellStyle name="Normal 3 19 19 2 2 2" xfId="36458" xr:uid="{00000000-0005-0000-0000-0000D48D0000}"/>
    <cellStyle name="Normal 3 19 19 2 2 3" xfId="36459" xr:uid="{00000000-0005-0000-0000-0000D58D0000}"/>
    <cellStyle name="Normal 3 19 19 2 3" xfId="36460" xr:uid="{00000000-0005-0000-0000-0000D68D0000}"/>
    <cellStyle name="Normal 3 19 19 2 4" xfId="36461" xr:uid="{00000000-0005-0000-0000-0000D78D0000}"/>
    <cellStyle name="Normal 3 19 19 3" xfId="36462" xr:uid="{00000000-0005-0000-0000-0000D88D0000}"/>
    <cellStyle name="Normal 3 19 19 3 2" xfId="36463" xr:uid="{00000000-0005-0000-0000-0000D98D0000}"/>
    <cellStyle name="Normal 3 19 19 3 3" xfId="36464" xr:uid="{00000000-0005-0000-0000-0000DA8D0000}"/>
    <cellStyle name="Normal 3 19 19 4" xfId="36465" xr:uid="{00000000-0005-0000-0000-0000DB8D0000}"/>
    <cellStyle name="Normal 3 19 2" xfId="36466" xr:uid="{00000000-0005-0000-0000-0000DC8D0000}"/>
    <cellStyle name="Normal 3 19 2 2" xfId="36467" xr:uid="{00000000-0005-0000-0000-0000DD8D0000}"/>
    <cellStyle name="Normal 3 19 2 2 2" xfId="36468" xr:uid="{00000000-0005-0000-0000-0000DE8D0000}"/>
    <cellStyle name="Normal 3 19 2 2 2 2" xfId="36469" xr:uid="{00000000-0005-0000-0000-0000DF8D0000}"/>
    <cellStyle name="Normal 3 19 2 2 2 3" xfId="36470" xr:uid="{00000000-0005-0000-0000-0000E08D0000}"/>
    <cellStyle name="Normal 3 19 2 2 3" xfId="36471" xr:uid="{00000000-0005-0000-0000-0000E18D0000}"/>
    <cellStyle name="Normal 3 19 2 2 4" xfId="36472" xr:uid="{00000000-0005-0000-0000-0000E28D0000}"/>
    <cellStyle name="Normal 3 19 2 3" xfId="36473" xr:uid="{00000000-0005-0000-0000-0000E38D0000}"/>
    <cellStyle name="Normal 3 19 2 3 2" xfId="36474" xr:uid="{00000000-0005-0000-0000-0000E48D0000}"/>
    <cellStyle name="Normal 3 19 2 3 3" xfId="36475" xr:uid="{00000000-0005-0000-0000-0000E58D0000}"/>
    <cellStyle name="Normal 3 19 2 4" xfId="36476" xr:uid="{00000000-0005-0000-0000-0000E68D0000}"/>
    <cellStyle name="Normal 3 19 20" xfId="36477" xr:uid="{00000000-0005-0000-0000-0000E78D0000}"/>
    <cellStyle name="Normal 3 19 20 2" xfId="36478" xr:uid="{00000000-0005-0000-0000-0000E88D0000}"/>
    <cellStyle name="Normal 3 19 20 2 2" xfId="36479" xr:uid="{00000000-0005-0000-0000-0000E98D0000}"/>
    <cellStyle name="Normal 3 19 20 2 2 2" xfId="36480" xr:uid="{00000000-0005-0000-0000-0000EA8D0000}"/>
    <cellStyle name="Normal 3 19 20 2 2 3" xfId="36481" xr:uid="{00000000-0005-0000-0000-0000EB8D0000}"/>
    <cellStyle name="Normal 3 19 20 2 3" xfId="36482" xr:uid="{00000000-0005-0000-0000-0000EC8D0000}"/>
    <cellStyle name="Normal 3 19 20 2 4" xfId="36483" xr:uid="{00000000-0005-0000-0000-0000ED8D0000}"/>
    <cellStyle name="Normal 3 19 20 3" xfId="36484" xr:uid="{00000000-0005-0000-0000-0000EE8D0000}"/>
    <cellStyle name="Normal 3 19 20 3 2" xfId="36485" xr:uid="{00000000-0005-0000-0000-0000EF8D0000}"/>
    <cellStyle name="Normal 3 19 20 3 3" xfId="36486" xr:uid="{00000000-0005-0000-0000-0000F08D0000}"/>
    <cellStyle name="Normal 3 19 20 4" xfId="36487" xr:uid="{00000000-0005-0000-0000-0000F18D0000}"/>
    <cellStyle name="Normal 3 19 21" xfId="36488" xr:uid="{00000000-0005-0000-0000-0000F28D0000}"/>
    <cellStyle name="Normal 3 19 21 2" xfId="36489" xr:uid="{00000000-0005-0000-0000-0000F38D0000}"/>
    <cellStyle name="Normal 3 19 21 2 2" xfId="36490" xr:uid="{00000000-0005-0000-0000-0000F48D0000}"/>
    <cellStyle name="Normal 3 19 21 2 2 2" xfId="36491" xr:uid="{00000000-0005-0000-0000-0000F58D0000}"/>
    <cellStyle name="Normal 3 19 21 2 2 3" xfId="36492" xr:uid="{00000000-0005-0000-0000-0000F68D0000}"/>
    <cellStyle name="Normal 3 19 21 2 3" xfId="36493" xr:uid="{00000000-0005-0000-0000-0000F78D0000}"/>
    <cellStyle name="Normal 3 19 21 2 4" xfId="36494" xr:uid="{00000000-0005-0000-0000-0000F88D0000}"/>
    <cellStyle name="Normal 3 19 21 3" xfId="36495" xr:uid="{00000000-0005-0000-0000-0000F98D0000}"/>
    <cellStyle name="Normal 3 19 21 3 2" xfId="36496" xr:uid="{00000000-0005-0000-0000-0000FA8D0000}"/>
    <cellStyle name="Normal 3 19 21 3 3" xfId="36497" xr:uid="{00000000-0005-0000-0000-0000FB8D0000}"/>
    <cellStyle name="Normal 3 19 21 4" xfId="36498" xr:uid="{00000000-0005-0000-0000-0000FC8D0000}"/>
    <cellStyle name="Normal 3 19 22" xfId="36499" xr:uid="{00000000-0005-0000-0000-0000FD8D0000}"/>
    <cellStyle name="Normal 3 19 22 2" xfId="36500" xr:uid="{00000000-0005-0000-0000-0000FE8D0000}"/>
    <cellStyle name="Normal 3 19 22 2 2" xfId="36501" xr:uid="{00000000-0005-0000-0000-0000FF8D0000}"/>
    <cellStyle name="Normal 3 19 22 2 2 2" xfId="36502" xr:uid="{00000000-0005-0000-0000-0000008E0000}"/>
    <cellStyle name="Normal 3 19 22 2 2 3" xfId="36503" xr:uid="{00000000-0005-0000-0000-0000018E0000}"/>
    <cellStyle name="Normal 3 19 22 2 3" xfId="36504" xr:uid="{00000000-0005-0000-0000-0000028E0000}"/>
    <cellStyle name="Normal 3 19 22 2 4" xfId="36505" xr:uid="{00000000-0005-0000-0000-0000038E0000}"/>
    <cellStyle name="Normal 3 19 22 3" xfId="36506" xr:uid="{00000000-0005-0000-0000-0000048E0000}"/>
    <cellStyle name="Normal 3 19 22 3 2" xfId="36507" xr:uid="{00000000-0005-0000-0000-0000058E0000}"/>
    <cellStyle name="Normal 3 19 22 3 3" xfId="36508" xr:uid="{00000000-0005-0000-0000-0000068E0000}"/>
    <cellStyle name="Normal 3 19 22 4" xfId="36509" xr:uid="{00000000-0005-0000-0000-0000078E0000}"/>
    <cellStyle name="Normal 3 19 23" xfId="36510" xr:uid="{00000000-0005-0000-0000-0000088E0000}"/>
    <cellStyle name="Normal 3 19 23 2" xfId="36511" xr:uid="{00000000-0005-0000-0000-0000098E0000}"/>
    <cellStyle name="Normal 3 19 23 2 2" xfId="36512" xr:uid="{00000000-0005-0000-0000-00000A8E0000}"/>
    <cellStyle name="Normal 3 19 23 2 2 2" xfId="36513" xr:uid="{00000000-0005-0000-0000-00000B8E0000}"/>
    <cellStyle name="Normal 3 19 23 2 2 3" xfId="36514" xr:uid="{00000000-0005-0000-0000-00000C8E0000}"/>
    <cellStyle name="Normal 3 19 23 2 3" xfId="36515" xr:uid="{00000000-0005-0000-0000-00000D8E0000}"/>
    <cellStyle name="Normal 3 19 23 2 4" xfId="36516" xr:uid="{00000000-0005-0000-0000-00000E8E0000}"/>
    <cellStyle name="Normal 3 19 23 3" xfId="36517" xr:uid="{00000000-0005-0000-0000-00000F8E0000}"/>
    <cellStyle name="Normal 3 19 23 3 2" xfId="36518" xr:uid="{00000000-0005-0000-0000-0000108E0000}"/>
    <cellStyle name="Normal 3 19 23 3 3" xfId="36519" xr:uid="{00000000-0005-0000-0000-0000118E0000}"/>
    <cellStyle name="Normal 3 19 23 4" xfId="36520" xr:uid="{00000000-0005-0000-0000-0000128E0000}"/>
    <cellStyle name="Normal 3 19 24" xfId="36521" xr:uid="{00000000-0005-0000-0000-0000138E0000}"/>
    <cellStyle name="Normal 3 19 24 2" xfId="36522" xr:uid="{00000000-0005-0000-0000-0000148E0000}"/>
    <cellStyle name="Normal 3 19 24 2 2" xfId="36523" xr:uid="{00000000-0005-0000-0000-0000158E0000}"/>
    <cellStyle name="Normal 3 19 24 2 3" xfId="36524" xr:uid="{00000000-0005-0000-0000-0000168E0000}"/>
    <cellStyle name="Normal 3 19 24 3" xfId="36525" xr:uid="{00000000-0005-0000-0000-0000178E0000}"/>
    <cellStyle name="Normal 3 19 24 4" xfId="36526" xr:uid="{00000000-0005-0000-0000-0000188E0000}"/>
    <cellStyle name="Normal 3 19 25" xfId="36527" xr:uid="{00000000-0005-0000-0000-0000198E0000}"/>
    <cellStyle name="Normal 3 19 25 2" xfId="36528" xr:uid="{00000000-0005-0000-0000-00001A8E0000}"/>
    <cellStyle name="Normal 3 19 25 3" xfId="36529" xr:uid="{00000000-0005-0000-0000-00001B8E0000}"/>
    <cellStyle name="Normal 3 19 26" xfId="36530" xr:uid="{00000000-0005-0000-0000-00001C8E0000}"/>
    <cellStyle name="Normal 3 19 3" xfId="36531" xr:uid="{00000000-0005-0000-0000-00001D8E0000}"/>
    <cellStyle name="Normal 3 19 3 2" xfId="36532" xr:uid="{00000000-0005-0000-0000-00001E8E0000}"/>
    <cellStyle name="Normal 3 19 3 2 2" xfId="36533" xr:uid="{00000000-0005-0000-0000-00001F8E0000}"/>
    <cellStyle name="Normal 3 19 3 2 2 2" xfId="36534" xr:uid="{00000000-0005-0000-0000-0000208E0000}"/>
    <cellStyle name="Normal 3 19 3 2 2 3" xfId="36535" xr:uid="{00000000-0005-0000-0000-0000218E0000}"/>
    <cellStyle name="Normal 3 19 3 2 3" xfId="36536" xr:uid="{00000000-0005-0000-0000-0000228E0000}"/>
    <cellStyle name="Normal 3 19 3 2 4" xfId="36537" xr:uid="{00000000-0005-0000-0000-0000238E0000}"/>
    <cellStyle name="Normal 3 19 3 3" xfId="36538" xr:uid="{00000000-0005-0000-0000-0000248E0000}"/>
    <cellStyle name="Normal 3 19 3 3 2" xfId="36539" xr:uid="{00000000-0005-0000-0000-0000258E0000}"/>
    <cellStyle name="Normal 3 19 3 3 3" xfId="36540" xr:uid="{00000000-0005-0000-0000-0000268E0000}"/>
    <cellStyle name="Normal 3 19 3 4" xfId="36541" xr:uid="{00000000-0005-0000-0000-0000278E0000}"/>
    <cellStyle name="Normal 3 19 4" xfId="36542" xr:uid="{00000000-0005-0000-0000-0000288E0000}"/>
    <cellStyle name="Normal 3 19 4 2" xfId="36543" xr:uid="{00000000-0005-0000-0000-0000298E0000}"/>
    <cellStyle name="Normal 3 19 4 2 2" xfId="36544" xr:uid="{00000000-0005-0000-0000-00002A8E0000}"/>
    <cellStyle name="Normal 3 19 4 2 2 2" xfId="36545" xr:uid="{00000000-0005-0000-0000-00002B8E0000}"/>
    <cellStyle name="Normal 3 19 4 2 2 3" xfId="36546" xr:uid="{00000000-0005-0000-0000-00002C8E0000}"/>
    <cellStyle name="Normal 3 19 4 2 3" xfId="36547" xr:uid="{00000000-0005-0000-0000-00002D8E0000}"/>
    <cellStyle name="Normal 3 19 4 2 4" xfId="36548" xr:uid="{00000000-0005-0000-0000-00002E8E0000}"/>
    <cellStyle name="Normal 3 19 4 3" xfId="36549" xr:uid="{00000000-0005-0000-0000-00002F8E0000}"/>
    <cellStyle name="Normal 3 19 4 3 2" xfId="36550" xr:uid="{00000000-0005-0000-0000-0000308E0000}"/>
    <cellStyle name="Normal 3 19 4 3 3" xfId="36551" xr:uid="{00000000-0005-0000-0000-0000318E0000}"/>
    <cellStyle name="Normal 3 19 4 4" xfId="36552" xr:uid="{00000000-0005-0000-0000-0000328E0000}"/>
    <cellStyle name="Normal 3 19 5" xfId="36553" xr:uid="{00000000-0005-0000-0000-0000338E0000}"/>
    <cellStyle name="Normal 3 19 5 2" xfId="36554" xr:uid="{00000000-0005-0000-0000-0000348E0000}"/>
    <cellStyle name="Normal 3 19 5 2 2" xfId="36555" xr:uid="{00000000-0005-0000-0000-0000358E0000}"/>
    <cellStyle name="Normal 3 19 5 2 2 2" xfId="36556" xr:uid="{00000000-0005-0000-0000-0000368E0000}"/>
    <cellStyle name="Normal 3 19 5 2 2 3" xfId="36557" xr:uid="{00000000-0005-0000-0000-0000378E0000}"/>
    <cellStyle name="Normal 3 19 5 2 3" xfId="36558" xr:uid="{00000000-0005-0000-0000-0000388E0000}"/>
    <cellStyle name="Normal 3 19 5 2 4" xfId="36559" xr:uid="{00000000-0005-0000-0000-0000398E0000}"/>
    <cellStyle name="Normal 3 19 5 3" xfId="36560" xr:uid="{00000000-0005-0000-0000-00003A8E0000}"/>
    <cellStyle name="Normal 3 19 5 3 2" xfId="36561" xr:uid="{00000000-0005-0000-0000-00003B8E0000}"/>
    <cellStyle name="Normal 3 19 5 3 3" xfId="36562" xr:uid="{00000000-0005-0000-0000-00003C8E0000}"/>
    <cellStyle name="Normal 3 19 5 4" xfId="36563" xr:uid="{00000000-0005-0000-0000-00003D8E0000}"/>
    <cellStyle name="Normal 3 19 6" xfId="36564" xr:uid="{00000000-0005-0000-0000-00003E8E0000}"/>
    <cellStyle name="Normal 3 19 6 2" xfId="36565" xr:uid="{00000000-0005-0000-0000-00003F8E0000}"/>
    <cellStyle name="Normal 3 19 6 2 2" xfId="36566" xr:uid="{00000000-0005-0000-0000-0000408E0000}"/>
    <cellStyle name="Normal 3 19 6 2 2 2" xfId="36567" xr:uid="{00000000-0005-0000-0000-0000418E0000}"/>
    <cellStyle name="Normal 3 19 6 2 2 3" xfId="36568" xr:uid="{00000000-0005-0000-0000-0000428E0000}"/>
    <cellStyle name="Normal 3 19 6 2 3" xfId="36569" xr:uid="{00000000-0005-0000-0000-0000438E0000}"/>
    <cellStyle name="Normal 3 19 6 2 4" xfId="36570" xr:uid="{00000000-0005-0000-0000-0000448E0000}"/>
    <cellStyle name="Normal 3 19 6 3" xfId="36571" xr:uid="{00000000-0005-0000-0000-0000458E0000}"/>
    <cellStyle name="Normal 3 19 6 3 2" xfId="36572" xr:uid="{00000000-0005-0000-0000-0000468E0000}"/>
    <cellStyle name="Normal 3 19 6 3 3" xfId="36573" xr:uid="{00000000-0005-0000-0000-0000478E0000}"/>
    <cellStyle name="Normal 3 19 6 4" xfId="36574" xr:uid="{00000000-0005-0000-0000-0000488E0000}"/>
    <cellStyle name="Normal 3 19 7" xfId="36575" xr:uid="{00000000-0005-0000-0000-0000498E0000}"/>
    <cellStyle name="Normal 3 19 7 2" xfId="36576" xr:uid="{00000000-0005-0000-0000-00004A8E0000}"/>
    <cellStyle name="Normal 3 19 7 2 2" xfId="36577" xr:uid="{00000000-0005-0000-0000-00004B8E0000}"/>
    <cellStyle name="Normal 3 19 7 2 2 2" xfId="36578" xr:uid="{00000000-0005-0000-0000-00004C8E0000}"/>
    <cellStyle name="Normal 3 19 7 2 2 3" xfId="36579" xr:uid="{00000000-0005-0000-0000-00004D8E0000}"/>
    <cellStyle name="Normal 3 19 7 2 3" xfId="36580" xr:uid="{00000000-0005-0000-0000-00004E8E0000}"/>
    <cellStyle name="Normal 3 19 7 2 4" xfId="36581" xr:uid="{00000000-0005-0000-0000-00004F8E0000}"/>
    <cellStyle name="Normal 3 19 7 3" xfId="36582" xr:uid="{00000000-0005-0000-0000-0000508E0000}"/>
    <cellStyle name="Normal 3 19 7 3 2" xfId="36583" xr:uid="{00000000-0005-0000-0000-0000518E0000}"/>
    <cellStyle name="Normal 3 19 7 3 3" xfId="36584" xr:uid="{00000000-0005-0000-0000-0000528E0000}"/>
    <cellStyle name="Normal 3 19 7 4" xfId="36585" xr:uid="{00000000-0005-0000-0000-0000538E0000}"/>
    <cellStyle name="Normal 3 19 8" xfId="36586" xr:uid="{00000000-0005-0000-0000-0000548E0000}"/>
    <cellStyle name="Normal 3 19 8 2" xfId="36587" xr:uid="{00000000-0005-0000-0000-0000558E0000}"/>
    <cellStyle name="Normal 3 19 8 2 2" xfId="36588" xr:uid="{00000000-0005-0000-0000-0000568E0000}"/>
    <cellStyle name="Normal 3 19 8 2 2 2" xfId="36589" xr:uid="{00000000-0005-0000-0000-0000578E0000}"/>
    <cellStyle name="Normal 3 19 8 2 2 3" xfId="36590" xr:uid="{00000000-0005-0000-0000-0000588E0000}"/>
    <cellStyle name="Normal 3 19 8 2 3" xfId="36591" xr:uid="{00000000-0005-0000-0000-0000598E0000}"/>
    <cellStyle name="Normal 3 19 8 2 4" xfId="36592" xr:uid="{00000000-0005-0000-0000-00005A8E0000}"/>
    <cellStyle name="Normal 3 19 8 3" xfId="36593" xr:uid="{00000000-0005-0000-0000-00005B8E0000}"/>
    <cellStyle name="Normal 3 19 8 3 2" xfId="36594" xr:uid="{00000000-0005-0000-0000-00005C8E0000}"/>
    <cellStyle name="Normal 3 19 8 3 3" xfId="36595" xr:uid="{00000000-0005-0000-0000-00005D8E0000}"/>
    <cellStyle name="Normal 3 19 8 4" xfId="36596" xr:uid="{00000000-0005-0000-0000-00005E8E0000}"/>
    <cellStyle name="Normal 3 19 9" xfId="36597" xr:uid="{00000000-0005-0000-0000-00005F8E0000}"/>
    <cellStyle name="Normal 3 19 9 2" xfId="36598" xr:uid="{00000000-0005-0000-0000-0000608E0000}"/>
    <cellStyle name="Normal 3 19 9 2 2" xfId="36599" xr:uid="{00000000-0005-0000-0000-0000618E0000}"/>
    <cellStyle name="Normal 3 19 9 2 2 2" xfId="36600" xr:uid="{00000000-0005-0000-0000-0000628E0000}"/>
    <cellStyle name="Normal 3 19 9 2 2 3" xfId="36601" xr:uid="{00000000-0005-0000-0000-0000638E0000}"/>
    <cellStyle name="Normal 3 19 9 2 3" xfId="36602" xr:uid="{00000000-0005-0000-0000-0000648E0000}"/>
    <cellStyle name="Normal 3 19 9 2 4" xfId="36603" xr:uid="{00000000-0005-0000-0000-0000658E0000}"/>
    <cellStyle name="Normal 3 19 9 3" xfId="36604" xr:uid="{00000000-0005-0000-0000-0000668E0000}"/>
    <cellStyle name="Normal 3 19 9 3 2" xfId="36605" xr:uid="{00000000-0005-0000-0000-0000678E0000}"/>
    <cellStyle name="Normal 3 19 9 3 3" xfId="36606" xr:uid="{00000000-0005-0000-0000-0000688E0000}"/>
    <cellStyle name="Normal 3 19 9 4" xfId="36607" xr:uid="{00000000-0005-0000-0000-0000698E0000}"/>
    <cellStyle name="Normal 3 2" xfId="296" xr:uid="{00000000-0005-0000-0000-00006A8E0000}"/>
    <cellStyle name="Normal 3 2 10" xfId="36608" xr:uid="{00000000-0005-0000-0000-00006B8E0000}"/>
    <cellStyle name="Normal 3 2 10 2" xfId="36609" xr:uid="{00000000-0005-0000-0000-00006C8E0000}"/>
    <cellStyle name="Normal 3 2 10 2 2" xfId="36610" xr:uid="{00000000-0005-0000-0000-00006D8E0000}"/>
    <cellStyle name="Normal 3 2 10 2 2 2" xfId="36611" xr:uid="{00000000-0005-0000-0000-00006E8E0000}"/>
    <cellStyle name="Normal 3 2 10 2 2 3" xfId="36612" xr:uid="{00000000-0005-0000-0000-00006F8E0000}"/>
    <cellStyle name="Normal 3 2 10 2 3" xfId="36613" xr:uid="{00000000-0005-0000-0000-0000708E0000}"/>
    <cellStyle name="Normal 3 2 10 2 4" xfId="36614" xr:uid="{00000000-0005-0000-0000-0000718E0000}"/>
    <cellStyle name="Normal 3 2 10 3" xfId="36615" xr:uid="{00000000-0005-0000-0000-0000728E0000}"/>
    <cellStyle name="Normal 3 2 10 3 2" xfId="36616" xr:uid="{00000000-0005-0000-0000-0000738E0000}"/>
    <cellStyle name="Normal 3 2 10 3 3" xfId="36617" xr:uid="{00000000-0005-0000-0000-0000748E0000}"/>
    <cellStyle name="Normal 3 2 10 4" xfId="36618" xr:uid="{00000000-0005-0000-0000-0000758E0000}"/>
    <cellStyle name="Normal 3 2 11" xfId="36619" xr:uid="{00000000-0005-0000-0000-0000768E0000}"/>
    <cellStyle name="Normal 3 2 11 2" xfId="36620" xr:uid="{00000000-0005-0000-0000-0000778E0000}"/>
    <cellStyle name="Normal 3 2 11 2 2" xfId="36621" xr:uid="{00000000-0005-0000-0000-0000788E0000}"/>
    <cellStyle name="Normal 3 2 11 2 2 2" xfId="36622" xr:uid="{00000000-0005-0000-0000-0000798E0000}"/>
    <cellStyle name="Normal 3 2 11 2 2 3" xfId="36623" xr:uid="{00000000-0005-0000-0000-00007A8E0000}"/>
    <cellStyle name="Normal 3 2 11 2 3" xfId="36624" xr:uid="{00000000-0005-0000-0000-00007B8E0000}"/>
    <cellStyle name="Normal 3 2 11 2 4" xfId="36625" xr:uid="{00000000-0005-0000-0000-00007C8E0000}"/>
    <cellStyle name="Normal 3 2 11 3" xfId="36626" xr:uid="{00000000-0005-0000-0000-00007D8E0000}"/>
    <cellStyle name="Normal 3 2 11 3 2" xfId="36627" xr:uid="{00000000-0005-0000-0000-00007E8E0000}"/>
    <cellStyle name="Normal 3 2 11 3 3" xfId="36628" xr:uid="{00000000-0005-0000-0000-00007F8E0000}"/>
    <cellStyle name="Normal 3 2 11 4" xfId="36629" xr:uid="{00000000-0005-0000-0000-0000808E0000}"/>
    <cellStyle name="Normal 3 2 12" xfId="36630" xr:uid="{00000000-0005-0000-0000-0000818E0000}"/>
    <cellStyle name="Normal 3 2 12 2" xfId="36631" xr:uid="{00000000-0005-0000-0000-0000828E0000}"/>
    <cellStyle name="Normal 3 2 12 2 2" xfId="36632" xr:uid="{00000000-0005-0000-0000-0000838E0000}"/>
    <cellStyle name="Normal 3 2 12 2 2 2" xfId="36633" xr:uid="{00000000-0005-0000-0000-0000848E0000}"/>
    <cellStyle name="Normal 3 2 12 2 2 3" xfId="36634" xr:uid="{00000000-0005-0000-0000-0000858E0000}"/>
    <cellStyle name="Normal 3 2 12 2 3" xfId="36635" xr:uid="{00000000-0005-0000-0000-0000868E0000}"/>
    <cellStyle name="Normal 3 2 12 2 4" xfId="36636" xr:uid="{00000000-0005-0000-0000-0000878E0000}"/>
    <cellStyle name="Normal 3 2 12 3" xfId="36637" xr:uid="{00000000-0005-0000-0000-0000888E0000}"/>
    <cellStyle name="Normal 3 2 12 3 2" xfId="36638" xr:uid="{00000000-0005-0000-0000-0000898E0000}"/>
    <cellStyle name="Normal 3 2 12 3 3" xfId="36639" xr:uid="{00000000-0005-0000-0000-00008A8E0000}"/>
    <cellStyle name="Normal 3 2 12 4" xfId="36640" xr:uid="{00000000-0005-0000-0000-00008B8E0000}"/>
    <cellStyle name="Normal 3 2 13" xfId="36641" xr:uid="{00000000-0005-0000-0000-00008C8E0000}"/>
    <cellStyle name="Normal 3 2 13 2" xfId="36642" xr:uid="{00000000-0005-0000-0000-00008D8E0000}"/>
    <cellStyle name="Normal 3 2 13 2 2" xfId="36643" xr:uid="{00000000-0005-0000-0000-00008E8E0000}"/>
    <cellStyle name="Normal 3 2 13 2 2 2" xfId="36644" xr:uid="{00000000-0005-0000-0000-00008F8E0000}"/>
    <cellStyle name="Normal 3 2 13 2 2 3" xfId="36645" xr:uid="{00000000-0005-0000-0000-0000908E0000}"/>
    <cellStyle name="Normal 3 2 13 2 3" xfId="36646" xr:uid="{00000000-0005-0000-0000-0000918E0000}"/>
    <cellStyle name="Normal 3 2 13 2 4" xfId="36647" xr:uid="{00000000-0005-0000-0000-0000928E0000}"/>
    <cellStyle name="Normal 3 2 13 3" xfId="36648" xr:uid="{00000000-0005-0000-0000-0000938E0000}"/>
    <cellStyle name="Normal 3 2 13 3 2" xfId="36649" xr:uid="{00000000-0005-0000-0000-0000948E0000}"/>
    <cellStyle name="Normal 3 2 13 3 3" xfId="36650" xr:uid="{00000000-0005-0000-0000-0000958E0000}"/>
    <cellStyle name="Normal 3 2 13 4" xfId="36651" xr:uid="{00000000-0005-0000-0000-0000968E0000}"/>
    <cellStyle name="Normal 3 2 14" xfId="36652" xr:uid="{00000000-0005-0000-0000-0000978E0000}"/>
    <cellStyle name="Normal 3 2 14 2" xfId="36653" xr:uid="{00000000-0005-0000-0000-0000988E0000}"/>
    <cellStyle name="Normal 3 2 14 2 2" xfId="36654" xr:uid="{00000000-0005-0000-0000-0000998E0000}"/>
    <cellStyle name="Normal 3 2 14 2 2 2" xfId="36655" xr:uid="{00000000-0005-0000-0000-00009A8E0000}"/>
    <cellStyle name="Normal 3 2 14 2 2 3" xfId="36656" xr:uid="{00000000-0005-0000-0000-00009B8E0000}"/>
    <cellStyle name="Normal 3 2 14 2 3" xfId="36657" xr:uid="{00000000-0005-0000-0000-00009C8E0000}"/>
    <cellStyle name="Normal 3 2 14 2 4" xfId="36658" xr:uid="{00000000-0005-0000-0000-00009D8E0000}"/>
    <cellStyle name="Normal 3 2 14 3" xfId="36659" xr:uid="{00000000-0005-0000-0000-00009E8E0000}"/>
    <cellStyle name="Normal 3 2 14 3 2" xfId="36660" xr:uid="{00000000-0005-0000-0000-00009F8E0000}"/>
    <cellStyle name="Normal 3 2 14 3 3" xfId="36661" xr:uid="{00000000-0005-0000-0000-0000A08E0000}"/>
    <cellStyle name="Normal 3 2 14 4" xfId="36662" xr:uid="{00000000-0005-0000-0000-0000A18E0000}"/>
    <cellStyle name="Normal 3 2 15" xfId="36663" xr:uid="{00000000-0005-0000-0000-0000A28E0000}"/>
    <cellStyle name="Normal 3 2 15 2" xfId="36664" xr:uid="{00000000-0005-0000-0000-0000A38E0000}"/>
    <cellStyle name="Normal 3 2 15 2 2" xfId="36665" xr:uid="{00000000-0005-0000-0000-0000A48E0000}"/>
    <cellStyle name="Normal 3 2 15 2 2 2" xfId="36666" xr:uid="{00000000-0005-0000-0000-0000A58E0000}"/>
    <cellStyle name="Normal 3 2 15 2 2 3" xfId="36667" xr:uid="{00000000-0005-0000-0000-0000A68E0000}"/>
    <cellStyle name="Normal 3 2 15 2 3" xfId="36668" xr:uid="{00000000-0005-0000-0000-0000A78E0000}"/>
    <cellStyle name="Normal 3 2 15 2 4" xfId="36669" xr:uid="{00000000-0005-0000-0000-0000A88E0000}"/>
    <cellStyle name="Normal 3 2 15 3" xfId="36670" xr:uid="{00000000-0005-0000-0000-0000A98E0000}"/>
    <cellStyle name="Normal 3 2 15 3 2" xfId="36671" xr:uid="{00000000-0005-0000-0000-0000AA8E0000}"/>
    <cellStyle name="Normal 3 2 15 3 3" xfId="36672" xr:uid="{00000000-0005-0000-0000-0000AB8E0000}"/>
    <cellStyle name="Normal 3 2 15 4" xfId="36673" xr:uid="{00000000-0005-0000-0000-0000AC8E0000}"/>
    <cellStyle name="Normal 3 2 16" xfId="36674" xr:uid="{00000000-0005-0000-0000-0000AD8E0000}"/>
    <cellStyle name="Normal 3 2 16 2" xfId="36675" xr:uid="{00000000-0005-0000-0000-0000AE8E0000}"/>
    <cellStyle name="Normal 3 2 16 2 2" xfId="36676" xr:uid="{00000000-0005-0000-0000-0000AF8E0000}"/>
    <cellStyle name="Normal 3 2 16 2 2 2" xfId="36677" xr:uid="{00000000-0005-0000-0000-0000B08E0000}"/>
    <cellStyle name="Normal 3 2 16 2 2 3" xfId="36678" xr:uid="{00000000-0005-0000-0000-0000B18E0000}"/>
    <cellStyle name="Normal 3 2 16 2 3" xfId="36679" xr:uid="{00000000-0005-0000-0000-0000B28E0000}"/>
    <cellStyle name="Normal 3 2 16 2 4" xfId="36680" xr:uid="{00000000-0005-0000-0000-0000B38E0000}"/>
    <cellStyle name="Normal 3 2 16 3" xfId="36681" xr:uid="{00000000-0005-0000-0000-0000B48E0000}"/>
    <cellStyle name="Normal 3 2 16 3 2" xfId="36682" xr:uid="{00000000-0005-0000-0000-0000B58E0000}"/>
    <cellStyle name="Normal 3 2 16 3 3" xfId="36683" xr:uid="{00000000-0005-0000-0000-0000B68E0000}"/>
    <cellStyle name="Normal 3 2 16 4" xfId="36684" xr:uid="{00000000-0005-0000-0000-0000B78E0000}"/>
    <cellStyle name="Normal 3 2 17" xfId="36685" xr:uid="{00000000-0005-0000-0000-0000B88E0000}"/>
    <cellStyle name="Normal 3 2 17 2" xfId="36686" xr:uid="{00000000-0005-0000-0000-0000B98E0000}"/>
    <cellStyle name="Normal 3 2 17 2 2" xfId="36687" xr:uid="{00000000-0005-0000-0000-0000BA8E0000}"/>
    <cellStyle name="Normal 3 2 17 2 2 2" xfId="36688" xr:uid="{00000000-0005-0000-0000-0000BB8E0000}"/>
    <cellStyle name="Normal 3 2 17 2 2 3" xfId="36689" xr:uid="{00000000-0005-0000-0000-0000BC8E0000}"/>
    <cellStyle name="Normal 3 2 17 2 3" xfId="36690" xr:uid="{00000000-0005-0000-0000-0000BD8E0000}"/>
    <cellStyle name="Normal 3 2 17 2 4" xfId="36691" xr:uid="{00000000-0005-0000-0000-0000BE8E0000}"/>
    <cellStyle name="Normal 3 2 17 3" xfId="36692" xr:uid="{00000000-0005-0000-0000-0000BF8E0000}"/>
    <cellStyle name="Normal 3 2 17 3 2" xfId="36693" xr:uid="{00000000-0005-0000-0000-0000C08E0000}"/>
    <cellStyle name="Normal 3 2 17 3 3" xfId="36694" xr:uid="{00000000-0005-0000-0000-0000C18E0000}"/>
    <cellStyle name="Normal 3 2 17 4" xfId="36695" xr:uid="{00000000-0005-0000-0000-0000C28E0000}"/>
    <cellStyle name="Normal 3 2 18" xfId="36696" xr:uid="{00000000-0005-0000-0000-0000C38E0000}"/>
    <cellStyle name="Normal 3 2 18 2" xfId="36697" xr:uid="{00000000-0005-0000-0000-0000C48E0000}"/>
    <cellStyle name="Normal 3 2 18 2 2" xfId="36698" xr:uid="{00000000-0005-0000-0000-0000C58E0000}"/>
    <cellStyle name="Normal 3 2 18 2 2 2" xfId="36699" xr:uid="{00000000-0005-0000-0000-0000C68E0000}"/>
    <cellStyle name="Normal 3 2 18 2 2 3" xfId="36700" xr:uid="{00000000-0005-0000-0000-0000C78E0000}"/>
    <cellStyle name="Normal 3 2 18 2 3" xfId="36701" xr:uid="{00000000-0005-0000-0000-0000C88E0000}"/>
    <cellStyle name="Normal 3 2 18 2 4" xfId="36702" xr:uid="{00000000-0005-0000-0000-0000C98E0000}"/>
    <cellStyle name="Normal 3 2 18 3" xfId="36703" xr:uid="{00000000-0005-0000-0000-0000CA8E0000}"/>
    <cellStyle name="Normal 3 2 18 3 2" xfId="36704" xr:uid="{00000000-0005-0000-0000-0000CB8E0000}"/>
    <cellStyle name="Normal 3 2 18 3 3" xfId="36705" xr:uid="{00000000-0005-0000-0000-0000CC8E0000}"/>
    <cellStyle name="Normal 3 2 18 4" xfId="36706" xr:uid="{00000000-0005-0000-0000-0000CD8E0000}"/>
    <cellStyle name="Normal 3 2 19" xfId="36707" xr:uid="{00000000-0005-0000-0000-0000CE8E0000}"/>
    <cellStyle name="Normal 3 2 19 2" xfId="36708" xr:uid="{00000000-0005-0000-0000-0000CF8E0000}"/>
    <cellStyle name="Normal 3 2 19 2 2" xfId="36709" xr:uid="{00000000-0005-0000-0000-0000D08E0000}"/>
    <cellStyle name="Normal 3 2 19 2 2 2" xfId="36710" xr:uid="{00000000-0005-0000-0000-0000D18E0000}"/>
    <cellStyle name="Normal 3 2 19 2 2 3" xfId="36711" xr:uid="{00000000-0005-0000-0000-0000D28E0000}"/>
    <cellStyle name="Normal 3 2 19 2 3" xfId="36712" xr:uid="{00000000-0005-0000-0000-0000D38E0000}"/>
    <cellStyle name="Normal 3 2 19 2 4" xfId="36713" xr:uid="{00000000-0005-0000-0000-0000D48E0000}"/>
    <cellStyle name="Normal 3 2 19 3" xfId="36714" xr:uid="{00000000-0005-0000-0000-0000D58E0000}"/>
    <cellStyle name="Normal 3 2 19 3 2" xfId="36715" xr:uid="{00000000-0005-0000-0000-0000D68E0000}"/>
    <cellStyle name="Normal 3 2 19 3 3" xfId="36716" xr:uid="{00000000-0005-0000-0000-0000D78E0000}"/>
    <cellStyle name="Normal 3 2 19 4" xfId="36717" xr:uid="{00000000-0005-0000-0000-0000D88E0000}"/>
    <cellStyle name="Normal 3 2 2" xfId="297" xr:uid="{00000000-0005-0000-0000-0000D98E0000}"/>
    <cellStyle name="Normal 3 2 2 10" xfId="36718" xr:uid="{00000000-0005-0000-0000-0000DA8E0000}"/>
    <cellStyle name="Normal 3 2 2 10 2" xfId="36719" xr:uid="{00000000-0005-0000-0000-0000DB8E0000}"/>
    <cellStyle name="Normal 3 2 2 10 2 2" xfId="36720" xr:uid="{00000000-0005-0000-0000-0000DC8E0000}"/>
    <cellStyle name="Normal 3 2 2 10 2 2 2" xfId="36721" xr:uid="{00000000-0005-0000-0000-0000DD8E0000}"/>
    <cellStyle name="Normal 3 2 2 10 2 2 3" xfId="36722" xr:uid="{00000000-0005-0000-0000-0000DE8E0000}"/>
    <cellStyle name="Normal 3 2 2 10 2 3" xfId="36723" xr:uid="{00000000-0005-0000-0000-0000DF8E0000}"/>
    <cellStyle name="Normal 3 2 2 10 2 4" xfId="36724" xr:uid="{00000000-0005-0000-0000-0000E08E0000}"/>
    <cellStyle name="Normal 3 2 2 10 3" xfId="36725" xr:uid="{00000000-0005-0000-0000-0000E18E0000}"/>
    <cellStyle name="Normal 3 2 2 10 3 2" xfId="36726" xr:uid="{00000000-0005-0000-0000-0000E28E0000}"/>
    <cellStyle name="Normal 3 2 2 10 3 3" xfId="36727" xr:uid="{00000000-0005-0000-0000-0000E38E0000}"/>
    <cellStyle name="Normal 3 2 2 10 4" xfId="36728" xr:uid="{00000000-0005-0000-0000-0000E48E0000}"/>
    <cellStyle name="Normal 3 2 2 11" xfId="36729" xr:uid="{00000000-0005-0000-0000-0000E58E0000}"/>
    <cellStyle name="Normal 3 2 2 11 2" xfId="36730" xr:uid="{00000000-0005-0000-0000-0000E68E0000}"/>
    <cellStyle name="Normal 3 2 2 11 2 2" xfId="36731" xr:uid="{00000000-0005-0000-0000-0000E78E0000}"/>
    <cellStyle name="Normal 3 2 2 11 2 2 2" xfId="36732" xr:uid="{00000000-0005-0000-0000-0000E88E0000}"/>
    <cellStyle name="Normal 3 2 2 11 2 2 3" xfId="36733" xr:uid="{00000000-0005-0000-0000-0000E98E0000}"/>
    <cellStyle name="Normal 3 2 2 11 2 3" xfId="36734" xr:uid="{00000000-0005-0000-0000-0000EA8E0000}"/>
    <cellStyle name="Normal 3 2 2 11 2 4" xfId="36735" xr:uid="{00000000-0005-0000-0000-0000EB8E0000}"/>
    <cellStyle name="Normal 3 2 2 11 3" xfId="36736" xr:uid="{00000000-0005-0000-0000-0000EC8E0000}"/>
    <cellStyle name="Normal 3 2 2 11 3 2" xfId="36737" xr:uid="{00000000-0005-0000-0000-0000ED8E0000}"/>
    <cellStyle name="Normal 3 2 2 11 3 3" xfId="36738" xr:uid="{00000000-0005-0000-0000-0000EE8E0000}"/>
    <cellStyle name="Normal 3 2 2 11 4" xfId="36739" xr:uid="{00000000-0005-0000-0000-0000EF8E0000}"/>
    <cellStyle name="Normal 3 2 2 12" xfId="36740" xr:uid="{00000000-0005-0000-0000-0000F08E0000}"/>
    <cellStyle name="Normal 3 2 2 12 2" xfId="36741" xr:uid="{00000000-0005-0000-0000-0000F18E0000}"/>
    <cellStyle name="Normal 3 2 2 12 2 2" xfId="36742" xr:uid="{00000000-0005-0000-0000-0000F28E0000}"/>
    <cellStyle name="Normal 3 2 2 12 2 2 2" xfId="36743" xr:uid="{00000000-0005-0000-0000-0000F38E0000}"/>
    <cellStyle name="Normal 3 2 2 12 2 2 3" xfId="36744" xr:uid="{00000000-0005-0000-0000-0000F48E0000}"/>
    <cellStyle name="Normal 3 2 2 12 2 3" xfId="36745" xr:uid="{00000000-0005-0000-0000-0000F58E0000}"/>
    <cellStyle name="Normal 3 2 2 12 2 4" xfId="36746" xr:uid="{00000000-0005-0000-0000-0000F68E0000}"/>
    <cellStyle name="Normal 3 2 2 12 3" xfId="36747" xr:uid="{00000000-0005-0000-0000-0000F78E0000}"/>
    <cellStyle name="Normal 3 2 2 12 3 2" xfId="36748" xr:uid="{00000000-0005-0000-0000-0000F88E0000}"/>
    <cellStyle name="Normal 3 2 2 12 3 3" xfId="36749" xr:uid="{00000000-0005-0000-0000-0000F98E0000}"/>
    <cellStyle name="Normal 3 2 2 12 4" xfId="36750" xr:uid="{00000000-0005-0000-0000-0000FA8E0000}"/>
    <cellStyle name="Normal 3 2 2 13" xfId="36751" xr:uid="{00000000-0005-0000-0000-0000FB8E0000}"/>
    <cellStyle name="Normal 3 2 2 13 2" xfId="36752" xr:uid="{00000000-0005-0000-0000-0000FC8E0000}"/>
    <cellStyle name="Normal 3 2 2 13 2 2" xfId="36753" xr:uid="{00000000-0005-0000-0000-0000FD8E0000}"/>
    <cellStyle name="Normal 3 2 2 13 2 2 2" xfId="36754" xr:uid="{00000000-0005-0000-0000-0000FE8E0000}"/>
    <cellStyle name="Normal 3 2 2 13 2 2 3" xfId="36755" xr:uid="{00000000-0005-0000-0000-0000FF8E0000}"/>
    <cellStyle name="Normal 3 2 2 13 2 3" xfId="36756" xr:uid="{00000000-0005-0000-0000-0000008F0000}"/>
    <cellStyle name="Normal 3 2 2 13 2 4" xfId="36757" xr:uid="{00000000-0005-0000-0000-0000018F0000}"/>
    <cellStyle name="Normal 3 2 2 13 3" xfId="36758" xr:uid="{00000000-0005-0000-0000-0000028F0000}"/>
    <cellStyle name="Normal 3 2 2 13 3 2" xfId="36759" xr:uid="{00000000-0005-0000-0000-0000038F0000}"/>
    <cellStyle name="Normal 3 2 2 13 3 3" xfId="36760" xr:uid="{00000000-0005-0000-0000-0000048F0000}"/>
    <cellStyle name="Normal 3 2 2 13 4" xfId="36761" xr:uid="{00000000-0005-0000-0000-0000058F0000}"/>
    <cellStyle name="Normal 3 2 2 14" xfId="36762" xr:uid="{00000000-0005-0000-0000-0000068F0000}"/>
    <cellStyle name="Normal 3 2 2 14 2" xfId="36763" xr:uid="{00000000-0005-0000-0000-0000078F0000}"/>
    <cellStyle name="Normal 3 2 2 14 2 2" xfId="36764" xr:uid="{00000000-0005-0000-0000-0000088F0000}"/>
    <cellStyle name="Normal 3 2 2 14 2 2 2" xfId="36765" xr:uid="{00000000-0005-0000-0000-0000098F0000}"/>
    <cellStyle name="Normal 3 2 2 14 2 2 3" xfId="36766" xr:uid="{00000000-0005-0000-0000-00000A8F0000}"/>
    <cellStyle name="Normal 3 2 2 14 2 3" xfId="36767" xr:uid="{00000000-0005-0000-0000-00000B8F0000}"/>
    <cellStyle name="Normal 3 2 2 14 2 4" xfId="36768" xr:uid="{00000000-0005-0000-0000-00000C8F0000}"/>
    <cellStyle name="Normal 3 2 2 14 3" xfId="36769" xr:uid="{00000000-0005-0000-0000-00000D8F0000}"/>
    <cellStyle name="Normal 3 2 2 14 3 2" xfId="36770" xr:uid="{00000000-0005-0000-0000-00000E8F0000}"/>
    <cellStyle name="Normal 3 2 2 14 3 3" xfId="36771" xr:uid="{00000000-0005-0000-0000-00000F8F0000}"/>
    <cellStyle name="Normal 3 2 2 14 4" xfId="36772" xr:uid="{00000000-0005-0000-0000-0000108F0000}"/>
    <cellStyle name="Normal 3 2 2 15" xfId="36773" xr:uid="{00000000-0005-0000-0000-0000118F0000}"/>
    <cellStyle name="Normal 3 2 2 15 2" xfId="36774" xr:uid="{00000000-0005-0000-0000-0000128F0000}"/>
    <cellStyle name="Normal 3 2 2 15 2 2" xfId="36775" xr:uid="{00000000-0005-0000-0000-0000138F0000}"/>
    <cellStyle name="Normal 3 2 2 15 2 2 2" xfId="36776" xr:uid="{00000000-0005-0000-0000-0000148F0000}"/>
    <cellStyle name="Normal 3 2 2 15 2 2 3" xfId="36777" xr:uid="{00000000-0005-0000-0000-0000158F0000}"/>
    <cellStyle name="Normal 3 2 2 15 2 3" xfId="36778" xr:uid="{00000000-0005-0000-0000-0000168F0000}"/>
    <cellStyle name="Normal 3 2 2 15 2 4" xfId="36779" xr:uid="{00000000-0005-0000-0000-0000178F0000}"/>
    <cellStyle name="Normal 3 2 2 15 3" xfId="36780" xr:uid="{00000000-0005-0000-0000-0000188F0000}"/>
    <cellStyle name="Normal 3 2 2 15 3 2" xfId="36781" xr:uid="{00000000-0005-0000-0000-0000198F0000}"/>
    <cellStyle name="Normal 3 2 2 15 3 3" xfId="36782" xr:uid="{00000000-0005-0000-0000-00001A8F0000}"/>
    <cellStyle name="Normal 3 2 2 15 4" xfId="36783" xr:uid="{00000000-0005-0000-0000-00001B8F0000}"/>
    <cellStyle name="Normal 3 2 2 16" xfId="36784" xr:uid="{00000000-0005-0000-0000-00001C8F0000}"/>
    <cellStyle name="Normal 3 2 2 16 2" xfId="36785" xr:uid="{00000000-0005-0000-0000-00001D8F0000}"/>
    <cellStyle name="Normal 3 2 2 16 2 2" xfId="36786" xr:uid="{00000000-0005-0000-0000-00001E8F0000}"/>
    <cellStyle name="Normal 3 2 2 16 2 2 2" xfId="36787" xr:uid="{00000000-0005-0000-0000-00001F8F0000}"/>
    <cellStyle name="Normal 3 2 2 16 2 2 3" xfId="36788" xr:uid="{00000000-0005-0000-0000-0000208F0000}"/>
    <cellStyle name="Normal 3 2 2 16 2 3" xfId="36789" xr:uid="{00000000-0005-0000-0000-0000218F0000}"/>
    <cellStyle name="Normal 3 2 2 16 2 4" xfId="36790" xr:uid="{00000000-0005-0000-0000-0000228F0000}"/>
    <cellStyle name="Normal 3 2 2 16 3" xfId="36791" xr:uid="{00000000-0005-0000-0000-0000238F0000}"/>
    <cellStyle name="Normal 3 2 2 16 3 2" xfId="36792" xr:uid="{00000000-0005-0000-0000-0000248F0000}"/>
    <cellStyle name="Normal 3 2 2 16 3 3" xfId="36793" xr:uid="{00000000-0005-0000-0000-0000258F0000}"/>
    <cellStyle name="Normal 3 2 2 16 4" xfId="36794" xr:uid="{00000000-0005-0000-0000-0000268F0000}"/>
    <cellStyle name="Normal 3 2 2 17" xfId="36795" xr:uid="{00000000-0005-0000-0000-0000278F0000}"/>
    <cellStyle name="Normal 3 2 2 17 2" xfId="36796" xr:uid="{00000000-0005-0000-0000-0000288F0000}"/>
    <cellStyle name="Normal 3 2 2 17 2 2" xfId="36797" xr:uid="{00000000-0005-0000-0000-0000298F0000}"/>
    <cellStyle name="Normal 3 2 2 17 2 2 2" xfId="36798" xr:uid="{00000000-0005-0000-0000-00002A8F0000}"/>
    <cellStyle name="Normal 3 2 2 17 2 2 3" xfId="36799" xr:uid="{00000000-0005-0000-0000-00002B8F0000}"/>
    <cellStyle name="Normal 3 2 2 17 2 3" xfId="36800" xr:uid="{00000000-0005-0000-0000-00002C8F0000}"/>
    <cellStyle name="Normal 3 2 2 17 2 4" xfId="36801" xr:uid="{00000000-0005-0000-0000-00002D8F0000}"/>
    <cellStyle name="Normal 3 2 2 17 3" xfId="36802" xr:uid="{00000000-0005-0000-0000-00002E8F0000}"/>
    <cellStyle name="Normal 3 2 2 17 3 2" xfId="36803" xr:uid="{00000000-0005-0000-0000-00002F8F0000}"/>
    <cellStyle name="Normal 3 2 2 17 3 3" xfId="36804" xr:uid="{00000000-0005-0000-0000-0000308F0000}"/>
    <cellStyle name="Normal 3 2 2 17 4" xfId="36805" xr:uid="{00000000-0005-0000-0000-0000318F0000}"/>
    <cellStyle name="Normal 3 2 2 18" xfId="36806" xr:uid="{00000000-0005-0000-0000-0000328F0000}"/>
    <cellStyle name="Normal 3 2 2 18 2" xfId="36807" xr:uid="{00000000-0005-0000-0000-0000338F0000}"/>
    <cellStyle name="Normal 3 2 2 18 2 2" xfId="36808" xr:uid="{00000000-0005-0000-0000-0000348F0000}"/>
    <cellStyle name="Normal 3 2 2 18 2 2 2" xfId="36809" xr:uid="{00000000-0005-0000-0000-0000358F0000}"/>
    <cellStyle name="Normal 3 2 2 18 2 2 3" xfId="36810" xr:uid="{00000000-0005-0000-0000-0000368F0000}"/>
    <cellStyle name="Normal 3 2 2 18 2 3" xfId="36811" xr:uid="{00000000-0005-0000-0000-0000378F0000}"/>
    <cellStyle name="Normal 3 2 2 18 2 4" xfId="36812" xr:uid="{00000000-0005-0000-0000-0000388F0000}"/>
    <cellStyle name="Normal 3 2 2 18 3" xfId="36813" xr:uid="{00000000-0005-0000-0000-0000398F0000}"/>
    <cellStyle name="Normal 3 2 2 18 3 2" xfId="36814" xr:uid="{00000000-0005-0000-0000-00003A8F0000}"/>
    <cellStyle name="Normal 3 2 2 18 3 3" xfId="36815" xr:uid="{00000000-0005-0000-0000-00003B8F0000}"/>
    <cellStyle name="Normal 3 2 2 18 4" xfId="36816" xr:uid="{00000000-0005-0000-0000-00003C8F0000}"/>
    <cellStyle name="Normal 3 2 2 19" xfId="36817" xr:uid="{00000000-0005-0000-0000-00003D8F0000}"/>
    <cellStyle name="Normal 3 2 2 19 2" xfId="36818" xr:uid="{00000000-0005-0000-0000-00003E8F0000}"/>
    <cellStyle name="Normal 3 2 2 19 2 2" xfId="36819" xr:uid="{00000000-0005-0000-0000-00003F8F0000}"/>
    <cellStyle name="Normal 3 2 2 19 2 2 2" xfId="36820" xr:uid="{00000000-0005-0000-0000-0000408F0000}"/>
    <cellStyle name="Normal 3 2 2 19 2 2 3" xfId="36821" xr:uid="{00000000-0005-0000-0000-0000418F0000}"/>
    <cellStyle name="Normal 3 2 2 19 2 3" xfId="36822" xr:uid="{00000000-0005-0000-0000-0000428F0000}"/>
    <cellStyle name="Normal 3 2 2 19 2 4" xfId="36823" xr:uid="{00000000-0005-0000-0000-0000438F0000}"/>
    <cellStyle name="Normal 3 2 2 19 3" xfId="36824" xr:uid="{00000000-0005-0000-0000-0000448F0000}"/>
    <cellStyle name="Normal 3 2 2 19 3 2" xfId="36825" xr:uid="{00000000-0005-0000-0000-0000458F0000}"/>
    <cellStyle name="Normal 3 2 2 19 3 3" xfId="36826" xr:uid="{00000000-0005-0000-0000-0000468F0000}"/>
    <cellStyle name="Normal 3 2 2 19 4" xfId="36827" xr:uid="{00000000-0005-0000-0000-0000478F0000}"/>
    <cellStyle name="Normal 3 2 2 2" xfId="36828" xr:uid="{00000000-0005-0000-0000-0000488F0000}"/>
    <cellStyle name="Normal 3 2 2 2 2" xfId="36829" xr:uid="{00000000-0005-0000-0000-0000498F0000}"/>
    <cellStyle name="Normal 3 2 2 2 2 2" xfId="36830" xr:uid="{00000000-0005-0000-0000-00004A8F0000}"/>
    <cellStyle name="Normal 3 2 2 2 2 2 2" xfId="36831" xr:uid="{00000000-0005-0000-0000-00004B8F0000}"/>
    <cellStyle name="Normal 3 2 2 2 2 2 3" xfId="36832" xr:uid="{00000000-0005-0000-0000-00004C8F0000}"/>
    <cellStyle name="Normal 3 2 2 2 2 3" xfId="36833" xr:uid="{00000000-0005-0000-0000-00004D8F0000}"/>
    <cellStyle name="Normal 3 2 2 2 2 4" xfId="36834" xr:uid="{00000000-0005-0000-0000-00004E8F0000}"/>
    <cellStyle name="Normal 3 2 2 2 3" xfId="36835" xr:uid="{00000000-0005-0000-0000-00004F8F0000}"/>
    <cellStyle name="Normal 3 2 2 2 3 2" xfId="36836" xr:uid="{00000000-0005-0000-0000-0000508F0000}"/>
    <cellStyle name="Normal 3 2 2 2 3 3" xfId="36837" xr:uid="{00000000-0005-0000-0000-0000518F0000}"/>
    <cellStyle name="Normal 3 2 2 2 4" xfId="36838" xr:uid="{00000000-0005-0000-0000-0000528F0000}"/>
    <cellStyle name="Normal 3 2 2 2 5" xfId="36839" xr:uid="{00000000-0005-0000-0000-0000538F0000}"/>
    <cellStyle name="Normal 3 2 2 20" xfId="36840" xr:uid="{00000000-0005-0000-0000-0000548F0000}"/>
    <cellStyle name="Normal 3 2 2 20 2" xfId="36841" xr:uid="{00000000-0005-0000-0000-0000558F0000}"/>
    <cellStyle name="Normal 3 2 2 20 2 2" xfId="36842" xr:uid="{00000000-0005-0000-0000-0000568F0000}"/>
    <cellStyle name="Normal 3 2 2 20 2 2 2" xfId="36843" xr:uid="{00000000-0005-0000-0000-0000578F0000}"/>
    <cellStyle name="Normal 3 2 2 20 2 2 3" xfId="36844" xr:uid="{00000000-0005-0000-0000-0000588F0000}"/>
    <cellStyle name="Normal 3 2 2 20 2 3" xfId="36845" xr:uid="{00000000-0005-0000-0000-0000598F0000}"/>
    <cellStyle name="Normal 3 2 2 20 2 4" xfId="36846" xr:uid="{00000000-0005-0000-0000-00005A8F0000}"/>
    <cellStyle name="Normal 3 2 2 20 3" xfId="36847" xr:uid="{00000000-0005-0000-0000-00005B8F0000}"/>
    <cellStyle name="Normal 3 2 2 20 3 2" xfId="36848" xr:uid="{00000000-0005-0000-0000-00005C8F0000}"/>
    <cellStyle name="Normal 3 2 2 20 3 3" xfId="36849" xr:uid="{00000000-0005-0000-0000-00005D8F0000}"/>
    <cellStyle name="Normal 3 2 2 20 4" xfId="36850" xr:uid="{00000000-0005-0000-0000-00005E8F0000}"/>
    <cellStyle name="Normal 3 2 2 21" xfId="36851" xr:uid="{00000000-0005-0000-0000-00005F8F0000}"/>
    <cellStyle name="Normal 3 2 2 21 2" xfId="36852" xr:uid="{00000000-0005-0000-0000-0000608F0000}"/>
    <cellStyle name="Normal 3 2 2 21 2 2" xfId="36853" xr:uid="{00000000-0005-0000-0000-0000618F0000}"/>
    <cellStyle name="Normal 3 2 2 21 2 2 2" xfId="36854" xr:uid="{00000000-0005-0000-0000-0000628F0000}"/>
    <cellStyle name="Normal 3 2 2 21 2 2 3" xfId="36855" xr:uid="{00000000-0005-0000-0000-0000638F0000}"/>
    <cellStyle name="Normal 3 2 2 21 2 3" xfId="36856" xr:uid="{00000000-0005-0000-0000-0000648F0000}"/>
    <cellStyle name="Normal 3 2 2 21 2 4" xfId="36857" xr:uid="{00000000-0005-0000-0000-0000658F0000}"/>
    <cellStyle name="Normal 3 2 2 21 3" xfId="36858" xr:uid="{00000000-0005-0000-0000-0000668F0000}"/>
    <cellStyle name="Normal 3 2 2 21 3 2" xfId="36859" xr:uid="{00000000-0005-0000-0000-0000678F0000}"/>
    <cellStyle name="Normal 3 2 2 21 3 3" xfId="36860" xr:uid="{00000000-0005-0000-0000-0000688F0000}"/>
    <cellStyle name="Normal 3 2 2 21 4" xfId="36861" xr:uid="{00000000-0005-0000-0000-0000698F0000}"/>
    <cellStyle name="Normal 3 2 2 22" xfId="36862" xr:uid="{00000000-0005-0000-0000-00006A8F0000}"/>
    <cellStyle name="Normal 3 2 2 22 2" xfId="36863" xr:uid="{00000000-0005-0000-0000-00006B8F0000}"/>
    <cellStyle name="Normal 3 2 2 22 2 2" xfId="36864" xr:uid="{00000000-0005-0000-0000-00006C8F0000}"/>
    <cellStyle name="Normal 3 2 2 22 2 2 2" xfId="36865" xr:uid="{00000000-0005-0000-0000-00006D8F0000}"/>
    <cellStyle name="Normal 3 2 2 22 2 2 3" xfId="36866" xr:uid="{00000000-0005-0000-0000-00006E8F0000}"/>
    <cellStyle name="Normal 3 2 2 22 2 3" xfId="36867" xr:uid="{00000000-0005-0000-0000-00006F8F0000}"/>
    <cellStyle name="Normal 3 2 2 22 2 4" xfId="36868" xr:uid="{00000000-0005-0000-0000-0000708F0000}"/>
    <cellStyle name="Normal 3 2 2 22 3" xfId="36869" xr:uid="{00000000-0005-0000-0000-0000718F0000}"/>
    <cellStyle name="Normal 3 2 2 22 3 2" xfId="36870" xr:uid="{00000000-0005-0000-0000-0000728F0000}"/>
    <cellStyle name="Normal 3 2 2 22 3 3" xfId="36871" xr:uid="{00000000-0005-0000-0000-0000738F0000}"/>
    <cellStyle name="Normal 3 2 2 22 4" xfId="36872" xr:uid="{00000000-0005-0000-0000-0000748F0000}"/>
    <cellStyle name="Normal 3 2 2 23" xfId="36873" xr:uid="{00000000-0005-0000-0000-0000758F0000}"/>
    <cellStyle name="Normal 3 2 2 23 2" xfId="36874" xr:uid="{00000000-0005-0000-0000-0000768F0000}"/>
    <cellStyle name="Normal 3 2 2 23 2 2" xfId="36875" xr:uid="{00000000-0005-0000-0000-0000778F0000}"/>
    <cellStyle name="Normal 3 2 2 23 2 2 2" xfId="36876" xr:uid="{00000000-0005-0000-0000-0000788F0000}"/>
    <cellStyle name="Normal 3 2 2 23 2 2 3" xfId="36877" xr:uid="{00000000-0005-0000-0000-0000798F0000}"/>
    <cellStyle name="Normal 3 2 2 23 2 3" xfId="36878" xr:uid="{00000000-0005-0000-0000-00007A8F0000}"/>
    <cellStyle name="Normal 3 2 2 23 2 4" xfId="36879" xr:uid="{00000000-0005-0000-0000-00007B8F0000}"/>
    <cellStyle name="Normal 3 2 2 23 3" xfId="36880" xr:uid="{00000000-0005-0000-0000-00007C8F0000}"/>
    <cellStyle name="Normal 3 2 2 23 3 2" xfId="36881" xr:uid="{00000000-0005-0000-0000-00007D8F0000}"/>
    <cellStyle name="Normal 3 2 2 23 3 3" xfId="36882" xr:uid="{00000000-0005-0000-0000-00007E8F0000}"/>
    <cellStyle name="Normal 3 2 2 23 4" xfId="36883" xr:uid="{00000000-0005-0000-0000-00007F8F0000}"/>
    <cellStyle name="Normal 3 2 2 24" xfId="36884" xr:uid="{00000000-0005-0000-0000-0000808F0000}"/>
    <cellStyle name="Normal 3 2 2 24 2" xfId="36885" xr:uid="{00000000-0005-0000-0000-0000818F0000}"/>
    <cellStyle name="Normal 3 2 2 24 2 2" xfId="36886" xr:uid="{00000000-0005-0000-0000-0000828F0000}"/>
    <cellStyle name="Normal 3 2 2 24 2 2 2" xfId="36887" xr:uid="{00000000-0005-0000-0000-0000838F0000}"/>
    <cellStyle name="Normal 3 2 2 24 2 2 3" xfId="36888" xr:uid="{00000000-0005-0000-0000-0000848F0000}"/>
    <cellStyle name="Normal 3 2 2 24 2 3" xfId="36889" xr:uid="{00000000-0005-0000-0000-0000858F0000}"/>
    <cellStyle name="Normal 3 2 2 24 2 4" xfId="36890" xr:uid="{00000000-0005-0000-0000-0000868F0000}"/>
    <cellStyle name="Normal 3 2 2 24 3" xfId="36891" xr:uid="{00000000-0005-0000-0000-0000878F0000}"/>
    <cellStyle name="Normal 3 2 2 24 3 2" xfId="36892" xr:uid="{00000000-0005-0000-0000-0000888F0000}"/>
    <cellStyle name="Normal 3 2 2 24 3 3" xfId="36893" xr:uid="{00000000-0005-0000-0000-0000898F0000}"/>
    <cellStyle name="Normal 3 2 2 24 4" xfId="36894" xr:uid="{00000000-0005-0000-0000-00008A8F0000}"/>
    <cellStyle name="Normal 3 2 2 25" xfId="36895" xr:uid="{00000000-0005-0000-0000-00008B8F0000}"/>
    <cellStyle name="Normal 3 2 2 25 2" xfId="36896" xr:uid="{00000000-0005-0000-0000-00008C8F0000}"/>
    <cellStyle name="Normal 3 2 2 25 2 2" xfId="36897" xr:uid="{00000000-0005-0000-0000-00008D8F0000}"/>
    <cellStyle name="Normal 3 2 2 25 2 2 2" xfId="36898" xr:uid="{00000000-0005-0000-0000-00008E8F0000}"/>
    <cellStyle name="Normal 3 2 2 25 2 2 3" xfId="36899" xr:uid="{00000000-0005-0000-0000-00008F8F0000}"/>
    <cellStyle name="Normal 3 2 2 25 2 3" xfId="36900" xr:uid="{00000000-0005-0000-0000-0000908F0000}"/>
    <cellStyle name="Normal 3 2 2 25 2 4" xfId="36901" xr:uid="{00000000-0005-0000-0000-0000918F0000}"/>
    <cellStyle name="Normal 3 2 2 25 3" xfId="36902" xr:uid="{00000000-0005-0000-0000-0000928F0000}"/>
    <cellStyle name="Normal 3 2 2 25 3 2" xfId="36903" xr:uid="{00000000-0005-0000-0000-0000938F0000}"/>
    <cellStyle name="Normal 3 2 2 25 3 3" xfId="36904" xr:uid="{00000000-0005-0000-0000-0000948F0000}"/>
    <cellStyle name="Normal 3 2 2 25 4" xfId="36905" xr:uid="{00000000-0005-0000-0000-0000958F0000}"/>
    <cellStyle name="Normal 3 2 2 26" xfId="36906" xr:uid="{00000000-0005-0000-0000-0000968F0000}"/>
    <cellStyle name="Normal 3 2 2 26 2" xfId="36907" xr:uid="{00000000-0005-0000-0000-0000978F0000}"/>
    <cellStyle name="Normal 3 2 2 26 2 2" xfId="36908" xr:uid="{00000000-0005-0000-0000-0000988F0000}"/>
    <cellStyle name="Normal 3 2 2 26 2 2 2" xfId="36909" xr:uid="{00000000-0005-0000-0000-0000998F0000}"/>
    <cellStyle name="Normal 3 2 2 26 2 2 3" xfId="36910" xr:uid="{00000000-0005-0000-0000-00009A8F0000}"/>
    <cellStyle name="Normal 3 2 2 26 2 3" xfId="36911" xr:uid="{00000000-0005-0000-0000-00009B8F0000}"/>
    <cellStyle name="Normal 3 2 2 26 2 4" xfId="36912" xr:uid="{00000000-0005-0000-0000-00009C8F0000}"/>
    <cellStyle name="Normal 3 2 2 26 3" xfId="36913" xr:uid="{00000000-0005-0000-0000-00009D8F0000}"/>
    <cellStyle name="Normal 3 2 2 26 3 2" xfId="36914" xr:uid="{00000000-0005-0000-0000-00009E8F0000}"/>
    <cellStyle name="Normal 3 2 2 26 3 3" xfId="36915" xr:uid="{00000000-0005-0000-0000-00009F8F0000}"/>
    <cellStyle name="Normal 3 2 2 26 4" xfId="36916" xr:uid="{00000000-0005-0000-0000-0000A08F0000}"/>
    <cellStyle name="Normal 3 2 2 27" xfId="36917" xr:uid="{00000000-0005-0000-0000-0000A18F0000}"/>
    <cellStyle name="Normal 3 2 2 27 2" xfId="36918" xr:uid="{00000000-0005-0000-0000-0000A28F0000}"/>
    <cellStyle name="Normal 3 2 2 27 2 2" xfId="36919" xr:uid="{00000000-0005-0000-0000-0000A38F0000}"/>
    <cellStyle name="Normal 3 2 2 27 2 2 2" xfId="36920" xr:uid="{00000000-0005-0000-0000-0000A48F0000}"/>
    <cellStyle name="Normal 3 2 2 27 2 2 3" xfId="36921" xr:uid="{00000000-0005-0000-0000-0000A58F0000}"/>
    <cellStyle name="Normal 3 2 2 27 2 3" xfId="36922" xr:uid="{00000000-0005-0000-0000-0000A68F0000}"/>
    <cellStyle name="Normal 3 2 2 27 2 4" xfId="36923" xr:uid="{00000000-0005-0000-0000-0000A78F0000}"/>
    <cellStyle name="Normal 3 2 2 27 3" xfId="36924" xr:uid="{00000000-0005-0000-0000-0000A88F0000}"/>
    <cellStyle name="Normal 3 2 2 27 3 2" xfId="36925" xr:uid="{00000000-0005-0000-0000-0000A98F0000}"/>
    <cellStyle name="Normal 3 2 2 27 3 3" xfId="36926" xr:uid="{00000000-0005-0000-0000-0000AA8F0000}"/>
    <cellStyle name="Normal 3 2 2 27 4" xfId="36927" xr:uid="{00000000-0005-0000-0000-0000AB8F0000}"/>
    <cellStyle name="Normal 3 2 2 28" xfId="36928" xr:uid="{00000000-0005-0000-0000-0000AC8F0000}"/>
    <cellStyle name="Normal 3 2 2 28 2" xfId="36929" xr:uid="{00000000-0005-0000-0000-0000AD8F0000}"/>
    <cellStyle name="Normal 3 2 2 28 2 2" xfId="36930" xr:uid="{00000000-0005-0000-0000-0000AE8F0000}"/>
    <cellStyle name="Normal 3 2 2 28 2 2 2" xfId="36931" xr:uid="{00000000-0005-0000-0000-0000AF8F0000}"/>
    <cellStyle name="Normal 3 2 2 28 2 2 3" xfId="36932" xr:uid="{00000000-0005-0000-0000-0000B08F0000}"/>
    <cellStyle name="Normal 3 2 2 28 2 3" xfId="36933" xr:uid="{00000000-0005-0000-0000-0000B18F0000}"/>
    <cellStyle name="Normal 3 2 2 28 2 4" xfId="36934" xr:uid="{00000000-0005-0000-0000-0000B28F0000}"/>
    <cellStyle name="Normal 3 2 2 28 3" xfId="36935" xr:uid="{00000000-0005-0000-0000-0000B38F0000}"/>
    <cellStyle name="Normal 3 2 2 28 3 2" xfId="36936" xr:uid="{00000000-0005-0000-0000-0000B48F0000}"/>
    <cellStyle name="Normal 3 2 2 28 3 3" xfId="36937" xr:uid="{00000000-0005-0000-0000-0000B58F0000}"/>
    <cellStyle name="Normal 3 2 2 28 4" xfId="36938" xr:uid="{00000000-0005-0000-0000-0000B68F0000}"/>
    <cellStyle name="Normal 3 2 2 29" xfId="36939" xr:uid="{00000000-0005-0000-0000-0000B78F0000}"/>
    <cellStyle name="Normal 3 2 2 29 2" xfId="36940" xr:uid="{00000000-0005-0000-0000-0000B88F0000}"/>
    <cellStyle name="Normal 3 2 2 29 2 2" xfId="36941" xr:uid="{00000000-0005-0000-0000-0000B98F0000}"/>
    <cellStyle name="Normal 3 2 2 29 2 2 2" xfId="36942" xr:uid="{00000000-0005-0000-0000-0000BA8F0000}"/>
    <cellStyle name="Normal 3 2 2 29 2 2 3" xfId="36943" xr:uid="{00000000-0005-0000-0000-0000BB8F0000}"/>
    <cellStyle name="Normal 3 2 2 29 2 3" xfId="36944" xr:uid="{00000000-0005-0000-0000-0000BC8F0000}"/>
    <cellStyle name="Normal 3 2 2 29 2 4" xfId="36945" xr:uid="{00000000-0005-0000-0000-0000BD8F0000}"/>
    <cellStyle name="Normal 3 2 2 29 3" xfId="36946" xr:uid="{00000000-0005-0000-0000-0000BE8F0000}"/>
    <cellStyle name="Normal 3 2 2 29 3 2" xfId="36947" xr:uid="{00000000-0005-0000-0000-0000BF8F0000}"/>
    <cellStyle name="Normal 3 2 2 29 3 3" xfId="36948" xr:uid="{00000000-0005-0000-0000-0000C08F0000}"/>
    <cellStyle name="Normal 3 2 2 29 4" xfId="36949" xr:uid="{00000000-0005-0000-0000-0000C18F0000}"/>
    <cellStyle name="Normal 3 2 2 3" xfId="36950" xr:uid="{00000000-0005-0000-0000-0000C28F0000}"/>
    <cellStyle name="Normal 3 2 2 3 2" xfId="36951" xr:uid="{00000000-0005-0000-0000-0000C38F0000}"/>
    <cellStyle name="Normal 3 2 2 3 2 2" xfId="36952" xr:uid="{00000000-0005-0000-0000-0000C48F0000}"/>
    <cellStyle name="Normal 3 2 2 3 2 2 2" xfId="36953" xr:uid="{00000000-0005-0000-0000-0000C58F0000}"/>
    <cellStyle name="Normal 3 2 2 3 2 2 3" xfId="36954" xr:uid="{00000000-0005-0000-0000-0000C68F0000}"/>
    <cellStyle name="Normal 3 2 2 3 2 3" xfId="36955" xr:uid="{00000000-0005-0000-0000-0000C78F0000}"/>
    <cellStyle name="Normal 3 2 2 3 2 4" xfId="36956" xr:uid="{00000000-0005-0000-0000-0000C88F0000}"/>
    <cellStyle name="Normal 3 2 2 3 3" xfId="36957" xr:uid="{00000000-0005-0000-0000-0000C98F0000}"/>
    <cellStyle name="Normal 3 2 2 3 3 2" xfId="36958" xr:uid="{00000000-0005-0000-0000-0000CA8F0000}"/>
    <cellStyle name="Normal 3 2 2 3 3 3" xfId="36959" xr:uid="{00000000-0005-0000-0000-0000CB8F0000}"/>
    <cellStyle name="Normal 3 2 2 3 4" xfId="36960" xr:uid="{00000000-0005-0000-0000-0000CC8F0000}"/>
    <cellStyle name="Normal 3 2 2 3 5" xfId="36961" xr:uid="{00000000-0005-0000-0000-0000CD8F0000}"/>
    <cellStyle name="Normal 3 2 2 30" xfId="36962" xr:uid="{00000000-0005-0000-0000-0000CE8F0000}"/>
    <cellStyle name="Normal 3 2 2 30 2" xfId="36963" xr:uid="{00000000-0005-0000-0000-0000CF8F0000}"/>
    <cellStyle name="Normal 3 2 2 30 2 2" xfId="36964" xr:uid="{00000000-0005-0000-0000-0000D08F0000}"/>
    <cellStyle name="Normal 3 2 2 30 2 2 2" xfId="36965" xr:uid="{00000000-0005-0000-0000-0000D18F0000}"/>
    <cellStyle name="Normal 3 2 2 30 2 2 3" xfId="36966" xr:uid="{00000000-0005-0000-0000-0000D28F0000}"/>
    <cellStyle name="Normal 3 2 2 30 2 3" xfId="36967" xr:uid="{00000000-0005-0000-0000-0000D38F0000}"/>
    <cellStyle name="Normal 3 2 2 30 2 4" xfId="36968" xr:uid="{00000000-0005-0000-0000-0000D48F0000}"/>
    <cellStyle name="Normal 3 2 2 30 3" xfId="36969" xr:uid="{00000000-0005-0000-0000-0000D58F0000}"/>
    <cellStyle name="Normal 3 2 2 30 3 2" xfId="36970" xr:uid="{00000000-0005-0000-0000-0000D68F0000}"/>
    <cellStyle name="Normal 3 2 2 30 3 3" xfId="36971" xr:uid="{00000000-0005-0000-0000-0000D78F0000}"/>
    <cellStyle name="Normal 3 2 2 30 4" xfId="36972" xr:uid="{00000000-0005-0000-0000-0000D88F0000}"/>
    <cellStyle name="Normal 3 2 2 31" xfId="36973" xr:uid="{00000000-0005-0000-0000-0000D98F0000}"/>
    <cellStyle name="Normal 3 2 2 31 2" xfId="36974" xr:uid="{00000000-0005-0000-0000-0000DA8F0000}"/>
    <cellStyle name="Normal 3 2 2 31 2 2" xfId="36975" xr:uid="{00000000-0005-0000-0000-0000DB8F0000}"/>
    <cellStyle name="Normal 3 2 2 31 2 2 2" xfId="36976" xr:uid="{00000000-0005-0000-0000-0000DC8F0000}"/>
    <cellStyle name="Normal 3 2 2 31 2 2 3" xfId="36977" xr:uid="{00000000-0005-0000-0000-0000DD8F0000}"/>
    <cellStyle name="Normal 3 2 2 31 2 3" xfId="36978" xr:uid="{00000000-0005-0000-0000-0000DE8F0000}"/>
    <cellStyle name="Normal 3 2 2 31 2 4" xfId="36979" xr:uid="{00000000-0005-0000-0000-0000DF8F0000}"/>
    <cellStyle name="Normal 3 2 2 31 3" xfId="36980" xr:uid="{00000000-0005-0000-0000-0000E08F0000}"/>
    <cellStyle name="Normal 3 2 2 31 3 2" xfId="36981" xr:uid="{00000000-0005-0000-0000-0000E18F0000}"/>
    <cellStyle name="Normal 3 2 2 31 3 3" xfId="36982" xr:uid="{00000000-0005-0000-0000-0000E28F0000}"/>
    <cellStyle name="Normal 3 2 2 31 4" xfId="36983" xr:uid="{00000000-0005-0000-0000-0000E38F0000}"/>
    <cellStyle name="Normal 3 2 2 32" xfId="36984" xr:uid="{00000000-0005-0000-0000-0000E48F0000}"/>
    <cellStyle name="Normal 3 2 2 32 2" xfId="36985" xr:uid="{00000000-0005-0000-0000-0000E58F0000}"/>
    <cellStyle name="Normal 3 2 2 32 2 2" xfId="36986" xr:uid="{00000000-0005-0000-0000-0000E68F0000}"/>
    <cellStyle name="Normal 3 2 2 32 2 2 2" xfId="36987" xr:uid="{00000000-0005-0000-0000-0000E78F0000}"/>
    <cellStyle name="Normal 3 2 2 32 2 2 3" xfId="36988" xr:uid="{00000000-0005-0000-0000-0000E88F0000}"/>
    <cellStyle name="Normal 3 2 2 32 2 3" xfId="36989" xr:uid="{00000000-0005-0000-0000-0000E98F0000}"/>
    <cellStyle name="Normal 3 2 2 32 2 4" xfId="36990" xr:uid="{00000000-0005-0000-0000-0000EA8F0000}"/>
    <cellStyle name="Normal 3 2 2 32 3" xfId="36991" xr:uid="{00000000-0005-0000-0000-0000EB8F0000}"/>
    <cellStyle name="Normal 3 2 2 32 3 2" xfId="36992" xr:uid="{00000000-0005-0000-0000-0000EC8F0000}"/>
    <cellStyle name="Normal 3 2 2 32 3 3" xfId="36993" xr:uid="{00000000-0005-0000-0000-0000ED8F0000}"/>
    <cellStyle name="Normal 3 2 2 32 4" xfId="36994" xr:uid="{00000000-0005-0000-0000-0000EE8F0000}"/>
    <cellStyle name="Normal 3 2 2 33" xfId="36995" xr:uid="{00000000-0005-0000-0000-0000EF8F0000}"/>
    <cellStyle name="Normal 3 2 2 33 2" xfId="36996" xr:uid="{00000000-0005-0000-0000-0000F08F0000}"/>
    <cellStyle name="Normal 3 2 2 33 2 2" xfId="36997" xr:uid="{00000000-0005-0000-0000-0000F18F0000}"/>
    <cellStyle name="Normal 3 2 2 33 2 2 2" xfId="36998" xr:uid="{00000000-0005-0000-0000-0000F28F0000}"/>
    <cellStyle name="Normal 3 2 2 33 2 2 3" xfId="36999" xr:uid="{00000000-0005-0000-0000-0000F38F0000}"/>
    <cellStyle name="Normal 3 2 2 33 2 3" xfId="37000" xr:uid="{00000000-0005-0000-0000-0000F48F0000}"/>
    <cellStyle name="Normal 3 2 2 33 2 4" xfId="37001" xr:uid="{00000000-0005-0000-0000-0000F58F0000}"/>
    <cellStyle name="Normal 3 2 2 33 3" xfId="37002" xr:uid="{00000000-0005-0000-0000-0000F68F0000}"/>
    <cellStyle name="Normal 3 2 2 33 3 2" xfId="37003" xr:uid="{00000000-0005-0000-0000-0000F78F0000}"/>
    <cellStyle name="Normal 3 2 2 33 3 3" xfId="37004" xr:uid="{00000000-0005-0000-0000-0000F88F0000}"/>
    <cellStyle name="Normal 3 2 2 33 4" xfId="37005" xr:uid="{00000000-0005-0000-0000-0000F98F0000}"/>
    <cellStyle name="Normal 3 2 2 34" xfId="37006" xr:uid="{00000000-0005-0000-0000-0000FA8F0000}"/>
    <cellStyle name="Normal 3 2 2 34 2" xfId="37007" xr:uid="{00000000-0005-0000-0000-0000FB8F0000}"/>
    <cellStyle name="Normal 3 2 2 34 2 2" xfId="37008" xr:uid="{00000000-0005-0000-0000-0000FC8F0000}"/>
    <cellStyle name="Normal 3 2 2 34 2 3" xfId="37009" xr:uid="{00000000-0005-0000-0000-0000FD8F0000}"/>
    <cellStyle name="Normal 3 2 2 34 3" xfId="37010" xr:uid="{00000000-0005-0000-0000-0000FE8F0000}"/>
    <cellStyle name="Normal 3 2 2 34 4" xfId="37011" xr:uid="{00000000-0005-0000-0000-0000FF8F0000}"/>
    <cellStyle name="Normal 3 2 2 35" xfId="37012" xr:uid="{00000000-0005-0000-0000-000000900000}"/>
    <cellStyle name="Normal 3 2 2 35 2" xfId="37013" xr:uid="{00000000-0005-0000-0000-000001900000}"/>
    <cellStyle name="Normal 3 2 2 35 3" xfId="37014" xr:uid="{00000000-0005-0000-0000-000002900000}"/>
    <cellStyle name="Normal 3 2 2 36" xfId="37015" xr:uid="{00000000-0005-0000-0000-000003900000}"/>
    <cellStyle name="Normal 3 2 2 36 2" xfId="37016" xr:uid="{00000000-0005-0000-0000-000004900000}"/>
    <cellStyle name="Normal 3 2 2 37" xfId="37017" xr:uid="{00000000-0005-0000-0000-000005900000}"/>
    <cellStyle name="Normal 3 2 2 4" xfId="37018" xr:uid="{00000000-0005-0000-0000-000006900000}"/>
    <cellStyle name="Normal 3 2 2 4 2" xfId="37019" xr:uid="{00000000-0005-0000-0000-000007900000}"/>
    <cellStyle name="Normal 3 2 2 4 2 2" xfId="37020" xr:uid="{00000000-0005-0000-0000-000008900000}"/>
    <cellStyle name="Normal 3 2 2 4 2 2 2" xfId="37021" xr:uid="{00000000-0005-0000-0000-000009900000}"/>
    <cellStyle name="Normal 3 2 2 4 2 2 3" xfId="37022" xr:uid="{00000000-0005-0000-0000-00000A900000}"/>
    <cellStyle name="Normal 3 2 2 4 2 3" xfId="37023" xr:uid="{00000000-0005-0000-0000-00000B900000}"/>
    <cellStyle name="Normal 3 2 2 4 2 4" xfId="37024" xr:uid="{00000000-0005-0000-0000-00000C900000}"/>
    <cellStyle name="Normal 3 2 2 4 3" xfId="37025" xr:uid="{00000000-0005-0000-0000-00000D900000}"/>
    <cellStyle name="Normal 3 2 2 4 3 2" xfId="37026" xr:uid="{00000000-0005-0000-0000-00000E900000}"/>
    <cellStyle name="Normal 3 2 2 4 3 3" xfId="37027" xr:uid="{00000000-0005-0000-0000-00000F900000}"/>
    <cellStyle name="Normal 3 2 2 4 4" xfId="37028" xr:uid="{00000000-0005-0000-0000-000010900000}"/>
    <cellStyle name="Normal 3 2 2 5" xfId="37029" xr:uid="{00000000-0005-0000-0000-000011900000}"/>
    <cellStyle name="Normal 3 2 2 5 2" xfId="37030" xr:uid="{00000000-0005-0000-0000-000012900000}"/>
    <cellStyle name="Normal 3 2 2 5 2 2" xfId="37031" xr:uid="{00000000-0005-0000-0000-000013900000}"/>
    <cellStyle name="Normal 3 2 2 5 2 2 2" xfId="37032" xr:uid="{00000000-0005-0000-0000-000014900000}"/>
    <cellStyle name="Normal 3 2 2 5 2 2 3" xfId="37033" xr:uid="{00000000-0005-0000-0000-000015900000}"/>
    <cellStyle name="Normal 3 2 2 5 2 3" xfId="37034" xr:uid="{00000000-0005-0000-0000-000016900000}"/>
    <cellStyle name="Normal 3 2 2 5 2 4" xfId="37035" xr:uid="{00000000-0005-0000-0000-000017900000}"/>
    <cellStyle name="Normal 3 2 2 5 3" xfId="37036" xr:uid="{00000000-0005-0000-0000-000018900000}"/>
    <cellStyle name="Normal 3 2 2 5 3 2" xfId="37037" xr:uid="{00000000-0005-0000-0000-000019900000}"/>
    <cellStyle name="Normal 3 2 2 5 3 3" xfId="37038" xr:uid="{00000000-0005-0000-0000-00001A900000}"/>
    <cellStyle name="Normal 3 2 2 5 4" xfId="37039" xr:uid="{00000000-0005-0000-0000-00001B900000}"/>
    <cellStyle name="Normal 3 2 2 6" xfId="37040" xr:uid="{00000000-0005-0000-0000-00001C900000}"/>
    <cellStyle name="Normal 3 2 2 6 2" xfId="37041" xr:uid="{00000000-0005-0000-0000-00001D900000}"/>
    <cellStyle name="Normal 3 2 2 6 2 2" xfId="37042" xr:uid="{00000000-0005-0000-0000-00001E900000}"/>
    <cellStyle name="Normal 3 2 2 6 2 2 2" xfId="37043" xr:uid="{00000000-0005-0000-0000-00001F900000}"/>
    <cellStyle name="Normal 3 2 2 6 2 2 3" xfId="37044" xr:uid="{00000000-0005-0000-0000-000020900000}"/>
    <cellStyle name="Normal 3 2 2 6 2 3" xfId="37045" xr:uid="{00000000-0005-0000-0000-000021900000}"/>
    <cellStyle name="Normal 3 2 2 6 2 4" xfId="37046" xr:uid="{00000000-0005-0000-0000-000022900000}"/>
    <cellStyle name="Normal 3 2 2 6 3" xfId="37047" xr:uid="{00000000-0005-0000-0000-000023900000}"/>
    <cellStyle name="Normal 3 2 2 6 3 2" xfId="37048" xr:uid="{00000000-0005-0000-0000-000024900000}"/>
    <cellStyle name="Normal 3 2 2 6 3 3" xfId="37049" xr:uid="{00000000-0005-0000-0000-000025900000}"/>
    <cellStyle name="Normal 3 2 2 6 4" xfId="37050" xr:uid="{00000000-0005-0000-0000-000026900000}"/>
    <cellStyle name="Normal 3 2 2 7" xfId="37051" xr:uid="{00000000-0005-0000-0000-000027900000}"/>
    <cellStyle name="Normal 3 2 2 7 2" xfId="37052" xr:uid="{00000000-0005-0000-0000-000028900000}"/>
    <cellStyle name="Normal 3 2 2 7 2 2" xfId="37053" xr:uid="{00000000-0005-0000-0000-000029900000}"/>
    <cellStyle name="Normal 3 2 2 7 2 2 2" xfId="37054" xr:uid="{00000000-0005-0000-0000-00002A900000}"/>
    <cellStyle name="Normal 3 2 2 7 2 2 3" xfId="37055" xr:uid="{00000000-0005-0000-0000-00002B900000}"/>
    <cellStyle name="Normal 3 2 2 7 2 3" xfId="37056" xr:uid="{00000000-0005-0000-0000-00002C900000}"/>
    <cellStyle name="Normal 3 2 2 7 2 4" xfId="37057" xr:uid="{00000000-0005-0000-0000-00002D900000}"/>
    <cellStyle name="Normal 3 2 2 7 3" xfId="37058" xr:uid="{00000000-0005-0000-0000-00002E900000}"/>
    <cellStyle name="Normal 3 2 2 7 3 2" xfId="37059" xr:uid="{00000000-0005-0000-0000-00002F900000}"/>
    <cellStyle name="Normal 3 2 2 7 3 3" xfId="37060" xr:uid="{00000000-0005-0000-0000-000030900000}"/>
    <cellStyle name="Normal 3 2 2 7 4" xfId="37061" xr:uid="{00000000-0005-0000-0000-000031900000}"/>
    <cellStyle name="Normal 3 2 2 8" xfId="37062" xr:uid="{00000000-0005-0000-0000-000032900000}"/>
    <cellStyle name="Normal 3 2 2 8 2" xfId="37063" xr:uid="{00000000-0005-0000-0000-000033900000}"/>
    <cellStyle name="Normal 3 2 2 8 2 2" xfId="37064" xr:uid="{00000000-0005-0000-0000-000034900000}"/>
    <cellStyle name="Normal 3 2 2 8 2 2 2" xfId="37065" xr:uid="{00000000-0005-0000-0000-000035900000}"/>
    <cellStyle name="Normal 3 2 2 8 2 2 3" xfId="37066" xr:uid="{00000000-0005-0000-0000-000036900000}"/>
    <cellStyle name="Normal 3 2 2 8 2 3" xfId="37067" xr:uid="{00000000-0005-0000-0000-000037900000}"/>
    <cellStyle name="Normal 3 2 2 8 2 4" xfId="37068" xr:uid="{00000000-0005-0000-0000-000038900000}"/>
    <cellStyle name="Normal 3 2 2 8 3" xfId="37069" xr:uid="{00000000-0005-0000-0000-000039900000}"/>
    <cellStyle name="Normal 3 2 2 8 3 2" xfId="37070" xr:uid="{00000000-0005-0000-0000-00003A900000}"/>
    <cellStyle name="Normal 3 2 2 8 3 3" xfId="37071" xr:uid="{00000000-0005-0000-0000-00003B900000}"/>
    <cellStyle name="Normal 3 2 2 8 4" xfId="37072" xr:uid="{00000000-0005-0000-0000-00003C900000}"/>
    <cellStyle name="Normal 3 2 2 9" xfId="37073" xr:uid="{00000000-0005-0000-0000-00003D900000}"/>
    <cellStyle name="Normal 3 2 2 9 2" xfId="37074" xr:uid="{00000000-0005-0000-0000-00003E900000}"/>
    <cellStyle name="Normal 3 2 2 9 2 2" xfId="37075" xr:uid="{00000000-0005-0000-0000-00003F900000}"/>
    <cellStyle name="Normal 3 2 2 9 2 2 2" xfId="37076" xr:uid="{00000000-0005-0000-0000-000040900000}"/>
    <cellStyle name="Normal 3 2 2 9 2 2 3" xfId="37077" xr:uid="{00000000-0005-0000-0000-000041900000}"/>
    <cellStyle name="Normal 3 2 2 9 2 3" xfId="37078" xr:uid="{00000000-0005-0000-0000-000042900000}"/>
    <cellStyle name="Normal 3 2 2 9 2 4" xfId="37079" xr:uid="{00000000-0005-0000-0000-000043900000}"/>
    <cellStyle name="Normal 3 2 2 9 3" xfId="37080" xr:uid="{00000000-0005-0000-0000-000044900000}"/>
    <cellStyle name="Normal 3 2 2 9 3 2" xfId="37081" xr:uid="{00000000-0005-0000-0000-000045900000}"/>
    <cellStyle name="Normal 3 2 2 9 3 3" xfId="37082" xr:uid="{00000000-0005-0000-0000-000046900000}"/>
    <cellStyle name="Normal 3 2 2 9 4" xfId="37083" xr:uid="{00000000-0005-0000-0000-000047900000}"/>
    <cellStyle name="Normal 3 2 20" xfId="37084" xr:uid="{00000000-0005-0000-0000-000048900000}"/>
    <cellStyle name="Normal 3 2 20 2" xfId="37085" xr:uid="{00000000-0005-0000-0000-000049900000}"/>
    <cellStyle name="Normal 3 2 20 2 2" xfId="37086" xr:uid="{00000000-0005-0000-0000-00004A900000}"/>
    <cellStyle name="Normal 3 2 20 2 2 2" xfId="37087" xr:uid="{00000000-0005-0000-0000-00004B900000}"/>
    <cellStyle name="Normal 3 2 20 2 2 3" xfId="37088" xr:uid="{00000000-0005-0000-0000-00004C900000}"/>
    <cellStyle name="Normal 3 2 20 2 3" xfId="37089" xr:uid="{00000000-0005-0000-0000-00004D900000}"/>
    <cellStyle name="Normal 3 2 20 2 4" xfId="37090" xr:uid="{00000000-0005-0000-0000-00004E900000}"/>
    <cellStyle name="Normal 3 2 20 3" xfId="37091" xr:uid="{00000000-0005-0000-0000-00004F900000}"/>
    <cellStyle name="Normal 3 2 20 3 2" xfId="37092" xr:uid="{00000000-0005-0000-0000-000050900000}"/>
    <cellStyle name="Normal 3 2 20 3 3" xfId="37093" xr:uid="{00000000-0005-0000-0000-000051900000}"/>
    <cellStyle name="Normal 3 2 20 4" xfId="37094" xr:uid="{00000000-0005-0000-0000-000052900000}"/>
    <cellStyle name="Normal 3 2 21" xfId="37095" xr:uid="{00000000-0005-0000-0000-000053900000}"/>
    <cellStyle name="Normal 3 2 21 2" xfId="37096" xr:uid="{00000000-0005-0000-0000-000054900000}"/>
    <cellStyle name="Normal 3 2 21 2 2" xfId="37097" xr:uid="{00000000-0005-0000-0000-000055900000}"/>
    <cellStyle name="Normal 3 2 21 2 2 2" xfId="37098" xr:uid="{00000000-0005-0000-0000-000056900000}"/>
    <cellStyle name="Normal 3 2 21 2 2 3" xfId="37099" xr:uid="{00000000-0005-0000-0000-000057900000}"/>
    <cellStyle name="Normal 3 2 21 2 3" xfId="37100" xr:uid="{00000000-0005-0000-0000-000058900000}"/>
    <cellStyle name="Normal 3 2 21 2 4" xfId="37101" xr:uid="{00000000-0005-0000-0000-000059900000}"/>
    <cellStyle name="Normal 3 2 21 3" xfId="37102" xr:uid="{00000000-0005-0000-0000-00005A900000}"/>
    <cellStyle name="Normal 3 2 21 3 2" xfId="37103" xr:uid="{00000000-0005-0000-0000-00005B900000}"/>
    <cellStyle name="Normal 3 2 21 3 3" xfId="37104" xr:uid="{00000000-0005-0000-0000-00005C900000}"/>
    <cellStyle name="Normal 3 2 21 4" xfId="37105" xr:uid="{00000000-0005-0000-0000-00005D900000}"/>
    <cellStyle name="Normal 3 2 22" xfId="37106" xr:uid="{00000000-0005-0000-0000-00005E900000}"/>
    <cellStyle name="Normal 3 2 22 2" xfId="37107" xr:uid="{00000000-0005-0000-0000-00005F900000}"/>
    <cellStyle name="Normal 3 2 22 2 2" xfId="37108" xr:uid="{00000000-0005-0000-0000-000060900000}"/>
    <cellStyle name="Normal 3 2 22 2 2 2" xfId="37109" xr:uid="{00000000-0005-0000-0000-000061900000}"/>
    <cellStyle name="Normal 3 2 22 2 2 3" xfId="37110" xr:uid="{00000000-0005-0000-0000-000062900000}"/>
    <cellStyle name="Normal 3 2 22 2 3" xfId="37111" xr:uid="{00000000-0005-0000-0000-000063900000}"/>
    <cellStyle name="Normal 3 2 22 2 4" xfId="37112" xr:uid="{00000000-0005-0000-0000-000064900000}"/>
    <cellStyle name="Normal 3 2 22 3" xfId="37113" xr:uid="{00000000-0005-0000-0000-000065900000}"/>
    <cellStyle name="Normal 3 2 22 3 2" xfId="37114" xr:uid="{00000000-0005-0000-0000-000066900000}"/>
    <cellStyle name="Normal 3 2 22 3 3" xfId="37115" xr:uid="{00000000-0005-0000-0000-000067900000}"/>
    <cellStyle name="Normal 3 2 22 4" xfId="37116" xr:uid="{00000000-0005-0000-0000-000068900000}"/>
    <cellStyle name="Normal 3 2 23" xfId="37117" xr:uid="{00000000-0005-0000-0000-000069900000}"/>
    <cellStyle name="Normal 3 2 23 2" xfId="37118" xr:uid="{00000000-0005-0000-0000-00006A900000}"/>
    <cellStyle name="Normal 3 2 23 2 2" xfId="37119" xr:uid="{00000000-0005-0000-0000-00006B900000}"/>
    <cellStyle name="Normal 3 2 23 2 2 2" xfId="37120" xr:uid="{00000000-0005-0000-0000-00006C900000}"/>
    <cellStyle name="Normal 3 2 23 2 2 3" xfId="37121" xr:uid="{00000000-0005-0000-0000-00006D900000}"/>
    <cellStyle name="Normal 3 2 23 2 3" xfId="37122" xr:uid="{00000000-0005-0000-0000-00006E900000}"/>
    <cellStyle name="Normal 3 2 23 2 4" xfId="37123" xr:uid="{00000000-0005-0000-0000-00006F900000}"/>
    <cellStyle name="Normal 3 2 23 3" xfId="37124" xr:uid="{00000000-0005-0000-0000-000070900000}"/>
    <cellStyle name="Normal 3 2 23 3 2" xfId="37125" xr:uid="{00000000-0005-0000-0000-000071900000}"/>
    <cellStyle name="Normal 3 2 23 3 3" xfId="37126" xr:uid="{00000000-0005-0000-0000-000072900000}"/>
    <cellStyle name="Normal 3 2 23 4" xfId="37127" xr:uid="{00000000-0005-0000-0000-000073900000}"/>
    <cellStyle name="Normal 3 2 24" xfId="37128" xr:uid="{00000000-0005-0000-0000-000074900000}"/>
    <cellStyle name="Normal 3 2 24 2" xfId="37129" xr:uid="{00000000-0005-0000-0000-000075900000}"/>
    <cellStyle name="Normal 3 2 24 2 2" xfId="37130" xr:uid="{00000000-0005-0000-0000-000076900000}"/>
    <cellStyle name="Normal 3 2 24 2 2 2" xfId="37131" xr:uid="{00000000-0005-0000-0000-000077900000}"/>
    <cellStyle name="Normal 3 2 24 2 2 3" xfId="37132" xr:uid="{00000000-0005-0000-0000-000078900000}"/>
    <cellStyle name="Normal 3 2 24 2 3" xfId="37133" xr:uid="{00000000-0005-0000-0000-000079900000}"/>
    <cellStyle name="Normal 3 2 24 2 4" xfId="37134" xr:uid="{00000000-0005-0000-0000-00007A900000}"/>
    <cellStyle name="Normal 3 2 24 3" xfId="37135" xr:uid="{00000000-0005-0000-0000-00007B900000}"/>
    <cellStyle name="Normal 3 2 24 3 2" xfId="37136" xr:uid="{00000000-0005-0000-0000-00007C900000}"/>
    <cellStyle name="Normal 3 2 24 3 3" xfId="37137" xr:uid="{00000000-0005-0000-0000-00007D900000}"/>
    <cellStyle name="Normal 3 2 24 4" xfId="37138" xr:uid="{00000000-0005-0000-0000-00007E900000}"/>
    <cellStyle name="Normal 3 2 25" xfId="37139" xr:uid="{00000000-0005-0000-0000-00007F900000}"/>
    <cellStyle name="Normal 3 2 25 2" xfId="37140" xr:uid="{00000000-0005-0000-0000-000080900000}"/>
    <cellStyle name="Normal 3 2 25 2 2" xfId="37141" xr:uid="{00000000-0005-0000-0000-000081900000}"/>
    <cellStyle name="Normal 3 2 25 2 2 2" xfId="37142" xr:uid="{00000000-0005-0000-0000-000082900000}"/>
    <cellStyle name="Normal 3 2 25 2 2 3" xfId="37143" xr:uid="{00000000-0005-0000-0000-000083900000}"/>
    <cellStyle name="Normal 3 2 25 2 3" xfId="37144" xr:uid="{00000000-0005-0000-0000-000084900000}"/>
    <cellStyle name="Normal 3 2 25 2 4" xfId="37145" xr:uid="{00000000-0005-0000-0000-000085900000}"/>
    <cellStyle name="Normal 3 2 25 3" xfId="37146" xr:uid="{00000000-0005-0000-0000-000086900000}"/>
    <cellStyle name="Normal 3 2 25 3 2" xfId="37147" xr:uid="{00000000-0005-0000-0000-000087900000}"/>
    <cellStyle name="Normal 3 2 25 3 3" xfId="37148" xr:uid="{00000000-0005-0000-0000-000088900000}"/>
    <cellStyle name="Normal 3 2 25 4" xfId="37149" xr:uid="{00000000-0005-0000-0000-000089900000}"/>
    <cellStyle name="Normal 3 2 26" xfId="37150" xr:uid="{00000000-0005-0000-0000-00008A900000}"/>
    <cellStyle name="Normal 3 2 26 2" xfId="37151" xr:uid="{00000000-0005-0000-0000-00008B900000}"/>
    <cellStyle name="Normal 3 2 26 2 2" xfId="37152" xr:uid="{00000000-0005-0000-0000-00008C900000}"/>
    <cellStyle name="Normal 3 2 26 2 2 2" xfId="37153" xr:uid="{00000000-0005-0000-0000-00008D900000}"/>
    <cellStyle name="Normal 3 2 26 2 2 3" xfId="37154" xr:uid="{00000000-0005-0000-0000-00008E900000}"/>
    <cellStyle name="Normal 3 2 26 2 3" xfId="37155" xr:uid="{00000000-0005-0000-0000-00008F900000}"/>
    <cellStyle name="Normal 3 2 26 2 4" xfId="37156" xr:uid="{00000000-0005-0000-0000-000090900000}"/>
    <cellStyle name="Normal 3 2 26 3" xfId="37157" xr:uid="{00000000-0005-0000-0000-000091900000}"/>
    <cellStyle name="Normal 3 2 26 3 2" xfId="37158" xr:uid="{00000000-0005-0000-0000-000092900000}"/>
    <cellStyle name="Normal 3 2 26 3 3" xfId="37159" xr:uid="{00000000-0005-0000-0000-000093900000}"/>
    <cellStyle name="Normal 3 2 26 4" xfId="37160" xr:uid="{00000000-0005-0000-0000-000094900000}"/>
    <cellStyle name="Normal 3 2 27" xfId="37161" xr:uid="{00000000-0005-0000-0000-000095900000}"/>
    <cellStyle name="Normal 3 2 27 2" xfId="37162" xr:uid="{00000000-0005-0000-0000-000096900000}"/>
    <cellStyle name="Normal 3 2 27 2 2" xfId="37163" xr:uid="{00000000-0005-0000-0000-000097900000}"/>
    <cellStyle name="Normal 3 2 27 2 2 2" xfId="37164" xr:uid="{00000000-0005-0000-0000-000098900000}"/>
    <cellStyle name="Normal 3 2 27 2 2 3" xfId="37165" xr:uid="{00000000-0005-0000-0000-000099900000}"/>
    <cellStyle name="Normal 3 2 27 2 3" xfId="37166" xr:uid="{00000000-0005-0000-0000-00009A900000}"/>
    <cellStyle name="Normal 3 2 27 2 4" xfId="37167" xr:uid="{00000000-0005-0000-0000-00009B900000}"/>
    <cellStyle name="Normal 3 2 27 3" xfId="37168" xr:uid="{00000000-0005-0000-0000-00009C900000}"/>
    <cellStyle name="Normal 3 2 27 3 2" xfId="37169" xr:uid="{00000000-0005-0000-0000-00009D900000}"/>
    <cellStyle name="Normal 3 2 27 3 3" xfId="37170" xr:uid="{00000000-0005-0000-0000-00009E900000}"/>
    <cellStyle name="Normal 3 2 27 4" xfId="37171" xr:uid="{00000000-0005-0000-0000-00009F900000}"/>
    <cellStyle name="Normal 3 2 28" xfId="37172" xr:uid="{00000000-0005-0000-0000-0000A0900000}"/>
    <cellStyle name="Normal 3 2 28 2" xfId="37173" xr:uid="{00000000-0005-0000-0000-0000A1900000}"/>
    <cellStyle name="Normal 3 2 28 2 2" xfId="37174" xr:uid="{00000000-0005-0000-0000-0000A2900000}"/>
    <cellStyle name="Normal 3 2 28 2 2 2" xfId="37175" xr:uid="{00000000-0005-0000-0000-0000A3900000}"/>
    <cellStyle name="Normal 3 2 28 2 2 3" xfId="37176" xr:uid="{00000000-0005-0000-0000-0000A4900000}"/>
    <cellStyle name="Normal 3 2 28 2 3" xfId="37177" xr:uid="{00000000-0005-0000-0000-0000A5900000}"/>
    <cellStyle name="Normal 3 2 28 2 4" xfId="37178" xr:uid="{00000000-0005-0000-0000-0000A6900000}"/>
    <cellStyle name="Normal 3 2 28 3" xfId="37179" xr:uid="{00000000-0005-0000-0000-0000A7900000}"/>
    <cellStyle name="Normal 3 2 28 3 2" xfId="37180" xr:uid="{00000000-0005-0000-0000-0000A8900000}"/>
    <cellStyle name="Normal 3 2 28 3 3" xfId="37181" xr:uid="{00000000-0005-0000-0000-0000A9900000}"/>
    <cellStyle name="Normal 3 2 28 4" xfId="37182" xr:uid="{00000000-0005-0000-0000-0000AA900000}"/>
    <cellStyle name="Normal 3 2 29" xfId="37183" xr:uid="{00000000-0005-0000-0000-0000AB900000}"/>
    <cellStyle name="Normal 3 2 29 2" xfId="37184" xr:uid="{00000000-0005-0000-0000-0000AC900000}"/>
    <cellStyle name="Normal 3 2 29 2 2" xfId="37185" xr:uid="{00000000-0005-0000-0000-0000AD900000}"/>
    <cellStyle name="Normal 3 2 29 2 2 2" xfId="37186" xr:uid="{00000000-0005-0000-0000-0000AE900000}"/>
    <cellStyle name="Normal 3 2 29 2 2 3" xfId="37187" xr:uid="{00000000-0005-0000-0000-0000AF900000}"/>
    <cellStyle name="Normal 3 2 29 2 3" xfId="37188" xr:uid="{00000000-0005-0000-0000-0000B0900000}"/>
    <cellStyle name="Normal 3 2 29 2 4" xfId="37189" xr:uid="{00000000-0005-0000-0000-0000B1900000}"/>
    <cellStyle name="Normal 3 2 29 3" xfId="37190" xr:uid="{00000000-0005-0000-0000-0000B2900000}"/>
    <cellStyle name="Normal 3 2 29 3 2" xfId="37191" xr:uid="{00000000-0005-0000-0000-0000B3900000}"/>
    <cellStyle name="Normal 3 2 29 3 3" xfId="37192" xr:uid="{00000000-0005-0000-0000-0000B4900000}"/>
    <cellStyle name="Normal 3 2 29 4" xfId="37193" xr:uid="{00000000-0005-0000-0000-0000B5900000}"/>
    <cellStyle name="Normal 3 2 3" xfId="37194" xr:uid="{00000000-0005-0000-0000-0000B6900000}"/>
    <cellStyle name="Normal 3 2 3 2" xfId="37195" xr:uid="{00000000-0005-0000-0000-0000B7900000}"/>
    <cellStyle name="Normal 3 2 3 2 2" xfId="37196" xr:uid="{00000000-0005-0000-0000-0000B8900000}"/>
    <cellStyle name="Normal 3 2 3 2 2 2" xfId="37197" xr:uid="{00000000-0005-0000-0000-0000B9900000}"/>
    <cellStyle name="Normal 3 2 3 2 2 3" xfId="37198" xr:uid="{00000000-0005-0000-0000-0000BA900000}"/>
    <cellStyle name="Normal 3 2 3 2 3" xfId="37199" xr:uid="{00000000-0005-0000-0000-0000BB900000}"/>
    <cellStyle name="Normal 3 2 3 2 4" xfId="37200" xr:uid="{00000000-0005-0000-0000-0000BC900000}"/>
    <cellStyle name="Normal 3 2 3 3" xfId="37201" xr:uid="{00000000-0005-0000-0000-0000BD900000}"/>
    <cellStyle name="Normal 3 2 3 3 2" xfId="37202" xr:uid="{00000000-0005-0000-0000-0000BE900000}"/>
    <cellStyle name="Normal 3 2 3 3 3" xfId="37203" xr:uid="{00000000-0005-0000-0000-0000BF900000}"/>
    <cellStyle name="Normal 3 2 3 4" xfId="37204" xr:uid="{00000000-0005-0000-0000-0000C0900000}"/>
    <cellStyle name="Normal 3 2 3 5" xfId="37205" xr:uid="{00000000-0005-0000-0000-0000C1900000}"/>
    <cellStyle name="Normal 3 2 30" xfId="37206" xr:uid="{00000000-0005-0000-0000-0000C2900000}"/>
    <cellStyle name="Normal 3 2 30 2" xfId="37207" xr:uid="{00000000-0005-0000-0000-0000C3900000}"/>
    <cellStyle name="Normal 3 2 30 2 2" xfId="37208" xr:uid="{00000000-0005-0000-0000-0000C4900000}"/>
    <cellStyle name="Normal 3 2 30 2 2 2" xfId="37209" xr:uid="{00000000-0005-0000-0000-0000C5900000}"/>
    <cellStyle name="Normal 3 2 30 2 2 3" xfId="37210" xr:uid="{00000000-0005-0000-0000-0000C6900000}"/>
    <cellStyle name="Normal 3 2 30 2 3" xfId="37211" xr:uid="{00000000-0005-0000-0000-0000C7900000}"/>
    <cellStyle name="Normal 3 2 30 2 4" xfId="37212" xr:uid="{00000000-0005-0000-0000-0000C8900000}"/>
    <cellStyle name="Normal 3 2 30 3" xfId="37213" xr:uid="{00000000-0005-0000-0000-0000C9900000}"/>
    <cellStyle name="Normal 3 2 30 3 2" xfId="37214" xr:uid="{00000000-0005-0000-0000-0000CA900000}"/>
    <cellStyle name="Normal 3 2 30 3 3" xfId="37215" xr:uid="{00000000-0005-0000-0000-0000CB900000}"/>
    <cellStyle name="Normal 3 2 30 4" xfId="37216" xr:uid="{00000000-0005-0000-0000-0000CC900000}"/>
    <cellStyle name="Normal 3 2 31" xfId="37217" xr:uid="{00000000-0005-0000-0000-0000CD900000}"/>
    <cellStyle name="Normal 3 2 31 2" xfId="37218" xr:uid="{00000000-0005-0000-0000-0000CE900000}"/>
    <cellStyle name="Normal 3 2 31 2 2" xfId="37219" xr:uid="{00000000-0005-0000-0000-0000CF900000}"/>
    <cellStyle name="Normal 3 2 31 2 2 2" xfId="37220" xr:uid="{00000000-0005-0000-0000-0000D0900000}"/>
    <cellStyle name="Normal 3 2 31 2 2 3" xfId="37221" xr:uid="{00000000-0005-0000-0000-0000D1900000}"/>
    <cellStyle name="Normal 3 2 31 2 3" xfId="37222" xr:uid="{00000000-0005-0000-0000-0000D2900000}"/>
    <cellStyle name="Normal 3 2 31 2 4" xfId="37223" xr:uid="{00000000-0005-0000-0000-0000D3900000}"/>
    <cellStyle name="Normal 3 2 31 3" xfId="37224" xr:uid="{00000000-0005-0000-0000-0000D4900000}"/>
    <cellStyle name="Normal 3 2 31 3 2" xfId="37225" xr:uid="{00000000-0005-0000-0000-0000D5900000}"/>
    <cellStyle name="Normal 3 2 31 3 3" xfId="37226" xr:uid="{00000000-0005-0000-0000-0000D6900000}"/>
    <cellStyle name="Normal 3 2 31 4" xfId="37227" xr:uid="{00000000-0005-0000-0000-0000D7900000}"/>
    <cellStyle name="Normal 3 2 32" xfId="37228" xr:uid="{00000000-0005-0000-0000-0000D8900000}"/>
    <cellStyle name="Normal 3 2 32 2" xfId="37229" xr:uid="{00000000-0005-0000-0000-0000D9900000}"/>
    <cellStyle name="Normal 3 2 32 2 2" xfId="37230" xr:uid="{00000000-0005-0000-0000-0000DA900000}"/>
    <cellStyle name="Normal 3 2 32 2 2 2" xfId="37231" xr:uid="{00000000-0005-0000-0000-0000DB900000}"/>
    <cellStyle name="Normal 3 2 32 2 2 3" xfId="37232" xr:uid="{00000000-0005-0000-0000-0000DC900000}"/>
    <cellStyle name="Normal 3 2 32 2 3" xfId="37233" xr:uid="{00000000-0005-0000-0000-0000DD900000}"/>
    <cellStyle name="Normal 3 2 32 2 4" xfId="37234" xr:uid="{00000000-0005-0000-0000-0000DE900000}"/>
    <cellStyle name="Normal 3 2 32 3" xfId="37235" xr:uid="{00000000-0005-0000-0000-0000DF900000}"/>
    <cellStyle name="Normal 3 2 32 3 2" xfId="37236" xr:uid="{00000000-0005-0000-0000-0000E0900000}"/>
    <cellStyle name="Normal 3 2 32 3 3" xfId="37237" xr:uid="{00000000-0005-0000-0000-0000E1900000}"/>
    <cellStyle name="Normal 3 2 32 4" xfId="37238" xr:uid="{00000000-0005-0000-0000-0000E2900000}"/>
    <cellStyle name="Normal 3 2 33" xfId="37239" xr:uid="{00000000-0005-0000-0000-0000E3900000}"/>
    <cellStyle name="Normal 3 2 33 2" xfId="37240" xr:uid="{00000000-0005-0000-0000-0000E4900000}"/>
    <cellStyle name="Normal 3 2 33 2 2" xfId="37241" xr:uid="{00000000-0005-0000-0000-0000E5900000}"/>
    <cellStyle name="Normal 3 2 33 2 2 2" xfId="37242" xr:uid="{00000000-0005-0000-0000-0000E6900000}"/>
    <cellStyle name="Normal 3 2 33 2 2 3" xfId="37243" xr:uid="{00000000-0005-0000-0000-0000E7900000}"/>
    <cellStyle name="Normal 3 2 33 2 3" xfId="37244" xr:uid="{00000000-0005-0000-0000-0000E8900000}"/>
    <cellStyle name="Normal 3 2 33 2 4" xfId="37245" xr:uid="{00000000-0005-0000-0000-0000E9900000}"/>
    <cellStyle name="Normal 3 2 33 3" xfId="37246" xr:uid="{00000000-0005-0000-0000-0000EA900000}"/>
    <cellStyle name="Normal 3 2 33 3 2" xfId="37247" xr:uid="{00000000-0005-0000-0000-0000EB900000}"/>
    <cellStyle name="Normal 3 2 33 3 3" xfId="37248" xr:uid="{00000000-0005-0000-0000-0000EC900000}"/>
    <cellStyle name="Normal 3 2 33 4" xfId="37249" xr:uid="{00000000-0005-0000-0000-0000ED900000}"/>
    <cellStyle name="Normal 3 2 34" xfId="37250" xr:uid="{00000000-0005-0000-0000-0000EE900000}"/>
    <cellStyle name="Normal 3 2 34 2" xfId="37251" xr:uid="{00000000-0005-0000-0000-0000EF900000}"/>
    <cellStyle name="Normal 3 2 34 2 2" xfId="37252" xr:uid="{00000000-0005-0000-0000-0000F0900000}"/>
    <cellStyle name="Normal 3 2 34 2 2 2" xfId="37253" xr:uid="{00000000-0005-0000-0000-0000F1900000}"/>
    <cellStyle name="Normal 3 2 34 2 2 3" xfId="37254" xr:uid="{00000000-0005-0000-0000-0000F2900000}"/>
    <cellStyle name="Normal 3 2 34 2 3" xfId="37255" xr:uid="{00000000-0005-0000-0000-0000F3900000}"/>
    <cellStyle name="Normal 3 2 34 2 4" xfId="37256" xr:uid="{00000000-0005-0000-0000-0000F4900000}"/>
    <cellStyle name="Normal 3 2 34 3" xfId="37257" xr:uid="{00000000-0005-0000-0000-0000F5900000}"/>
    <cellStyle name="Normal 3 2 34 3 2" xfId="37258" xr:uid="{00000000-0005-0000-0000-0000F6900000}"/>
    <cellStyle name="Normal 3 2 34 3 3" xfId="37259" xr:uid="{00000000-0005-0000-0000-0000F7900000}"/>
    <cellStyle name="Normal 3 2 34 4" xfId="37260" xr:uid="{00000000-0005-0000-0000-0000F8900000}"/>
    <cellStyle name="Normal 3 2 35" xfId="37261" xr:uid="{00000000-0005-0000-0000-0000F9900000}"/>
    <cellStyle name="Normal 3 2 35 2" xfId="37262" xr:uid="{00000000-0005-0000-0000-0000FA900000}"/>
    <cellStyle name="Normal 3 2 35 2 2" xfId="37263" xr:uid="{00000000-0005-0000-0000-0000FB900000}"/>
    <cellStyle name="Normal 3 2 35 2 2 2" xfId="37264" xr:uid="{00000000-0005-0000-0000-0000FC900000}"/>
    <cellStyle name="Normal 3 2 35 2 2 3" xfId="37265" xr:uid="{00000000-0005-0000-0000-0000FD900000}"/>
    <cellStyle name="Normal 3 2 35 2 3" xfId="37266" xr:uid="{00000000-0005-0000-0000-0000FE900000}"/>
    <cellStyle name="Normal 3 2 35 2 4" xfId="37267" xr:uid="{00000000-0005-0000-0000-0000FF900000}"/>
    <cellStyle name="Normal 3 2 35 3" xfId="37268" xr:uid="{00000000-0005-0000-0000-000000910000}"/>
    <cellStyle name="Normal 3 2 35 3 2" xfId="37269" xr:uid="{00000000-0005-0000-0000-000001910000}"/>
    <cellStyle name="Normal 3 2 35 3 3" xfId="37270" xr:uid="{00000000-0005-0000-0000-000002910000}"/>
    <cellStyle name="Normal 3 2 35 4" xfId="37271" xr:uid="{00000000-0005-0000-0000-000003910000}"/>
    <cellStyle name="Normal 3 2 36" xfId="37272" xr:uid="{00000000-0005-0000-0000-000004910000}"/>
    <cellStyle name="Normal 3 2 36 2" xfId="37273" xr:uid="{00000000-0005-0000-0000-000005910000}"/>
    <cellStyle name="Normal 3 2 36 2 2" xfId="37274" xr:uid="{00000000-0005-0000-0000-000006910000}"/>
    <cellStyle name="Normal 3 2 36 2 2 2" xfId="37275" xr:uid="{00000000-0005-0000-0000-000007910000}"/>
    <cellStyle name="Normal 3 2 36 2 2 3" xfId="37276" xr:uid="{00000000-0005-0000-0000-000008910000}"/>
    <cellStyle name="Normal 3 2 36 2 3" xfId="37277" xr:uid="{00000000-0005-0000-0000-000009910000}"/>
    <cellStyle name="Normal 3 2 36 2 4" xfId="37278" xr:uid="{00000000-0005-0000-0000-00000A910000}"/>
    <cellStyle name="Normal 3 2 36 3" xfId="37279" xr:uid="{00000000-0005-0000-0000-00000B910000}"/>
    <cellStyle name="Normal 3 2 36 3 2" xfId="37280" xr:uid="{00000000-0005-0000-0000-00000C910000}"/>
    <cellStyle name="Normal 3 2 36 3 3" xfId="37281" xr:uid="{00000000-0005-0000-0000-00000D910000}"/>
    <cellStyle name="Normal 3 2 36 4" xfId="37282" xr:uid="{00000000-0005-0000-0000-00000E910000}"/>
    <cellStyle name="Normal 3 2 37" xfId="37283" xr:uid="{00000000-0005-0000-0000-00000F910000}"/>
    <cellStyle name="Normal 3 2 37 2" xfId="37284" xr:uid="{00000000-0005-0000-0000-000010910000}"/>
    <cellStyle name="Normal 3 2 37 2 2" xfId="37285" xr:uid="{00000000-0005-0000-0000-000011910000}"/>
    <cellStyle name="Normal 3 2 37 2 2 2" xfId="37286" xr:uid="{00000000-0005-0000-0000-000012910000}"/>
    <cellStyle name="Normal 3 2 37 2 2 3" xfId="37287" xr:uid="{00000000-0005-0000-0000-000013910000}"/>
    <cellStyle name="Normal 3 2 37 2 3" xfId="37288" xr:uid="{00000000-0005-0000-0000-000014910000}"/>
    <cellStyle name="Normal 3 2 37 2 4" xfId="37289" xr:uid="{00000000-0005-0000-0000-000015910000}"/>
    <cellStyle name="Normal 3 2 37 3" xfId="37290" xr:uid="{00000000-0005-0000-0000-000016910000}"/>
    <cellStyle name="Normal 3 2 37 3 2" xfId="37291" xr:uid="{00000000-0005-0000-0000-000017910000}"/>
    <cellStyle name="Normal 3 2 37 3 3" xfId="37292" xr:uid="{00000000-0005-0000-0000-000018910000}"/>
    <cellStyle name="Normal 3 2 37 4" xfId="37293" xr:uid="{00000000-0005-0000-0000-000019910000}"/>
    <cellStyle name="Normal 3 2 38" xfId="37294" xr:uid="{00000000-0005-0000-0000-00001A910000}"/>
    <cellStyle name="Normal 3 2 38 2" xfId="37295" xr:uid="{00000000-0005-0000-0000-00001B910000}"/>
    <cellStyle name="Normal 3 2 38 2 2" xfId="37296" xr:uid="{00000000-0005-0000-0000-00001C910000}"/>
    <cellStyle name="Normal 3 2 38 2 2 2" xfId="37297" xr:uid="{00000000-0005-0000-0000-00001D910000}"/>
    <cellStyle name="Normal 3 2 38 2 2 3" xfId="37298" xr:uid="{00000000-0005-0000-0000-00001E910000}"/>
    <cellStyle name="Normal 3 2 38 2 3" xfId="37299" xr:uid="{00000000-0005-0000-0000-00001F910000}"/>
    <cellStyle name="Normal 3 2 38 2 4" xfId="37300" xr:uid="{00000000-0005-0000-0000-000020910000}"/>
    <cellStyle name="Normal 3 2 38 3" xfId="37301" xr:uid="{00000000-0005-0000-0000-000021910000}"/>
    <cellStyle name="Normal 3 2 38 3 2" xfId="37302" xr:uid="{00000000-0005-0000-0000-000022910000}"/>
    <cellStyle name="Normal 3 2 38 3 3" xfId="37303" xr:uid="{00000000-0005-0000-0000-000023910000}"/>
    <cellStyle name="Normal 3 2 38 4" xfId="37304" xr:uid="{00000000-0005-0000-0000-000024910000}"/>
    <cellStyle name="Normal 3 2 39" xfId="37305" xr:uid="{00000000-0005-0000-0000-000025910000}"/>
    <cellStyle name="Normal 3 2 39 2" xfId="37306" xr:uid="{00000000-0005-0000-0000-000026910000}"/>
    <cellStyle name="Normal 3 2 39 2 2" xfId="37307" xr:uid="{00000000-0005-0000-0000-000027910000}"/>
    <cellStyle name="Normal 3 2 39 2 2 2" xfId="37308" xr:uid="{00000000-0005-0000-0000-000028910000}"/>
    <cellStyle name="Normal 3 2 39 2 2 3" xfId="37309" xr:uid="{00000000-0005-0000-0000-000029910000}"/>
    <cellStyle name="Normal 3 2 39 2 3" xfId="37310" xr:uid="{00000000-0005-0000-0000-00002A910000}"/>
    <cellStyle name="Normal 3 2 39 2 4" xfId="37311" xr:uid="{00000000-0005-0000-0000-00002B910000}"/>
    <cellStyle name="Normal 3 2 39 3" xfId="37312" xr:uid="{00000000-0005-0000-0000-00002C910000}"/>
    <cellStyle name="Normal 3 2 39 3 2" xfId="37313" xr:uid="{00000000-0005-0000-0000-00002D910000}"/>
    <cellStyle name="Normal 3 2 39 3 3" xfId="37314" xr:uid="{00000000-0005-0000-0000-00002E910000}"/>
    <cellStyle name="Normal 3 2 39 4" xfId="37315" xr:uid="{00000000-0005-0000-0000-00002F910000}"/>
    <cellStyle name="Normal 3 2 4" xfId="37316" xr:uid="{00000000-0005-0000-0000-000030910000}"/>
    <cellStyle name="Normal 3 2 4 2" xfId="37317" xr:uid="{00000000-0005-0000-0000-000031910000}"/>
    <cellStyle name="Normal 3 2 4 2 2" xfId="37318" xr:uid="{00000000-0005-0000-0000-000032910000}"/>
    <cellStyle name="Normal 3 2 4 2 2 2" xfId="37319" xr:uid="{00000000-0005-0000-0000-000033910000}"/>
    <cellStyle name="Normal 3 2 4 2 2 3" xfId="37320" xr:uid="{00000000-0005-0000-0000-000034910000}"/>
    <cellStyle name="Normal 3 2 4 2 3" xfId="37321" xr:uid="{00000000-0005-0000-0000-000035910000}"/>
    <cellStyle name="Normal 3 2 4 2 4" xfId="37322" xr:uid="{00000000-0005-0000-0000-000036910000}"/>
    <cellStyle name="Normal 3 2 4 3" xfId="37323" xr:uid="{00000000-0005-0000-0000-000037910000}"/>
    <cellStyle name="Normal 3 2 4 3 2" xfId="37324" xr:uid="{00000000-0005-0000-0000-000038910000}"/>
    <cellStyle name="Normal 3 2 4 3 3" xfId="37325" xr:uid="{00000000-0005-0000-0000-000039910000}"/>
    <cellStyle name="Normal 3 2 4 4" xfId="37326" xr:uid="{00000000-0005-0000-0000-00003A910000}"/>
    <cellStyle name="Normal 3 2 40" xfId="37327" xr:uid="{00000000-0005-0000-0000-00003B910000}"/>
    <cellStyle name="Normal 3 2 40 2" xfId="37328" xr:uid="{00000000-0005-0000-0000-00003C910000}"/>
    <cellStyle name="Normal 3 2 40 2 2" xfId="37329" xr:uid="{00000000-0005-0000-0000-00003D910000}"/>
    <cellStyle name="Normal 3 2 40 2 2 2" xfId="37330" xr:uid="{00000000-0005-0000-0000-00003E910000}"/>
    <cellStyle name="Normal 3 2 40 2 2 3" xfId="37331" xr:uid="{00000000-0005-0000-0000-00003F910000}"/>
    <cellStyle name="Normal 3 2 40 2 3" xfId="37332" xr:uid="{00000000-0005-0000-0000-000040910000}"/>
    <cellStyle name="Normal 3 2 40 2 4" xfId="37333" xr:uid="{00000000-0005-0000-0000-000041910000}"/>
    <cellStyle name="Normal 3 2 40 3" xfId="37334" xr:uid="{00000000-0005-0000-0000-000042910000}"/>
    <cellStyle name="Normal 3 2 40 3 2" xfId="37335" xr:uid="{00000000-0005-0000-0000-000043910000}"/>
    <cellStyle name="Normal 3 2 40 3 3" xfId="37336" xr:uid="{00000000-0005-0000-0000-000044910000}"/>
    <cellStyle name="Normal 3 2 40 4" xfId="37337" xr:uid="{00000000-0005-0000-0000-000045910000}"/>
    <cellStyle name="Normal 3 2 41" xfId="37338" xr:uid="{00000000-0005-0000-0000-000046910000}"/>
    <cellStyle name="Normal 3 2 41 2" xfId="37339" xr:uid="{00000000-0005-0000-0000-000047910000}"/>
    <cellStyle name="Normal 3 2 41 2 2" xfId="37340" xr:uid="{00000000-0005-0000-0000-000048910000}"/>
    <cellStyle name="Normal 3 2 41 2 2 2" xfId="37341" xr:uid="{00000000-0005-0000-0000-000049910000}"/>
    <cellStyle name="Normal 3 2 41 2 2 3" xfId="37342" xr:uid="{00000000-0005-0000-0000-00004A910000}"/>
    <cellStyle name="Normal 3 2 41 2 3" xfId="37343" xr:uid="{00000000-0005-0000-0000-00004B910000}"/>
    <cellStyle name="Normal 3 2 41 2 4" xfId="37344" xr:uid="{00000000-0005-0000-0000-00004C910000}"/>
    <cellStyle name="Normal 3 2 41 3" xfId="37345" xr:uid="{00000000-0005-0000-0000-00004D910000}"/>
    <cellStyle name="Normal 3 2 41 3 2" xfId="37346" xr:uid="{00000000-0005-0000-0000-00004E910000}"/>
    <cellStyle name="Normal 3 2 41 3 3" xfId="37347" xr:uid="{00000000-0005-0000-0000-00004F910000}"/>
    <cellStyle name="Normal 3 2 41 4" xfId="37348" xr:uid="{00000000-0005-0000-0000-000050910000}"/>
    <cellStyle name="Normal 3 2 42" xfId="37349" xr:uid="{00000000-0005-0000-0000-000051910000}"/>
    <cellStyle name="Normal 3 2 42 2" xfId="37350" xr:uid="{00000000-0005-0000-0000-000052910000}"/>
    <cellStyle name="Normal 3 2 42 2 2" xfId="37351" xr:uid="{00000000-0005-0000-0000-000053910000}"/>
    <cellStyle name="Normal 3 2 42 2 2 2" xfId="37352" xr:uid="{00000000-0005-0000-0000-000054910000}"/>
    <cellStyle name="Normal 3 2 42 2 2 3" xfId="37353" xr:uid="{00000000-0005-0000-0000-000055910000}"/>
    <cellStyle name="Normal 3 2 42 2 3" xfId="37354" xr:uid="{00000000-0005-0000-0000-000056910000}"/>
    <cellStyle name="Normal 3 2 42 2 4" xfId="37355" xr:uid="{00000000-0005-0000-0000-000057910000}"/>
    <cellStyle name="Normal 3 2 42 3" xfId="37356" xr:uid="{00000000-0005-0000-0000-000058910000}"/>
    <cellStyle name="Normal 3 2 42 3 2" xfId="37357" xr:uid="{00000000-0005-0000-0000-000059910000}"/>
    <cellStyle name="Normal 3 2 42 3 3" xfId="37358" xr:uid="{00000000-0005-0000-0000-00005A910000}"/>
    <cellStyle name="Normal 3 2 42 4" xfId="37359" xr:uid="{00000000-0005-0000-0000-00005B910000}"/>
    <cellStyle name="Normal 3 2 43" xfId="37360" xr:uid="{00000000-0005-0000-0000-00005C910000}"/>
    <cellStyle name="Normal 3 2 43 2" xfId="37361" xr:uid="{00000000-0005-0000-0000-00005D910000}"/>
    <cellStyle name="Normal 3 2 43 2 2" xfId="37362" xr:uid="{00000000-0005-0000-0000-00005E910000}"/>
    <cellStyle name="Normal 3 2 43 2 2 2" xfId="37363" xr:uid="{00000000-0005-0000-0000-00005F910000}"/>
    <cellStyle name="Normal 3 2 43 2 2 3" xfId="37364" xr:uid="{00000000-0005-0000-0000-000060910000}"/>
    <cellStyle name="Normal 3 2 43 2 3" xfId="37365" xr:uid="{00000000-0005-0000-0000-000061910000}"/>
    <cellStyle name="Normal 3 2 43 2 4" xfId="37366" xr:uid="{00000000-0005-0000-0000-000062910000}"/>
    <cellStyle name="Normal 3 2 43 3" xfId="37367" xr:uid="{00000000-0005-0000-0000-000063910000}"/>
    <cellStyle name="Normal 3 2 43 3 2" xfId="37368" xr:uid="{00000000-0005-0000-0000-000064910000}"/>
    <cellStyle name="Normal 3 2 43 3 3" xfId="37369" xr:uid="{00000000-0005-0000-0000-000065910000}"/>
    <cellStyle name="Normal 3 2 43 4" xfId="37370" xr:uid="{00000000-0005-0000-0000-000066910000}"/>
    <cellStyle name="Normal 3 2 44" xfId="37371" xr:uid="{00000000-0005-0000-0000-000067910000}"/>
    <cellStyle name="Normal 3 2 44 2" xfId="37372" xr:uid="{00000000-0005-0000-0000-000068910000}"/>
    <cellStyle name="Normal 3 2 44 2 2" xfId="37373" xr:uid="{00000000-0005-0000-0000-000069910000}"/>
    <cellStyle name="Normal 3 2 44 2 2 2" xfId="37374" xr:uid="{00000000-0005-0000-0000-00006A910000}"/>
    <cellStyle name="Normal 3 2 44 2 2 3" xfId="37375" xr:uid="{00000000-0005-0000-0000-00006B910000}"/>
    <cellStyle name="Normal 3 2 44 2 3" xfId="37376" xr:uid="{00000000-0005-0000-0000-00006C910000}"/>
    <cellStyle name="Normal 3 2 44 2 4" xfId="37377" xr:uid="{00000000-0005-0000-0000-00006D910000}"/>
    <cellStyle name="Normal 3 2 44 3" xfId="37378" xr:uid="{00000000-0005-0000-0000-00006E910000}"/>
    <cellStyle name="Normal 3 2 44 3 2" xfId="37379" xr:uid="{00000000-0005-0000-0000-00006F910000}"/>
    <cellStyle name="Normal 3 2 44 3 3" xfId="37380" xr:uid="{00000000-0005-0000-0000-000070910000}"/>
    <cellStyle name="Normal 3 2 44 4" xfId="37381" xr:uid="{00000000-0005-0000-0000-000071910000}"/>
    <cellStyle name="Normal 3 2 45" xfId="37382" xr:uid="{00000000-0005-0000-0000-000072910000}"/>
    <cellStyle name="Normal 3 2 45 2" xfId="37383" xr:uid="{00000000-0005-0000-0000-000073910000}"/>
    <cellStyle name="Normal 3 2 45 2 2" xfId="37384" xr:uid="{00000000-0005-0000-0000-000074910000}"/>
    <cellStyle name="Normal 3 2 45 2 2 2" xfId="37385" xr:uid="{00000000-0005-0000-0000-000075910000}"/>
    <cellStyle name="Normal 3 2 45 2 2 3" xfId="37386" xr:uid="{00000000-0005-0000-0000-000076910000}"/>
    <cellStyle name="Normal 3 2 45 2 3" xfId="37387" xr:uid="{00000000-0005-0000-0000-000077910000}"/>
    <cellStyle name="Normal 3 2 45 2 4" xfId="37388" xr:uid="{00000000-0005-0000-0000-000078910000}"/>
    <cellStyle name="Normal 3 2 45 3" xfId="37389" xr:uid="{00000000-0005-0000-0000-000079910000}"/>
    <cellStyle name="Normal 3 2 45 3 2" xfId="37390" xr:uid="{00000000-0005-0000-0000-00007A910000}"/>
    <cellStyle name="Normal 3 2 45 3 3" xfId="37391" xr:uid="{00000000-0005-0000-0000-00007B910000}"/>
    <cellStyle name="Normal 3 2 45 4" xfId="37392" xr:uid="{00000000-0005-0000-0000-00007C910000}"/>
    <cellStyle name="Normal 3 2 46" xfId="37393" xr:uid="{00000000-0005-0000-0000-00007D910000}"/>
    <cellStyle name="Normal 3 2 46 2" xfId="37394" xr:uid="{00000000-0005-0000-0000-00007E910000}"/>
    <cellStyle name="Normal 3 2 46 2 2" xfId="37395" xr:uid="{00000000-0005-0000-0000-00007F910000}"/>
    <cellStyle name="Normal 3 2 46 2 2 2" xfId="37396" xr:uid="{00000000-0005-0000-0000-000080910000}"/>
    <cellStyle name="Normal 3 2 46 2 2 3" xfId="37397" xr:uid="{00000000-0005-0000-0000-000081910000}"/>
    <cellStyle name="Normal 3 2 46 2 3" xfId="37398" xr:uid="{00000000-0005-0000-0000-000082910000}"/>
    <cellStyle name="Normal 3 2 46 2 4" xfId="37399" xr:uid="{00000000-0005-0000-0000-000083910000}"/>
    <cellStyle name="Normal 3 2 46 3" xfId="37400" xr:uid="{00000000-0005-0000-0000-000084910000}"/>
    <cellStyle name="Normal 3 2 46 3 2" xfId="37401" xr:uid="{00000000-0005-0000-0000-000085910000}"/>
    <cellStyle name="Normal 3 2 46 3 3" xfId="37402" xr:uid="{00000000-0005-0000-0000-000086910000}"/>
    <cellStyle name="Normal 3 2 46 4" xfId="37403" xr:uid="{00000000-0005-0000-0000-000087910000}"/>
    <cellStyle name="Normal 3 2 47" xfId="37404" xr:uid="{00000000-0005-0000-0000-000088910000}"/>
    <cellStyle name="Normal 3 2 47 2" xfId="37405" xr:uid="{00000000-0005-0000-0000-000089910000}"/>
    <cellStyle name="Normal 3 2 47 2 2" xfId="37406" xr:uid="{00000000-0005-0000-0000-00008A910000}"/>
    <cellStyle name="Normal 3 2 47 2 2 2" xfId="37407" xr:uid="{00000000-0005-0000-0000-00008B910000}"/>
    <cellStyle name="Normal 3 2 47 2 2 3" xfId="37408" xr:uid="{00000000-0005-0000-0000-00008C910000}"/>
    <cellStyle name="Normal 3 2 47 2 3" xfId="37409" xr:uid="{00000000-0005-0000-0000-00008D910000}"/>
    <cellStyle name="Normal 3 2 47 2 4" xfId="37410" xr:uid="{00000000-0005-0000-0000-00008E910000}"/>
    <cellStyle name="Normal 3 2 47 3" xfId="37411" xr:uid="{00000000-0005-0000-0000-00008F910000}"/>
    <cellStyle name="Normal 3 2 47 3 2" xfId="37412" xr:uid="{00000000-0005-0000-0000-000090910000}"/>
    <cellStyle name="Normal 3 2 47 3 3" xfId="37413" xr:uid="{00000000-0005-0000-0000-000091910000}"/>
    <cellStyle name="Normal 3 2 47 4" xfId="37414" xr:uid="{00000000-0005-0000-0000-000092910000}"/>
    <cellStyle name="Normal 3 2 48" xfId="37415" xr:uid="{00000000-0005-0000-0000-000093910000}"/>
    <cellStyle name="Normal 3 2 48 2" xfId="37416" xr:uid="{00000000-0005-0000-0000-000094910000}"/>
    <cellStyle name="Normal 3 2 48 2 2" xfId="37417" xr:uid="{00000000-0005-0000-0000-000095910000}"/>
    <cellStyle name="Normal 3 2 48 2 2 2" xfId="37418" xr:uid="{00000000-0005-0000-0000-000096910000}"/>
    <cellStyle name="Normal 3 2 48 2 2 3" xfId="37419" xr:uid="{00000000-0005-0000-0000-000097910000}"/>
    <cellStyle name="Normal 3 2 48 2 3" xfId="37420" xr:uid="{00000000-0005-0000-0000-000098910000}"/>
    <cellStyle name="Normal 3 2 48 2 4" xfId="37421" xr:uid="{00000000-0005-0000-0000-000099910000}"/>
    <cellStyle name="Normal 3 2 48 3" xfId="37422" xr:uid="{00000000-0005-0000-0000-00009A910000}"/>
    <cellStyle name="Normal 3 2 48 3 2" xfId="37423" xr:uid="{00000000-0005-0000-0000-00009B910000}"/>
    <cellStyle name="Normal 3 2 48 3 3" xfId="37424" xr:uid="{00000000-0005-0000-0000-00009C910000}"/>
    <cellStyle name="Normal 3 2 48 4" xfId="37425" xr:uid="{00000000-0005-0000-0000-00009D910000}"/>
    <cellStyle name="Normal 3 2 49" xfId="37426" xr:uid="{00000000-0005-0000-0000-00009E910000}"/>
    <cellStyle name="Normal 3 2 49 2" xfId="37427" xr:uid="{00000000-0005-0000-0000-00009F910000}"/>
    <cellStyle name="Normal 3 2 49 2 2" xfId="37428" xr:uid="{00000000-0005-0000-0000-0000A0910000}"/>
    <cellStyle name="Normal 3 2 49 2 2 2" xfId="37429" xr:uid="{00000000-0005-0000-0000-0000A1910000}"/>
    <cellStyle name="Normal 3 2 49 2 2 3" xfId="37430" xr:uid="{00000000-0005-0000-0000-0000A2910000}"/>
    <cellStyle name="Normal 3 2 49 2 3" xfId="37431" xr:uid="{00000000-0005-0000-0000-0000A3910000}"/>
    <cellStyle name="Normal 3 2 49 2 4" xfId="37432" xr:uid="{00000000-0005-0000-0000-0000A4910000}"/>
    <cellStyle name="Normal 3 2 49 3" xfId="37433" xr:uid="{00000000-0005-0000-0000-0000A5910000}"/>
    <cellStyle name="Normal 3 2 49 3 2" xfId="37434" xr:uid="{00000000-0005-0000-0000-0000A6910000}"/>
    <cellStyle name="Normal 3 2 49 3 3" xfId="37435" xr:uid="{00000000-0005-0000-0000-0000A7910000}"/>
    <cellStyle name="Normal 3 2 49 4" xfId="37436" xr:uid="{00000000-0005-0000-0000-0000A8910000}"/>
    <cellStyle name="Normal 3 2 5" xfId="37437" xr:uid="{00000000-0005-0000-0000-0000A9910000}"/>
    <cellStyle name="Normal 3 2 5 2" xfId="37438" xr:uid="{00000000-0005-0000-0000-0000AA910000}"/>
    <cellStyle name="Normal 3 2 5 2 2" xfId="37439" xr:uid="{00000000-0005-0000-0000-0000AB910000}"/>
    <cellStyle name="Normal 3 2 5 2 2 2" xfId="37440" xr:uid="{00000000-0005-0000-0000-0000AC910000}"/>
    <cellStyle name="Normal 3 2 5 2 2 3" xfId="37441" xr:uid="{00000000-0005-0000-0000-0000AD910000}"/>
    <cellStyle name="Normal 3 2 5 2 3" xfId="37442" xr:uid="{00000000-0005-0000-0000-0000AE910000}"/>
    <cellStyle name="Normal 3 2 5 2 4" xfId="37443" xr:uid="{00000000-0005-0000-0000-0000AF910000}"/>
    <cellStyle name="Normal 3 2 5 3" xfId="37444" xr:uid="{00000000-0005-0000-0000-0000B0910000}"/>
    <cellStyle name="Normal 3 2 5 3 2" xfId="37445" xr:uid="{00000000-0005-0000-0000-0000B1910000}"/>
    <cellStyle name="Normal 3 2 5 3 3" xfId="37446" xr:uid="{00000000-0005-0000-0000-0000B2910000}"/>
    <cellStyle name="Normal 3 2 5 4" xfId="37447" xr:uid="{00000000-0005-0000-0000-0000B3910000}"/>
    <cellStyle name="Normal 3 2 50" xfId="37448" xr:uid="{00000000-0005-0000-0000-0000B4910000}"/>
    <cellStyle name="Normal 3 2 50 2" xfId="37449" xr:uid="{00000000-0005-0000-0000-0000B5910000}"/>
    <cellStyle name="Normal 3 2 50 2 2" xfId="37450" xr:uid="{00000000-0005-0000-0000-0000B6910000}"/>
    <cellStyle name="Normal 3 2 50 2 2 2" xfId="37451" xr:uid="{00000000-0005-0000-0000-0000B7910000}"/>
    <cellStyle name="Normal 3 2 50 2 2 3" xfId="37452" xr:uid="{00000000-0005-0000-0000-0000B8910000}"/>
    <cellStyle name="Normal 3 2 50 2 3" xfId="37453" xr:uid="{00000000-0005-0000-0000-0000B9910000}"/>
    <cellStyle name="Normal 3 2 50 2 4" xfId="37454" xr:uid="{00000000-0005-0000-0000-0000BA910000}"/>
    <cellStyle name="Normal 3 2 50 3" xfId="37455" xr:uid="{00000000-0005-0000-0000-0000BB910000}"/>
    <cellStyle name="Normal 3 2 50 3 2" xfId="37456" xr:uid="{00000000-0005-0000-0000-0000BC910000}"/>
    <cellStyle name="Normal 3 2 50 3 3" xfId="37457" xr:uid="{00000000-0005-0000-0000-0000BD910000}"/>
    <cellStyle name="Normal 3 2 50 4" xfId="37458" xr:uid="{00000000-0005-0000-0000-0000BE910000}"/>
    <cellStyle name="Normal 3 2 51" xfId="37459" xr:uid="{00000000-0005-0000-0000-0000BF910000}"/>
    <cellStyle name="Normal 3 2 51 2" xfId="37460" xr:uid="{00000000-0005-0000-0000-0000C0910000}"/>
    <cellStyle name="Normal 3 2 51 2 2" xfId="37461" xr:uid="{00000000-0005-0000-0000-0000C1910000}"/>
    <cellStyle name="Normal 3 2 51 2 2 2" xfId="37462" xr:uid="{00000000-0005-0000-0000-0000C2910000}"/>
    <cellStyle name="Normal 3 2 51 2 2 3" xfId="37463" xr:uid="{00000000-0005-0000-0000-0000C3910000}"/>
    <cellStyle name="Normal 3 2 51 2 3" xfId="37464" xr:uid="{00000000-0005-0000-0000-0000C4910000}"/>
    <cellStyle name="Normal 3 2 51 2 4" xfId="37465" xr:uid="{00000000-0005-0000-0000-0000C5910000}"/>
    <cellStyle name="Normal 3 2 51 3" xfId="37466" xr:uid="{00000000-0005-0000-0000-0000C6910000}"/>
    <cellStyle name="Normal 3 2 51 3 2" xfId="37467" xr:uid="{00000000-0005-0000-0000-0000C7910000}"/>
    <cellStyle name="Normal 3 2 51 3 3" xfId="37468" xr:uid="{00000000-0005-0000-0000-0000C8910000}"/>
    <cellStyle name="Normal 3 2 51 4" xfId="37469" xr:uid="{00000000-0005-0000-0000-0000C9910000}"/>
    <cellStyle name="Normal 3 2 52" xfId="37470" xr:uid="{00000000-0005-0000-0000-0000CA910000}"/>
    <cellStyle name="Normal 3 2 52 2" xfId="37471" xr:uid="{00000000-0005-0000-0000-0000CB910000}"/>
    <cellStyle name="Normal 3 2 52 2 2" xfId="37472" xr:uid="{00000000-0005-0000-0000-0000CC910000}"/>
    <cellStyle name="Normal 3 2 52 2 2 2" xfId="37473" xr:uid="{00000000-0005-0000-0000-0000CD910000}"/>
    <cellStyle name="Normal 3 2 52 2 2 3" xfId="37474" xr:uid="{00000000-0005-0000-0000-0000CE910000}"/>
    <cellStyle name="Normal 3 2 52 2 3" xfId="37475" xr:uid="{00000000-0005-0000-0000-0000CF910000}"/>
    <cellStyle name="Normal 3 2 52 2 4" xfId="37476" xr:uid="{00000000-0005-0000-0000-0000D0910000}"/>
    <cellStyle name="Normal 3 2 52 3" xfId="37477" xr:uid="{00000000-0005-0000-0000-0000D1910000}"/>
    <cellStyle name="Normal 3 2 52 3 2" xfId="37478" xr:uid="{00000000-0005-0000-0000-0000D2910000}"/>
    <cellStyle name="Normal 3 2 52 3 3" xfId="37479" xr:uid="{00000000-0005-0000-0000-0000D3910000}"/>
    <cellStyle name="Normal 3 2 52 4" xfId="37480" xr:uid="{00000000-0005-0000-0000-0000D4910000}"/>
    <cellStyle name="Normal 3 2 53" xfId="37481" xr:uid="{00000000-0005-0000-0000-0000D5910000}"/>
    <cellStyle name="Normal 3 2 53 2" xfId="37482" xr:uid="{00000000-0005-0000-0000-0000D6910000}"/>
    <cellStyle name="Normal 3 2 53 2 2" xfId="37483" xr:uid="{00000000-0005-0000-0000-0000D7910000}"/>
    <cellStyle name="Normal 3 2 53 2 2 2" xfId="37484" xr:uid="{00000000-0005-0000-0000-0000D8910000}"/>
    <cellStyle name="Normal 3 2 53 2 2 3" xfId="37485" xr:uid="{00000000-0005-0000-0000-0000D9910000}"/>
    <cellStyle name="Normal 3 2 53 2 3" xfId="37486" xr:uid="{00000000-0005-0000-0000-0000DA910000}"/>
    <cellStyle name="Normal 3 2 53 2 4" xfId="37487" xr:uid="{00000000-0005-0000-0000-0000DB910000}"/>
    <cellStyle name="Normal 3 2 53 3" xfId="37488" xr:uid="{00000000-0005-0000-0000-0000DC910000}"/>
    <cellStyle name="Normal 3 2 53 3 2" xfId="37489" xr:uid="{00000000-0005-0000-0000-0000DD910000}"/>
    <cellStyle name="Normal 3 2 53 3 3" xfId="37490" xr:uid="{00000000-0005-0000-0000-0000DE910000}"/>
    <cellStyle name="Normal 3 2 53 4" xfId="37491" xr:uid="{00000000-0005-0000-0000-0000DF910000}"/>
    <cellStyle name="Normal 3 2 54" xfId="37492" xr:uid="{00000000-0005-0000-0000-0000E0910000}"/>
    <cellStyle name="Normal 3 2 54 2" xfId="37493" xr:uid="{00000000-0005-0000-0000-0000E1910000}"/>
    <cellStyle name="Normal 3 2 54 2 2" xfId="37494" xr:uid="{00000000-0005-0000-0000-0000E2910000}"/>
    <cellStyle name="Normal 3 2 54 2 2 2" xfId="37495" xr:uid="{00000000-0005-0000-0000-0000E3910000}"/>
    <cellStyle name="Normal 3 2 54 2 2 3" xfId="37496" xr:uid="{00000000-0005-0000-0000-0000E4910000}"/>
    <cellStyle name="Normal 3 2 54 2 3" xfId="37497" xr:uid="{00000000-0005-0000-0000-0000E5910000}"/>
    <cellStyle name="Normal 3 2 54 2 4" xfId="37498" xr:uid="{00000000-0005-0000-0000-0000E6910000}"/>
    <cellStyle name="Normal 3 2 54 3" xfId="37499" xr:uid="{00000000-0005-0000-0000-0000E7910000}"/>
    <cellStyle name="Normal 3 2 54 3 2" xfId="37500" xr:uid="{00000000-0005-0000-0000-0000E8910000}"/>
    <cellStyle name="Normal 3 2 54 3 3" xfId="37501" xr:uid="{00000000-0005-0000-0000-0000E9910000}"/>
    <cellStyle name="Normal 3 2 54 4" xfId="37502" xr:uid="{00000000-0005-0000-0000-0000EA910000}"/>
    <cellStyle name="Normal 3 2 55" xfId="37503" xr:uid="{00000000-0005-0000-0000-0000EB910000}"/>
    <cellStyle name="Normal 3 2 55 2" xfId="37504" xr:uid="{00000000-0005-0000-0000-0000EC910000}"/>
    <cellStyle name="Normal 3 2 55 2 2" xfId="37505" xr:uid="{00000000-0005-0000-0000-0000ED910000}"/>
    <cellStyle name="Normal 3 2 55 2 2 2" xfId="37506" xr:uid="{00000000-0005-0000-0000-0000EE910000}"/>
    <cellStyle name="Normal 3 2 55 2 2 3" xfId="37507" xr:uid="{00000000-0005-0000-0000-0000EF910000}"/>
    <cellStyle name="Normal 3 2 55 2 3" xfId="37508" xr:uid="{00000000-0005-0000-0000-0000F0910000}"/>
    <cellStyle name="Normal 3 2 55 2 4" xfId="37509" xr:uid="{00000000-0005-0000-0000-0000F1910000}"/>
    <cellStyle name="Normal 3 2 55 3" xfId="37510" xr:uid="{00000000-0005-0000-0000-0000F2910000}"/>
    <cellStyle name="Normal 3 2 55 3 2" xfId="37511" xr:uid="{00000000-0005-0000-0000-0000F3910000}"/>
    <cellStyle name="Normal 3 2 55 3 3" xfId="37512" xr:uid="{00000000-0005-0000-0000-0000F4910000}"/>
    <cellStyle name="Normal 3 2 55 4" xfId="37513" xr:uid="{00000000-0005-0000-0000-0000F5910000}"/>
    <cellStyle name="Normal 3 2 56" xfId="37514" xr:uid="{00000000-0005-0000-0000-0000F6910000}"/>
    <cellStyle name="Normal 3 2 56 2" xfId="37515" xr:uid="{00000000-0005-0000-0000-0000F7910000}"/>
    <cellStyle name="Normal 3 2 56 2 2" xfId="37516" xr:uid="{00000000-0005-0000-0000-0000F8910000}"/>
    <cellStyle name="Normal 3 2 56 2 3" xfId="37517" xr:uid="{00000000-0005-0000-0000-0000F9910000}"/>
    <cellStyle name="Normal 3 2 56 3" xfId="37518" xr:uid="{00000000-0005-0000-0000-0000FA910000}"/>
    <cellStyle name="Normal 3 2 56 4" xfId="37519" xr:uid="{00000000-0005-0000-0000-0000FB910000}"/>
    <cellStyle name="Normal 3 2 57" xfId="37520" xr:uid="{00000000-0005-0000-0000-0000FC910000}"/>
    <cellStyle name="Normal 3 2 57 2" xfId="37521" xr:uid="{00000000-0005-0000-0000-0000FD910000}"/>
    <cellStyle name="Normal 3 2 57 3" xfId="37522" xr:uid="{00000000-0005-0000-0000-0000FE910000}"/>
    <cellStyle name="Normal 3 2 58" xfId="37523" xr:uid="{00000000-0005-0000-0000-0000FF910000}"/>
    <cellStyle name="Normal 3 2 59" xfId="37524" xr:uid="{00000000-0005-0000-0000-000000920000}"/>
    <cellStyle name="Normal 3 2 6" xfId="37525" xr:uid="{00000000-0005-0000-0000-000001920000}"/>
    <cellStyle name="Normal 3 2 6 2" xfId="37526" xr:uid="{00000000-0005-0000-0000-000002920000}"/>
    <cellStyle name="Normal 3 2 6 2 2" xfId="37527" xr:uid="{00000000-0005-0000-0000-000003920000}"/>
    <cellStyle name="Normal 3 2 6 2 2 2" xfId="37528" xr:uid="{00000000-0005-0000-0000-000004920000}"/>
    <cellStyle name="Normal 3 2 6 2 2 3" xfId="37529" xr:uid="{00000000-0005-0000-0000-000005920000}"/>
    <cellStyle name="Normal 3 2 6 2 3" xfId="37530" xr:uid="{00000000-0005-0000-0000-000006920000}"/>
    <cellStyle name="Normal 3 2 6 2 4" xfId="37531" xr:uid="{00000000-0005-0000-0000-000007920000}"/>
    <cellStyle name="Normal 3 2 6 3" xfId="37532" xr:uid="{00000000-0005-0000-0000-000008920000}"/>
    <cellStyle name="Normal 3 2 6 3 2" xfId="37533" xr:uid="{00000000-0005-0000-0000-000009920000}"/>
    <cellStyle name="Normal 3 2 6 3 3" xfId="37534" xr:uid="{00000000-0005-0000-0000-00000A920000}"/>
    <cellStyle name="Normal 3 2 6 4" xfId="37535" xr:uid="{00000000-0005-0000-0000-00000B920000}"/>
    <cellStyle name="Normal 3 2 7" xfId="37536" xr:uid="{00000000-0005-0000-0000-00000C920000}"/>
    <cellStyle name="Normal 3 2 7 2" xfId="37537" xr:uid="{00000000-0005-0000-0000-00000D920000}"/>
    <cellStyle name="Normal 3 2 7 2 2" xfId="37538" xr:uid="{00000000-0005-0000-0000-00000E920000}"/>
    <cellStyle name="Normal 3 2 7 2 2 2" xfId="37539" xr:uid="{00000000-0005-0000-0000-00000F920000}"/>
    <cellStyle name="Normal 3 2 7 2 2 3" xfId="37540" xr:uid="{00000000-0005-0000-0000-000010920000}"/>
    <cellStyle name="Normal 3 2 7 2 3" xfId="37541" xr:uid="{00000000-0005-0000-0000-000011920000}"/>
    <cellStyle name="Normal 3 2 7 2 4" xfId="37542" xr:uid="{00000000-0005-0000-0000-000012920000}"/>
    <cellStyle name="Normal 3 2 7 3" xfId="37543" xr:uid="{00000000-0005-0000-0000-000013920000}"/>
    <cellStyle name="Normal 3 2 7 3 2" xfId="37544" xr:uid="{00000000-0005-0000-0000-000014920000}"/>
    <cellStyle name="Normal 3 2 7 3 3" xfId="37545" xr:uid="{00000000-0005-0000-0000-000015920000}"/>
    <cellStyle name="Normal 3 2 7 4" xfId="37546" xr:uid="{00000000-0005-0000-0000-000016920000}"/>
    <cellStyle name="Normal 3 2 8" xfId="37547" xr:uid="{00000000-0005-0000-0000-000017920000}"/>
    <cellStyle name="Normal 3 2 8 2" xfId="37548" xr:uid="{00000000-0005-0000-0000-000018920000}"/>
    <cellStyle name="Normal 3 2 8 2 2" xfId="37549" xr:uid="{00000000-0005-0000-0000-000019920000}"/>
    <cellStyle name="Normal 3 2 8 2 2 2" xfId="37550" xr:uid="{00000000-0005-0000-0000-00001A920000}"/>
    <cellStyle name="Normal 3 2 8 2 2 3" xfId="37551" xr:uid="{00000000-0005-0000-0000-00001B920000}"/>
    <cellStyle name="Normal 3 2 8 2 3" xfId="37552" xr:uid="{00000000-0005-0000-0000-00001C920000}"/>
    <cellStyle name="Normal 3 2 8 2 4" xfId="37553" xr:uid="{00000000-0005-0000-0000-00001D920000}"/>
    <cellStyle name="Normal 3 2 8 3" xfId="37554" xr:uid="{00000000-0005-0000-0000-00001E920000}"/>
    <cellStyle name="Normal 3 2 8 3 2" xfId="37555" xr:uid="{00000000-0005-0000-0000-00001F920000}"/>
    <cellStyle name="Normal 3 2 8 3 3" xfId="37556" xr:uid="{00000000-0005-0000-0000-000020920000}"/>
    <cellStyle name="Normal 3 2 8 4" xfId="37557" xr:uid="{00000000-0005-0000-0000-000021920000}"/>
    <cellStyle name="Normal 3 2 9" xfId="37558" xr:uid="{00000000-0005-0000-0000-000022920000}"/>
    <cellStyle name="Normal 3 2 9 2" xfId="37559" xr:uid="{00000000-0005-0000-0000-000023920000}"/>
    <cellStyle name="Normal 3 2 9 2 2" xfId="37560" xr:uid="{00000000-0005-0000-0000-000024920000}"/>
    <cellStyle name="Normal 3 2 9 2 2 2" xfId="37561" xr:uid="{00000000-0005-0000-0000-000025920000}"/>
    <cellStyle name="Normal 3 2 9 2 2 3" xfId="37562" xr:uid="{00000000-0005-0000-0000-000026920000}"/>
    <cellStyle name="Normal 3 2 9 2 3" xfId="37563" xr:uid="{00000000-0005-0000-0000-000027920000}"/>
    <cellStyle name="Normal 3 2 9 2 4" xfId="37564" xr:uid="{00000000-0005-0000-0000-000028920000}"/>
    <cellStyle name="Normal 3 2 9 3" xfId="37565" xr:uid="{00000000-0005-0000-0000-000029920000}"/>
    <cellStyle name="Normal 3 2 9 3 2" xfId="37566" xr:uid="{00000000-0005-0000-0000-00002A920000}"/>
    <cellStyle name="Normal 3 2 9 3 3" xfId="37567" xr:uid="{00000000-0005-0000-0000-00002B920000}"/>
    <cellStyle name="Normal 3 2 9 4" xfId="37568" xr:uid="{00000000-0005-0000-0000-00002C920000}"/>
    <cellStyle name="Normal 3 2_2015 Annual Rpt" xfId="37569" xr:uid="{00000000-0005-0000-0000-00002D920000}"/>
    <cellStyle name="Normal 3 20" xfId="37570" xr:uid="{00000000-0005-0000-0000-00002E920000}"/>
    <cellStyle name="Normal 3 20 10" xfId="37571" xr:uid="{00000000-0005-0000-0000-00002F920000}"/>
    <cellStyle name="Normal 3 20 10 2" xfId="37572" xr:uid="{00000000-0005-0000-0000-000030920000}"/>
    <cellStyle name="Normal 3 20 10 2 2" xfId="37573" xr:uid="{00000000-0005-0000-0000-000031920000}"/>
    <cellStyle name="Normal 3 20 10 2 2 2" xfId="37574" xr:uid="{00000000-0005-0000-0000-000032920000}"/>
    <cellStyle name="Normal 3 20 10 2 2 3" xfId="37575" xr:uid="{00000000-0005-0000-0000-000033920000}"/>
    <cellStyle name="Normal 3 20 10 2 3" xfId="37576" xr:uid="{00000000-0005-0000-0000-000034920000}"/>
    <cellStyle name="Normal 3 20 10 2 4" xfId="37577" xr:uid="{00000000-0005-0000-0000-000035920000}"/>
    <cellStyle name="Normal 3 20 10 3" xfId="37578" xr:uid="{00000000-0005-0000-0000-000036920000}"/>
    <cellStyle name="Normal 3 20 10 3 2" xfId="37579" xr:uid="{00000000-0005-0000-0000-000037920000}"/>
    <cellStyle name="Normal 3 20 10 3 3" xfId="37580" xr:uid="{00000000-0005-0000-0000-000038920000}"/>
    <cellStyle name="Normal 3 20 10 4" xfId="37581" xr:uid="{00000000-0005-0000-0000-000039920000}"/>
    <cellStyle name="Normal 3 20 11" xfId="37582" xr:uid="{00000000-0005-0000-0000-00003A920000}"/>
    <cellStyle name="Normal 3 20 11 2" xfId="37583" xr:uid="{00000000-0005-0000-0000-00003B920000}"/>
    <cellStyle name="Normal 3 20 11 2 2" xfId="37584" xr:uid="{00000000-0005-0000-0000-00003C920000}"/>
    <cellStyle name="Normal 3 20 11 2 2 2" xfId="37585" xr:uid="{00000000-0005-0000-0000-00003D920000}"/>
    <cellStyle name="Normal 3 20 11 2 2 3" xfId="37586" xr:uid="{00000000-0005-0000-0000-00003E920000}"/>
    <cellStyle name="Normal 3 20 11 2 3" xfId="37587" xr:uid="{00000000-0005-0000-0000-00003F920000}"/>
    <cellStyle name="Normal 3 20 11 2 4" xfId="37588" xr:uid="{00000000-0005-0000-0000-000040920000}"/>
    <cellStyle name="Normal 3 20 11 3" xfId="37589" xr:uid="{00000000-0005-0000-0000-000041920000}"/>
    <cellStyle name="Normal 3 20 11 3 2" xfId="37590" xr:uid="{00000000-0005-0000-0000-000042920000}"/>
    <cellStyle name="Normal 3 20 11 3 3" xfId="37591" xr:uid="{00000000-0005-0000-0000-000043920000}"/>
    <cellStyle name="Normal 3 20 11 4" xfId="37592" xr:uid="{00000000-0005-0000-0000-000044920000}"/>
    <cellStyle name="Normal 3 20 12" xfId="37593" xr:uid="{00000000-0005-0000-0000-000045920000}"/>
    <cellStyle name="Normal 3 20 12 2" xfId="37594" xr:uid="{00000000-0005-0000-0000-000046920000}"/>
    <cellStyle name="Normal 3 20 12 2 2" xfId="37595" xr:uid="{00000000-0005-0000-0000-000047920000}"/>
    <cellStyle name="Normal 3 20 12 2 2 2" xfId="37596" xr:uid="{00000000-0005-0000-0000-000048920000}"/>
    <cellStyle name="Normal 3 20 12 2 2 3" xfId="37597" xr:uid="{00000000-0005-0000-0000-000049920000}"/>
    <cellStyle name="Normal 3 20 12 2 3" xfId="37598" xr:uid="{00000000-0005-0000-0000-00004A920000}"/>
    <cellStyle name="Normal 3 20 12 2 4" xfId="37599" xr:uid="{00000000-0005-0000-0000-00004B920000}"/>
    <cellStyle name="Normal 3 20 12 3" xfId="37600" xr:uid="{00000000-0005-0000-0000-00004C920000}"/>
    <cellStyle name="Normal 3 20 12 3 2" xfId="37601" xr:uid="{00000000-0005-0000-0000-00004D920000}"/>
    <cellStyle name="Normal 3 20 12 3 3" xfId="37602" xr:uid="{00000000-0005-0000-0000-00004E920000}"/>
    <cellStyle name="Normal 3 20 12 4" xfId="37603" xr:uid="{00000000-0005-0000-0000-00004F920000}"/>
    <cellStyle name="Normal 3 20 13" xfId="37604" xr:uid="{00000000-0005-0000-0000-000050920000}"/>
    <cellStyle name="Normal 3 20 13 2" xfId="37605" xr:uid="{00000000-0005-0000-0000-000051920000}"/>
    <cellStyle name="Normal 3 20 13 2 2" xfId="37606" xr:uid="{00000000-0005-0000-0000-000052920000}"/>
    <cellStyle name="Normal 3 20 13 2 2 2" xfId="37607" xr:uid="{00000000-0005-0000-0000-000053920000}"/>
    <cellStyle name="Normal 3 20 13 2 2 3" xfId="37608" xr:uid="{00000000-0005-0000-0000-000054920000}"/>
    <cellStyle name="Normal 3 20 13 2 3" xfId="37609" xr:uid="{00000000-0005-0000-0000-000055920000}"/>
    <cellStyle name="Normal 3 20 13 2 4" xfId="37610" xr:uid="{00000000-0005-0000-0000-000056920000}"/>
    <cellStyle name="Normal 3 20 13 3" xfId="37611" xr:uid="{00000000-0005-0000-0000-000057920000}"/>
    <cellStyle name="Normal 3 20 13 3 2" xfId="37612" xr:uid="{00000000-0005-0000-0000-000058920000}"/>
    <cellStyle name="Normal 3 20 13 3 3" xfId="37613" xr:uid="{00000000-0005-0000-0000-000059920000}"/>
    <cellStyle name="Normal 3 20 13 4" xfId="37614" xr:uid="{00000000-0005-0000-0000-00005A920000}"/>
    <cellStyle name="Normal 3 20 14" xfId="37615" xr:uid="{00000000-0005-0000-0000-00005B920000}"/>
    <cellStyle name="Normal 3 20 14 2" xfId="37616" xr:uid="{00000000-0005-0000-0000-00005C920000}"/>
    <cellStyle name="Normal 3 20 14 2 2" xfId="37617" xr:uid="{00000000-0005-0000-0000-00005D920000}"/>
    <cellStyle name="Normal 3 20 14 2 2 2" xfId="37618" xr:uid="{00000000-0005-0000-0000-00005E920000}"/>
    <cellStyle name="Normal 3 20 14 2 2 3" xfId="37619" xr:uid="{00000000-0005-0000-0000-00005F920000}"/>
    <cellStyle name="Normal 3 20 14 2 3" xfId="37620" xr:uid="{00000000-0005-0000-0000-000060920000}"/>
    <cellStyle name="Normal 3 20 14 2 4" xfId="37621" xr:uid="{00000000-0005-0000-0000-000061920000}"/>
    <cellStyle name="Normal 3 20 14 3" xfId="37622" xr:uid="{00000000-0005-0000-0000-000062920000}"/>
    <cellStyle name="Normal 3 20 14 3 2" xfId="37623" xr:uid="{00000000-0005-0000-0000-000063920000}"/>
    <cellStyle name="Normal 3 20 14 3 3" xfId="37624" xr:uid="{00000000-0005-0000-0000-000064920000}"/>
    <cellStyle name="Normal 3 20 14 4" xfId="37625" xr:uid="{00000000-0005-0000-0000-000065920000}"/>
    <cellStyle name="Normal 3 20 15" xfId="37626" xr:uid="{00000000-0005-0000-0000-000066920000}"/>
    <cellStyle name="Normal 3 20 15 2" xfId="37627" xr:uid="{00000000-0005-0000-0000-000067920000}"/>
    <cellStyle name="Normal 3 20 15 2 2" xfId="37628" xr:uid="{00000000-0005-0000-0000-000068920000}"/>
    <cellStyle name="Normal 3 20 15 2 2 2" xfId="37629" xr:uid="{00000000-0005-0000-0000-000069920000}"/>
    <cellStyle name="Normal 3 20 15 2 2 3" xfId="37630" xr:uid="{00000000-0005-0000-0000-00006A920000}"/>
    <cellStyle name="Normal 3 20 15 2 3" xfId="37631" xr:uid="{00000000-0005-0000-0000-00006B920000}"/>
    <cellStyle name="Normal 3 20 15 2 4" xfId="37632" xr:uid="{00000000-0005-0000-0000-00006C920000}"/>
    <cellStyle name="Normal 3 20 15 3" xfId="37633" xr:uid="{00000000-0005-0000-0000-00006D920000}"/>
    <cellStyle name="Normal 3 20 15 3 2" xfId="37634" xr:uid="{00000000-0005-0000-0000-00006E920000}"/>
    <cellStyle name="Normal 3 20 15 3 3" xfId="37635" xr:uid="{00000000-0005-0000-0000-00006F920000}"/>
    <cellStyle name="Normal 3 20 15 4" xfId="37636" xr:uid="{00000000-0005-0000-0000-000070920000}"/>
    <cellStyle name="Normal 3 20 16" xfId="37637" xr:uid="{00000000-0005-0000-0000-000071920000}"/>
    <cellStyle name="Normal 3 20 16 2" xfId="37638" xr:uid="{00000000-0005-0000-0000-000072920000}"/>
    <cellStyle name="Normal 3 20 16 2 2" xfId="37639" xr:uid="{00000000-0005-0000-0000-000073920000}"/>
    <cellStyle name="Normal 3 20 16 2 2 2" xfId="37640" xr:uid="{00000000-0005-0000-0000-000074920000}"/>
    <cellStyle name="Normal 3 20 16 2 2 3" xfId="37641" xr:uid="{00000000-0005-0000-0000-000075920000}"/>
    <cellStyle name="Normal 3 20 16 2 3" xfId="37642" xr:uid="{00000000-0005-0000-0000-000076920000}"/>
    <cellStyle name="Normal 3 20 16 2 4" xfId="37643" xr:uid="{00000000-0005-0000-0000-000077920000}"/>
    <cellStyle name="Normal 3 20 16 3" xfId="37644" xr:uid="{00000000-0005-0000-0000-000078920000}"/>
    <cellStyle name="Normal 3 20 16 3 2" xfId="37645" xr:uid="{00000000-0005-0000-0000-000079920000}"/>
    <cellStyle name="Normal 3 20 16 3 3" xfId="37646" xr:uid="{00000000-0005-0000-0000-00007A920000}"/>
    <cellStyle name="Normal 3 20 16 4" xfId="37647" xr:uid="{00000000-0005-0000-0000-00007B920000}"/>
    <cellStyle name="Normal 3 20 17" xfId="37648" xr:uid="{00000000-0005-0000-0000-00007C920000}"/>
    <cellStyle name="Normal 3 20 17 2" xfId="37649" xr:uid="{00000000-0005-0000-0000-00007D920000}"/>
    <cellStyle name="Normal 3 20 17 2 2" xfId="37650" xr:uid="{00000000-0005-0000-0000-00007E920000}"/>
    <cellStyle name="Normal 3 20 17 2 2 2" xfId="37651" xr:uid="{00000000-0005-0000-0000-00007F920000}"/>
    <cellStyle name="Normal 3 20 17 2 2 3" xfId="37652" xr:uid="{00000000-0005-0000-0000-000080920000}"/>
    <cellStyle name="Normal 3 20 17 2 3" xfId="37653" xr:uid="{00000000-0005-0000-0000-000081920000}"/>
    <cellStyle name="Normal 3 20 17 2 4" xfId="37654" xr:uid="{00000000-0005-0000-0000-000082920000}"/>
    <cellStyle name="Normal 3 20 17 3" xfId="37655" xr:uid="{00000000-0005-0000-0000-000083920000}"/>
    <cellStyle name="Normal 3 20 17 3 2" xfId="37656" xr:uid="{00000000-0005-0000-0000-000084920000}"/>
    <cellStyle name="Normal 3 20 17 3 3" xfId="37657" xr:uid="{00000000-0005-0000-0000-000085920000}"/>
    <cellStyle name="Normal 3 20 17 4" xfId="37658" xr:uid="{00000000-0005-0000-0000-000086920000}"/>
    <cellStyle name="Normal 3 20 18" xfId="37659" xr:uid="{00000000-0005-0000-0000-000087920000}"/>
    <cellStyle name="Normal 3 20 18 2" xfId="37660" xr:uid="{00000000-0005-0000-0000-000088920000}"/>
    <cellStyle name="Normal 3 20 18 2 2" xfId="37661" xr:uid="{00000000-0005-0000-0000-000089920000}"/>
    <cellStyle name="Normal 3 20 18 2 2 2" xfId="37662" xr:uid="{00000000-0005-0000-0000-00008A920000}"/>
    <cellStyle name="Normal 3 20 18 2 2 3" xfId="37663" xr:uid="{00000000-0005-0000-0000-00008B920000}"/>
    <cellStyle name="Normal 3 20 18 2 3" xfId="37664" xr:uid="{00000000-0005-0000-0000-00008C920000}"/>
    <cellStyle name="Normal 3 20 18 2 4" xfId="37665" xr:uid="{00000000-0005-0000-0000-00008D920000}"/>
    <cellStyle name="Normal 3 20 18 3" xfId="37666" xr:uid="{00000000-0005-0000-0000-00008E920000}"/>
    <cellStyle name="Normal 3 20 18 3 2" xfId="37667" xr:uid="{00000000-0005-0000-0000-00008F920000}"/>
    <cellStyle name="Normal 3 20 18 3 3" xfId="37668" xr:uid="{00000000-0005-0000-0000-000090920000}"/>
    <cellStyle name="Normal 3 20 18 4" xfId="37669" xr:uid="{00000000-0005-0000-0000-000091920000}"/>
    <cellStyle name="Normal 3 20 19" xfId="37670" xr:uid="{00000000-0005-0000-0000-000092920000}"/>
    <cellStyle name="Normal 3 20 19 2" xfId="37671" xr:uid="{00000000-0005-0000-0000-000093920000}"/>
    <cellStyle name="Normal 3 20 19 2 2" xfId="37672" xr:uid="{00000000-0005-0000-0000-000094920000}"/>
    <cellStyle name="Normal 3 20 19 2 2 2" xfId="37673" xr:uid="{00000000-0005-0000-0000-000095920000}"/>
    <cellStyle name="Normal 3 20 19 2 2 3" xfId="37674" xr:uid="{00000000-0005-0000-0000-000096920000}"/>
    <cellStyle name="Normal 3 20 19 2 3" xfId="37675" xr:uid="{00000000-0005-0000-0000-000097920000}"/>
    <cellStyle name="Normal 3 20 19 2 4" xfId="37676" xr:uid="{00000000-0005-0000-0000-000098920000}"/>
    <cellStyle name="Normal 3 20 19 3" xfId="37677" xr:uid="{00000000-0005-0000-0000-000099920000}"/>
    <cellStyle name="Normal 3 20 19 3 2" xfId="37678" xr:uid="{00000000-0005-0000-0000-00009A920000}"/>
    <cellStyle name="Normal 3 20 19 3 3" xfId="37679" xr:uid="{00000000-0005-0000-0000-00009B920000}"/>
    <cellStyle name="Normal 3 20 19 4" xfId="37680" xr:uid="{00000000-0005-0000-0000-00009C920000}"/>
    <cellStyle name="Normal 3 20 2" xfId="37681" xr:uid="{00000000-0005-0000-0000-00009D920000}"/>
    <cellStyle name="Normal 3 20 2 2" xfId="37682" xr:uid="{00000000-0005-0000-0000-00009E920000}"/>
    <cellStyle name="Normal 3 20 2 2 2" xfId="37683" xr:uid="{00000000-0005-0000-0000-00009F920000}"/>
    <cellStyle name="Normal 3 20 2 2 2 2" xfId="37684" xr:uid="{00000000-0005-0000-0000-0000A0920000}"/>
    <cellStyle name="Normal 3 20 2 2 2 3" xfId="37685" xr:uid="{00000000-0005-0000-0000-0000A1920000}"/>
    <cellStyle name="Normal 3 20 2 2 3" xfId="37686" xr:uid="{00000000-0005-0000-0000-0000A2920000}"/>
    <cellStyle name="Normal 3 20 2 2 4" xfId="37687" xr:uid="{00000000-0005-0000-0000-0000A3920000}"/>
    <cellStyle name="Normal 3 20 2 3" xfId="37688" xr:uid="{00000000-0005-0000-0000-0000A4920000}"/>
    <cellStyle name="Normal 3 20 2 3 2" xfId="37689" xr:uid="{00000000-0005-0000-0000-0000A5920000}"/>
    <cellStyle name="Normal 3 20 2 3 3" xfId="37690" xr:uid="{00000000-0005-0000-0000-0000A6920000}"/>
    <cellStyle name="Normal 3 20 2 4" xfId="37691" xr:uid="{00000000-0005-0000-0000-0000A7920000}"/>
    <cellStyle name="Normal 3 20 20" xfId="37692" xr:uid="{00000000-0005-0000-0000-0000A8920000}"/>
    <cellStyle name="Normal 3 20 20 2" xfId="37693" xr:uid="{00000000-0005-0000-0000-0000A9920000}"/>
    <cellStyle name="Normal 3 20 20 2 2" xfId="37694" xr:uid="{00000000-0005-0000-0000-0000AA920000}"/>
    <cellStyle name="Normal 3 20 20 2 2 2" xfId="37695" xr:uid="{00000000-0005-0000-0000-0000AB920000}"/>
    <cellStyle name="Normal 3 20 20 2 2 3" xfId="37696" xr:uid="{00000000-0005-0000-0000-0000AC920000}"/>
    <cellStyle name="Normal 3 20 20 2 3" xfId="37697" xr:uid="{00000000-0005-0000-0000-0000AD920000}"/>
    <cellStyle name="Normal 3 20 20 2 4" xfId="37698" xr:uid="{00000000-0005-0000-0000-0000AE920000}"/>
    <cellStyle name="Normal 3 20 20 3" xfId="37699" xr:uid="{00000000-0005-0000-0000-0000AF920000}"/>
    <cellStyle name="Normal 3 20 20 3 2" xfId="37700" xr:uid="{00000000-0005-0000-0000-0000B0920000}"/>
    <cellStyle name="Normal 3 20 20 3 3" xfId="37701" xr:uid="{00000000-0005-0000-0000-0000B1920000}"/>
    <cellStyle name="Normal 3 20 20 4" xfId="37702" xr:uid="{00000000-0005-0000-0000-0000B2920000}"/>
    <cellStyle name="Normal 3 20 21" xfId="37703" xr:uid="{00000000-0005-0000-0000-0000B3920000}"/>
    <cellStyle name="Normal 3 20 21 2" xfId="37704" xr:uid="{00000000-0005-0000-0000-0000B4920000}"/>
    <cellStyle name="Normal 3 20 21 2 2" xfId="37705" xr:uid="{00000000-0005-0000-0000-0000B5920000}"/>
    <cellStyle name="Normal 3 20 21 2 2 2" xfId="37706" xr:uid="{00000000-0005-0000-0000-0000B6920000}"/>
    <cellStyle name="Normal 3 20 21 2 2 3" xfId="37707" xr:uid="{00000000-0005-0000-0000-0000B7920000}"/>
    <cellStyle name="Normal 3 20 21 2 3" xfId="37708" xr:uid="{00000000-0005-0000-0000-0000B8920000}"/>
    <cellStyle name="Normal 3 20 21 2 4" xfId="37709" xr:uid="{00000000-0005-0000-0000-0000B9920000}"/>
    <cellStyle name="Normal 3 20 21 3" xfId="37710" xr:uid="{00000000-0005-0000-0000-0000BA920000}"/>
    <cellStyle name="Normal 3 20 21 3 2" xfId="37711" xr:uid="{00000000-0005-0000-0000-0000BB920000}"/>
    <cellStyle name="Normal 3 20 21 3 3" xfId="37712" xr:uid="{00000000-0005-0000-0000-0000BC920000}"/>
    <cellStyle name="Normal 3 20 21 4" xfId="37713" xr:uid="{00000000-0005-0000-0000-0000BD920000}"/>
    <cellStyle name="Normal 3 20 22" xfId="37714" xr:uid="{00000000-0005-0000-0000-0000BE920000}"/>
    <cellStyle name="Normal 3 20 22 2" xfId="37715" xr:uid="{00000000-0005-0000-0000-0000BF920000}"/>
    <cellStyle name="Normal 3 20 22 2 2" xfId="37716" xr:uid="{00000000-0005-0000-0000-0000C0920000}"/>
    <cellStyle name="Normal 3 20 22 2 2 2" xfId="37717" xr:uid="{00000000-0005-0000-0000-0000C1920000}"/>
    <cellStyle name="Normal 3 20 22 2 2 3" xfId="37718" xr:uid="{00000000-0005-0000-0000-0000C2920000}"/>
    <cellStyle name="Normal 3 20 22 2 3" xfId="37719" xr:uid="{00000000-0005-0000-0000-0000C3920000}"/>
    <cellStyle name="Normal 3 20 22 2 4" xfId="37720" xr:uid="{00000000-0005-0000-0000-0000C4920000}"/>
    <cellStyle name="Normal 3 20 22 3" xfId="37721" xr:uid="{00000000-0005-0000-0000-0000C5920000}"/>
    <cellStyle name="Normal 3 20 22 3 2" xfId="37722" xr:uid="{00000000-0005-0000-0000-0000C6920000}"/>
    <cellStyle name="Normal 3 20 22 3 3" xfId="37723" xr:uid="{00000000-0005-0000-0000-0000C7920000}"/>
    <cellStyle name="Normal 3 20 22 4" xfId="37724" xr:uid="{00000000-0005-0000-0000-0000C8920000}"/>
    <cellStyle name="Normal 3 20 23" xfId="37725" xr:uid="{00000000-0005-0000-0000-0000C9920000}"/>
    <cellStyle name="Normal 3 20 23 2" xfId="37726" xr:uid="{00000000-0005-0000-0000-0000CA920000}"/>
    <cellStyle name="Normal 3 20 23 2 2" xfId="37727" xr:uid="{00000000-0005-0000-0000-0000CB920000}"/>
    <cellStyle name="Normal 3 20 23 2 2 2" xfId="37728" xr:uid="{00000000-0005-0000-0000-0000CC920000}"/>
    <cellStyle name="Normal 3 20 23 2 2 3" xfId="37729" xr:uid="{00000000-0005-0000-0000-0000CD920000}"/>
    <cellStyle name="Normal 3 20 23 2 3" xfId="37730" xr:uid="{00000000-0005-0000-0000-0000CE920000}"/>
    <cellStyle name="Normal 3 20 23 2 4" xfId="37731" xr:uid="{00000000-0005-0000-0000-0000CF920000}"/>
    <cellStyle name="Normal 3 20 23 3" xfId="37732" xr:uid="{00000000-0005-0000-0000-0000D0920000}"/>
    <cellStyle name="Normal 3 20 23 3 2" xfId="37733" xr:uid="{00000000-0005-0000-0000-0000D1920000}"/>
    <cellStyle name="Normal 3 20 23 3 3" xfId="37734" xr:uid="{00000000-0005-0000-0000-0000D2920000}"/>
    <cellStyle name="Normal 3 20 23 4" xfId="37735" xr:uid="{00000000-0005-0000-0000-0000D3920000}"/>
    <cellStyle name="Normal 3 20 24" xfId="37736" xr:uid="{00000000-0005-0000-0000-0000D4920000}"/>
    <cellStyle name="Normal 3 20 24 2" xfId="37737" xr:uid="{00000000-0005-0000-0000-0000D5920000}"/>
    <cellStyle name="Normal 3 20 24 2 2" xfId="37738" xr:uid="{00000000-0005-0000-0000-0000D6920000}"/>
    <cellStyle name="Normal 3 20 24 2 3" xfId="37739" xr:uid="{00000000-0005-0000-0000-0000D7920000}"/>
    <cellStyle name="Normal 3 20 24 3" xfId="37740" xr:uid="{00000000-0005-0000-0000-0000D8920000}"/>
    <cellStyle name="Normal 3 20 24 4" xfId="37741" xr:uid="{00000000-0005-0000-0000-0000D9920000}"/>
    <cellStyle name="Normal 3 20 25" xfId="37742" xr:uid="{00000000-0005-0000-0000-0000DA920000}"/>
    <cellStyle name="Normal 3 20 25 2" xfId="37743" xr:uid="{00000000-0005-0000-0000-0000DB920000}"/>
    <cellStyle name="Normal 3 20 25 3" xfId="37744" xr:uid="{00000000-0005-0000-0000-0000DC920000}"/>
    <cellStyle name="Normal 3 20 26" xfId="37745" xr:uid="{00000000-0005-0000-0000-0000DD920000}"/>
    <cellStyle name="Normal 3 20 3" xfId="37746" xr:uid="{00000000-0005-0000-0000-0000DE920000}"/>
    <cellStyle name="Normal 3 20 3 2" xfId="37747" xr:uid="{00000000-0005-0000-0000-0000DF920000}"/>
    <cellStyle name="Normal 3 20 3 2 2" xfId="37748" xr:uid="{00000000-0005-0000-0000-0000E0920000}"/>
    <cellStyle name="Normal 3 20 3 2 2 2" xfId="37749" xr:uid="{00000000-0005-0000-0000-0000E1920000}"/>
    <cellStyle name="Normal 3 20 3 2 2 3" xfId="37750" xr:uid="{00000000-0005-0000-0000-0000E2920000}"/>
    <cellStyle name="Normal 3 20 3 2 3" xfId="37751" xr:uid="{00000000-0005-0000-0000-0000E3920000}"/>
    <cellStyle name="Normal 3 20 3 2 4" xfId="37752" xr:uid="{00000000-0005-0000-0000-0000E4920000}"/>
    <cellStyle name="Normal 3 20 3 3" xfId="37753" xr:uid="{00000000-0005-0000-0000-0000E5920000}"/>
    <cellStyle name="Normal 3 20 3 3 2" xfId="37754" xr:uid="{00000000-0005-0000-0000-0000E6920000}"/>
    <cellStyle name="Normal 3 20 3 3 3" xfId="37755" xr:uid="{00000000-0005-0000-0000-0000E7920000}"/>
    <cellStyle name="Normal 3 20 3 4" xfId="37756" xr:uid="{00000000-0005-0000-0000-0000E8920000}"/>
    <cellStyle name="Normal 3 20 4" xfId="37757" xr:uid="{00000000-0005-0000-0000-0000E9920000}"/>
    <cellStyle name="Normal 3 20 4 2" xfId="37758" xr:uid="{00000000-0005-0000-0000-0000EA920000}"/>
    <cellStyle name="Normal 3 20 4 2 2" xfId="37759" xr:uid="{00000000-0005-0000-0000-0000EB920000}"/>
    <cellStyle name="Normal 3 20 4 2 2 2" xfId="37760" xr:uid="{00000000-0005-0000-0000-0000EC920000}"/>
    <cellStyle name="Normal 3 20 4 2 2 3" xfId="37761" xr:uid="{00000000-0005-0000-0000-0000ED920000}"/>
    <cellStyle name="Normal 3 20 4 2 3" xfId="37762" xr:uid="{00000000-0005-0000-0000-0000EE920000}"/>
    <cellStyle name="Normal 3 20 4 2 4" xfId="37763" xr:uid="{00000000-0005-0000-0000-0000EF920000}"/>
    <cellStyle name="Normal 3 20 4 3" xfId="37764" xr:uid="{00000000-0005-0000-0000-0000F0920000}"/>
    <cellStyle name="Normal 3 20 4 3 2" xfId="37765" xr:uid="{00000000-0005-0000-0000-0000F1920000}"/>
    <cellStyle name="Normal 3 20 4 3 3" xfId="37766" xr:uid="{00000000-0005-0000-0000-0000F2920000}"/>
    <cellStyle name="Normal 3 20 4 4" xfId="37767" xr:uid="{00000000-0005-0000-0000-0000F3920000}"/>
    <cellStyle name="Normal 3 20 5" xfId="37768" xr:uid="{00000000-0005-0000-0000-0000F4920000}"/>
    <cellStyle name="Normal 3 20 5 2" xfId="37769" xr:uid="{00000000-0005-0000-0000-0000F5920000}"/>
    <cellStyle name="Normal 3 20 5 2 2" xfId="37770" xr:uid="{00000000-0005-0000-0000-0000F6920000}"/>
    <cellStyle name="Normal 3 20 5 2 2 2" xfId="37771" xr:uid="{00000000-0005-0000-0000-0000F7920000}"/>
    <cellStyle name="Normal 3 20 5 2 2 3" xfId="37772" xr:uid="{00000000-0005-0000-0000-0000F8920000}"/>
    <cellStyle name="Normal 3 20 5 2 3" xfId="37773" xr:uid="{00000000-0005-0000-0000-0000F9920000}"/>
    <cellStyle name="Normal 3 20 5 2 4" xfId="37774" xr:uid="{00000000-0005-0000-0000-0000FA920000}"/>
    <cellStyle name="Normal 3 20 5 3" xfId="37775" xr:uid="{00000000-0005-0000-0000-0000FB920000}"/>
    <cellStyle name="Normal 3 20 5 3 2" xfId="37776" xr:uid="{00000000-0005-0000-0000-0000FC920000}"/>
    <cellStyle name="Normal 3 20 5 3 3" xfId="37777" xr:uid="{00000000-0005-0000-0000-0000FD920000}"/>
    <cellStyle name="Normal 3 20 5 4" xfId="37778" xr:uid="{00000000-0005-0000-0000-0000FE920000}"/>
    <cellStyle name="Normal 3 20 6" xfId="37779" xr:uid="{00000000-0005-0000-0000-0000FF920000}"/>
    <cellStyle name="Normal 3 20 6 2" xfId="37780" xr:uid="{00000000-0005-0000-0000-000000930000}"/>
    <cellStyle name="Normal 3 20 6 2 2" xfId="37781" xr:uid="{00000000-0005-0000-0000-000001930000}"/>
    <cellStyle name="Normal 3 20 6 2 2 2" xfId="37782" xr:uid="{00000000-0005-0000-0000-000002930000}"/>
    <cellStyle name="Normal 3 20 6 2 2 3" xfId="37783" xr:uid="{00000000-0005-0000-0000-000003930000}"/>
    <cellStyle name="Normal 3 20 6 2 3" xfId="37784" xr:uid="{00000000-0005-0000-0000-000004930000}"/>
    <cellStyle name="Normal 3 20 6 2 4" xfId="37785" xr:uid="{00000000-0005-0000-0000-000005930000}"/>
    <cellStyle name="Normal 3 20 6 3" xfId="37786" xr:uid="{00000000-0005-0000-0000-000006930000}"/>
    <cellStyle name="Normal 3 20 6 3 2" xfId="37787" xr:uid="{00000000-0005-0000-0000-000007930000}"/>
    <cellStyle name="Normal 3 20 6 3 3" xfId="37788" xr:uid="{00000000-0005-0000-0000-000008930000}"/>
    <cellStyle name="Normal 3 20 6 4" xfId="37789" xr:uid="{00000000-0005-0000-0000-000009930000}"/>
    <cellStyle name="Normal 3 20 7" xfId="37790" xr:uid="{00000000-0005-0000-0000-00000A930000}"/>
    <cellStyle name="Normal 3 20 7 2" xfId="37791" xr:uid="{00000000-0005-0000-0000-00000B930000}"/>
    <cellStyle name="Normal 3 20 7 2 2" xfId="37792" xr:uid="{00000000-0005-0000-0000-00000C930000}"/>
    <cellStyle name="Normal 3 20 7 2 2 2" xfId="37793" xr:uid="{00000000-0005-0000-0000-00000D930000}"/>
    <cellStyle name="Normal 3 20 7 2 2 3" xfId="37794" xr:uid="{00000000-0005-0000-0000-00000E930000}"/>
    <cellStyle name="Normal 3 20 7 2 3" xfId="37795" xr:uid="{00000000-0005-0000-0000-00000F930000}"/>
    <cellStyle name="Normal 3 20 7 2 4" xfId="37796" xr:uid="{00000000-0005-0000-0000-000010930000}"/>
    <cellStyle name="Normal 3 20 7 3" xfId="37797" xr:uid="{00000000-0005-0000-0000-000011930000}"/>
    <cellStyle name="Normal 3 20 7 3 2" xfId="37798" xr:uid="{00000000-0005-0000-0000-000012930000}"/>
    <cellStyle name="Normal 3 20 7 3 3" xfId="37799" xr:uid="{00000000-0005-0000-0000-000013930000}"/>
    <cellStyle name="Normal 3 20 7 4" xfId="37800" xr:uid="{00000000-0005-0000-0000-000014930000}"/>
    <cellStyle name="Normal 3 20 8" xfId="37801" xr:uid="{00000000-0005-0000-0000-000015930000}"/>
    <cellStyle name="Normal 3 20 8 2" xfId="37802" xr:uid="{00000000-0005-0000-0000-000016930000}"/>
    <cellStyle name="Normal 3 20 8 2 2" xfId="37803" xr:uid="{00000000-0005-0000-0000-000017930000}"/>
    <cellStyle name="Normal 3 20 8 2 2 2" xfId="37804" xr:uid="{00000000-0005-0000-0000-000018930000}"/>
    <cellStyle name="Normal 3 20 8 2 2 3" xfId="37805" xr:uid="{00000000-0005-0000-0000-000019930000}"/>
    <cellStyle name="Normal 3 20 8 2 3" xfId="37806" xr:uid="{00000000-0005-0000-0000-00001A930000}"/>
    <cellStyle name="Normal 3 20 8 2 4" xfId="37807" xr:uid="{00000000-0005-0000-0000-00001B930000}"/>
    <cellStyle name="Normal 3 20 8 3" xfId="37808" xr:uid="{00000000-0005-0000-0000-00001C930000}"/>
    <cellStyle name="Normal 3 20 8 3 2" xfId="37809" xr:uid="{00000000-0005-0000-0000-00001D930000}"/>
    <cellStyle name="Normal 3 20 8 3 3" xfId="37810" xr:uid="{00000000-0005-0000-0000-00001E930000}"/>
    <cellStyle name="Normal 3 20 8 4" xfId="37811" xr:uid="{00000000-0005-0000-0000-00001F930000}"/>
    <cellStyle name="Normal 3 20 9" xfId="37812" xr:uid="{00000000-0005-0000-0000-000020930000}"/>
    <cellStyle name="Normal 3 20 9 2" xfId="37813" xr:uid="{00000000-0005-0000-0000-000021930000}"/>
    <cellStyle name="Normal 3 20 9 2 2" xfId="37814" xr:uid="{00000000-0005-0000-0000-000022930000}"/>
    <cellStyle name="Normal 3 20 9 2 2 2" xfId="37815" xr:uid="{00000000-0005-0000-0000-000023930000}"/>
    <cellStyle name="Normal 3 20 9 2 2 3" xfId="37816" xr:uid="{00000000-0005-0000-0000-000024930000}"/>
    <cellStyle name="Normal 3 20 9 2 3" xfId="37817" xr:uid="{00000000-0005-0000-0000-000025930000}"/>
    <cellStyle name="Normal 3 20 9 2 4" xfId="37818" xr:uid="{00000000-0005-0000-0000-000026930000}"/>
    <cellStyle name="Normal 3 20 9 3" xfId="37819" xr:uid="{00000000-0005-0000-0000-000027930000}"/>
    <cellStyle name="Normal 3 20 9 3 2" xfId="37820" xr:uid="{00000000-0005-0000-0000-000028930000}"/>
    <cellStyle name="Normal 3 20 9 3 3" xfId="37821" xr:uid="{00000000-0005-0000-0000-000029930000}"/>
    <cellStyle name="Normal 3 20 9 4" xfId="37822" xr:uid="{00000000-0005-0000-0000-00002A930000}"/>
    <cellStyle name="Normal 3 21" xfId="37823" xr:uid="{00000000-0005-0000-0000-00002B930000}"/>
    <cellStyle name="Normal 3 21 10" xfId="37824" xr:uid="{00000000-0005-0000-0000-00002C930000}"/>
    <cellStyle name="Normal 3 21 10 2" xfId="37825" xr:uid="{00000000-0005-0000-0000-00002D930000}"/>
    <cellStyle name="Normal 3 21 10 2 2" xfId="37826" xr:uid="{00000000-0005-0000-0000-00002E930000}"/>
    <cellStyle name="Normal 3 21 10 2 2 2" xfId="37827" xr:uid="{00000000-0005-0000-0000-00002F930000}"/>
    <cellStyle name="Normal 3 21 10 2 2 3" xfId="37828" xr:uid="{00000000-0005-0000-0000-000030930000}"/>
    <cellStyle name="Normal 3 21 10 2 3" xfId="37829" xr:uid="{00000000-0005-0000-0000-000031930000}"/>
    <cellStyle name="Normal 3 21 10 2 4" xfId="37830" xr:uid="{00000000-0005-0000-0000-000032930000}"/>
    <cellStyle name="Normal 3 21 10 3" xfId="37831" xr:uid="{00000000-0005-0000-0000-000033930000}"/>
    <cellStyle name="Normal 3 21 10 3 2" xfId="37832" xr:uid="{00000000-0005-0000-0000-000034930000}"/>
    <cellStyle name="Normal 3 21 10 3 3" xfId="37833" xr:uid="{00000000-0005-0000-0000-000035930000}"/>
    <cellStyle name="Normal 3 21 10 4" xfId="37834" xr:uid="{00000000-0005-0000-0000-000036930000}"/>
    <cellStyle name="Normal 3 21 11" xfId="37835" xr:uid="{00000000-0005-0000-0000-000037930000}"/>
    <cellStyle name="Normal 3 21 11 2" xfId="37836" xr:uid="{00000000-0005-0000-0000-000038930000}"/>
    <cellStyle name="Normal 3 21 11 2 2" xfId="37837" xr:uid="{00000000-0005-0000-0000-000039930000}"/>
    <cellStyle name="Normal 3 21 11 2 2 2" xfId="37838" xr:uid="{00000000-0005-0000-0000-00003A930000}"/>
    <cellStyle name="Normal 3 21 11 2 2 3" xfId="37839" xr:uid="{00000000-0005-0000-0000-00003B930000}"/>
    <cellStyle name="Normal 3 21 11 2 3" xfId="37840" xr:uid="{00000000-0005-0000-0000-00003C930000}"/>
    <cellStyle name="Normal 3 21 11 2 4" xfId="37841" xr:uid="{00000000-0005-0000-0000-00003D930000}"/>
    <cellStyle name="Normal 3 21 11 3" xfId="37842" xr:uid="{00000000-0005-0000-0000-00003E930000}"/>
    <cellStyle name="Normal 3 21 11 3 2" xfId="37843" xr:uid="{00000000-0005-0000-0000-00003F930000}"/>
    <cellStyle name="Normal 3 21 11 3 3" xfId="37844" xr:uid="{00000000-0005-0000-0000-000040930000}"/>
    <cellStyle name="Normal 3 21 11 4" xfId="37845" xr:uid="{00000000-0005-0000-0000-000041930000}"/>
    <cellStyle name="Normal 3 21 12" xfId="37846" xr:uid="{00000000-0005-0000-0000-000042930000}"/>
    <cellStyle name="Normal 3 21 12 2" xfId="37847" xr:uid="{00000000-0005-0000-0000-000043930000}"/>
    <cellStyle name="Normal 3 21 12 2 2" xfId="37848" xr:uid="{00000000-0005-0000-0000-000044930000}"/>
    <cellStyle name="Normal 3 21 12 2 2 2" xfId="37849" xr:uid="{00000000-0005-0000-0000-000045930000}"/>
    <cellStyle name="Normal 3 21 12 2 2 3" xfId="37850" xr:uid="{00000000-0005-0000-0000-000046930000}"/>
    <cellStyle name="Normal 3 21 12 2 3" xfId="37851" xr:uid="{00000000-0005-0000-0000-000047930000}"/>
    <cellStyle name="Normal 3 21 12 2 4" xfId="37852" xr:uid="{00000000-0005-0000-0000-000048930000}"/>
    <cellStyle name="Normal 3 21 12 3" xfId="37853" xr:uid="{00000000-0005-0000-0000-000049930000}"/>
    <cellStyle name="Normal 3 21 12 3 2" xfId="37854" xr:uid="{00000000-0005-0000-0000-00004A930000}"/>
    <cellStyle name="Normal 3 21 12 3 3" xfId="37855" xr:uid="{00000000-0005-0000-0000-00004B930000}"/>
    <cellStyle name="Normal 3 21 12 4" xfId="37856" xr:uid="{00000000-0005-0000-0000-00004C930000}"/>
    <cellStyle name="Normal 3 21 13" xfId="37857" xr:uid="{00000000-0005-0000-0000-00004D930000}"/>
    <cellStyle name="Normal 3 21 13 2" xfId="37858" xr:uid="{00000000-0005-0000-0000-00004E930000}"/>
    <cellStyle name="Normal 3 21 13 2 2" xfId="37859" xr:uid="{00000000-0005-0000-0000-00004F930000}"/>
    <cellStyle name="Normal 3 21 13 2 2 2" xfId="37860" xr:uid="{00000000-0005-0000-0000-000050930000}"/>
    <cellStyle name="Normal 3 21 13 2 2 3" xfId="37861" xr:uid="{00000000-0005-0000-0000-000051930000}"/>
    <cellStyle name="Normal 3 21 13 2 3" xfId="37862" xr:uid="{00000000-0005-0000-0000-000052930000}"/>
    <cellStyle name="Normal 3 21 13 2 4" xfId="37863" xr:uid="{00000000-0005-0000-0000-000053930000}"/>
    <cellStyle name="Normal 3 21 13 3" xfId="37864" xr:uid="{00000000-0005-0000-0000-000054930000}"/>
    <cellStyle name="Normal 3 21 13 3 2" xfId="37865" xr:uid="{00000000-0005-0000-0000-000055930000}"/>
    <cellStyle name="Normal 3 21 13 3 3" xfId="37866" xr:uid="{00000000-0005-0000-0000-000056930000}"/>
    <cellStyle name="Normal 3 21 13 4" xfId="37867" xr:uid="{00000000-0005-0000-0000-000057930000}"/>
    <cellStyle name="Normal 3 21 14" xfId="37868" xr:uid="{00000000-0005-0000-0000-000058930000}"/>
    <cellStyle name="Normal 3 21 14 2" xfId="37869" xr:uid="{00000000-0005-0000-0000-000059930000}"/>
    <cellStyle name="Normal 3 21 14 2 2" xfId="37870" xr:uid="{00000000-0005-0000-0000-00005A930000}"/>
    <cellStyle name="Normal 3 21 14 2 2 2" xfId="37871" xr:uid="{00000000-0005-0000-0000-00005B930000}"/>
    <cellStyle name="Normal 3 21 14 2 2 3" xfId="37872" xr:uid="{00000000-0005-0000-0000-00005C930000}"/>
    <cellStyle name="Normal 3 21 14 2 3" xfId="37873" xr:uid="{00000000-0005-0000-0000-00005D930000}"/>
    <cellStyle name="Normal 3 21 14 2 4" xfId="37874" xr:uid="{00000000-0005-0000-0000-00005E930000}"/>
    <cellStyle name="Normal 3 21 14 3" xfId="37875" xr:uid="{00000000-0005-0000-0000-00005F930000}"/>
    <cellStyle name="Normal 3 21 14 3 2" xfId="37876" xr:uid="{00000000-0005-0000-0000-000060930000}"/>
    <cellStyle name="Normal 3 21 14 3 3" xfId="37877" xr:uid="{00000000-0005-0000-0000-000061930000}"/>
    <cellStyle name="Normal 3 21 14 4" xfId="37878" xr:uid="{00000000-0005-0000-0000-000062930000}"/>
    <cellStyle name="Normal 3 21 15" xfId="37879" xr:uid="{00000000-0005-0000-0000-000063930000}"/>
    <cellStyle name="Normal 3 21 15 2" xfId="37880" xr:uid="{00000000-0005-0000-0000-000064930000}"/>
    <cellStyle name="Normal 3 21 15 2 2" xfId="37881" xr:uid="{00000000-0005-0000-0000-000065930000}"/>
    <cellStyle name="Normal 3 21 15 2 2 2" xfId="37882" xr:uid="{00000000-0005-0000-0000-000066930000}"/>
    <cellStyle name="Normal 3 21 15 2 2 3" xfId="37883" xr:uid="{00000000-0005-0000-0000-000067930000}"/>
    <cellStyle name="Normal 3 21 15 2 3" xfId="37884" xr:uid="{00000000-0005-0000-0000-000068930000}"/>
    <cellStyle name="Normal 3 21 15 2 4" xfId="37885" xr:uid="{00000000-0005-0000-0000-000069930000}"/>
    <cellStyle name="Normal 3 21 15 3" xfId="37886" xr:uid="{00000000-0005-0000-0000-00006A930000}"/>
    <cellStyle name="Normal 3 21 15 3 2" xfId="37887" xr:uid="{00000000-0005-0000-0000-00006B930000}"/>
    <cellStyle name="Normal 3 21 15 3 3" xfId="37888" xr:uid="{00000000-0005-0000-0000-00006C930000}"/>
    <cellStyle name="Normal 3 21 15 4" xfId="37889" xr:uid="{00000000-0005-0000-0000-00006D930000}"/>
    <cellStyle name="Normal 3 21 16" xfId="37890" xr:uid="{00000000-0005-0000-0000-00006E930000}"/>
    <cellStyle name="Normal 3 21 16 2" xfId="37891" xr:uid="{00000000-0005-0000-0000-00006F930000}"/>
    <cellStyle name="Normal 3 21 16 2 2" xfId="37892" xr:uid="{00000000-0005-0000-0000-000070930000}"/>
    <cellStyle name="Normal 3 21 16 2 2 2" xfId="37893" xr:uid="{00000000-0005-0000-0000-000071930000}"/>
    <cellStyle name="Normal 3 21 16 2 2 3" xfId="37894" xr:uid="{00000000-0005-0000-0000-000072930000}"/>
    <cellStyle name="Normal 3 21 16 2 3" xfId="37895" xr:uid="{00000000-0005-0000-0000-000073930000}"/>
    <cellStyle name="Normal 3 21 16 2 4" xfId="37896" xr:uid="{00000000-0005-0000-0000-000074930000}"/>
    <cellStyle name="Normal 3 21 16 3" xfId="37897" xr:uid="{00000000-0005-0000-0000-000075930000}"/>
    <cellStyle name="Normal 3 21 16 3 2" xfId="37898" xr:uid="{00000000-0005-0000-0000-000076930000}"/>
    <cellStyle name="Normal 3 21 16 3 3" xfId="37899" xr:uid="{00000000-0005-0000-0000-000077930000}"/>
    <cellStyle name="Normal 3 21 16 4" xfId="37900" xr:uid="{00000000-0005-0000-0000-000078930000}"/>
    <cellStyle name="Normal 3 21 17" xfId="37901" xr:uid="{00000000-0005-0000-0000-000079930000}"/>
    <cellStyle name="Normal 3 21 17 2" xfId="37902" xr:uid="{00000000-0005-0000-0000-00007A930000}"/>
    <cellStyle name="Normal 3 21 17 2 2" xfId="37903" xr:uid="{00000000-0005-0000-0000-00007B930000}"/>
    <cellStyle name="Normal 3 21 17 2 2 2" xfId="37904" xr:uid="{00000000-0005-0000-0000-00007C930000}"/>
    <cellStyle name="Normal 3 21 17 2 2 3" xfId="37905" xr:uid="{00000000-0005-0000-0000-00007D930000}"/>
    <cellStyle name="Normal 3 21 17 2 3" xfId="37906" xr:uid="{00000000-0005-0000-0000-00007E930000}"/>
    <cellStyle name="Normal 3 21 17 2 4" xfId="37907" xr:uid="{00000000-0005-0000-0000-00007F930000}"/>
    <cellStyle name="Normal 3 21 17 3" xfId="37908" xr:uid="{00000000-0005-0000-0000-000080930000}"/>
    <cellStyle name="Normal 3 21 17 3 2" xfId="37909" xr:uid="{00000000-0005-0000-0000-000081930000}"/>
    <cellStyle name="Normal 3 21 17 3 3" xfId="37910" xr:uid="{00000000-0005-0000-0000-000082930000}"/>
    <cellStyle name="Normal 3 21 17 4" xfId="37911" xr:uid="{00000000-0005-0000-0000-000083930000}"/>
    <cellStyle name="Normal 3 21 18" xfId="37912" xr:uid="{00000000-0005-0000-0000-000084930000}"/>
    <cellStyle name="Normal 3 21 18 2" xfId="37913" xr:uid="{00000000-0005-0000-0000-000085930000}"/>
    <cellStyle name="Normal 3 21 18 2 2" xfId="37914" xr:uid="{00000000-0005-0000-0000-000086930000}"/>
    <cellStyle name="Normal 3 21 18 2 2 2" xfId="37915" xr:uid="{00000000-0005-0000-0000-000087930000}"/>
    <cellStyle name="Normal 3 21 18 2 2 3" xfId="37916" xr:uid="{00000000-0005-0000-0000-000088930000}"/>
    <cellStyle name="Normal 3 21 18 2 3" xfId="37917" xr:uid="{00000000-0005-0000-0000-000089930000}"/>
    <cellStyle name="Normal 3 21 18 2 4" xfId="37918" xr:uid="{00000000-0005-0000-0000-00008A930000}"/>
    <cellStyle name="Normal 3 21 18 3" xfId="37919" xr:uid="{00000000-0005-0000-0000-00008B930000}"/>
    <cellStyle name="Normal 3 21 18 3 2" xfId="37920" xr:uid="{00000000-0005-0000-0000-00008C930000}"/>
    <cellStyle name="Normal 3 21 18 3 3" xfId="37921" xr:uid="{00000000-0005-0000-0000-00008D930000}"/>
    <cellStyle name="Normal 3 21 18 4" xfId="37922" xr:uid="{00000000-0005-0000-0000-00008E930000}"/>
    <cellStyle name="Normal 3 21 19" xfId="37923" xr:uid="{00000000-0005-0000-0000-00008F930000}"/>
    <cellStyle name="Normal 3 21 19 2" xfId="37924" xr:uid="{00000000-0005-0000-0000-000090930000}"/>
    <cellStyle name="Normal 3 21 19 2 2" xfId="37925" xr:uid="{00000000-0005-0000-0000-000091930000}"/>
    <cellStyle name="Normal 3 21 19 2 2 2" xfId="37926" xr:uid="{00000000-0005-0000-0000-000092930000}"/>
    <cellStyle name="Normal 3 21 19 2 2 3" xfId="37927" xr:uid="{00000000-0005-0000-0000-000093930000}"/>
    <cellStyle name="Normal 3 21 19 2 3" xfId="37928" xr:uid="{00000000-0005-0000-0000-000094930000}"/>
    <cellStyle name="Normal 3 21 19 2 4" xfId="37929" xr:uid="{00000000-0005-0000-0000-000095930000}"/>
    <cellStyle name="Normal 3 21 19 3" xfId="37930" xr:uid="{00000000-0005-0000-0000-000096930000}"/>
    <cellStyle name="Normal 3 21 19 3 2" xfId="37931" xr:uid="{00000000-0005-0000-0000-000097930000}"/>
    <cellStyle name="Normal 3 21 19 3 3" xfId="37932" xr:uid="{00000000-0005-0000-0000-000098930000}"/>
    <cellStyle name="Normal 3 21 19 4" xfId="37933" xr:uid="{00000000-0005-0000-0000-000099930000}"/>
    <cellStyle name="Normal 3 21 2" xfId="37934" xr:uid="{00000000-0005-0000-0000-00009A930000}"/>
    <cellStyle name="Normal 3 21 2 2" xfId="37935" xr:uid="{00000000-0005-0000-0000-00009B930000}"/>
    <cellStyle name="Normal 3 21 2 2 2" xfId="37936" xr:uid="{00000000-0005-0000-0000-00009C930000}"/>
    <cellStyle name="Normal 3 21 2 2 2 2" xfId="37937" xr:uid="{00000000-0005-0000-0000-00009D930000}"/>
    <cellStyle name="Normal 3 21 2 2 2 3" xfId="37938" xr:uid="{00000000-0005-0000-0000-00009E930000}"/>
    <cellStyle name="Normal 3 21 2 2 3" xfId="37939" xr:uid="{00000000-0005-0000-0000-00009F930000}"/>
    <cellStyle name="Normal 3 21 2 2 4" xfId="37940" xr:uid="{00000000-0005-0000-0000-0000A0930000}"/>
    <cellStyle name="Normal 3 21 2 3" xfId="37941" xr:uid="{00000000-0005-0000-0000-0000A1930000}"/>
    <cellStyle name="Normal 3 21 2 3 2" xfId="37942" xr:uid="{00000000-0005-0000-0000-0000A2930000}"/>
    <cellStyle name="Normal 3 21 2 3 3" xfId="37943" xr:uid="{00000000-0005-0000-0000-0000A3930000}"/>
    <cellStyle name="Normal 3 21 2 4" xfId="37944" xr:uid="{00000000-0005-0000-0000-0000A4930000}"/>
    <cellStyle name="Normal 3 21 20" xfId="37945" xr:uid="{00000000-0005-0000-0000-0000A5930000}"/>
    <cellStyle name="Normal 3 21 20 2" xfId="37946" xr:uid="{00000000-0005-0000-0000-0000A6930000}"/>
    <cellStyle name="Normal 3 21 20 2 2" xfId="37947" xr:uid="{00000000-0005-0000-0000-0000A7930000}"/>
    <cellStyle name="Normal 3 21 20 2 2 2" xfId="37948" xr:uid="{00000000-0005-0000-0000-0000A8930000}"/>
    <cellStyle name="Normal 3 21 20 2 2 3" xfId="37949" xr:uid="{00000000-0005-0000-0000-0000A9930000}"/>
    <cellStyle name="Normal 3 21 20 2 3" xfId="37950" xr:uid="{00000000-0005-0000-0000-0000AA930000}"/>
    <cellStyle name="Normal 3 21 20 2 4" xfId="37951" xr:uid="{00000000-0005-0000-0000-0000AB930000}"/>
    <cellStyle name="Normal 3 21 20 3" xfId="37952" xr:uid="{00000000-0005-0000-0000-0000AC930000}"/>
    <cellStyle name="Normal 3 21 20 3 2" xfId="37953" xr:uid="{00000000-0005-0000-0000-0000AD930000}"/>
    <cellStyle name="Normal 3 21 20 3 3" xfId="37954" xr:uid="{00000000-0005-0000-0000-0000AE930000}"/>
    <cellStyle name="Normal 3 21 20 4" xfId="37955" xr:uid="{00000000-0005-0000-0000-0000AF930000}"/>
    <cellStyle name="Normal 3 21 21" xfId="37956" xr:uid="{00000000-0005-0000-0000-0000B0930000}"/>
    <cellStyle name="Normal 3 21 21 2" xfId="37957" xr:uid="{00000000-0005-0000-0000-0000B1930000}"/>
    <cellStyle name="Normal 3 21 21 2 2" xfId="37958" xr:uid="{00000000-0005-0000-0000-0000B2930000}"/>
    <cellStyle name="Normal 3 21 21 2 2 2" xfId="37959" xr:uid="{00000000-0005-0000-0000-0000B3930000}"/>
    <cellStyle name="Normal 3 21 21 2 2 3" xfId="37960" xr:uid="{00000000-0005-0000-0000-0000B4930000}"/>
    <cellStyle name="Normal 3 21 21 2 3" xfId="37961" xr:uid="{00000000-0005-0000-0000-0000B5930000}"/>
    <cellStyle name="Normal 3 21 21 2 4" xfId="37962" xr:uid="{00000000-0005-0000-0000-0000B6930000}"/>
    <cellStyle name="Normal 3 21 21 3" xfId="37963" xr:uid="{00000000-0005-0000-0000-0000B7930000}"/>
    <cellStyle name="Normal 3 21 21 3 2" xfId="37964" xr:uid="{00000000-0005-0000-0000-0000B8930000}"/>
    <cellStyle name="Normal 3 21 21 3 3" xfId="37965" xr:uid="{00000000-0005-0000-0000-0000B9930000}"/>
    <cellStyle name="Normal 3 21 21 4" xfId="37966" xr:uid="{00000000-0005-0000-0000-0000BA930000}"/>
    <cellStyle name="Normal 3 21 22" xfId="37967" xr:uid="{00000000-0005-0000-0000-0000BB930000}"/>
    <cellStyle name="Normal 3 21 22 2" xfId="37968" xr:uid="{00000000-0005-0000-0000-0000BC930000}"/>
    <cellStyle name="Normal 3 21 22 2 2" xfId="37969" xr:uid="{00000000-0005-0000-0000-0000BD930000}"/>
    <cellStyle name="Normal 3 21 22 2 2 2" xfId="37970" xr:uid="{00000000-0005-0000-0000-0000BE930000}"/>
    <cellStyle name="Normal 3 21 22 2 2 3" xfId="37971" xr:uid="{00000000-0005-0000-0000-0000BF930000}"/>
    <cellStyle name="Normal 3 21 22 2 3" xfId="37972" xr:uid="{00000000-0005-0000-0000-0000C0930000}"/>
    <cellStyle name="Normal 3 21 22 2 4" xfId="37973" xr:uid="{00000000-0005-0000-0000-0000C1930000}"/>
    <cellStyle name="Normal 3 21 22 3" xfId="37974" xr:uid="{00000000-0005-0000-0000-0000C2930000}"/>
    <cellStyle name="Normal 3 21 22 3 2" xfId="37975" xr:uid="{00000000-0005-0000-0000-0000C3930000}"/>
    <cellStyle name="Normal 3 21 22 3 3" xfId="37976" xr:uid="{00000000-0005-0000-0000-0000C4930000}"/>
    <cellStyle name="Normal 3 21 22 4" xfId="37977" xr:uid="{00000000-0005-0000-0000-0000C5930000}"/>
    <cellStyle name="Normal 3 21 23" xfId="37978" xr:uid="{00000000-0005-0000-0000-0000C6930000}"/>
    <cellStyle name="Normal 3 21 23 2" xfId="37979" xr:uid="{00000000-0005-0000-0000-0000C7930000}"/>
    <cellStyle name="Normal 3 21 23 2 2" xfId="37980" xr:uid="{00000000-0005-0000-0000-0000C8930000}"/>
    <cellStyle name="Normal 3 21 23 2 2 2" xfId="37981" xr:uid="{00000000-0005-0000-0000-0000C9930000}"/>
    <cellStyle name="Normal 3 21 23 2 2 3" xfId="37982" xr:uid="{00000000-0005-0000-0000-0000CA930000}"/>
    <cellStyle name="Normal 3 21 23 2 3" xfId="37983" xr:uid="{00000000-0005-0000-0000-0000CB930000}"/>
    <cellStyle name="Normal 3 21 23 2 4" xfId="37984" xr:uid="{00000000-0005-0000-0000-0000CC930000}"/>
    <cellStyle name="Normal 3 21 23 3" xfId="37985" xr:uid="{00000000-0005-0000-0000-0000CD930000}"/>
    <cellStyle name="Normal 3 21 23 3 2" xfId="37986" xr:uid="{00000000-0005-0000-0000-0000CE930000}"/>
    <cellStyle name="Normal 3 21 23 3 3" xfId="37987" xr:uid="{00000000-0005-0000-0000-0000CF930000}"/>
    <cellStyle name="Normal 3 21 23 4" xfId="37988" xr:uid="{00000000-0005-0000-0000-0000D0930000}"/>
    <cellStyle name="Normal 3 21 24" xfId="37989" xr:uid="{00000000-0005-0000-0000-0000D1930000}"/>
    <cellStyle name="Normal 3 21 24 2" xfId="37990" xr:uid="{00000000-0005-0000-0000-0000D2930000}"/>
    <cellStyle name="Normal 3 21 24 2 2" xfId="37991" xr:uid="{00000000-0005-0000-0000-0000D3930000}"/>
    <cellStyle name="Normal 3 21 24 2 3" xfId="37992" xr:uid="{00000000-0005-0000-0000-0000D4930000}"/>
    <cellStyle name="Normal 3 21 24 3" xfId="37993" xr:uid="{00000000-0005-0000-0000-0000D5930000}"/>
    <cellStyle name="Normal 3 21 24 4" xfId="37994" xr:uid="{00000000-0005-0000-0000-0000D6930000}"/>
    <cellStyle name="Normal 3 21 25" xfId="37995" xr:uid="{00000000-0005-0000-0000-0000D7930000}"/>
    <cellStyle name="Normal 3 21 25 2" xfId="37996" xr:uid="{00000000-0005-0000-0000-0000D8930000}"/>
    <cellStyle name="Normal 3 21 25 3" xfId="37997" xr:uid="{00000000-0005-0000-0000-0000D9930000}"/>
    <cellStyle name="Normal 3 21 26" xfId="37998" xr:uid="{00000000-0005-0000-0000-0000DA930000}"/>
    <cellStyle name="Normal 3 21 3" xfId="37999" xr:uid="{00000000-0005-0000-0000-0000DB930000}"/>
    <cellStyle name="Normal 3 21 3 2" xfId="38000" xr:uid="{00000000-0005-0000-0000-0000DC930000}"/>
    <cellStyle name="Normal 3 21 3 2 2" xfId="38001" xr:uid="{00000000-0005-0000-0000-0000DD930000}"/>
    <cellStyle name="Normal 3 21 3 2 2 2" xfId="38002" xr:uid="{00000000-0005-0000-0000-0000DE930000}"/>
    <cellStyle name="Normal 3 21 3 2 2 3" xfId="38003" xr:uid="{00000000-0005-0000-0000-0000DF930000}"/>
    <cellStyle name="Normal 3 21 3 2 3" xfId="38004" xr:uid="{00000000-0005-0000-0000-0000E0930000}"/>
    <cellStyle name="Normal 3 21 3 2 4" xfId="38005" xr:uid="{00000000-0005-0000-0000-0000E1930000}"/>
    <cellStyle name="Normal 3 21 3 3" xfId="38006" xr:uid="{00000000-0005-0000-0000-0000E2930000}"/>
    <cellStyle name="Normal 3 21 3 3 2" xfId="38007" xr:uid="{00000000-0005-0000-0000-0000E3930000}"/>
    <cellStyle name="Normal 3 21 3 3 3" xfId="38008" xr:uid="{00000000-0005-0000-0000-0000E4930000}"/>
    <cellStyle name="Normal 3 21 3 4" xfId="38009" xr:uid="{00000000-0005-0000-0000-0000E5930000}"/>
    <cellStyle name="Normal 3 21 4" xfId="38010" xr:uid="{00000000-0005-0000-0000-0000E6930000}"/>
    <cellStyle name="Normal 3 21 4 2" xfId="38011" xr:uid="{00000000-0005-0000-0000-0000E7930000}"/>
    <cellStyle name="Normal 3 21 4 2 2" xfId="38012" xr:uid="{00000000-0005-0000-0000-0000E8930000}"/>
    <cellStyle name="Normal 3 21 4 2 2 2" xfId="38013" xr:uid="{00000000-0005-0000-0000-0000E9930000}"/>
    <cellStyle name="Normal 3 21 4 2 2 3" xfId="38014" xr:uid="{00000000-0005-0000-0000-0000EA930000}"/>
    <cellStyle name="Normal 3 21 4 2 3" xfId="38015" xr:uid="{00000000-0005-0000-0000-0000EB930000}"/>
    <cellStyle name="Normal 3 21 4 2 4" xfId="38016" xr:uid="{00000000-0005-0000-0000-0000EC930000}"/>
    <cellStyle name="Normal 3 21 4 3" xfId="38017" xr:uid="{00000000-0005-0000-0000-0000ED930000}"/>
    <cellStyle name="Normal 3 21 4 3 2" xfId="38018" xr:uid="{00000000-0005-0000-0000-0000EE930000}"/>
    <cellStyle name="Normal 3 21 4 3 3" xfId="38019" xr:uid="{00000000-0005-0000-0000-0000EF930000}"/>
    <cellStyle name="Normal 3 21 4 4" xfId="38020" xr:uid="{00000000-0005-0000-0000-0000F0930000}"/>
    <cellStyle name="Normal 3 21 5" xfId="38021" xr:uid="{00000000-0005-0000-0000-0000F1930000}"/>
    <cellStyle name="Normal 3 21 5 2" xfId="38022" xr:uid="{00000000-0005-0000-0000-0000F2930000}"/>
    <cellStyle name="Normal 3 21 5 2 2" xfId="38023" xr:uid="{00000000-0005-0000-0000-0000F3930000}"/>
    <cellStyle name="Normal 3 21 5 2 2 2" xfId="38024" xr:uid="{00000000-0005-0000-0000-0000F4930000}"/>
    <cellStyle name="Normal 3 21 5 2 2 3" xfId="38025" xr:uid="{00000000-0005-0000-0000-0000F5930000}"/>
    <cellStyle name="Normal 3 21 5 2 3" xfId="38026" xr:uid="{00000000-0005-0000-0000-0000F6930000}"/>
    <cellStyle name="Normal 3 21 5 2 4" xfId="38027" xr:uid="{00000000-0005-0000-0000-0000F7930000}"/>
    <cellStyle name="Normal 3 21 5 3" xfId="38028" xr:uid="{00000000-0005-0000-0000-0000F8930000}"/>
    <cellStyle name="Normal 3 21 5 3 2" xfId="38029" xr:uid="{00000000-0005-0000-0000-0000F9930000}"/>
    <cellStyle name="Normal 3 21 5 3 3" xfId="38030" xr:uid="{00000000-0005-0000-0000-0000FA930000}"/>
    <cellStyle name="Normal 3 21 5 4" xfId="38031" xr:uid="{00000000-0005-0000-0000-0000FB930000}"/>
    <cellStyle name="Normal 3 21 6" xfId="38032" xr:uid="{00000000-0005-0000-0000-0000FC930000}"/>
    <cellStyle name="Normal 3 21 6 2" xfId="38033" xr:uid="{00000000-0005-0000-0000-0000FD930000}"/>
    <cellStyle name="Normal 3 21 6 2 2" xfId="38034" xr:uid="{00000000-0005-0000-0000-0000FE930000}"/>
    <cellStyle name="Normal 3 21 6 2 2 2" xfId="38035" xr:uid="{00000000-0005-0000-0000-0000FF930000}"/>
    <cellStyle name="Normal 3 21 6 2 2 3" xfId="38036" xr:uid="{00000000-0005-0000-0000-000000940000}"/>
    <cellStyle name="Normal 3 21 6 2 3" xfId="38037" xr:uid="{00000000-0005-0000-0000-000001940000}"/>
    <cellStyle name="Normal 3 21 6 2 4" xfId="38038" xr:uid="{00000000-0005-0000-0000-000002940000}"/>
    <cellStyle name="Normal 3 21 6 3" xfId="38039" xr:uid="{00000000-0005-0000-0000-000003940000}"/>
    <cellStyle name="Normal 3 21 6 3 2" xfId="38040" xr:uid="{00000000-0005-0000-0000-000004940000}"/>
    <cellStyle name="Normal 3 21 6 3 3" xfId="38041" xr:uid="{00000000-0005-0000-0000-000005940000}"/>
    <cellStyle name="Normal 3 21 6 4" xfId="38042" xr:uid="{00000000-0005-0000-0000-000006940000}"/>
    <cellStyle name="Normal 3 21 7" xfId="38043" xr:uid="{00000000-0005-0000-0000-000007940000}"/>
    <cellStyle name="Normal 3 21 7 2" xfId="38044" xr:uid="{00000000-0005-0000-0000-000008940000}"/>
    <cellStyle name="Normal 3 21 7 2 2" xfId="38045" xr:uid="{00000000-0005-0000-0000-000009940000}"/>
    <cellStyle name="Normal 3 21 7 2 2 2" xfId="38046" xr:uid="{00000000-0005-0000-0000-00000A940000}"/>
    <cellStyle name="Normal 3 21 7 2 2 3" xfId="38047" xr:uid="{00000000-0005-0000-0000-00000B940000}"/>
    <cellStyle name="Normal 3 21 7 2 3" xfId="38048" xr:uid="{00000000-0005-0000-0000-00000C940000}"/>
    <cellStyle name="Normal 3 21 7 2 4" xfId="38049" xr:uid="{00000000-0005-0000-0000-00000D940000}"/>
    <cellStyle name="Normal 3 21 7 3" xfId="38050" xr:uid="{00000000-0005-0000-0000-00000E940000}"/>
    <cellStyle name="Normal 3 21 7 3 2" xfId="38051" xr:uid="{00000000-0005-0000-0000-00000F940000}"/>
    <cellStyle name="Normal 3 21 7 3 3" xfId="38052" xr:uid="{00000000-0005-0000-0000-000010940000}"/>
    <cellStyle name="Normal 3 21 7 4" xfId="38053" xr:uid="{00000000-0005-0000-0000-000011940000}"/>
    <cellStyle name="Normal 3 21 8" xfId="38054" xr:uid="{00000000-0005-0000-0000-000012940000}"/>
    <cellStyle name="Normal 3 21 8 2" xfId="38055" xr:uid="{00000000-0005-0000-0000-000013940000}"/>
    <cellStyle name="Normal 3 21 8 2 2" xfId="38056" xr:uid="{00000000-0005-0000-0000-000014940000}"/>
    <cellStyle name="Normal 3 21 8 2 2 2" xfId="38057" xr:uid="{00000000-0005-0000-0000-000015940000}"/>
    <cellStyle name="Normal 3 21 8 2 2 3" xfId="38058" xr:uid="{00000000-0005-0000-0000-000016940000}"/>
    <cellStyle name="Normal 3 21 8 2 3" xfId="38059" xr:uid="{00000000-0005-0000-0000-000017940000}"/>
    <cellStyle name="Normal 3 21 8 2 4" xfId="38060" xr:uid="{00000000-0005-0000-0000-000018940000}"/>
    <cellStyle name="Normal 3 21 8 3" xfId="38061" xr:uid="{00000000-0005-0000-0000-000019940000}"/>
    <cellStyle name="Normal 3 21 8 3 2" xfId="38062" xr:uid="{00000000-0005-0000-0000-00001A940000}"/>
    <cellStyle name="Normal 3 21 8 3 3" xfId="38063" xr:uid="{00000000-0005-0000-0000-00001B940000}"/>
    <cellStyle name="Normal 3 21 8 4" xfId="38064" xr:uid="{00000000-0005-0000-0000-00001C940000}"/>
    <cellStyle name="Normal 3 21 9" xfId="38065" xr:uid="{00000000-0005-0000-0000-00001D940000}"/>
    <cellStyle name="Normal 3 21 9 2" xfId="38066" xr:uid="{00000000-0005-0000-0000-00001E940000}"/>
    <cellStyle name="Normal 3 21 9 2 2" xfId="38067" xr:uid="{00000000-0005-0000-0000-00001F940000}"/>
    <cellStyle name="Normal 3 21 9 2 2 2" xfId="38068" xr:uid="{00000000-0005-0000-0000-000020940000}"/>
    <cellStyle name="Normal 3 21 9 2 2 3" xfId="38069" xr:uid="{00000000-0005-0000-0000-000021940000}"/>
    <cellStyle name="Normal 3 21 9 2 3" xfId="38070" xr:uid="{00000000-0005-0000-0000-000022940000}"/>
    <cellStyle name="Normal 3 21 9 2 4" xfId="38071" xr:uid="{00000000-0005-0000-0000-000023940000}"/>
    <cellStyle name="Normal 3 21 9 3" xfId="38072" xr:uid="{00000000-0005-0000-0000-000024940000}"/>
    <cellStyle name="Normal 3 21 9 3 2" xfId="38073" xr:uid="{00000000-0005-0000-0000-000025940000}"/>
    <cellStyle name="Normal 3 21 9 3 3" xfId="38074" xr:uid="{00000000-0005-0000-0000-000026940000}"/>
    <cellStyle name="Normal 3 21 9 4" xfId="38075" xr:uid="{00000000-0005-0000-0000-000027940000}"/>
    <cellStyle name="Normal 3 22" xfId="38076" xr:uid="{00000000-0005-0000-0000-000028940000}"/>
    <cellStyle name="Normal 3 22 10" xfId="38077" xr:uid="{00000000-0005-0000-0000-000029940000}"/>
    <cellStyle name="Normal 3 22 10 2" xfId="38078" xr:uid="{00000000-0005-0000-0000-00002A940000}"/>
    <cellStyle name="Normal 3 22 10 2 2" xfId="38079" xr:uid="{00000000-0005-0000-0000-00002B940000}"/>
    <cellStyle name="Normal 3 22 10 2 2 2" xfId="38080" xr:uid="{00000000-0005-0000-0000-00002C940000}"/>
    <cellStyle name="Normal 3 22 10 2 2 3" xfId="38081" xr:uid="{00000000-0005-0000-0000-00002D940000}"/>
    <cellStyle name="Normal 3 22 10 2 3" xfId="38082" xr:uid="{00000000-0005-0000-0000-00002E940000}"/>
    <cellStyle name="Normal 3 22 10 2 4" xfId="38083" xr:uid="{00000000-0005-0000-0000-00002F940000}"/>
    <cellStyle name="Normal 3 22 10 3" xfId="38084" xr:uid="{00000000-0005-0000-0000-000030940000}"/>
    <cellStyle name="Normal 3 22 10 3 2" xfId="38085" xr:uid="{00000000-0005-0000-0000-000031940000}"/>
    <cellStyle name="Normal 3 22 10 3 3" xfId="38086" xr:uid="{00000000-0005-0000-0000-000032940000}"/>
    <cellStyle name="Normal 3 22 10 4" xfId="38087" xr:uid="{00000000-0005-0000-0000-000033940000}"/>
    <cellStyle name="Normal 3 22 11" xfId="38088" xr:uid="{00000000-0005-0000-0000-000034940000}"/>
    <cellStyle name="Normal 3 22 11 2" xfId="38089" xr:uid="{00000000-0005-0000-0000-000035940000}"/>
    <cellStyle name="Normal 3 22 11 2 2" xfId="38090" xr:uid="{00000000-0005-0000-0000-000036940000}"/>
    <cellStyle name="Normal 3 22 11 2 2 2" xfId="38091" xr:uid="{00000000-0005-0000-0000-000037940000}"/>
    <cellStyle name="Normal 3 22 11 2 2 3" xfId="38092" xr:uid="{00000000-0005-0000-0000-000038940000}"/>
    <cellStyle name="Normal 3 22 11 2 3" xfId="38093" xr:uid="{00000000-0005-0000-0000-000039940000}"/>
    <cellStyle name="Normal 3 22 11 2 4" xfId="38094" xr:uid="{00000000-0005-0000-0000-00003A940000}"/>
    <cellStyle name="Normal 3 22 11 3" xfId="38095" xr:uid="{00000000-0005-0000-0000-00003B940000}"/>
    <cellStyle name="Normal 3 22 11 3 2" xfId="38096" xr:uid="{00000000-0005-0000-0000-00003C940000}"/>
    <cellStyle name="Normal 3 22 11 3 3" xfId="38097" xr:uid="{00000000-0005-0000-0000-00003D940000}"/>
    <cellStyle name="Normal 3 22 11 4" xfId="38098" xr:uid="{00000000-0005-0000-0000-00003E940000}"/>
    <cellStyle name="Normal 3 22 12" xfId="38099" xr:uid="{00000000-0005-0000-0000-00003F940000}"/>
    <cellStyle name="Normal 3 22 12 2" xfId="38100" xr:uid="{00000000-0005-0000-0000-000040940000}"/>
    <cellStyle name="Normal 3 22 12 2 2" xfId="38101" xr:uid="{00000000-0005-0000-0000-000041940000}"/>
    <cellStyle name="Normal 3 22 12 2 2 2" xfId="38102" xr:uid="{00000000-0005-0000-0000-000042940000}"/>
    <cellStyle name="Normal 3 22 12 2 2 3" xfId="38103" xr:uid="{00000000-0005-0000-0000-000043940000}"/>
    <cellStyle name="Normal 3 22 12 2 3" xfId="38104" xr:uid="{00000000-0005-0000-0000-000044940000}"/>
    <cellStyle name="Normal 3 22 12 2 4" xfId="38105" xr:uid="{00000000-0005-0000-0000-000045940000}"/>
    <cellStyle name="Normal 3 22 12 3" xfId="38106" xr:uid="{00000000-0005-0000-0000-000046940000}"/>
    <cellStyle name="Normal 3 22 12 3 2" xfId="38107" xr:uid="{00000000-0005-0000-0000-000047940000}"/>
    <cellStyle name="Normal 3 22 12 3 3" xfId="38108" xr:uid="{00000000-0005-0000-0000-000048940000}"/>
    <cellStyle name="Normal 3 22 12 4" xfId="38109" xr:uid="{00000000-0005-0000-0000-000049940000}"/>
    <cellStyle name="Normal 3 22 13" xfId="38110" xr:uid="{00000000-0005-0000-0000-00004A940000}"/>
    <cellStyle name="Normal 3 22 13 2" xfId="38111" xr:uid="{00000000-0005-0000-0000-00004B940000}"/>
    <cellStyle name="Normal 3 22 13 2 2" xfId="38112" xr:uid="{00000000-0005-0000-0000-00004C940000}"/>
    <cellStyle name="Normal 3 22 13 2 2 2" xfId="38113" xr:uid="{00000000-0005-0000-0000-00004D940000}"/>
    <cellStyle name="Normal 3 22 13 2 2 3" xfId="38114" xr:uid="{00000000-0005-0000-0000-00004E940000}"/>
    <cellStyle name="Normal 3 22 13 2 3" xfId="38115" xr:uid="{00000000-0005-0000-0000-00004F940000}"/>
    <cellStyle name="Normal 3 22 13 2 4" xfId="38116" xr:uid="{00000000-0005-0000-0000-000050940000}"/>
    <cellStyle name="Normal 3 22 13 3" xfId="38117" xr:uid="{00000000-0005-0000-0000-000051940000}"/>
    <cellStyle name="Normal 3 22 13 3 2" xfId="38118" xr:uid="{00000000-0005-0000-0000-000052940000}"/>
    <cellStyle name="Normal 3 22 13 3 3" xfId="38119" xr:uid="{00000000-0005-0000-0000-000053940000}"/>
    <cellStyle name="Normal 3 22 13 4" xfId="38120" xr:uid="{00000000-0005-0000-0000-000054940000}"/>
    <cellStyle name="Normal 3 22 14" xfId="38121" xr:uid="{00000000-0005-0000-0000-000055940000}"/>
    <cellStyle name="Normal 3 22 14 2" xfId="38122" xr:uid="{00000000-0005-0000-0000-000056940000}"/>
    <cellStyle name="Normal 3 22 14 2 2" xfId="38123" xr:uid="{00000000-0005-0000-0000-000057940000}"/>
    <cellStyle name="Normal 3 22 14 2 2 2" xfId="38124" xr:uid="{00000000-0005-0000-0000-000058940000}"/>
    <cellStyle name="Normal 3 22 14 2 2 3" xfId="38125" xr:uid="{00000000-0005-0000-0000-000059940000}"/>
    <cellStyle name="Normal 3 22 14 2 3" xfId="38126" xr:uid="{00000000-0005-0000-0000-00005A940000}"/>
    <cellStyle name="Normal 3 22 14 2 4" xfId="38127" xr:uid="{00000000-0005-0000-0000-00005B940000}"/>
    <cellStyle name="Normal 3 22 14 3" xfId="38128" xr:uid="{00000000-0005-0000-0000-00005C940000}"/>
    <cellStyle name="Normal 3 22 14 3 2" xfId="38129" xr:uid="{00000000-0005-0000-0000-00005D940000}"/>
    <cellStyle name="Normal 3 22 14 3 3" xfId="38130" xr:uid="{00000000-0005-0000-0000-00005E940000}"/>
    <cellStyle name="Normal 3 22 14 4" xfId="38131" xr:uid="{00000000-0005-0000-0000-00005F940000}"/>
    <cellStyle name="Normal 3 22 15" xfId="38132" xr:uid="{00000000-0005-0000-0000-000060940000}"/>
    <cellStyle name="Normal 3 22 15 2" xfId="38133" xr:uid="{00000000-0005-0000-0000-000061940000}"/>
    <cellStyle name="Normal 3 22 15 2 2" xfId="38134" xr:uid="{00000000-0005-0000-0000-000062940000}"/>
    <cellStyle name="Normal 3 22 15 2 2 2" xfId="38135" xr:uid="{00000000-0005-0000-0000-000063940000}"/>
    <cellStyle name="Normal 3 22 15 2 2 3" xfId="38136" xr:uid="{00000000-0005-0000-0000-000064940000}"/>
    <cellStyle name="Normal 3 22 15 2 3" xfId="38137" xr:uid="{00000000-0005-0000-0000-000065940000}"/>
    <cellStyle name="Normal 3 22 15 2 4" xfId="38138" xr:uid="{00000000-0005-0000-0000-000066940000}"/>
    <cellStyle name="Normal 3 22 15 3" xfId="38139" xr:uid="{00000000-0005-0000-0000-000067940000}"/>
    <cellStyle name="Normal 3 22 15 3 2" xfId="38140" xr:uid="{00000000-0005-0000-0000-000068940000}"/>
    <cellStyle name="Normal 3 22 15 3 3" xfId="38141" xr:uid="{00000000-0005-0000-0000-000069940000}"/>
    <cellStyle name="Normal 3 22 15 4" xfId="38142" xr:uid="{00000000-0005-0000-0000-00006A940000}"/>
    <cellStyle name="Normal 3 22 16" xfId="38143" xr:uid="{00000000-0005-0000-0000-00006B940000}"/>
    <cellStyle name="Normal 3 22 16 2" xfId="38144" xr:uid="{00000000-0005-0000-0000-00006C940000}"/>
    <cellStyle name="Normal 3 22 16 2 2" xfId="38145" xr:uid="{00000000-0005-0000-0000-00006D940000}"/>
    <cellStyle name="Normal 3 22 16 2 2 2" xfId="38146" xr:uid="{00000000-0005-0000-0000-00006E940000}"/>
    <cellStyle name="Normal 3 22 16 2 2 3" xfId="38147" xr:uid="{00000000-0005-0000-0000-00006F940000}"/>
    <cellStyle name="Normal 3 22 16 2 3" xfId="38148" xr:uid="{00000000-0005-0000-0000-000070940000}"/>
    <cellStyle name="Normal 3 22 16 2 4" xfId="38149" xr:uid="{00000000-0005-0000-0000-000071940000}"/>
    <cellStyle name="Normal 3 22 16 3" xfId="38150" xr:uid="{00000000-0005-0000-0000-000072940000}"/>
    <cellStyle name="Normal 3 22 16 3 2" xfId="38151" xr:uid="{00000000-0005-0000-0000-000073940000}"/>
    <cellStyle name="Normal 3 22 16 3 3" xfId="38152" xr:uid="{00000000-0005-0000-0000-000074940000}"/>
    <cellStyle name="Normal 3 22 16 4" xfId="38153" xr:uid="{00000000-0005-0000-0000-000075940000}"/>
    <cellStyle name="Normal 3 22 17" xfId="38154" xr:uid="{00000000-0005-0000-0000-000076940000}"/>
    <cellStyle name="Normal 3 22 17 2" xfId="38155" xr:uid="{00000000-0005-0000-0000-000077940000}"/>
    <cellStyle name="Normal 3 22 17 2 2" xfId="38156" xr:uid="{00000000-0005-0000-0000-000078940000}"/>
    <cellStyle name="Normal 3 22 17 2 2 2" xfId="38157" xr:uid="{00000000-0005-0000-0000-000079940000}"/>
    <cellStyle name="Normal 3 22 17 2 2 3" xfId="38158" xr:uid="{00000000-0005-0000-0000-00007A940000}"/>
    <cellStyle name="Normal 3 22 17 2 3" xfId="38159" xr:uid="{00000000-0005-0000-0000-00007B940000}"/>
    <cellStyle name="Normal 3 22 17 2 4" xfId="38160" xr:uid="{00000000-0005-0000-0000-00007C940000}"/>
    <cellStyle name="Normal 3 22 17 3" xfId="38161" xr:uid="{00000000-0005-0000-0000-00007D940000}"/>
    <cellStyle name="Normal 3 22 17 3 2" xfId="38162" xr:uid="{00000000-0005-0000-0000-00007E940000}"/>
    <cellStyle name="Normal 3 22 17 3 3" xfId="38163" xr:uid="{00000000-0005-0000-0000-00007F940000}"/>
    <cellStyle name="Normal 3 22 17 4" xfId="38164" xr:uid="{00000000-0005-0000-0000-000080940000}"/>
    <cellStyle name="Normal 3 22 18" xfId="38165" xr:uid="{00000000-0005-0000-0000-000081940000}"/>
    <cellStyle name="Normal 3 22 18 2" xfId="38166" xr:uid="{00000000-0005-0000-0000-000082940000}"/>
    <cellStyle name="Normal 3 22 18 2 2" xfId="38167" xr:uid="{00000000-0005-0000-0000-000083940000}"/>
    <cellStyle name="Normal 3 22 18 2 2 2" xfId="38168" xr:uid="{00000000-0005-0000-0000-000084940000}"/>
    <cellStyle name="Normal 3 22 18 2 2 3" xfId="38169" xr:uid="{00000000-0005-0000-0000-000085940000}"/>
    <cellStyle name="Normal 3 22 18 2 3" xfId="38170" xr:uid="{00000000-0005-0000-0000-000086940000}"/>
    <cellStyle name="Normal 3 22 18 2 4" xfId="38171" xr:uid="{00000000-0005-0000-0000-000087940000}"/>
    <cellStyle name="Normal 3 22 18 3" xfId="38172" xr:uid="{00000000-0005-0000-0000-000088940000}"/>
    <cellStyle name="Normal 3 22 18 3 2" xfId="38173" xr:uid="{00000000-0005-0000-0000-000089940000}"/>
    <cellStyle name="Normal 3 22 18 3 3" xfId="38174" xr:uid="{00000000-0005-0000-0000-00008A940000}"/>
    <cellStyle name="Normal 3 22 18 4" xfId="38175" xr:uid="{00000000-0005-0000-0000-00008B940000}"/>
    <cellStyle name="Normal 3 22 19" xfId="38176" xr:uid="{00000000-0005-0000-0000-00008C940000}"/>
    <cellStyle name="Normal 3 22 19 2" xfId="38177" xr:uid="{00000000-0005-0000-0000-00008D940000}"/>
    <cellStyle name="Normal 3 22 19 2 2" xfId="38178" xr:uid="{00000000-0005-0000-0000-00008E940000}"/>
    <cellStyle name="Normal 3 22 19 2 2 2" xfId="38179" xr:uid="{00000000-0005-0000-0000-00008F940000}"/>
    <cellStyle name="Normal 3 22 19 2 2 3" xfId="38180" xr:uid="{00000000-0005-0000-0000-000090940000}"/>
    <cellStyle name="Normal 3 22 19 2 3" xfId="38181" xr:uid="{00000000-0005-0000-0000-000091940000}"/>
    <cellStyle name="Normal 3 22 19 2 4" xfId="38182" xr:uid="{00000000-0005-0000-0000-000092940000}"/>
    <cellStyle name="Normal 3 22 19 3" xfId="38183" xr:uid="{00000000-0005-0000-0000-000093940000}"/>
    <cellStyle name="Normal 3 22 19 3 2" xfId="38184" xr:uid="{00000000-0005-0000-0000-000094940000}"/>
    <cellStyle name="Normal 3 22 19 3 3" xfId="38185" xr:uid="{00000000-0005-0000-0000-000095940000}"/>
    <cellStyle name="Normal 3 22 19 4" xfId="38186" xr:uid="{00000000-0005-0000-0000-000096940000}"/>
    <cellStyle name="Normal 3 22 2" xfId="38187" xr:uid="{00000000-0005-0000-0000-000097940000}"/>
    <cellStyle name="Normal 3 22 2 2" xfId="38188" xr:uid="{00000000-0005-0000-0000-000098940000}"/>
    <cellStyle name="Normal 3 22 2 2 2" xfId="38189" xr:uid="{00000000-0005-0000-0000-000099940000}"/>
    <cellStyle name="Normal 3 22 2 2 2 2" xfId="38190" xr:uid="{00000000-0005-0000-0000-00009A940000}"/>
    <cellStyle name="Normal 3 22 2 2 2 3" xfId="38191" xr:uid="{00000000-0005-0000-0000-00009B940000}"/>
    <cellStyle name="Normal 3 22 2 2 3" xfId="38192" xr:uid="{00000000-0005-0000-0000-00009C940000}"/>
    <cellStyle name="Normal 3 22 2 2 4" xfId="38193" xr:uid="{00000000-0005-0000-0000-00009D940000}"/>
    <cellStyle name="Normal 3 22 2 3" xfId="38194" xr:uid="{00000000-0005-0000-0000-00009E940000}"/>
    <cellStyle name="Normal 3 22 2 3 2" xfId="38195" xr:uid="{00000000-0005-0000-0000-00009F940000}"/>
    <cellStyle name="Normal 3 22 2 3 3" xfId="38196" xr:uid="{00000000-0005-0000-0000-0000A0940000}"/>
    <cellStyle name="Normal 3 22 2 4" xfId="38197" xr:uid="{00000000-0005-0000-0000-0000A1940000}"/>
    <cellStyle name="Normal 3 22 20" xfId="38198" xr:uid="{00000000-0005-0000-0000-0000A2940000}"/>
    <cellStyle name="Normal 3 22 20 2" xfId="38199" xr:uid="{00000000-0005-0000-0000-0000A3940000}"/>
    <cellStyle name="Normal 3 22 20 2 2" xfId="38200" xr:uid="{00000000-0005-0000-0000-0000A4940000}"/>
    <cellStyle name="Normal 3 22 20 2 2 2" xfId="38201" xr:uid="{00000000-0005-0000-0000-0000A5940000}"/>
    <cellStyle name="Normal 3 22 20 2 2 3" xfId="38202" xr:uid="{00000000-0005-0000-0000-0000A6940000}"/>
    <cellStyle name="Normal 3 22 20 2 3" xfId="38203" xr:uid="{00000000-0005-0000-0000-0000A7940000}"/>
    <cellStyle name="Normal 3 22 20 2 4" xfId="38204" xr:uid="{00000000-0005-0000-0000-0000A8940000}"/>
    <cellStyle name="Normal 3 22 20 3" xfId="38205" xr:uid="{00000000-0005-0000-0000-0000A9940000}"/>
    <cellStyle name="Normal 3 22 20 3 2" xfId="38206" xr:uid="{00000000-0005-0000-0000-0000AA940000}"/>
    <cellStyle name="Normal 3 22 20 3 3" xfId="38207" xr:uid="{00000000-0005-0000-0000-0000AB940000}"/>
    <cellStyle name="Normal 3 22 20 4" xfId="38208" xr:uid="{00000000-0005-0000-0000-0000AC940000}"/>
    <cellStyle name="Normal 3 22 21" xfId="38209" xr:uid="{00000000-0005-0000-0000-0000AD940000}"/>
    <cellStyle name="Normal 3 22 21 2" xfId="38210" xr:uid="{00000000-0005-0000-0000-0000AE940000}"/>
    <cellStyle name="Normal 3 22 21 2 2" xfId="38211" xr:uid="{00000000-0005-0000-0000-0000AF940000}"/>
    <cellStyle name="Normal 3 22 21 2 2 2" xfId="38212" xr:uid="{00000000-0005-0000-0000-0000B0940000}"/>
    <cellStyle name="Normal 3 22 21 2 2 3" xfId="38213" xr:uid="{00000000-0005-0000-0000-0000B1940000}"/>
    <cellStyle name="Normal 3 22 21 2 3" xfId="38214" xr:uid="{00000000-0005-0000-0000-0000B2940000}"/>
    <cellStyle name="Normal 3 22 21 2 4" xfId="38215" xr:uid="{00000000-0005-0000-0000-0000B3940000}"/>
    <cellStyle name="Normal 3 22 21 3" xfId="38216" xr:uid="{00000000-0005-0000-0000-0000B4940000}"/>
    <cellStyle name="Normal 3 22 21 3 2" xfId="38217" xr:uid="{00000000-0005-0000-0000-0000B5940000}"/>
    <cellStyle name="Normal 3 22 21 3 3" xfId="38218" xr:uid="{00000000-0005-0000-0000-0000B6940000}"/>
    <cellStyle name="Normal 3 22 21 4" xfId="38219" xr:uid="{00000000-0005-0000-0000-0000B7940000}"/>
    <cellStyle name="Normal 3 22 22" xfId="38220" xr:uid="{00000000-0005-0000-0000-0000B8940000}"/>
    <cellStyle name="Normal 3 22 22 2" xfId="38221" xr:uid="{00000000-0005-0000-0000-0000B9940000}"/>
    <cellStyle name="Normal 3 22 22 2 2" xfId="38222" xr:uid="{00000000-0005-0000-0000-0000BA940000}"/>
    <cellStyle name="Normal 3 22 22 2 2 2" xfId="38223" xr:uid="{00000000-0005-0000-0000-0000BB940000}"/>
    <cellStyle name="Normal 3 22 22 2 2 3" xfId="38224" xr:uid="{00000000-0005-0000-0000-0000BC940000}"/>
    <cellStyle name="Normal 3 22 22 2 3" xfId="38225" xr:uid="{00000000-0005-0000-0000-0000BD940000}"/>
    <cellStyle name="Normal 3 22 22 2 4" xfId="38226" xr:uid="{00000000-0005-0000-0000-0000BE940000}"/>
    <cellStyle name="Normal 3 22 22 3" xfId="38227" xr:uid="{00000000-0005-0000-0000-0000BF940000}"/>
    <cellStyle name="Normal 3 22 22 3 2" xfId="38228" xr:uid="{00000000-0005-0000-0000-0000C0940000}"/>
    <cellStyle name="Normal 3 22 22 3 3" xfId="38229" xr:uid="{00000000-0005-0000-0000-0000C1940000}"/>
    <cellStyle name="Normal 3 22 22 4" xfId="38230" xr:uid="{00000000-0005-0000-0000-0000C2940000}"/>
    <cellStyle name="Normal 3 22 23" xfId="38231" xr:uid="{00000000-0005-0000-0000-0000C3940000}"/>
    <cellStyle name="Normal 3 22 23 2" xfId="38232" xr:uid="{00000000-0005-0000-0000-0000C4940000}"/>
    <cellStyle name="Normal 3 22 23 2 2" xfId="38233" xr:uid="{00000000-0005-0000-0000-0000C5940000}"/>
    <cellStyle name="Normal 3 22 23 2 2 2" xfId="38234" xr:uid="{00000000-0005-0000-0000-0000C6940000}"/>
    <cellStyle name="Normal 3 22 23 2 2 3" xfId="38235" xr:uid="{00000000-0005-0000-0000-0000C7940000}"/>
    <cellStyle name="Normal 3 22 23 2 3" xfId="38236" xr:uid="{00000000-0005-0000-0000-0000C8940000}"/>
    <cellStyle name="Normal 3 22 23 2 4" xfId="38237" xr:uid="{00000000-0005-0000-0000-0000C9940000}"/>
    <cellStyle name="Normal 3 22 23 3" xfId="38238" xr:uid="{00000000-0005-0000-0000-0000CA940000}"/>
    <cellStyle name="Normal 3 22 23 3 2" xfId="38239" xr:uid="{00000000-0005-0000-0000-0000CB940000}"/>
    <cellStyle name="Normal 3 22 23 3 3" xfId="38240" xr:uid="{00000000-0005-0000-0000-0000CC940000}"/>
    <cellStyle name="Normal 3 22 23 4" xfId="38241" xr:uid="{00000000-0005-0000-0000-0000CD940000}"/>
    <cellStyle name="Normal 3 22 24" xfId="38242" xr:uid="{00000000-0005-0000-0000-0000CE940000}"/>
    <cellStyle name="Normal 3 22 24 2" xfId="38243" xr:uid="{00000000-0005-0000-0000-0000CF940000}"/>
    <cellStyle name="Normal 3 22 24 2 2" xfId="38244" xr:uid="{00000000-0005-0000-0000-0000D0940000}"/>
    <cellStyle name="Normal 3 22 24 2 3" xfId="38245" xr:uid="{00000000-0005-0000-0000-0000D1940000}"/>
    <cellStyle name="Normal 3 22 24 3" xfId="38246" xr:uid="{00000000-0005-0000-0000-0000D2940000}"/>
    <cellStyle name="Normal 3 22 24 4" xfId="38247" xr:uid="{00000000-0005-0000-0000-0000D3940000}"/>
    <cellStyle name="Normal 3 22 25" xfId="38248" xr:uid="{00000000-0005-0000-0000-0000D4940000}"/>
    <cellStyle name="Normal 3 22 25 2" xfId="38249" xr:uid="{00000000-0005-0000-0000-0000D5940000}"/>
    <cellStyle name="Normal 3 22 25 3" xfId="38250" xr:uid="{00000000-0005-0000-0000-0000D6940000}"/>
    <cellStyle name="Normal 3 22 26" xfId="38251" xr:uid="{00000000-0005-0000-0000-0000D7940000}"/>
    <cellStyle name="Normal 3 22 3" xfId="38252" xr:uid="{00000000-0005-0000-0000-0000D8940000}"/>
    <cellStyle name="Normal 3 22 3 2" xfId="38253" xr:uid="{00000000-0005-0000-0000-0000D9940000}"/>
    <cellStyle name="Normal 3 22 3 2 2" xfId="38254" xr:uid="{00000000-0005-0000-0000-0000DA940000}"/>
    <cellStyle name="Normal 3 22 3 2 2 2" xfId="38255" xr:uid="{00000000-0005-0000-0000-0000DB940000}"/>
    <cellStyle name="Normal 3 22 3 2 2 3" xfId="38256" xr:uid="{00000000-0005-0000-0000-0000DC940000}"/>
    <cellStyle name="Normal 3 22 3 2 3" xfId="38257" xr:uid="{00000000-0005-0000-0000-0000DD940000}"/>
    <cellStyle name="Normal 3 22 3 2 4" xfId="38258" xr:uid="{00000000-0005-0000-0000-0000DE940000}"/>
    <cellStyle name="Normal 3 22 3 3" xfId="38259" xr:uid="{00000000-0005-0000-0000-0000DF940000}"/>
    <cellStyle name="Normal 3 22 3 3 2" xfId="38260" xr:uid="{00000000-0005-0000-0000-0000E0940000}"/>
    <cellStyle name="Normal 3 22 3 3 3" xfId="38261" xr:uid="{00000000-0005-0000-0000-0000E1940000}"/>
    <cellStyle name="Normal 3 22 3 4" xfId="38262" xr:uid="{00000000-0005-0000-0000-0000E2940000}"/>
    <cellStyle name="Normal 3 22 4" xfId="38263" xr:uid="{00000000-0005-0000-0000-0000E3940000}"/>
    <cellStyle name="Normal 3 22 4 2" xfId="38264" xr:uid="{00000000-0005-0000-0000-0000E4940000}"/>
    <cellStyle name="Normal 3 22 4 2 2" xfId="38265" xr:uid="{00000000-0005-0000-0000-0000E5940000}"/>
    <cellStyle name="Normal 3 22 4 2 2 2" xfId="38266" xr:uid="{00000000-0005-0000-0000-0000E6940000}"/>
    <cellStyle name="Normal 3 22 4 2 2 3" xfId="38267" xr:uid="{00000000-0005-0000-0000-0000E7940000}"/>
    <cellStyle name="Normal 3 22 4 2 3" xfId="38268" xr:uid="{00000000-0005-0000-0000-0000E8940000}"/>
    <cellStyle name="Normal 3 22 4 2 4" xfId="38269" xr:uid="{00000000-0005-0000-0000-0000E9940000}"/>
    <cellStyle name="Normal 3 22 4 3" xfId="38270" xr:uid="{00000000-0005-0000-0000-0000EA940000}"/>
    <cellStyle name="Normal 3 22 4 3 2" xfId="38271" xr:uid="{00000000-0005-0000-0000-0000EB940000}"/>
    <cellStyle name="Normal 3 22 4 3 3" xfId="38272" xr:uid="{00000000-0005-0000-0000-0000EC940000}"/>
    <cellStyle name="Normal 3 22 4 4" xfId="38273" xr:uid="{00000000-0005-0000-0000-0000ED940000}"/>
    <cellStyle name="Normal 3 22 5" xfId="38274" xr:uid="{00000000-0005-0000-0000-0000EE940000}"/>
    <cellStyle name="Normal 3 22 5 2" xfId="38275" xr:uid="{00000000-0005-0000-0000-0000EF940000}"/>
    <cellStyle name="Normal 3 22 5 2 2" xfId="38276" xr:uid="{00000000-0005-0000-0000-0000F0940000}"/>
    <cellStyle name="Normal 3 22 5 2 2 2" xfId="38277" xr:uid="{00000000-0005-0000-0000-0000F1940000}"/>
    <cellStyle name="Normal 3 22 5 2 2 3" xfId="38278" xr:uid="{00000000-0005-0000-0000-0000F2940000}"/>
    <cellStyle name="Normal 3 22 5 2 3" xfId="38279" xr:uid="{00000000-0005-0000-0000-0000F3940000}"/>
    <cellStyle name="Normal 3 22 5 2 4" xfId="38280" xr:uid="{00000000-0005-0000-0000-0000F4940000}"/>
    <cellStyle name="Normal 3 22 5 3" xfId="38281" xr:uid="{00000000-0005-0000-0000-0000F5940000}"/>
    <cellStyle name="Normal 3 22 5 3 2" xfId="38282" xr:uid="{00000000-0005-0000-0000-0000F6940000}"/>
    <cellStyle name="Normal 3 22 5 3 3" xfId="38283" xr:uid="{00000000-0005-0000-0000-0000F7940000}"/>
    <cellStyle name="Normal 3 22 5 4" xfId="38284" xr:uid="{00000000-0005-0000-0000-0000F8940000}"/>
    <cellStyle name="Normal 3 22 6" xfId="38285" xr:uid="{00000000-0005-0000-0000-0000F9940000}"/>
    <cellStyle name="Normal 3 22 6 2" xfId="38286" xr:uid="{00000000-0005-0000-0000-0000FA940000}"/>
    <cellStyle name="Normal 3 22 6 2 2" xfId="38287" xr:uid="{00000000-0005-0000-0000-0000FB940000}"/>
    <cellStyle name="Normal 3 22 6 2 2 2" xfId="38288" xr:uid="{00000000-0005-0000-0000-0000FC940000}"/>
    <cellStyle name="Normal 3 22 6 2 2 3" xfId="38289" xr:uid="{00000000-0005-0000-0000-0000FD940000}"/>
    <cellStyle name="Normal 3 22 6 2 3" xfId="38290" xr:uid="{00000000-0005-0000-0000-0000FE940000}"/>
    <cellStyle name="Normal 3 22 6 2 4" xfId="38291" xr:uid="{00000000-0005-0000-0000-0000FF940000}"/>
    <cellStyle name="Normal 3 22 6 3" xfId="38292" xr:uid="{00000000-0005-0000-0000-000000950000}"/>
    <cellStyle name="Normal 3 22 6 3 2" xfId="38293" xr:uid="{00000000-0005-0000-0000-000001950000}"/>
    <cellStyle name="Normal 3 22 6 3 3" xfId="38294" xr:uid="{00000000-0005-0000-0000-000002950000}"/>
    <cellStyle name="Normal 3 22 6 4" xfId="38295" xr:uid="{00000000-0005-0000-0000-000003950000}"/>
    <cellStyle name="Normal 3 22 7" xfId="38296" xr:uid="{00000000-0005-0000-0000-000004950000}"/>
    <cellStyle name="Normal 3 22 7 2" xfId="38297" xr:uid="{00000000-0005-0000-0000-000005950000}"/>
    <cellStyle name="Normal 3 22 7 2 2" xfId="38298" xr:uid="{00000000-0005-0000-0000-000006950000}"/>
    <cellStyle name="Normal 3 22 7 2 2 2" xfId="38299" xr:uid="{00000000-0005-0000-0000-000007950000}"/>
    <cellStyle name="Normal 3 22 7 2 2 3" xfId="38300" xr:uid="{00000000-0005-0000-0000-000008950000}"/>
    <cellStyle name="Normal 3 22 7 2 3" xfId="38301" xr:uid="{00000000-0005-0000-0000-000009950000}"/>
    <cellStyle name="Normal 3 22 7 2 4" xfId="38302" xr:uid="{00000000-0005-0000-0000-00000A950000}"/>
    <cellStyle name="Normal 3 22 7 3" xfId="38303" xr:uid="{00000000-0005-0000-0000-00000B950000}"/>
    <cellStyle name="Normal 3 22 7 3 2" xfId="38304" xr:uid="{00000000-0005-0000-0000-00000C950000}"/>
    <cellStyle name="Normal 3 22 7 3 3" xfId="38305" xr:uid="{00000000-0005-0000-0000-00000D950000}"/>
    <cellStyle name="Normal 3 22 7 4" xfId="38306" xr:uid="{00000000-0005-0000-0000-00000E950000}"/>
    <cellStyle name="Normal 3 22 8" xfId="38307" xr:uid="{00000000-0005-0000-0000-00000F950000}"/>
    <cellStyle name="Normal 3 22 8 2" xfId="38308" xr:uid="{00000000-0005-0000-0000-000010950000}"/>
    <cellStyle name="Normal 3 22 8 2 2" xfId="38309" xr:uid="{00000000-0005-0000-0000-000011950000}"/>
    <cellStyle name="Normal 3 22 8 2 2 2" xfId="38310" xr:uid="{00000000-0005-0000-0000-000012950000}"/>
    <cellStyle name="Normal 3 22 8 2 2 3" xfId="38311" xr:uid="{00000000-0005-0000-0000-000013950000}"/>
    <cellStyle name="Normal 3 22 8 2 3" xfId="38312" xr:uid="{00000000-0005-0000-0000-000014950000}"/>
    <cellStyle name="Normal 3 22 8 2 4" xfId="38313" xr:uid="{00000000-0005-0000-0000-000015950000}"/>
    <cellStyle name="Normal 3 22 8 3" xfId="38314" xr:uid="{00000000-0005-0000-0000-000016950000}"/>
    <cellStyle name="Normal 3 22 8 3 2" xfId="38315" xr:uid="{00000000-0005-0000-0000-000017950000}"/>
    <cellStyle name="Normal 3 22 8 3 3" xfId="38316" xr:uid="{00000000-0005-0000-0000-000018950000}"/>
    <cellStyle name="Normal 3 22 8 4" xfId="38317" xr:uid="{00000000-0005-0000-0000-000019950000}"/>
    <cellStyle name="Normal 3 22 9" xfId="38318" xr:uid="{00000000-0005-0000-0000-00001A950000}"/>
    <cellStyle name="Normal 3 22 9 2" xfId="38319" xr:uid="{00000000-0005-0000-0000-00001B950000}"/>
    <cellStyle name="Normal 3 22 9 2 2" xfId="38320" xr:uid="{00000000-0005-0000-0000-00001C950000}"/>
    <cellStyle name="Normal 3 22 9 2 2 2" xfId="38321" xr:uid="{00000000-0005-0000-0000-00001D950000}"/>
    <cellStyle name="Normal 3 22 9 2 2 3" xfId="38322" xr:uid="{00000000-0005-0000-0000-00001E950000}"/>
    <cellStyle name="Normal 3 22 9 2 3" xfId="38323" xr:uid="{00000000-0005-0000-0000-00001F950000}"/>
    <cellStyle name="Normal 3 22 9 2 4" xfId="38324" xr:uid="{00000000-0005-0000-0000-000020950000}"/>
    <cellStyle name="Normal 3 22 9 3" xfId="38325" xr:uid="{00000000-0005-0000-0000-000021950000}"/>
    <cellStyle name="Normal 3 22 9 3 2" xfId="38326" xr:uid="{00000000-0005-0000-0000-000022950000}"/>
    <cellStyle name="Normal 3 22 9 3 3" xfId="38327" xr:uid="{00000000-0005-0000-0000-000023950000}"/>
    <cellStyle name="Normal 3 22 9 4" xfId="38328" xr:uid="{00000000-0005-0000-0000-000024950000}"/>
    <cellStyle name="Normal 3 23" xfId="38329" xr:uid="{00000000-0005-0000-0000-000025950000}"/>
    <cellStyle name="Normal 3 23 10" xfId="38330" xr:uid="{00000000-0005-0000-0000-000026950000}"/>
    <cellStyle name="Normal 3 23 10 2" xfId="38331" xr:uid="{00000000-0005-0000-0000-000027950000}"/>
    <cellStyle name="Normal 3 23 10 2 2" xfId="38332" xr:uid="{00000000-0005-0000-0000-000028950000}"/>
    <cellStyle name="Normal 3 23 10 2 2 2" xfId="38333" xr:uid="{00000000-0005-0000-0000-000029950000}"/>
    <cellStyle name="Normal 3 23 10 2 2 3" xfId="38334" xr:uid="{00000000-0005-0000-0000-00002A950000}"/>
    <cellStyle name="Normal 3 23 10 2 3" xfId="38335" xr:uid="{00000000-0005-0000-0000-00002B950000}"/>
    <cellStyle name="Normal 3 23 10 2 4" xfId="38336" xr:uid="{00000000-0005-0000-0000-00002C950000}"/>
    <cellStyle name="Normal 3 23 10 3" xfId="38337" xr:uid="{00000000-0005-0000-0000-00002D950000}"/>
    <cellStyle name="Normal 3 23 10 3 2" xfId="38338" xr:uid="{00000000-0005-0000-0000-00002E950000}"/>
    <cellStyle name="Normal 3 23 10 3 3" xfId="38339" xr:uid="{00000000-0005-0000-0000-00002F950000}"/>
    <cellStyle name="Normal 3 23 10 4" xfId="38340" xr:uid="{00000000-0005-0000-0000-000030950000}"/>
    <cellStyle name="Normal 3 23 11" xfId="38341" xr:uid="{00000000-0005-0000-0000-000031950000}"/>
    <cellStyle name="Normal 3 23 11 2" xfId="38342" xr:uid="{00000000-0005-0000-0000-000032950000}"/>
    <cellStyle name="Normal 3 23 11 2 2" xfId="38343" xr:uid="{00000000-0005-0000-0000-000033950000}"/>
    <cellStyle name="Normal 3 23 11 2 2 2" xfId="38344" xr:uid="{00000000-0005-0000-0000-000034950000}"/>
    <cellStyle name="Normal 3 23 11 2 2 3" xfId="38345" xr:uid="{00000000-0005-0000-0000-000035950000}"/>
    <cellStyle name="Normal 3 23 11 2 3" xfId="38346" xr:uid="{00000000-0005-0000-0000-000036950000}"/>
    <cellStyle name="Normal 3 23 11 2 4" xfId="38347" xr:uid="{00000000-0005-0000-0000-000037950000}"/>
    <cellStyle name="Normal 3 23 11 3" xfId="38348" xr:uid="{00000000-0005-0000-0000-000038950000}"/>
    <cellStyle name="Normal 3 23 11 3 2" xfId="38349" xr:uid="{00000000-0005-0000-0000-000039950000}"/>
    <cellStyle name="Normal 3 23 11 3 3" xfId="38350" xr:uid="{00000000-0005-0000-0000-00003A950000}"/>
    <cellStyle name="Normal 3 23 11 4" xfId="38351" xr:uid="{00000000-0005-0000-0000-00003B950000}"/>
    <cellStyle name="Normal 3 23 12" xfId="38352" xr:uid="{00000000-0005-0000-0000-00003C950000}"/>
    <cellStyle name="Normal 3 23 12 2" xfId="38353" xr:uid="{00000000-0005-0000-0000-00003D950000}"/>
    <cellStyle name="Normal 3 23 12 2 2" xfId="38354" xr:uid="{00000000-0005-0000-0000-00003E950000}"/>
    <cellStyle name="Normal 3 23 12 2 2 2" xfId="38355" xr:uid="{00000000-0005-0000-0000-00003F950000}"/>
    <cellStyle name="Normal 3 23 12 2 2 3" xfId="38356" xr:uid="{00000000-0005-0000-0000-000040950000}"/>
    <cellStyle name="Normal 3 23 12 2 3" xfId="38357" xr:uid="{00000000-0005-0000-0000-000041950000}"/>
    <cellStyle name="Normal 3 23 12 2 4" xfId="38358" xr:uid="{00000000-0005-0000-0000-000042950000}"/>
    <cellStyle name="Normal 3 23 12 3" xfId="38359" xr:uid="{00000000-0005-0000-0000-000043950000}"/>
    <cellStyle name="Normal 3 23 12 3 2" xfId="38360" xr:uid="{00000000-0005-0000-0000-000044950000}"/>
    <cellStyle name="Normal 3 23 12 3 3" xfId="38361" xr:uid="{00000000-0005-0000-0000-000045950000}"/>
    <cellStyle name="Normal 3 23 12 4" xfId="38362" xr:uid="{00000000-0005-0000-0000-000046950000}"/>
    <cellStyle name="Normal 3 23 13" xfId="38363" xr:uid="{00000000-0005-0000-0000-000047950000}"/>
    <cellStyle name="Normal 3 23 13 2" xfId="38364" xr:uid="{00000000-0005-0000-0000-000048950000}"/>
    <cellStyle name="Normal 3 23 13 2 2" xfId="38365" xr:uid="{00000000-0005-0000-0000-000049950000}"/>
    <cellStyle name="Normal 3 23 13 2 2 2" xfId="38366" xr:uid="{00000000-0005-0000-0000-00004A950000}"/>
    <cellStyle name="Normal 3 23 13 2 2 3" xfId="38367" xr:uid="{00000000-0005-0000-0000-00004B950000}"/>
    <cellStyle name="Normal 3 23 13 2 3" xfId="38368" xr:uid="{00000000-0005-0000-0000-00004C950000}"/>
    <cellStyle name="Normal 3 23 13 2 4" xfId="38369" xr:uid="{00000000-0005-0000-0000-00004D950000}"/>
    <cellStyle name="Normal 3 23 13 3" xfId="38370" xr:uid="{00000000-0005-0000-0000-00004E950000}"/>
    <cellStyle name="Normal 3 23 13 3 2" xfId="38371" xr:uid="{00000000-0005-0000-0000-00004F950000}"/>
    <cellStyle name="Normal 3 23 13 3 3" xfId="38372" xr:uid="{00000000-0005-0000-0000-000050950000}"/>
    <cellStyle name="Normal 3 23 13 4" xfId="38373" xr:uid="{00000000-0005-0000-0000-000051950000}"/>
    <cellStyle name="Normal 3 23 14" xfId="38374" xr:uid="{00000000-0005-0000-0000-000052950000}"/>
    <cellStyle name="Normal 3 23 14 2" xfId="38375" xr:uid="{00000000-0005-0000-0000-000053950000}"/>
    <cellStyle name="Normal 3 23 14 2 2" xfId="38376" xr:uid="{00000000-0005-0000-0000-000054950000}"/>
    <cellStyle name="Normal 3 23 14 2 2 2" xfId="38377" xr:uid="{00000000-0005-0000-0000-000055950000}"/>
    <cellStyle name="Normal 3 23 14 2 2 3" xfId="38378" xr:uid="{00000000-0005-0000-0000-000056950000}"/>
    <cellStyle name="Normal 3 23 14 2 3" xfId="38379" xr:uid="{00000000-0005-0000-0000-000057950000}"/>
    <cellStyle name="Normal 3 23 14 2 4" xfId="38380" xr:uid="{00000000-0005-0000-0000-000058950000}"/>
    <cellStyle name="Normal 3 23 14 3" xfId="38381" xr:uid="{00000000-0005-0000-0000-000059950000}"/>
    <cellStyle name="Normal 3 23 14 3 2" xfId="38382" xr:uid="{00000000-0005-0000-0000-00005A950000}"/>
    <cellStyle name="Normal 3 23 14 3 3" xfId="38383" xr:uid="{00000000-0005-0000-0000-00005B950000}"/>
    <cellStyle name="Normal 3 23 14 4" xfId="38384" xr:uid="{00000000-0005-0000-0000-00005C950000}"/>
    <cellStyle name="Normal 3 23 15" xfId="38385" xr:uid="{00000000-0005-0000-0000-00005D950000}"/>
    <cellStyle name="Normal 3 23 15 2" xfId="38386" xr:uid="{00000000-0005-0000-0000-00005E950000}"/>
    <cellStyle name="Normal 3 23 15 2 2" xfId="38387" xr:uid="{00000000-0005-0000-0000-00005F950000}"/>
    <cellStyle name="Normal 3 23 15 2 2 2" xfId="38388" xr:uid="{00000000-0005-0000-0000-000060950000}"/>
    <cellStyle name="Normal 3 23 15 2 2 3" xfId="38389" xr:uid="{00000000-0005-0000-0000-000061950000}"/>
    <cellStyle name="Normal 3 23 15 2 3" xfId="38390" xr:uid="{00000000-0005-0000-0000-000062950000}"/>
    <cellStyle name="Normal 3 23 15 2 4" xfId="38391" xr:uid="{00000000-0005-0000-0000-000063950000}"/>
    <cellStyle name="Normal 3 23 15 3" xfId="38392" xr:uid="{00000000-0005-0000-0000-000064950000}"/>
    <cellStyle name="Normal 3 23 15 3 2" xfId="38393" xr:uid="{00000000-0005-0000-0000-000065950000}"/>
    <cellStyle name="Normal 3 23 15 3 3" xfId="38394" xr:uid="{00000000-0005-0000-0000-000066950000}"/>
    <cellStyle name="Normal 3 23 15 4" xfId="38395" xr:uid="{00000000-0005-0000-0000-000067950000}"/>
    <cellStyle name="Normal 3 23 16" xfId="38396" xr:uid="{00000000-0005-0000-0000-000068950000}"/>
    <cellStyle name="Normal 3 23 16 2" xfId="38397" xr:uid="{00000000-0005-0000-0000-000069950000}"/>
    <cellStyle name="Normal 3 23 16 2 2" xfId="38398" xr:uid="{00000000-0005-0000-0000-00006A950000}"/>
    <cellStyle name="Normal 3 23 16 2 2 2" xfId="38399" xr:uid="{00000000-0005-0000-0000-00006B950000}"/>
    <cellStyle name="Normal 3 23 16 2 2 3" xfId="38400" xr:uid="{00000000-0005-0000-0000-00006C950000}"/>
    <cellStyle name="Normal 3 23 16 2 3" xfId="38401" xr:uid="{00000000-0005-0000-0000-00006D950000}"/>
    <cellStyle name="Normal 3 23 16 2 4" xfId="38402" xr:uid="{00000000-0005-0000-0000-00006E950000}"/>
    <cellStyle name="Normal 3 23 16 3" xfId="38403" xr:uid="{00000000-0005-0000-0000-00006F950000}"/>
    <cellStyle name="Normal 3 23 16 3 2" xfId="38404" xr:uid="{00000000-0005-0000-0000-000070950000}"/>
    <cellStyle name="Normal 3 23 16 3 3" xfId="38405" xr:uid="{00000000-0005-0000-0000-000071950000}"/>
    <cellStyle name="Normal 3 23 16 4" xfId="38406" xr:uid="{00000000-0005-0000-0000-000072950000}"/>
    <cellStyle name="Normal 3 23 17" xfId="38407" xr:uid="{00000000-0005-0000-0000-000073950000}"/>
    <cellStyle name="Normal 3 23 17 2" xfId="38408" xr:uid="{00000000-0005-0000-0000-000074950000}"/>
    <cellStyle name="Normal 3 23 17 2 2" xfId="38409" xr:uid="{00000000-0005-0000-0000-000075950000}"/>
    <cellStyle name="Normal 3 23 17 2 2 2" xfId="38410" xr:uid="{00000000-0005-0000-0000-000076950000}"/>
    <cellStyle name="Normal 3 23 17 2 2 3" xfId="38411" xr:uid="{00000000-0005-0000-0000-000077950000}"/>
    <cellStyle name="Normal 3 23 17 2 3" xfId="38412" xr:uid="{00000000-0005-0000-0000-000078950000}"/>
    <cellStyle name="Normal 3 23 17 2 4" xfId="38413" xr:uid="{00000000-0005-0000-0000-000079950000}"/>
    <cellStyle name="Normal 3 23 17 3" xfId="38414" xr:uid="{00000000-0005-0000-0000-00007A950000}"/>
    <cellStyle name="Normal 3 23 17 3 2" xfId="38415" xr:uid="{00000000-0005-0000-0000-00007B950000}"/>
    <cellStyle name="Normal 3 23 17 3 3" xfId="38416" xr:uid="{00000000-0005-0000-0000-00007C950000}"/>
    <cellStyle name="Normal 3 23 17 4" xfId="38417" xr:uid="{00000000-0005-0000-0000-00007D950000}"/>
    <cellStyle name="Normal 3 23 18" xfId="38418" xr:uid="{00000000-0005-0000-0000-00007E950000}"/>
    <cellStyle name="Normal 3 23 18 2" xfId="38419" xr:uid="{00000000-0005-0000-0000-00007F950000}"/>
    <cellStyle name="Normal 3 23 18 2 2" xfId="38420" xr:uid="{00000000-0005-0000-0000-000080950000}"/>
    <cellStyle name="Normal 3 23 18 2 2 2" xfId="38421" xr:uid="{00000000-0005-0000-0000-000081950000}"/>
    <cellStyle name="Normal 3 23 18 2 2 3" xfId="38422" xr:uid="{00000000-0005-0000-0000-000082950000}"/>
    <cellStyle name="Normal 3 23 18 2 3" xfId="38423" xr:uid="{00000000-0005-0000-0000-000083950000}"/>
    <cellStyle name="Normal 3 23 18 2 4" xfId="38424" xr:uid="{00000000-0005-0000-0000-000084950000}"/>
    <cellStyle name="Normal 3 23 18 3" xfId="38425" xr:uid="{00000000-0005-0000-0000-000085950000}"/>
    <cellStyle name="Normal 3 23 18 3 2" xfId="38426" xr:uid="{00000000-0005-0000-0000-000086950000}"/>
    <cellStyle name="Normal 3 23 18 3 3" xfId="38427" xr:uid="{00000000-0005-0000-0000-000087950000}"/>
    <cellStyle name="Normal 3 23 18 4" xfId="38428" xr:uid="{00000000-0005-0000-0000-000088950000}"/>
    <cellStyle name="Normal 3 23 19" xfId="38429" xr:uid="{00000000-0005-0000-0000-000089950000}"/>
    <cellStyle name="Normal 3 23 19 2" xfId="38430" xr:uid="{00000000-0005-0000-0000-00008A950000}"/>
    <cellStyle name="Normal 3 23 19 2 2" xfId="38431" xr:uid="{00000000-0005-0000-0000-00008B950000}"/>
    <cellStyle name="Normal 3 23 19 2 2 2" xfId="38432" xr:uid="{00000000-0005-0000-0000-00008C950000}"/>
    <cellStyle name="Normal 3 23 19 2 2 3" xfId="38433" xr:uid="{00000000-0005-0000-0000-00008D950000}"/>
    <cellStyle name="Normal 3 23 19 2 3" xfId="38434" xr:uid="{00000000-0005-0000-0000-00008E950000}"/>
    <cellStyle name="Normal 3 23 19 2 4" xfId="38435" xr:uid="{00000000-0005-0000-0000-00008F950000}"/>
    <cellStyle name="Normal 3 23 19 3" xfId="38436" xr:uid="{00000000-0005-0000-0000-000090950000}"/>
    <cellStyle name="Normal 3 23 19 3 2" xfId="38437" xr:uid="{00000000-0005-0000-0000-000091950000}"/>
    <cellStyle name="Normal 3 23 19 3 3" xfId="38438" xr:uid="{00000000-0005-0000-0000-000092950000}"/>
    <cellStyle name="Normal 3 23 19 4" xfId="38439" xr:uid="{00000000-0005-0000-0000-000093950000}"/>
    <cellStyle name="Normal 3 23 2" xfId="38440" xr:uid="{00000000-0005-0000-0000-000094950000}"/>
    <cellStyle name="Normal 3 23 2 2" xfId="38441" xr:uid="{00000000-0005-0000-0000-000095950000}"/>
    <cellStyle name="Normal 3 23 2 2 2" xfId="38442" xr:uid="{00000000-0005-0000-0000-000096950000}"/>
    <cellStyle name="Normal 3 23 2 2 2 2" xfId="38443" xr:uid="{00000000-0005-0000-0000-000097950000}"/>
    <cellStyle name="Normal 3 23 2 2 2 3" xfId="38444" xr:uid="{00000000-0005-0000-0000-000098950000}"/>
    <cellStyle name="Normal 3 23 2 2 3" xfId="38445" xr:uid="{00000000-0005-0000-0000-000099950000}"/>
    <cellStyle name="Normal 3 23 2 2 4" xfId="38446" xr:uid="{00000000-0005-0000-0000-00009A950000}"/>
    <cellStyle name="Normal 3 23 2 3" xfId="38447" xr:uid="{00000000-0005-0000-0000-00009B950000}"/>
    <cellStyle name="Normal 3 23 2 3 2" xfId="38448" xr:uid="{00000000-0005-0000-0000-00009C950000}"/>
    <cellStyle name="Normal 3 23 2 3 3" xfId="38449" xr:uid="{00000000-0005-0000-0000-00009D950000}"/>
    <cellStyle name="Normal 3 23 2 4" xfId="38450" xr:uid="{00000000-0005-0000-0000-00009E950000}"/>
    <cellStyle name="Normal 3 23 20" xfId="38451" xr:uid="{00000000-0005-0000-0000-00009F950000}"/>
    <cellStyle name="Normal 3 23 20 2" xfId="38452" xr:uid="{00000000-0005-0000-0000-0000A0950000}"/>
    <cellStyle name="Normal 3 23 20 2 2" xfId="38453" xr:uid="{00000000-0005-0000-0000-0000A1950000}"/>
    <cellStyle name="Normal 3 23 20 2 2 2" xfId="38454" xr:uid="{00000000-0005-0000-0000-0000A2950000}"/>
    <cellStyle name="Normal 3 23 20 2 2 3" xfId="38455" xr:uid="{00000000-0005-0000-0000-0000A3950000}"/>
    <cellStyle name="Normal 3 23 20 2 3" xfId="38456" xr:uid="{00000000-0005-0000-0000-0000A4950000}"/>
    <cellStyle name="Normal 3 23 20 2 4" xfId="38457" xr:uid="{00000000-0005-0000-0000-0000A5950000}"/>
    <cellStyle name="Normal 3 23 20 3" xfId="38458" xr:uid="{00000000-0005-0000-0000-0000A6950000}"/>
    <cellStyle name="Normal 3 23 20 3 2" xfId="38459" xr:uid="{00000000-0005-0000-0000-0000A7950000}"/>
    <cellStyle name="Normal 3 23 20 3 3" xfId="38460" xr:uid="{00000000-0005-0000-0000-0000A8950000}"/>
    <cellStyle name="Normal 3 23 20 4" xfId="38461" xr:uid="{00000000-0005-0000-0000-0000A9950000}"/>
    <cellStyle name="Normal 3 23 21" xfId="38462" xr:uid="{00000000-0005-0000-0000-0000AA950000}"/>
    <cellStyle name="Normal 3 23 21 2" xfId="38463" xr:uid="{00000000-0005-0000-0000-0000AB950000}"/>
    <cellStyle name="Normal 3 23 21 2 2" xfId="38464" xr:uid="{00000000-0005-0000-0000-0000AC950000}"/>
    <cellStyle name="Normal 3 23 21 2 2 2" xfId="38465" xr:uid="{00000000-0005-0000-0000-0000AD950000}"/>
    <cellStyle name="Normal 3 23 21 2 2 3" xfId="38466" xr:uid="{00000000-0005-0000-0000-0000AE950000}"/>
    <cellStyle name="Normal 3 23 21 2 3" xfId="38467" xr:uid="{00000000-0005-0000-0000-0000AF950000}"/>
    <cellStyle name="Normal 3 23 21 2 4" xfId="38468" xr:uid="{00000000-0005-0000-0000-0000B0950000}"/>
    <cellStyle name="Normal 3 23 21 3" xfId="38469" xr:uid="{00000000-0005-0000-0000-0000B1950000}"/>
    <cellStyle name="Normal 3 23 21 3 2" xfId="38470" xr:uid="{00000000-0005-0000-0000-0000B2950000}"/>
    <cellStyle name="Normal 3 23 21 3 3" xfId="38471" xr:uid="{00000000-0005-0000-0000-0000B3950000}"/>
    <cellStyle name="Normal 3 23 21 4" xfId="38472" xr:uid="{00000000-0005-0000-0000-0000B4950000}"/>
    <cellStyle name="Normal 3 23 22" xfId="38473" xr:uid="{00000000-0005-0000-0000-0000B5950000}"/>
    <cellStyle name="Normal 3 23 22 2" xfId="38474" xr:uid="{00000000-0005-0000-0000-0000B6950000}"/>
    <cellStyle name="Normal 3 23 22 2 2" xfId="38475" xr:uid="{00000000-0005-0000-0000-0000B7950000}"/>
    <cellStyle name="Normal 3 23 22 2 2 2" xfId="38476" xr:uid="{00000000-0005-0000-0000-0000B8950000}"/>
    <cellStyle name="Normal 3 23 22 2 2 3" xfId="38477" xr:uid="{00000000-0005-0000-0000-0000B9950000}"/>
    <cellStyle name="Normal 3 23 22 2 3" xfId="38478" xr:uid="{00000000-0005-0000-0000-0000BA950000}"/>
    <cellStyle name="Normal 3 23 22 2 4" xfId="38479" xr:uid="{00000000-0005-0000-0000-0000BB950000}"/>
    <cellStyle name="Normal 3 23 22 3" xfId="38480" xr:uid="{00000000-0005-0000-0000-0000BC950000}"/>
    <cellStyle name="Normal 3 23 22 3 2" xfId="38481" xr:uid="{00000000-0005-0000-0000-0000BD950000}"/>
    <cellStyle name="Normal 3 23 22 3 3" xfId="38482" xr:uid="{00000000-0005-0000-0000-0000BE950000}"/>
    <cellStyle name="Normal 3 23 22 4" xfId="38483" xr:uid="{00000000-0005-0000-0000-0000BF950000}"/>
    <cellStyle name="Normal 3 23 23" xfId="38484" xr:uid="{00000000-0005-0000-0000-0000C0950000}"/>
    <cellStyle name="Normal 3 23 23 2" xfId="38485" xr:uid="{00000000-0005-0000-0000-0000C1950000}"/>
    <cellStyle name="Normal 3 23 23 2 2" xfId="38486" xr:uid="{00000000-0005-0000-0000-0000C2950000}"/>
    <cellStyle name="Normal 3 23 23 2 2 2" xfId="38487" xr:uid="{00000000-0005-0000-0000-0000C3950000}"/>
    <cellStyle name="Normal 3 23 23 2 2 3" xfId="38488" xr:uid="{00000000-0005-0000-0000-0000C4950000}"/>
    <cellStyle name="Normal 3 23 23 2 3" xfId="38489" xr:uid="{00000000-0005-0000-0000-0000C5950000}"/>
    <cellStyle name="Normal 3 23 23 2 4" xfId="38490" xr:uid="{00000000-0005-0000-0000-0000C6950000}"/>
    <cellStyle name="Normal 3 23 23 3" xfId="38491" xr:uid="{00000000-0005-0000-0000-0000C7950000}"/>
    <cellStyle name="Normal 3 23 23 3 2" xfId="38492" xr:uid="{00000000-0005-0000-0000-0000C8950000}"/>
    <cellStyle name="Normal 3 23 23 3 3" xfId="38493" xr:uid="{00000000-0005-0000-0000-0000C9950000}"/>
    <cellStyle name="Normal 3 23 23 4" xfId="38494" xr:uid="{00000000-0005-0000-0000-0000CA950000}"/>
    <cellStyle name="Normal 3 23 24" xfId="38495" xr:uid="{00000000-0005-0000-0000-0000CB950000}"/>
    <cellStyle name="Normal 3 23 24 2" xfId="38496" xr:uid="{00000000-0005-0000-0000-0000CC950000}"/>
    <cellStyle name="Normal 3 23 24 2 2" xfId="38497" xr:uid="{00000000-0005-0000-0000-0000CD950000}"/>
    <cellStyle name="Normal 3 23 24 2 3" xfId="38498" xr:uid="{00000000-0005-0000-0000-0000CE950000}"/>
    <cellStyle name="Normal 3 23 24 3" xfId="38499" xr:uid="{00000000-0005-0000-0000-0000CF950000}"/>
    <cellStyle name="Normal 3 23 24 4" xfId="38500" xr:uid="{00000000-0005-0000-0000-0000D0950000}"/>
    <cellStyle name="Normal 3 23 25" xfId="38501" xr:uid="{00000000-0005-0000-0000-0000D1950000}"/>
    <cellStyle name="Normal 3 23 25 2" xfId="38502" xr:uid="{00000000-0005-0000-0000-0000D2950000}"/>
    <cellStyle name="Normal 3 23 25 3" xfId="38503" xr:uid="{00000000-0005-0000-0000-0000D3950000}"/>
    <cellStyle name="Normal 3 23 26" xfId="38504" xr:uid="{00000000-0005-0000-0000-0000D4950000}"/>
    <cellStyle name="Normal 3 23 3" xfId="38505" xr:uid="{00000000-0005-0000-0000-0000D5950000}"/>
    <cellStyle name="Normal 3 23 3 2" xfId="38506" xr:uid="{00000000-0005-0000-0000-0000D6950000}"/>
    <cellStyle name="Normal 3 23 3 2 2" xfId="38507" xr:uid="{00000000-0005-0000-0000-0000D7950000}"/>
    <cellStyle name="Normal 3 23 3 2 2 2" xfId="38508" xr:uid="{00000000-0005-0000-0000-0000D8950000}"/>
    <cellStyle name="Normal 3 23 3 2 2 3" xfId="38509" xr:uid="{00000000-0005-0000-0000-0000D9950000}"/>
    <cellStyle name="Normal 3 23 3 2 3" xfId="38510" xr:uid="{00000000-0005-0000-0000-0000DA950000}"/>
    <cellStyle name="Normal 3 23 3 2 4" xfId="38511" xr:uid="{00000000-0005-0000-0000-0000DB950000}"/>
    <cellStyle name="Normal 3 23 3 3" xfId="38512" xr:uid="{00000000-0005-0000-0000-0000DC950000}"/>
    <cellStyle name="Normal 3 23 3 3 2" xfId="38513" xr:uid="{00000000-0005-0000-0000-0000DD950000}"/>
    <cellStyle name="Normal 3 23 3 3 3" xfId="38514" xr:uid="{00000000-0005-0000-0000-0000DE950000}"/>
    <cellStyle name="Normal 3 23 3 4" xfId="38515" xr:uid="{00000000-0005-0000-0000-0000DF950000}"/>
    <cellStyle name="Normal 3 23 4" xfId="38516" xr:uid="{00000000-0005-0000-0000-0000E0950000}"/>
    <cellStyle name="Normal 3 23 4 2" xfId="38517" xr:uid="{00000000-0005-0000-0000-0000E1950000}"/>
    <cellStyle name="Normal 3 23 4 2 2" xfId="38518" xr:uid="{00000000-0005-0000-0000-0000E2950000}"/>
    <cellStyle name="Normal 3 23 4 2 2 2" xfId="38519" xr:uid="{00000000-0005-0000-0000-0000E3950000}"/>
    <cellStyle name="Normal 3 23 4 2 2 3" xfId="38520" xr:uid="{00000000-0005-0000-0000-0000E4950000}"/>
    <cellStyle name="Normal 3 23 4 2 3" xfId="38521" xr:uid="{00000000-0005-0000-0000-0000E5950000}"/>
    <cellStyle name="Normal 3 23 4 2 4" xfId="38522" xr:uid="{00000000-0005-0000-0000-0000E6950000}"/>
    <cellStyle name="Normal 3 23 4 3" xfId="38523" xr:uid="{00000000-0005-0000-0000-0000E7950000}"/>
    <cellStyle name="Normal 3 23 4 3 2" xfId="38524" xr:uid="{00000000-0005-0000-0000-0000E8950000}"/>
    <cellStyle name="Normal 3 23 4 3 3" xfId="38525" xr:uid="{00000000-0005-0000-0000-0000E9950000}"/>
    <cellStyle name="Normal 3 23 4 4" xfId="38526" xr:uid="{00000000-0005-0000-0000-0000EA950000}"/>
    <cellStyle name="Normal 3 23 5" xfId="38527" xr:uid="{00000000-0005-0000-0000-0000EB950000}"/>
    <cellStyle name="Normal 3 23 5 2" xfId="38528" xr:uid="{00000000-0005-0000-0000-0000EC950000}"/>
    <cellStyle name="Normal 3 23 5 2 2" xfId="38529" xr:uid="{00000000-0005-0000-0000-0000ED950000}"/>
    <cellStyle name="Normal 3 23 5 2 2 2" xfId="38530" xr:uid="{00000000-0005-0000-0000-0000EE950000}"/>
    <cellStyle name="Normal 3 23 5 2 2 3" xfId="38531" xr:uid="{00000000-0005-0000-0000-0000EF950000}"/>
    <cellStyle name="Normal 3 23 5 2 3" xfId="38532" xr:uid="{00000000-0005-0000-0000-0000F0950000}"/>
    <cellStyle name="Normal 3 23 5 2 4" xfId="38533" xr:uid="{00000000-0005-0000-0000-0000F1950000}"/>
    <cellStyle name="Normal 3 23 5 3" xfId="38534" xr:uid="{00000000-0005-0000-0000-0000F2950000}"/>
    <cellStyle name="Normal 3 23 5 3 2" xfId="38535" xr:uid="{00000000-0005-0000-0000-0000F3950000}"/>
    <cellStyle name="Normal 3 23 5 3 3" xfId="38536" xr:uid="{00000000-0005-0000-0000-0000F4950000}"/>
    <cellStyle name="Normal 3 23 5 4" xfId="38537" xr:uid="{00000000-0005-0000-0000-0000F5950000}"/>
    <cellStyle name="Normal 3 23 6" xfId="38538" xr:uid="{00000000-0005-0000-0000-0000F6950000}"/>
    <cellStyle name="Normal 3 23 6 2" xfId="38539" xr:uid="{00000000-0005-0000-0000-0000F7950000}"/>
    <cellStyle name="Normal 3 23 6 2 2" xfId="38540" xr:uid="{00000000-0005-0000-0000-0000F8950000}"/>
    <cellStyle name="Normal 3 23 6 2 2 2" xfId="38541" xr:uid="{00000000-0005-0000-0000-0000F9950000}"/>
    <cellStyle name="Normal 3 23 6 2 2 3" xfId="38542" xr:uid="{00000000-0005-0000-0000-0000FA950000}"/>
    <cellStyle name="Normal 3 23 6 2 3" xfId="38543" xr:uid="{00000000-0005-0000-0000-0000FB950000}"/>
    <cellStyle name="Normal 3 23 6 2 4" xfId="38544" xr:uid="{00000000-0005-0000-0000-0000FC950000}"/>
    <cellStyle name="Normal 3 23 6 3" xfId="38545" xr:uid="{00000000-0005-0000-0000-0000FD950000}"/>
    <cellStyle name="Normal 3 23 6 3 2" xfId="38546" xr:uid="{00000000-0005-0000-0000-0000FE950000}"/>
    <cellStyle name="Normal 3 23 6 3 3" xfId="38547" xr:uid="{00000000-0005-0000-0000-0000FF950000}"/>
    <cellStyle name="Normal 3 23 6 4" xfId="38548" xr:uid="{00000000-0005-0000-0000-000000960000}"/>
    <cellStyle name="Normal 3 23 7" xfId="38549" xr:uid="{00000000-0005-0000-0000-000001960000}"/>
    <cellStyle name="Normal 3 23 7 2" xfId="38550" xr:uid="{00000000-0005-0000-0000-000002960000}"/>
    <cellStyle name="Normal 3 23 7 2 2" xfId="38551" xr:uid="{00000000-0005-0000-0000-000003960000}"/>
    <cellStyle name="Normal 3 23 7 2 2 2" xfId="38552" xr:uid="{00000000-0005-0000-0000-000004960000}"/>
    <cellStyle name="Normal 3 23 7 2 2 3" xfId="38553" xr:uid="{00000000-0005-0000-0000-000005960000}"/>
    <cellStyle name="Normal 3 23 7 2 3" xfId="38554" xr:uid="{00000000-0005-0000-0000-000006960000}"/>
    <cellStyle name="Normal 3 23 7 2 4" xfId="38555" xr:uid="{00000000-0005-0000-0000-000007960000}"/>
    <cellStyle name="Normal 3 23 7 3" xfId="38556" xr:uid="{00000000-0005-0000-0000-000008960000}"/>
    <cellStyle name="Normal 3 23 7 3 2" xfId="38557" xr:uid="{00000000-0005-0000-0000-000009960000}"/>
    <cellStyle name="Normal 3 23 7 3 3" xfId="38558" xr:uid="{00000000-0005-0000-0000-00000A960000}"/>
    <cellStyle name="Normal 3 23 7 4" xfId="38559" xr:uid="{00000000-0005-0000-0000-00000B960000}"/>
    <cellStyle name="Normal 3 23 8" xfId="38560" xr:uid="{00000000-0005-0000-0000-00000C960000}"/>
    <cellStyle name="Normal 3 23 8 2" xfId="38561" xr:uid="{00000000-0005-0000-0000-00000D960000}"/>
    <cellStyle name="Normal 3 23 8 2 2" xfId="38562" xr:uid="{00000000-0005-0000-0000-00000E960000}"/>
    <cellStyle name="Normal 3 23 8 2 2 2" xfId="38563" xr:uid="{00000000-0005-0000-0000-00000F960000}"/>
    <cellStyle name="Normal 3 23 8 2 2 3" xfId="38564" xr:uid="{00000000-0005-0000-0000-000010960000}"/>
    <cellStyle name="Normal 3 23 8 2 3" xfId="38565" xr:uid="{00000000-0005-0000-0000-000011960000}"/>
    <cellStyle name="Normal 3 23 8 2 4" xfId="38566" xr:uid="{00000000-0005-0000-0000-000012960000}"/>
    <cellStyle name="Normal 3 23 8 3" xfId="38567" xr:uid="{00000000-0005-0000-0000-000013960000}"/>
    <cellStyle name="Normal 3 23 8 3 2" xfId="38568" xr:uid="{00000000-0005-0000-0000-000014960000}"/>
    <cellStyle name="Normal 3 23 8 3 3" xfId="38569" xr:uid="{00000000-0005-0000-0000-000015960000}"/>
    <cellStyle name="Normal 3 23 8 4" xfId="38570" xr:uid="{00000000-0005-0000-0000-000016960000}"/>
    <cellStyle name="Normal 3 23 9" xfId="38571" xr:uid="{00000000-0005-0000-0000-000017960000}"/>
    <cellStyle name="Normal 3 23 9 2" xfId="38572" xr:uid="{00000000-0005-0000-0000-000018960000}"/>
    <cellStyle name="Normal 3 23 9 2 2" xfId="38573" xr:uid="{00000000-0005-0000-0000-000019960000}"/>
    <cellStyle name="Normal 3 23 9 2 2 2" xfId="38574" xr:uid="{00000000-0005-0000-0000-00001A960000}"/>
    <cellStyle name="Normal 3 23 9 2 2 3" xfId="38575" xr:uid="{00000000-0005-0000-0000-00001B960000}"/>
    <cellStyle name="Normal 3 23 9 2 3" xfId="38576" xr:uid="{00000000-0005-0000-0000-00001C960000}"/>
    <cellStyle name="Normal 3 23 9 2 4" xfId="38577" xr:uid="{00000000-0005-0000-0000-00001D960000}"/>
    <cellStyle name="Normal 3 23 9 3" xfId="38578" xr:uid="{00000000-0005-0000-0000-00001E960000}"/>
    <cellStyle name="Normal 3 23 9 3 2" xfId="38579" xr:uid="{00000000-0005-0000-0000-00001F960000}"/>
    <cellStyle name="Normal 3 23 9 3 3" xfId="38580" xr:uid="{00000000-0005-0000-0000-000020960000}"/>
    <cellStyle name="Normal 3 23 9 4" xfId="38581" xr:uid="{00000000-0005-0000-0000-000021960000}"/>
    <cellStyle name="Normal 3 24" xfId="38582" xr:uid="{00000000-0005-0000-0000-000022960000}"/>
    <cellStyle name="Normal 3 24 10" xfId="38583" xr:uid="{00000000-0005-0000-0000-000023960000}"/>
    <cellStyle name="Normal 3 24 10 2" xfId="38584" xr:uid="{00000000-0005-0000-0000-000024960000}"/>
    <cellStyle name="Normal 3 24 10 2 2" xfId="38585" xr:uid="{00000000-0005-0000-0000-000025960000}"/>
    <cellStyle name="Normal 3 24 10 2 2 2" xfId="38586" xr:uid="{00000000-0005-0000-0000-000026960000}"/>
    <cellStyle name="Normal 3 24 10 2 2 3" xfId="38587" xr:uid="{00000000-0005-0000-0000-000027960000}"/>
    <cellStyle name="Normal 3 24 10 2 3" xfId="38588" xr:uid="{00000000-0005-0000-0000-000028960000}"/>
    <cellStyle name="Normal 3 24 10 2 4" xfId="38589" xr:uid="{00000000-0005-0000-0000-000029960000}"/>
    <cellStyle name="Normal 3 24 10 3" xfId="38590" xr:uid="{00000000-0005-0000-0000-00002A960000}"/>
    <cellStyle name="Normal 3 24 10 3 2" xfId="38591" xr:uid="{00000000-0005-0000-0000-00002B960000}"/>
    <cellStyle name="Normal 3 24 10 3 3" xfId="38592" xr:uid="{00000000-0005-0000-0000-00002C960000}"/>
    <cellStyle name="Normal 3 24 10 4" xfId="38593" xr:uid="{00000000-0005-0000-0000-00002D960000}"/>
    <cellStyle name="Normal 3 24 11" xfId="38594" xr:uid="{00000000-0005-0000-0000-00002E960000}"/>
    <cellStyle name="Normal 3 24 11 2" xfId="38595" xr:uid="{00000000-0005-0000-0000-00002F960000}"/>
    <cellStyle name="Normal 3 24 11 2 2" xfId="38596" xr:uid="{00000000-0005-0000-0000-000030960000}"/>
    <cellStyle name="Normal 3 24 11 2 2 2" xfId="38597" xr:uid="{00000000-0005-0000-0000-000031960000}"/>
    <cellStyle name="Normal 3 24 11 2 2 3" xfId="38598" xr:uid="{00000000-0005-0000-0000-000032960000}"/>
    <cellStyle name="Normal 3 24 11 2 3" xfId="38599" xr:uid="{00000000-0005-0000-0000-000033960000}"/>
    <cellStyle name="Normal 3 24 11 2 4" xfId="38600" xr:uid="{00000000-0005-0000-0000-000034960000}"/>
    <cellStyle name="Normal 3 24 11 3" xfId="38601" xr:uid="{00000000-0005-0000-0000-000035960000}"/>
    <cellStyle name="Normal 3 24 11 3 2" xfId="38602" xr:uid="{00000000-0005-0000-0000-000036960000}"/>
    <cellStyle name="Normal 3 24 11 3 3" xfId="38603" xr:uid="{00000000-0005-0000-0000-000037960000}"/>
    <cellStyle name="Normal 3 24 11 4" xfId="38604" xr:uid="{00000000-0005-0000-0000-000038960000}"/>
    <cellStyle name="Normal 3 24 12" xfId="38605" xr:uid="{00000000-0005-0000-0000-000039960000}"/>
    <cellStyle name="Normal 3 24 12 2" xfId="38606" xr:uid="{00000000-0005-0000-0000-00003A960000}"/>
    <cellStyle name="Normal 3 24 12 2 2" xfId="38607" xr:uid="{00000000-0005-0000-0000-00003B960000}"/>
    <cellStyle name="Normal 3 24 12 2 2 2" xfId="38608" xr:uid="{00000000-0005-0000-0000-00003C960000}"/>
    <cellStyle name="Normal 3 24 12 2 2 3" xfId="38609" xr:uid="{00000000-0005-0000-0000-00003D960000}"/>
    <cellStyle name="Normal 3 24 12 2 3" xfId="38610" xr:uid="{00000000-0005-0000-0000-00003E960000}"/>
    <cellStyle name="Normal 3 24 12 2 4" xfId="38611" xr:uid="{00000000-0005-0000-0000-00003F960000}"/>
    <cellStyle name="Normal 3 24 12 3" xfId="38612" xr:uid="{00000000-0005-0000-0000-000040960000}"/>
    <cellStyle name="Normal 3 24 12 3 2" xfId="38613" xr:uid="{00000000-0005-0000-0000-000041960000}"/>
    <cellStyle name="Normal 3 24 12 3 3" xfId="38614" xr:uid="{00000000-0005-0000-0000-000042960000}"/>
    <cellStyle name="Normal 3 24 12 4" xfId="38615" xr:uid="{00000000-0005-0000-0000-000043960000}"/>
    <cellStyle name="Normal 3 24 13" xfId="38616" xr:uid="{00000000-0005-0000-0000-000044960000}"/>
    <cellStyle name="Normal 3 24 13 2" xfId="38617" xr:uid="{00000000-0005-0000-0000-000045960000}"/>
    <cellStyle name="Normal 3 24 13 2 2" xfId="38618" xr:uid="{00000000-0005-0000-0000-000046960000}"/>
    <cellStyle name="Normal 3 24 13 2 2 2" xfId="38619" xr:uid="{00000000-0005-0000-0000-000047960000}"/>
    <cellStyle name="Normal 3 24 13 2 2 3" xfId="38620" xr:uid="{00000000-0005-0000-0000-000048960000}"/>
    <cellStyle name="Normal 3 24 13 2 3" xfId="38621" xr:uid="{00000000-0005-0000-0000-000049960000}"/>
    <cellStyle name="Normal 3 24 13 2 4" xfId="38622" xr:uid="{00000000-0005-0000-0000-00004A960000}"/>
    <cellStyle name="Normal 3 24 13 3" xfId="38623" xr:uid="{00000000-0005-0000-0000-00004B960000}"/>
    <cellStyle name="Normal 3 24 13 3 2" xfId="38624" xr:uid="{00000000-0005-0000-0000-00004C960000}"/>
    <cellStyle name="Normal 3 24 13 3 3" xfId="38625" xr:uid="{00000000-0005-0000-0000-00004D960000}"/>
    <cellStyle name="Normal 3 24 13 4" xfId="38626" xr:uid="{00000000-0005-0000-0000-00004E960000}"/>
    <cellStyle name="Normal 3 24 14" xfId="38627" xr:uid="{00000000-0005-0000-0000-00004F960000}"/>
    <cellStyle name="Normal 3 24 14 2" xfId="38628" xr:uid="{00000000-0005-0000-0000-000050960000}"/>
    <cellStyle name="Normal 3 24 14 2 2" xfId="38629" xr:uid="{00000000-0005-0000-0000-000051960000}"/>
    <cellStyle name="Normal 3 24 14 2 2 2" xfId="38630" xr:uid="{00000000-0005-0000-0000-000052960000}"/>
    <cellStyle name="Normal 3 24 14 2 2 3" xfId="38631" xr:uid="{00000000-0005-0000-0000-000053960000}"/>
    <cellStyle name="Normal 3 24 14 2 3" xfId="38632" xr:uid="{00000000-0005-0000-0000-000054960000}"/>
    <cellStyle name="Normal 3 24 14 2 4" xfId="38633" xr:uid="{00000000-0005-0000-0000-000055960000}"/>
    <cellStyle name="Normal 3 24 14 3" xfId="38634" xr:uid="{00000000-0005-0000-0000-000056960000}"/>
    <cellStyle name="Normal 3 24 14 3 2" xfId="38635" xr:uid="{00000000-0005-0000-0000-000057960000}"/>
    <cellStyle name="Normal 3 24 14 3 3" xfId="38636" xr:uid="{00000000-0005-0000-0000-000058960000}"/>
    <cellStyle name="Normal 3 24 14 4" xfId="38637" xr:uid="{00000000-0005-0000-0000-000059960000}"/>
    <cellStyle name="Normal 3 24 15" xfId="38638" xr:uid="{00000000-0005-0000-0000-00005A960000}"/>
    <cellStyle name="Normal 3 24 15 2" xfId="38639" xr:uid="{00000000-0005-0000-0000-00005B960000}"/>
    <cellStyle name="Normal 3 24 15 2 2" xfId="38640" xr:uid="{00000000-0005-0000-0000-00005C960000}"/>
    <cellStyle name="Normal 3 24 15 2 2 2" xfId="38641" xr:uid="{00000000-0005-0000-0000-00005D960000}"/>
    <cellStyle name="Normal 3 24 15 2 2 3" xfId="38642" xr:uid="{00000000-0005-0000-0000-00005E960000}"/>
    <cellStyle name="Normal 3 24 15 2 3" xfId="38643" xr:uid="{00000000-0005-0000-0000-00005F960000}"/>
    <cellStyle name="Normal 3 24 15 2 4" xfId="38644" xr:uid="{00000000-0005-0000-0000-000060960000}"/>
    <cellStyle name="Normal 3 24 15 3" xfId="38645" xr:uid="{00000000-0005-0000-0000-000061960000}"/>
    <cellStyle name="Normal 3 24 15 3 2" xfId="38646" xr:uid="{00000000-0005-0000-0000-000062960000}"/>
    <cellStyle name="Normal 3 24 15 3 3" xfId="38647" xr:uid="{00000000-0005-0000-0000-000063960000}"/>
    <cellStyle name="Normal 3 24 15 4" xfId="38648" xr:uid="{00000000-0005-0000-0000-000064960000}"/>
    <cellStyle name="Normal 3 24 16" xfId="38649" xr:uid="{00000000-0005-0000-0000-000065960000}"/>
    <cellStyle name="Normal 3 24 16 2" xfId="38650" xr:uid="{00000000-0005-0000-0000-000066960000}"/>
    <cellStyle name="Normal 3 24 16 2 2" xfId="38651" xr:uid="{00000000-0005-0000-0000-000067960000}"/>
    <cellStyle name="Normal 3 24 16 2 2 2" xfId="38652" xr:uid="{00000000-0005-0000-0000-000068960000}"/>
    <cellStyle name="Normal 3 24 16 2 2 3" xfId="38653" xr:uid="{00000000-0005-0000-0000-000069960000}"/>
    <cellStyle name="Normal 3 24 16 2 3" xfId="38654" xr:uid="{00000000-0005-0000-0000-00006A960000}"/>
    <cellStyle name="Normal 3 24 16 2 4" xfId="38655" xr:uid="{00000000-0005-0000-0000-00006B960000}"/>
    <cellStyle name="Normal 3 24 16 3" xfId="38656" xr:uid="{00000000-0005-0000-0000-00006C960000}"/>
    <cellStyle name="Normal 3 24 16 3 2" xfId="38657" xr:uid="{00000000-0005-0000-0000-00006D960000}"/>
    <cellStyle name="Normal 3 24 16 3 3" xfId="38658" xr:uid="{00000000-0005-0000-0000-00006E960000}"/>
    <cellStyle name="Normal 3 24 16 4" xfId="38659" xr:uid="{00000000-0005-0000-0000-00006F960000}"/>
    <cellStyle name="Normal 3 24 17" xfId="38660" xr:uid="{00000000-0005-0000-0000-000070960000}"/>
    <cellStyle name="Normal 3 24 17 2" xfId="38661" xr:uid="{00000000-0005-0000-0000-000071960000}"/>
    <cellStyle name="Normal 3 24 17 2 2" xfId="38662" xr:uid="{00000000-0005-0000-0000-000072960000}"/>
    <cellStyle name="Normal 3 24 17 2 2 2" xfId="38663" xr:uid="{00000000-0005-0000-0000-000073960000}"/>
    <cellStyle name="Normal 3 24 17 2 2 3" xfId="38664" xr:uid="{00000000-0005-0000-0000-000074960000}"/>
    <cellStyle name="Normal 3 24 17 2 3" xfId="38665" xr:uid="{00000000-0005-0000-0000-000075960000}"/>
    <cellStyle name="Normal 3 24 17 2 4" xfId="38666" xr:uid="{00000000-0005-0000-0000-000076960000}"/>
    <cellStyle name="Normal 3 24 17 3" xfId="38667" xr:uid="{00000000-0005-0000-0000-000077960000}"/>
    <cellStyle name="Normal 3 24 17 3 2" xfId="38668" xr:uid="{00000000-0005-0000-0000-000078960000}"/>
    <cellStyle name="Normal 3 24 17 3 3" xfId="38669" xr:uid="{00000000-0005-0000-0000-000079960000}"/>
    <cellStyle name="Normal 3 24 17 4" xfId="38670" xr:uid="{00000000-0005-0000-0000-00007A960000}"/>
    <cellStyle name="Normal 3 24 18" xfId="38671" xr:uid="{00000000-0005-0000-0000-00007B960000}"/>
    <cellStyle name="Normal 3 24 18 2" xfId="38672" xr:uid="{00000000-0005-0000-0000-00007C960000}"/>
    <cellStyle name="Normal 3 24 18 2 2" xfId="38673" xr:uid="{00000000-0005-0000-0000-00007D960000}"/>
    <cellStyle name="Normal 3 24 18 2 2 2" xfId="38674" xr:uid="{00000000-0005-0000-0000-00007E960000}"/>
    <cellStyle name="Normal 3 24 18 2 2 3" xfId="38675" xr:uid="{00000000-0005-0000-0000-00007F960000}"/>
    <cellStyle name="Normal 3 24 18 2 3" xfId="38676" xr:uid="{00000000-0005-0000-0000-000080960000}"/>
    <cellStyle name="Normal 3 24 18 2 4" xfId="38677" xr:uid="{00000000-0005-0000-0000-000081960000}"/>
    <cellStyle name="Normal 3 24 18 3" xfId="38678" xr:uid="{00000000-0005-0000-0000-000082960000}"/>
    <cellStyle name="Normal 3 24 18 3 2" xfId="38679" xr:uid="{00000000-0005-0000-0000-000083960000}"/>
    <cellStyle name="Normal 3 24 18 3 3" xfId="38680" xr:uid="{00000000-0005-0000-0000-000084960000}"/>
    <cellStyle name="Normal 3 24 18 4" xfId="38681" xr:uid="{00000000-0005-0000-0000-000085960000}"/>
    <cellStyle name="Normal 3 24 19" xfId="38682" xr:uid="{00000000-0005-0000-0000-000086960000}"/>
    <cellStyle name="Normal 3 24 19 2" xfId="38683" xr:uid="{00000000-0005-0000-0000-000087960000}"/>
    <cellStyle name="Normal 3 24 19 2 2" xfId="38684" xr:uid="{00000000-0005-0000-0000-000088960000}"/>
    <cellStyle name="Normal 3 24 19 2 2 2" xfId="38685" xr:uid="{00000000-0005-0000-0000-000089960000}"/>
    <cellStyle name="Normal 3 24 19 2 2 3" xfId="38686" xr:uid="{00000000-0005-0000-0000-00008A960000}"/>
    <cellStyle name="Normal 3 24 19 2 3" xfId="38687" xr:uid="{00000000-0005-0000-0000-00008B960000}"/>
    <cellStyle name="Normal 3 24 19 2 4" xfId="38688" xr:uid="{00000000-0005-0000-0000-00008C960000}"/>
    <cellStyle name="Normal 3 24 19 3" xfId="38689" xr:uid="{00000000-0005-0000-0000-00008D960000}"/>
    <cellStyle name="Normal 3 24 19 3 2" xfId="38690" xr:uid="{00000000-0005-0000-0000-00008E960000}"/>
    <cellStyle name="Normal 3 24 19 3 3" xfId="38691" xr:uid="{00000000-0005-0000-0000-00008F960000}"/>
    <cellStyle name="Normal 3 24 19 4" xfId="38692" xr:uid="{00000000-0005-0000-0000-000090960000}"/>
    <cellStyle name="Normal 3 24 2" xfId="38693" xr:uid="{00000000-0005-0000-0000-000091960000}"/>
    <cellStyle name="Normal 3 24 2 2" xfId="38694" xr:uid="{00000000-0005-0000-0000-000092960000}"/>
    <cellStyle name="Normal 3 24 2 2 2" xfId="38695" xr:uid="{00000000-0005-0000-0000-000093960000}"/>
    <cellStyle name="Normal 3 24 2 2 2 2" xfId="38696" xr:uid="{00000000-0005-0000-0000-000094960000}"/>
    <cellStyle name="Normal 3 24 2 2 2 3" xfId="38697" xr:uid="{00000000-0005-0000-0000-000095960000}"/>
    <cellStyle name="Normal 3 24 2 2 3" xfId="38698" xr:uid="{00000000-0005-0000-0000-000096960000}"/>
    <cellStyle name="Normal 3 24 2 2 4" xfId="38699" xr:uid="{00000000-0005-0000-0000-000097960000}"/>
    <cellStyle name="Normal 3 24 2 3" xfId="38700" xr:uid="{00000000-0005-0000-0000-000098960000}"/>
    <cellStyle name="Normal 3 24 2 3 2" xfId="38701" xr:uid="{00000000-0005-0000-0000-000099960000}"/>
    <cellStyle name="Normal 3 24 2 3 3" xfId="38702" xr:uid="{00000000-0005-0000-0000-00009A960000}"/>
    <cellStyle name="Normal 3 24 2 4" xfId="38703" xr:uid="{00000000-0005-0000-0000-00009B960000}"/>
    <cellStyle name="Normal 3 24 20" xfId="38704" xr:uid="{00000000-0005-0000-0000-00009C960000}"/>
    <cellStyle name="Normal 3 24 20 2" xfId="38705" xr:uid="{00000000-0005-0000-0000-00009D960000}"/>
    <cellStyle name="Normal 3 24 20 2 2" xfId="38706" xr:uid="{00000000-0005-0000-0000-00009E960000}"/>
    <cellStyle name="Normal 3 24 20 2 2 2" xfId="38707" xr:uid="{00000000-0005-0000-0000-00009F960000}"/>
    <cellStyle name="Normal 3 24 20 2 2 3" xfId="38708" xr:uid="{00000000-0005-0000-0000-0000A0960000}"/>
    <cellStyle name="Normal 3 24 20 2 3" xfId="38709" xr:uid="{00000000-0005-0000-0000-0000A1960000}"/>
    <cellStyle name="Normal 3 24 20 2 4" xfId="38710" xr:uid="{00000000-0005-0000-0000-0000A2960000}"/>
    <cellStyle name="Normal 3 24 20 3" xfId="38711" xr:uid="{00000000-0005-0000-0000-0000A3960000}"/>
    <cellStyle name="Normal 3 24 20 3 2" xfId="38712" xr:uid="{00000000-0005-0000-0000-0000A4960000}"/>
    <cellStyle name="Normal 3 24 20 3 3" xfId="38713" xr:uid="{00000000-0005-0000-0000-0000A5960000}"/>
    <cellStyle name="Normal 3 24 20 4" xfId="38714" xr:uid="{00000000-0005-0000-0000-0000A6960000}"/>
    <cellStyle name="Normal 3 24 21" xfId="38715" xr:uid="{00000000-0005-0000-0000-0000A7960000}"/>
    <cellStyle name="Normal 3 24 21 2" xfId="38716" xr:uid="{00000000-0005-0000-0000-0000A8960000}"/>
    <cellStyle name="Normal 3 24 21 2 2" xfId="38717" xr:uid="{00000000-0005-0000-0000-0000A9960000}"/>
    <cellStyle name="Normal 3 24 21 2 2 2" xfId="38718" xr:uid="{00000000-0005-0000-0000-0000AA960000}"/>
    <cellStyle name="Normal 3 24 21 2 2 3" xfId="38719" xr:uid="{00000000-0005-0000-0000-0000AB960000}"/>
    <cellStyle name="Normal 3 24 21 2 3" xfId="38720" xr:uid="{00000000-0005-0000-0000-0000AC960000}"/>
    <cellStyle name="Normal 3 24 21 2 4" xfId="38721" xr:uid="{00000000-0005-0000-0000-0000AD960000}"/>
    <cellStyle name="Normal 3 24 21 3" xfId="38722" xr:uid="{00000000-0005-0000-0000-0000AE960000}"/>
    <cellStyle name="Normal 3 24 21 3 2" xfId="38723" xr:uid="{00000000-0005-0000-0000-0000AF960000}"/>
    <cellStyle name="Normal 3 24 21 3 3" xfId="38724" xr:uid="{00000000-0005-0000-0000-0000B0960000}"/>
    <cellStyle name="Normal 3 24 21 4" xfId="38725" xr:uid="{00000000-0005-0000-0000-0000B1960000}"/>
    <cellStyle name="Normal 3 24 22" xfId="38726" xr:uid="{00000000-0005-0000-0000-0000B2960000}"/>
    <cellStyle name="Normal 3 24 22 2" xfId="38727" xr:uid="{00000000-0005-0000-0000-0000B3960000}"/>
    <cellStyle name="Normal 3 24 22 2 2" xfId="38728" xr:uid="{00000000-0005-0000-0000-0000B4960000}"/>
    <cellStyle name="Normal 3 24 22 2 2 2" xfId="38729" xr:uid="{00000000-0005-0000-0000-0000B5960000}"/>
    <cellStyle name="Normal 3 24 22 2 2 3" xfId="38730" xr:uid="{00000000-0005-0000-0000-0000B6960000}"/>
    <cellStyle name="Normal 3 24 22 2 3" xfId="38731" xr:uid="{00000000-0005-0000-0000-0000B7960000}"/>
    <cellStyle name="Normal 3 24 22 2 4" xfId="38732" xr:uid="{00000000-0005-0000-0000-0000B8960000}"/>
    <cellStyle name="Normal 3 24 22 3" xfId="38733" xr:uid="{00000000-0005-0000-0000-0000B9960000}"/>
    <cellStyle name="Normal 3 24 22 3 2" xfId="38734" xr:uid="{00000000-0005-0000-0000-0000BA960000}"/>
    <cellStyle name="Normal 3 24 22 3 3" xfId="38735" xr:uid="{00000000-0005-0000-0000-0000BB960000}"/>
    <cellStyle name="Normal 3 24 22 4" xfId="38736" xr:uid="{00000000-0005-0000-0000-0000BC960000}"/>
    <cellStyle name="Normal 3 24 23" xfId="38737" xr:uid="{00000000-0005-0000-0000-0000BD960000}"/>
    <cellStyle name="Normal 3 24 23 2" xfId="38738" xr:uid="{00000000-0005-0000-0000-0000BE960000}"/>
    <cellStyle name="Normal 3 24 23 2 2" xfId="38739" xr:uid="{00000000-0005-0000-0000-0000BF960000}"/>
    <cellStyle name="Normal 3 24 23 2 2 2" xfId="38740" xr:uid="{00000000-0005-0000-0000-0000C0960000}"/>
    <cellStyle name="Normal 3 24 23 2 2 3" xfId="38741" xr:uid="{00000000-0005-0000-0000-0000C1960000}"/>
    <cellStyle name="Normal 3 24 23 2 3" xfId="38742" xr:uid="{00000000-0005-0000-0000-0000C2960000}"/>
    <cellStyle name="Normal 3 24 23 2 4" xfId="38743" xr:uid="{00000000-0005-0000-0000-0000C3960000}"/>
    <cellStyle name="Normal 3 24 23 3" xfId="38744" xr:uid="{00000000-0005-0000-0000-0000C4960000}"/>
    <cellStyle name="Normal 3 24 23 3 2" xfId="38745" xr:uid="{00000000-0005-0000-0000-0000C5960000}"/>
    <cellStyle name="Normal 3 24 23 3 3" xfId="38746" xr:uid="{00000000-0005-0000-0000-0000C6960000}"/>
    <cellStyle name="Normal 3 24 23 4" xfId="38747" xr:uid="{00000000-0005-0000-0000-0000C7960000}"/>
    <cellStyle name="Normal 3 24 24" xfId="38748" xr:uid="{00000000-0005-0000-0000-0000C8960000}"/>
    <cellStyle name="Normal 3 24 24 2" xfId="38749" xr:uid="{00000000-0005-0000-0000-0000C9960000}"/>
    <cellStyle name="Normal 3 24 24 2 2" xfId="38750" xr:uid="{00000000-0005-0000-0000-0000CA960000}"/>
    <cellStyle name="Normal 3 24 24 2 3" xfId="38751" xr:uid="{00000000-0005-0000-0000-0000CB960000}"/>
    <cellStyle name="Normal 3 24 24 3" xfId="38752" xr:uid="{00000000-0005-0000-0000-0000CC960000}"/>
    <cellStyle name="Normal 3 24 24 4" xfId="38753" xr:uid="{00000000-0005-0000-0000-0000CD960000}"/>
    <cellStyle name="Normal 3 24 25" xfId="38754" xr:uid="{00000000-0005-0000-0000-0000CE960000}"/>
    <cellStyle name="Normal 3 24 25 2" xfId="38755" xr:uid="{00000000-0005-0000-0000-0000CF960000}"/>
    <cellStyle name="Normal 3 24 25 3" xfId="38756" xr:uid="{00000000-0005-0000-0000-0000D0960000}"/>
    <cellStyle name="Normal 3 24 26" xfId="38757" xr:uid="{00000000-0005-0000-0000-0000D1960000}"/>
    <cellStyle name="Normal 3 24 3" xfId="38758" xr:uid="{00000000-0005-0000-0000-0000D2960000}"/>
    <cellStyle name="Normal 3 24 3 2" xfId="38759" xr:uid="{00000000-0005-0000-0000-0000D3960000}"/>
    <cellStyle name="Normal 3 24 3 2 2" xfId="38760" xr:uid="{00000000-0005-0000-0000-0000D4960000}"/>
    <cellStyle name="Normal 3 24 3 2 2 2" xfId="38761" xr:uid="{00000000-0005-0000-0000-0000D5960000}"/>
    <cellStyle name="Normal 3 24 3 2 2 3" xfId="38762" xr:uid="{00000000-0005-0000-0000-0000D6960000}"/>
    <cellStyle name="Normal 3 24 3 2 3" xfId="38763" xr:uid="{00000000-0005-0000-0000-0000D7960000}"/>
    <cellStyle name="Normal 3 24 3 2 4" xfId="38764" xr:uid="{00000000-0005-0000-0000-0000D8960000}"/>
    <cellStyle name="Normal 3 24 3 3" xfId="38765" xr:uid="{00000000-0005-0000-0000-0000D9960000}"/>
    <cellStyle name="Normal 3 24 3 3 2" xfId="38766" xr:uid="{00000000-0005-0000-0000-0000DA960000}"/>
    <cellStyle name="Normal 3 24 3 3 3" xfId="38767" xr:uid="{00000000-0005-0000-0000-0000DB960000}"/>
    <cellStyle name="Normal 3 24 3 4" xfId="38768" xr:uid="{00000000-0005-0000-0000-0000DC960000}"/>
    <cellStyle name="Normal 3 24 4" xfId="38769" xr:uid="{00000000-0005-0000-0000-0000DD960000}"/>
    <cellStyle name="Normal 3 24 4 2" xfId="38770" xr:uid="{00000000-0005-0000-0000-0000DE960000}"/>
    <cellStyle name="Normal 3 24 4 2 2" xfId="38771" xr:uid="{00000000-0005-0000-0000-0000DF960000}"/>
    <cellStyle name="Normal 3 24 4 2 2 2" xfId="38772" xr:uid="{00000000-0005-0000-0000-0000E0960000}"/>
    <cellStyle name="Normal 3 24 4 2 2 3" xfId="38773" xr:uid="{00000000-0005-0000-0000-0000E1960000}"/>
    <cellStyle name="Normal 3 24 4 2 3" xfId="38774" xr:uid="{00000000-0005-0000-0000-0000E2960000}"/>
    <cellStyle name="Normal 3 24 4 2 4" xfId="38775" xr:uid="{00000000-0005-0000-0000-0000E3960000}"/>
    <cellStyle name="Normal 3 24 4 3" xfId="38776" xr:uid="{00000000-0005-0000-0000-0000E4960000}"/>
    <cellStyle name="Normal 3 24 4 3 2" xfId="38777" xr:uid="{00000000-0005-0000-0000-0000E5960000}"/>
    <cellStyle name="Normal 3 24 4 3 3" xfId="38778" xr:uid="{00000000-0005-0000-0000-0000E6960000}"/>
    <cellStyle name="Normal 3 24 4 4" xfId="38779" xr:uid="{00000000-0005-0000-0000-0000E7960000}"/>
    <cellStyle name="Normal 3 24 5" xfId="38780" xr:uid="{00000000-0005-0000-0000-0000E8960000}"/>
    <cellStyle name="Normal 3 24 5 2" xfId="38781" xr:uid="{00000000-0005-0000-0000-0000E9960000}"/>
    <cellStyle name="Normal 3 24 5 2 2" xfId="38782" xr:uid="{00000000-0005-0000-0000-0000EA960000}"/>
    <cellStyle name="Normal 3 24 5 2 2 2" xfId="38783" xr:uid="{00000000-0005-0000-0000-0000EB960000}"/>
    <cellStyle name="Normal 3 24 5 2 2 3" xfId="38784" xr:uid="{00000000-0005-0000-0000-0000EC960000}"/>
    <cellStyle name="Normal 3 24 5 2 3" xfId="38785" xr:uid="{00000000-0005-0000-0000-0000ED960000}"/>
    <cellStyle name="Normal 3 24 5 2 4" xfId="38786" xr:uid="{00000000-0005-0000-0000-0000EE960000}"/>
    <cellStyle name="Normal 3 24 5 3" xfId="38787" xr:uid="{00000000-0005-0000-0000-0000EF960000}"/>
    <cellStyle name="Normal 3 24 5 3 2" xfId="38788" xr:uid="{00000000-0005-0000-0000-0000F0960000}"/>
    <cellStyle name="Normal 3 24 5 3 3" xfId="38789" xr:uid="{00000000-0005-0000-0000-0000F1960000}"/>
    <cellStyle name="Normal 3 24 5 4" xfId="38790" xr:uid="{00000000-0005-0000-0000-0000F2960000}"/>
    <cellStyle name="Normal 3 24 6" xfId="38791" xr:uid="{00000000-0005-0000-0000-0000F3960000}"/>
    <cellStyle name="Normal 3 24 6 2" xfId="38792" xr:uid="{00000000-0005-0000-0000-0000F4960000}"/>
    <cellStyle name="Normal 3 24 6 2 2" xfId="38793" xr:uid="{00000000-0005-0000-0000-0000F5960000}"/>
    <cellStyle name="Normal 3 24 6 2 2 2" xfId="38794" xr:uid="{00000000-0005-0000-0000-0000F6960000}"/>
    <cellStyle name="Normal 3 24 6 2 2 3" xfId="38795" xr:uid="{00000000-0005-0000-0000-0000F7960000}"/>
    <cellStyle name="Normal 3 24 6 2 3" xfId="38796" xr:uid="{00000000-0005-0000-0000-0000F8960000}"/>
    <cellStyle name="Normal 3 24 6 2 4" xfId="38797" xr:uid="{00000000-0005-0000-0000-0000F9960000}"/>
    <cellStyle name="Normal 3 24 6 3" xfId="38798" xr:uid="{00000000-0005-0000-0000-0000FA960000}"/>
    <cellStyle name="Normal 3 24 6 3 2" xfId="38799" xr:uid="{00000000-0005-0000-0000-0000FB960000}"/>
    <cellStyle name="Normal 3 24 6 3 3" xfId="38800" xr:uid="{00000000-0005-0000-0000-0000FC960000}"/>
    <cellStyle name="Normal 3 24 6 4" xfId="38801" xr:uid="{00000000-0005-0000-0000-0000FD960000}"/>
    <cellStyle name="Normal 3 24 7" xfId="38802" xr:uid="{00000000-0005-0000-0000-0000FE960000}"/>
    <cellStyle name="Normal 3 24 7 2" xfId="38803" xr:uid="{00000000-0005-0000-0000-0000FF960000}"/>
    <cellStyle name="Normal 3 24 7 2 2" xfId="38804" xr:uid="{00000000-0005-0000-0000-000000970000}"/>
    <cellStyle name="Normal 3 24 7 2 2 2" xfId="38805" xr:uid="{00000000-0005-0000-0000-000001970000}"/>
    <cellStyle name="Normal 3 24 7 2 2 3" xfId="38806" xr:uid="{00000000-0005-0000-0000-000002970000}"/>
    <cellStyle name="Normal 3 24 7 2 3" xfId="38807" xr:uid="{00000000-0005-0000-0000-000003970000}"/>
    <cellStyle name="Normal 3 24 7 2 4" xfId="38808" xr:uid="{00000000-0005-0000-0000-000004970000}"/>
    <cellStyle name="Normal 3 24 7 3" xfId="38809" xr:uid="{00000000-0005-0000-0000-000005970000}"/>
    <cellStyle name="Normal 3 24 7 3 2" xfId="38810" xr:uid="{00000000-0005-0000-0000-000006970000}"/>
    <cellStyle name="Normal 3 24 7 3 3" xfId="38811" xr:uid="{00000000-0005-0000-0000-000007970000}"/>
    <cellStyle name="Normal 3 24 7 4" xfId="38812" xr:uid="{00000000-0005-0000-0000-000008970000}"/>
    <cellStyle name="Normal 3 24 8" xfId="38813" xr:uid="{00000000-0005-0000-0000-000009970000}"/>
    <cellStyle name="Normal 3 24 8 2" xfId="38814" xr:uid="{00000000-0005-0000-0000-00000A970000}"/>
    <cellStyle name="Normal 3 24 8 2 2" xfId="38815" xr:uid="{00000000-0005-0000-0000-00000B970000}"/>
    <cellStyle name="Normal 3 24 8 2 2 2" xfId="38816" xr:uid="{00000000-0005-0000-0000-00000C970000}"/>
    <cellStyle name="Normal 3 24 8 2 2 3" xfId="38817" xr:uid="{00000000-0005-0000-0000-00000D970000}"/>
    <cellStyle name="Normal 3 24 8 2 3" xfId="38818" xr:uid="{00000000-0005-0000-0000-00000E970000}"/>
    <cellStyle name="Normal 3 24 8 2 4" xfId="38819" xr:uid="{00000000-0005-0000-0000-00000F970000}"/>
    <cellStyle name="Normal 3 24 8 3" xfId="38820" xr:uid="{00000000-0005-0000-0000-000010970000}"/>
    <cellStyle name="Normal 3 24 8 3 2" xfId="38821" xr:uid="{00000000-0005-0000-0000-000011970000}"/>
    <cellStyle name="Normal 3 24 8 3 3" xfId="38822" xr:uid="{00000000-0005-0000-0000-000012970000}"/>
    <cellStyle name="Normal 3 24 8 4" xfId="38823" xr:uid="{00000000-0005-0000-0000-000013970000}"/>
    <cellStyle name="Normal 3 24 9" xfId="38824" xr:uid="{00000000-0005-0000-0000-000014970000}"/>
    <cellStyle name="Normal 3 24 9 2" xfId="38825" xr:uid="{00000000-0005-0000-0000-000015970000}"/>
    <cellStyle name="Normal 3 24 9 2 2" xfId="38826" xr:uid="{00000000-0005-0000-0000-000016970000}"/>
    <cellStyle name="Normal 3 24 9 2 2 2" xfId="38827" xr:uid="{00000000-0005-0000-0000-000017970000}"/>
    <cellStyle name="Normal 3 24 9 2 2 3" xfId="38828" xr:uid="{00000000-0005-0000-0000-000018970000}"/>
    <cellStyle name="Normal 3 24 9 2 3" xfId="38829" xr:uid="{00000000-0005-0000-0000-000019970000}"/>
    <cellStyle name="Normal 3 24 9 2 4" xfId="38830" xr:uid="{00000000-0005-0000-0000-00001A970000}"/>
    <cellStyle name="Normal 3 24 9 3" xfId="38831" xr:uid="{00000000-0005-0000-0000-00001B970000}"/>
    <cellStyle name="Normal 3 24 9 3 2" xfId="38832" xr:uid="{00000000-0005-0000-0000-00001C970000}"/>
    <cellStyle name="Normal 3 24 9 3 3" xfId="38833" xr:uid="{00000000-0005-0000-0000-00001D970000}"/>
    <cellStyle name="Normal 3 24 9 4" xfId="38834" xr:uid="{00000000-0005-0000-0000-00001E970000}"/>
    <cellStyle name="Normal 3 25" xfId="38835" xr:uid="{00000000-0005-0000-0000-00001F970000}"/>
    <cellStyle name="Normal 3 25 10" xfId="38836" xr:uid="{00000000-0005-0000-0000-000020970000}"/>
    <cellStyle name="Normal 3 25 10 2" xfId="38837" xr:uid="{00000000-0005-0000-0000-000021970000}"/>
    <cellStyle name="Normal 3 25 10 2 2" xfId="38838" xr:uid="{00000000-0005-0000-0000-000022970000}"/>
    <cellStyle name="Normal 3 25 10 2 2 2" xfId="38839" xr:uid="{00000000-0005-0000-0000-000023970000}"/>
    <cellStyle name="Normal 3 25 10 2 2 3" xfId="38840" xr:uid="{00000000-0005-0000-0000-000024970000}"/>
    <cellStyle name="Normal 3 25 10 2 3" xfId="38841" xr:uid="{00000000-0005-0000-0000-000025970000}"/>
    <cellStyle name="Normal 3 25 10 2 4" xfId="38842" xr:uid="{00000000-0005-0000-0000-000026970000}"/>
    <cellStyle name="Normal 3 25 10 3" xfId="38843" xr:uid="{00000000-0005-0000-0000-000027970000}"/>
    <cellStyle name="Normal 3 25 10 3 2" xfId="38844" xr:uid="{00000000-0005-0000-0000-000028970000}"/>
    <cellStyle name="Normal 3 25 10 3 3" xfId="38845" xr:uid="{00000000-0005-0000-0000-000029970000}"/>
    <cellStyle name="Normal 3 25 10 4" xfId="38846" xr:uid="{00000000-0005-0000-0000-00002A970000}"/>
    <cellStyle name="Normal 3 25 11" xfId="38847" xr:uid="{00000000-0005-0000-0000-00002B970000}"/>
    <cellStyle name="Normal 3 25 11 2" xfId="38848" xr:uid="{00000000-0005-0000-0000-00002C970000}"/>
    <cellStyle name="Normal 3 25 11 2 2" xfId="38849" xr:uid="{00000000-0005-0000-0000-00002D970000}"/>
    <cellStyle name="Normal 3 25 11 2 2 2" xfId="38850" xr:uid="{00000000-0005-0000-0000-00002E970000}"/>
    <cellStyle name="Normal 3 25 11 2 2 3" xfId="38851" xr:uid="{00000000-0005-0000-0000-00002F970000}"/>
    <cellStyle name="Normal 3 25 11 2 3" xfId="38852" xr:uid="{00000000-0005-0000-0000-000030970000}"/>
    <cellStyle name="Normal 3 25 11 2 4" xfId="38853" xr:uid="{00000000-0005-0000-0000-000031970000}"/>
    <cellStyle name="Normal 3 25 11 3" xfId="38854" xr:uid="{00000000-0005-0000-0000-000032970000}"/>
    <cellStyle name="Normal 3 25 11 3 2" xfId="38855" xr:uid="{00000000-0005-0000-0000-000033970000}"/>
    <cellStyle name="Normal 3 25 11 3 3" xfId="38856" xr:uid="{00000000-0005-0000-0000-000034970000}"/>
    <cellStyle name="Normal 3 25 11 4" xfId="38857" xr:uid="{00000000-0005-0000-0000-000035970000}"/>
    <cellStyle name="Normal 3 25 12" xfId="38858" xr:uid="{00000000-0005-0000-0000-000036970000}"/>
    <cellStyle name="Normal 3 25 12 2" xfId="38859" xr:uid="{00000000-0005-0000-0000-000037970000}"/>
    <cellStyle name="Normal 3 25 12 2 2" xfId="38860" xr:uid="{00000000-0005-0000-0000-000038970000}"/>
    <cellStyle name="Normal 3 25 12 2 2 2" xfId="38861" xr:uid="{00000000-0005-0000-0000-000039970000}"/>
    <cellStyle name="Normal 3 25 12 2 2 3" xfId="38862" xr:uid="{00000000-0005-0000-0000-00003A970000}"/>
    <cellStyle name="Normal 3 25 12 2 3" xfId="38863" xr:uid="{00000000-0005-0000-0000-00003B970000}"/>
    <cellStyle name="Normal 3 25 12 2 4" xfId="38864" xr:uid="{00000000-0005-0000-0000-00003C970000}"/>
    <cellStyle name="Normal 3 25 12 3" xfId="38865" xr:uid="{00000000-0005-0000-0000-00003D970000}"/>
    <cellStyle name="Normal 3 25 12 3 2" xfId="38866" xr:uid="{00000000-0005-0000-0000-00003E970000}"/>
    <cellStyle name="Normal 3 25 12 3 3" xfId="38867" xr:uid="{00000000-0005-0000-0000-00003F970000}"/>
    <cellStyle name="Normal 3 25 12 4" xfId="38868" xr:uid="{00000000-0005-0000-0000-000040970000}"/>
    <cellStyle name="Normal 3 25 13" xfId="38869" xr:uid="{00000000-0005-0000-0000-000041970000}"/>
    <cellStyle name="Normal 3 25 13 2" xfId="38870" xr:uid="{00000000-0005-0000-0000-000042970000}"/>
    <cellStyle name="Normal 3 25 13 2 2" xfId="38871" xr:uid="{00000000-0005-0000-0000-000043970000}"/>
    <cellStyle name="Normal 3 25 13 2 2 2" xfId="38872" xr:uid="{00000000-0005-0000-0000-000044970000}"/>
    <cellStyle name="Normal 3 25 13 2 2 3" xfId="38873" xr:uid="{00000000-0005-0000-0000-000045970000}"/>
    <cellStyle name="Normal 3 25 13 2 3" xfId="38874" xr:uid="{00000000-0005-0000-0000-000046970000}"/>
    <cellStyle name="Normal 3 25 13 2 4" xfId="38875" xr:uid="{00000000-0005-0000-0000-000047970000}"/>
    <cellStyle name="Normal 3 25 13 3" xfId="38876" xr:uid="{00000000-0005-0000-0000-000048970000}"/>
    <cellStyle name="Normal 3 25 13 3 2" xfId="38877" xr:uid="{00000000-0005-0000-0000-000049970000}"/>
    <cellStyle name="Normal 3 25 13 3 3" xfId="38878" xr:uid="{00000000-0005-0000-0000-00004A970000}"/>
    <cellStyle name="Normal 3 25 13 4" xfId="38879" xr:uid="{00000000-0005-0000-0000-00004B970000}"/>
    <cellStyle name="Normal 3 25 14" xfId="38880" xr:uid="{00000000-0005-0000-0000-00004C970000}"/>
    <cellStyle name="Normal 3 25 14 2" xfId="38881" xr:uid="{00000000-0005-0000-0000-00004D970000}"/>
    <cellStyle name="Normal 3 25 14 2 2" xfId="38882" xr:uid="{00000000-0005-0000-0000-00004E970000}"/>
    <cellStyle name="Normal 3 25 14 2 2 2" xfId="38883" xr:uid="{00000000-0005-0000-0000-00004F970000}"/>
    <cellStyle name="Normal 3 25 14 2 2 3" xfId="38884" xr:uid="{00000000-0005-0000-0000-000050970000}"/>
    <cellStyle name="Normal 3 25 14 2 3" xfId="38885" xr:uid="{00000000-0005-0000-0000-000051970000}"/>
    <cellStyle name="Normal 3 25 14 2 4" xfId="38886" xr:uid="{00000000-0005-0000-0000-000052970000}"/>
    <cellStyle name="Normal 3 25 14 3" xfId="38887" xr:uid="{00000000-0005-0000-0000-000053970000}"/>
    <cellStyle name="Normal 3 25 14 3 2" xfId="38888" xr:uid="{00000000-0005-0000-0000-000054970000}"/>
    <cellStyle name="Normal 3 25 14 3 3" xfId="38889" xr:uid="{00000000-0005-0000-0000-000055970000}"/>
    <cellStyle name="Normal 3 25 14 4" xfId="38890" xr:uid="{00000000-0005-0000-0000-000056970000}"/>
    <cellStyle name="Normal 3 25 15" xfId="38891" xr:uid="{00000000-0005-0000-0000-000057970000}"/>
    <cellStyle name="Normal 3 25 15 2" xfId="38892" xr:uid="{00000000-0005-0000-0000-000058970000}"/>
    <cellStyle name="Normal 3 25 15 2 2" xfId="38893" xr:uid="{00000000-0005-0000-0000-000059970000}"/>
    <cellStyle name="Normal 3 25 15 2 2 2" xfId="38894" xr:uid="{00000000-0005-0000-0000-00005A970000}"/>
    <cellStyle name="Normal 3 25 15 2 2 3" xfId="38895" xr:uid="{00000000-0005-0000-0000-00005B970000}"/>
    <cellStyle name="Normal 3 25 15 2 3" xfId="38896" xr:uid="{00000000-0005-0000-0000-00005C970000}"/>
    <cellStyle name="Normal 3 25 15 2 4" xfId="38897" xr:uid="{00000000-0005-0000-0000-00005D970000}"/>
    <cellStyle name="Normal 3 25 15 3" xfId="38898" xr:uid="{00000000-0005-0000-0000-00005E970000}"/>
    <cellStyle name="Normal 3 25 15 3 2" xfId="38899" xr:uid="{00000000-0005-0000-0000-00005F970000}"/>
    <cellStyle name="Normal 3 25 15 3 3" xfId="38900" xr:uid="{00000000-0005-0000-0000-000060970000}"/>
    <cellStyle name="Normal 3 25 15 4" xfId="38901" xr:uid="{00000000-0005-0000-0000-000061970000}"/>
    <cellStyle name="Normal 3 25 16" xfId="38902" xr:uid="{00000000-0005-0000-0000-000062970000}"/>
    <cellStyle name="Normal 3 25 16 2" xfId="38903" xr:uid="{00000000-0005-0000-0000-000063970000}"/>
    <cellStyle name="Normal 3 25 16 2 2" xfId="38904" xr:uid="{00000000-0005-0000-0000-000064970000}"/>
    <cellStyle name="Normal 3 25 16 2 2 2" xfId="38905" xr:uid="{00000000-0005-0000-0000-000065970000}"/>
    <cellStyle name="Normal 3 25 16 2 2 3" xfId="38906" xr:uid="{00000000-0005-0000-0000-000066970000}"/>
    <cellStyle name="Normal 3 25 16 2 3" xfId="38907" xr:uid="{00000000-0005-0000-0000-000067970000}"/>
    <cellStyle name="Normal 3 25 16 2 4" xfId="38908" xr:uid="{00000000-0005-0000-0000-000068970000}"/>
    <cellStyle name="Normal 3 25 16 3" xfId="38909" xr:uid="{00000000-0005-0000-0000-000069970000}"/>
    <cellStyle name="Normal 3 25 16 3 2" xfId="38910" xr:uid="{00000000-0005-0000-0000-00006A970000}"/>
    <cellStyle name="Normal 3 25 16 3 3" xfId="38911" xr:uid="{00000000-0005-0000-0000-00006B970000}"/>
    <cellStyle name="Normal 3 25 16 4" xfId="38912" xr:uid="{00000000-0005-0000-0000-00006C970000}"/>
    <cellStyle name="Normal 3 25 17" xfId="38913" xr:uid="{00000000-0005-0000-0000-00006D970000}"/>
    <cellStyle name="Normal 3 25 17 2" xfId="38914" xr:uid="{00000000-0005-0000-0000-00006E970000}"/>
    <cellStyle name="Normal 3 25 17 2 2" xfId="38915" xr:uid="{00000000-0005-0000-0000-00006F970000}"/>
    <cellStyle name="Normal 3 25 17 2 2 2" xfId="38916" xr:uid="{00000000-0005-0000-0000-000070970000}"/>
    <cellStyle name="Normal 3 25 17 2 2 3" xfId="38917" xr:uid="{00000000-0005-0000-0000-000071970000}"/>
    <cellStyle name="Normal 3 25 17 2 3" xfId="38918" xr:uid="{00000000-0005-0000-0000-000072970000}"/>
    <cellStyle name="Normal 3 25 17 2 4" xfId="38919" xr:uid="{00000000-0005-0000-0000-000073970000}"/>
    <cellStyle name="Normal 3 25 17 3" xfId="38920" xr:uid="{00000000-0005-0000-0000-000074970000}"/>
    <cellStyle name="Normal 3 25 17 3 2" xfId="38921" xr:uid="{00000000-0005-0000-0000-000075970000}"/>
    <cellStyle name="Normal 3 25 17 3 3" xfId="38922" xr:uid="{00000000-0005-0000-0000-000076970000}"/>
    <cellStyle name="Normal 3 25 17 4" xfId="38923" xr:uid="{00000000-0005-0000-0000-000077970000}"/>
    <cellStyle name="Normal 3 25 18" xfId="38924" xr:uid="{00000000-0005-0000-0000-000078970000}"/>
    <cellStyle name="Normal 3 25 18 2" xfId="38925" xr:uid="{00000000-0005-0000-0000-000079970000}"/>
    <cellStyle name="Normal 3 25 18 2 2" xfId="38926" xr:uid="{00000000-0005-0000-0000-00007A970000}"/>
    <cellStyle name="Normal 3 25 18 2 2 2" xfId="38927" xr:uid="{00000000-0005-0000-0000-00007B970000}"/>
    <cellStyle name="Normal 3 25 18 2 2 3" xfId="38928" xr:uid="{00000000-0005-0000-0000-00007C970000}"/>
    <cellStyle name="Normal 3 25 18 2 3" xfId="38929" xr:uid="{00000000-0005-0000-0000-00007D970000}"/>
    <cellStyle name="Normal 3 25 18 2 4" xfId="38930" xr:uid="{00000000-0005-0000-0000-00007E970000}"/>
    <cellStyle name="Normal 3 25 18 3" xfId="38931" xr:uid="{00000000-0005-0000-0000-00007F970000}"/>
    <cellStyle name="Normal 3 25 18 3 2" xfId="38932" xr:uid="{00000000-0005-0000-0000-000080970000}"/>
    <cellStyle name="Normal 3 25 18 3 3" xfId="38933" xr:uid="{00000000-0005-0000-0000-000081970000}"/>
    <cellStyle name="Normal 3 25 18 4" xfId="38934" xr:uid="{00000000-0005-0000-0000-000082970000}"/>
    <cellStyle name="Normal 3 25 19" xfId="38935" xr:uid="{00000000-0005-0000-0000-000083970000}"/>
    <cellStyle name="Normal 3 25 19 2" xfId="38936" xr:uid="{00000000-0005-0000-0000-000084970000}"/>
    <cellStyle name="Normal 3 25 19 2 2" xfId="38937" xr:uid="{00000000-0005-0000-0000-000085970000}"/>
    <cellStyle name="Normal 3 25 19 2 2 2" xfId="38938" xr:uid="{00000000-0005-0000-0000-000086970000}"/>
    <cellStyle name="Normal 3 25 19 2 2 3" xfId="38939" xr:uid="{00000000-0005-0000-0000-000087970000}"/>
    <cellStyle name="Normal 3 25 19 2 3" xfId="38940" xr:uid="{00000000-0005-0000-0000-000088970000}"/>
    <cellStyle name="Normal 3 25 19 2 4" xfId="38941" xr:uid="{00000000-0005-0000-0000-000089970000}"/>
    <cellStyle name="Normal 3 25 19 3" xfId="38942" xr:uid="{00000000-0005-0000-0000-00008A970000}"/>
    <cellStyle name="Normal 3 25 19 3 2" xfId="38943" xr:uid="{00000000-0005-0000-0000-00008B970000}"/>
    <cellStyle name="Normal 3 25 19 3 3" xfId="38944" xr:uid="{00000000-0005-0000-0000-00008C970000}"/>
    <cellStyle name="Normal 3 25 19 4" xfId="38945" xr:uid="{00000000-0005-0000-0000-00008D970000}"/>
    <cellStyle name="Normal 3 25 2" xfId="38946" xr:uid="{00000000-0005-0000-0000-00008E970000}"/>
    <cellStyle name="Normal 3 25 2 2" xfId="38947" xr:uid="{00000000-0005-0000-0000-00008F970000}"/>
    <cellStyle name="Normal 3 25 2 2 2" xfId="38948" xr:uid="{00000000-0005-0000-0000-000090970000}"/>
    <cellStyle name="Normal 3 25 2 2 2 2" xfId="38949" xr:uid="{00000000-0005-0000-0000-000091970000}"/>
    <cellStyle name="Normal 3 25 2 2 2 3" xfId="38950" xr:uid="{00000000-0005-0000-0000-000092970000}"/>
    <cellStyle name="Normal 3 25 2 2 3" xfId="38951" xr:uid="{00000000-0005-0000-0000-000093970000}"/>
    <cellStyle name="Normal 3 25 2 2 4" xfId="38952" xr:uid="{00000000-0005-0000-0000-000094970000}"/>
    <cellStyle name="Normal 3 25 2 3" xfId="38953" xr:uid="{00000000-0005-0000-0000-000095970000}"/>
    <cellStyle name="Normal 3 25 2 3 2" xfId="38954" xr:uid="{00000000-0005-0000-0000-000096970000}"/>
    <cellStyle name="Normal 3 25 2 3 3" xfId="38955" xr:uid="{00000000-0005-0000-0000-000097970000}"/>
    <cellStyle name="Normal 3 25 2 4" xfId="38956" xr:uid="{00000000-0005-0000-0000-000098970000}"/>
    <cellStyle name="Normal 3 25 20" xfId="38957" xr:uid="{00000000-0005-0000-0000-000099970000}"/>
    <cellStyle name="Normal 3 25 20 2" xfId="38958" xr:uid="{00000000-0005-0000-0000-00009A970000}"/>
    <cellStyle name="Normal 3 25 20 2 2" xfId="38959" xr:uid="{00000000-0005-0000-0000-00009B970000}"/>
    <cellStyle name="Normal 3 25 20 2 2 2" xfId="38960" xr:uid="{00000000-0005-0000-0000-00009C970000}"/>
    <cellStyle name="Normal 3 25 20 2 2 3" xfId="38961" xr:uid="{00000000-0005-0000-0000-00009D970000}"/>
    <cellStyle name="Normal 3 25 20 2 3" xfId="38962" xr:uid="{00000000-0005-0000-0000-00009E970000}"/>
    <cellStyle name="Normal 3 25 20 2 4" xfId="38963" xr:uid="{00000000-0005-0000-0000-00009F970000}"/>
    <cellStyle name="Normal 3 25 20 3" xfId="38964" xr:uid="{00000000-0005-0000-0000-0000A0970000}"/>
    <cellStyle name="Normal 3 25 20 3 2" xfId="38965" xr:uid="{00000000-0005-0000-0000-0000A1970000}"/>
    <cellStyle name="Normal 3 25 20 3 3" xfId="38966" xr:uid="{00000000-0005-0000-0000-0000A2970000}"/>
    <cellStyle name="Normal 3 25 20 4" xfId="38967" xr:uid="{00000000-0005-0000-0000-0000A3970000}"/>
    <cellStyle name="Normal 3 25 21" xfId="38968" xr:uid="{00000000-0005-0000-0000-0000A4970000}"/>
    <cellStyle name="Normal 3 25 21 2" xfId="38969" xr:uid="{00000000-0005-0000-0000-0000A5970000}"/>
    <cellStyle name="Normal 3 25 21 2 2" xfId="38970" xr:uid="{00000000-0005-0000-0000-0000A6970000}"/>
    <cellStyle name="Normal 3 25 21 2 2 2" xfId="38971" xr:uid="{00000000-0005-0000-0000-0000A7970000}"/>
    <cellStyle name="Normal 3 25 21 2 2 3" xfId="38972" xr:uid="{00000000-0005-0000-0000-0000A8970000}"/>
    <cellStyle name="Normal 3 25 21 2 3" xfId="38973" xr:uid="{00000000-0005-0000-0000-0000A9970000}"/>
    <cellStyle name="Normal 3 25 21 2 4" xfId="38974" xr:uid="{00000000-0005-0000-0000-0000AA970000}"/>
    <cellStyle name="Normal 3 25 21 3" xfId="38975" xr:uid="{00000000-0005-0000-0000-0000AB970000}"/>
    <cellStyle name="Normal 3 25 21 3 2" xfId="38976" xr:uid="{00000000-0005-0000-0000-0000AC970000}"/>
    <cellStyle name="Normal 3 25 21 3 3" xfId="38977" xr:uid="{00000000-0005-0000-0000-0000AD970000}"/>
    <cellStyle name="Normal 3 25 21 4" xfId="38978" xr:uid="{00000000-0005-0000-0000-0000AE970000}"/>
    <cellStyle name="Normal 3 25 22" xfId="38979" xr:uid="{00000000-0005-0000-0000-0000AF970000}"/>
    <cellStyle name="Normal 3 25 22 2" xfId="38980" xr:uid="{00000000-0005-0000-0000-0000B0970000}"/>
    <cellStyle name="Normal 3 25 22 2 2" xfId="38981" xr:uid="{00000000-0005-0000-0000-0000B1970000}"/>
    <cellStyle name="Normal 3 25 22 2 2 2" xfId="38982" xr:uid="{00000000-0005-0000-0000-0000B2970000}"/>
    <cellStyle name="Normal 3 25 22 2 2 3" xfId="38983" xr:uid="{00000000-0005-0000-0000-0000B3970000}"/>
    <cellStyle name="Normal 3 25 22 2 3" xfId="38984" xr:uid="{00000000-0005-0000-0000-0000B4970000}"/>
    <cellStyle name="Normal 3 25 22 2 4" xfId="38985" xr:uid="{00000000-0005-0000-0000-0000B5970000}"/>
    <cellStyle name="Normal 3 25 22 3" xfId="38986" xr:uid="{00000000-0005-0000-0000-0000B6970000}"/>
    <cellStyle name="Normal 3 25 22 3 2" xfId="38987" xr:uid="{00000000-0005-0000-0000-0000B7970000}"/>
    <cellStyle name="Normal 3 25 22 3 3" xfId="38988" xr:uid="{00000000-0005-0000-0000-0000B8970000}"/>
    <cellStyle name="Normal 3 25 22 4" xfId="38989" xr:uid="{00000000-0005-0000-0000-0000B9970000}"/>
    <cellStyle name="Normal 3 25 23" xfId="38990" xr:uid="{00000000-0005-0000-0000-0000BA970000}"/>
    <cellStyle name="Normal 3 25 23 2" xfId="38991" xr:uid="{00000000-0005-0000-0000-0000BB970000}"/>
    <cellStyle name="Normal 3 25 23 2 2" xfId="38992" xr:uid="{00000000-0005-0000-0000-0000BC970000}"/>
    <cellStyle name="Normal 3 25 23 2 2 2" xfId="38993" xr:uid="{00000000-0005-0000-0000-0000BD970000}"/>
    <cellStyle name="Normal 3 25 23 2 2 3" xfId="38994" xr:uid="{00000000-0005-0000-0000-0000BE970000}"/>
    <cellStyle name="Normal 3 25 23 2 3" xfId="38995" xr:uid="{00000000-0005-0000-0000-0000BF970000}"/>
    <cellStyle name="Normal 3 25 23 2 4" xfId="38996" xr:uid="{00000000-0005-0000-0000-0000C0970000}"/>
    <cellStyle name="Normal 3 25 23 3" xfId="38997" xr:uid="{00000000-0005-0000-0000-0000C1970000}"/>
    <cellStyle name="Normal 3 25 23 3 2" xfId="38998" xr:uid="{00000000-0005-0000-0000-0000C2970000}"/>
    <cellStyle name="Normal 3 25 23 3 3" xfId="38999" xr:uid="{00000000-0005-0000-0000-0000C3970000}"/>
    <cellStyle name="Normal 3 25 23 4" xfId="39000" xr:uid="{00000000-0005-0000-0000-0000C4970000}"/>
    <cellStyle name="Normal 3 25 24" xfId="39001" xr:uid="{00000000-0005-0000-0000-0000C5970000}"/>
    <cellStyle name="Normal 3 25 24 2" xfId="39002" xr:uid="{00000000-0005-0000-0000-0000C6970000}"/>
    <cellStyle name="Normal 3 25 24 2 2" xfId="39003" xr:uid="{00000000-0005-0000-0000-0000C7970000}"/>
    <cellStyle name="Normal 3 25 24 2 3" xfId="39004" xr:uid="{00000000-0005-0000-0000-0000C8970000}"/>
    <cellStyle name="Normal 3 25 24 3" xfId="39005" xr:uid="{00000000-0005-0000-0000-0000C9970000}"/>
    <cellStyle name="Normal 3 25 24 4" xfId="39006" xr:uid="{00000000-0005-0000-0000-0000CA970000}"/>
    <cellStyle name="Normal 3 25 25" xfId="39007" xr:uid="{00000000-0005-0000-0000-0000CB970000}"/>
    <cellStyle name="Normal 3 25 25 2" xfId="39008" xr:uid="{00000000-0005-0000-0000-0000CC970000}"/>
    <cellStyle name="Normal 3 25 25 3" xfId="39009" xr:uid="{00000000-0005-0000-0000-0000CD970000}"/>
    <cellStyle name="Normal 3 25 26" xfId="39010" xr:uid="{00000000-0005-0000-0000-0000CE970000}"/>
    <cellStyle name="Normal 3 25 3" xfId="39011" xr:uid="{00000000-0005-0000-0000-0000CF970000}"/>
    <cellStyle name="Normal 3 25 3 2" xfId="39012" xr:uid="{00000000-0005-0000-0000-0000D0970000}"/>
    <cellStyle name="Normal 3 25 3 2 2" xfId="39013" xr:uid="{00000000-0005-0000-0000-0000D1970000}"/>
    <cellStyle name="Normal 3 25 3 2 2 2" xfId="39014" xr:uid="{00000000-0005-0000-0000-0000D2970000}"/>
    <cellStyle name="Normal 3 25 3 2 2 3" xfId="39015" xr:uid="{00000000-0005-0000-0000-0000D3970000}"/>
    <cellStyle name="Normal 3 25 3 2 3" xfId="39016" xr:uid="{00000000-0005-0000-0000-0000D4970000}"/>
    <cellStyle name="Normal 3 25 3 2 4" xfId="39017" xr:uid="{00000000-0005-0000-0000-0000D5970000}"/>
    <cellStyle name="Normal 3 25 3 3" xfId="39018" xr:uid="{00000000-0005-0000-0000-0000D6970000}"/>
    <cellStyle name="Normal 3 25 3 3 2" xfId="39019" xr:uid="{00000000-0005-0000-0000-0000D7970000}"/>
    <cellStyle name="Normal 3 25 3 3 3" xfId="39020" xr:uid="{00000000-0005-0000-0000-0000D8970000}"/>
    <cellStyle name="Normal 3 25 3 4" xfId="39021" xr:uid="{00000000-0005-0000-0000-0000D9970000}"/>
    <cellStyle name="Normal 3 25 4" xfId="39022" xr:uid="{00000000-0005-0000-0000-0000DA970000}"/>
    <cellStyle name="Normal 3 25 4 2" xfId="39023" xr:uid="{00000000-0005-0000-0000-0000DB970000}"/>
    <cellStyle name="Normal 3 25 4 2 2" xfId="39024" xr:uid="{00000000-0005-0000-0000-0000DC970000}"/>
    <cellStyle name="Normal 3 25 4 2 2 2" xfId="39025" xr:uid="{00000000-0005-0000-0000-0000DD970000}"/>
    <cellStyle name="Normal 3 25 4 2 2 3" xfId="39026" xr:uid="{00000000-0005-0000-0000-0000DE970000}"/>
    <cellStyle name="Normal 3 25 4 2 3" xfId="39027" xr:uid="{00000000-0005-0000-0000-0000DF970000}"/>
    <cellStyle name="Normal 3 25 4 2 4" xfId="39028" xr:uid="{00000000-0005-0000-0000-0000E0970000}"/>
    <cellStyle name="Normal 3 25 4 3" xfId="39029" xr:uid="{00000000-0005-0000-0000-0000E1970000}"/>
    <cellStyle name="Normal 3 25 4 3 2" xfId="39030" xr:uid="{00000000-0005-0000-0000-0000E2970000}"/>
    <cellStyle name="Normal 3 25 4 3 3" xfId="39031" xr:uid="{00000000-0005-0000-0000-0000E3970000}"/>
    <cellStyle name="Normal 3 25 4 4" xfId="39032" xr:uid="{00000000-0005-0000-0000-0000E4970000}"/>
    <cellStyle name="Normal 3 25 5" xfId="39033" xr:uid="{00000000-0005-0000-0000-0000E5970000}"/>
    <cellStyle name="Normal 3 25 5 2" xfId="39034" xr:uid="{00000000-0005-0000-0000-0000E6970000}"/>
    <cellStyle name="Normal 3 25 5 2 2" xfId="39035" xr:uid="{00000000-0005-0000-0000-0000E7970000}"/>
    <cellStyle name="Normal 3 25 5 2 2 2" xfId="39036" xr:uid="{00000000-0005-0000-0000-0000E8970000}"/>
    <cellStyle name="Normal 3 25 5 2 2 3" xfId="39037" xr:uid="{00000000-0005-0000-0000-0000E9970000}"/>
    <cellStyle name="Normal 3 25 5 2 3" xfId="39038" xr:uid="{00000000-0005-0000-0000-0000EA970000}"/>
    <cellStyle name="Normal 3 25 5 2 4" xfId="39039" xr:uid="{00000000-0005-0000-0000-0000EB970000}"/>
    <cellStyle name="Normal 3 25 5 3" xfId="39040" xr:uid="{00000000-0005-0000-0000-0000EC970000}"/>
    <cellStyle name="Normal 3 25 5 3 2" xfId="39041" xr:uid="{00000000-0005-0000-0000-0000ED970000}"/>
    <cellStyle name="Normal 3 25 5 3 3" xfId="39042" xr:uid="{00000000-0005-0000-0000-0000EE970000}"/>
    <cellStyle name="Normal 3 25 5 4" xfId="39043" xr:uid="{00000000-0005-0000-0000-0000EF970000}"/>
    <cellStyle name="Normal 3 25 6" xfId="39044" xr:uid="{00000000-0005-0000-0000-0000F0970000}"/>
    <cellStyle name="Normal 3 25 6 2" xfId="39045" xr:uid="{00000000-0005-0000-0000-0000F1970000}"/>
    <cellStyle name="Normal 3 25 6 2 2" xfId="39046" xr:uid="{00000000-0005-0000-0000-0000F2970000}"/>
    <cellStyle name="Normal 3 25 6 2 2 2" xfId="39047" xr:uid="{00000000-0005-0000-0000-0000F3970000}"/>
    <cellStyle name="Normal 3 25 6 2 2 3" xfId="39048" xr:uid="{00000000-0005-0000-0000-0000F4970000}"/>
    <cellStyle name="Normal 3 25 6 2 3" xfId="39049" xr:uid="{00000000-0005-0000-0000-0000F5970000}"/>
    <cellStyle name="Normal 3 25 6 2 4" xfId="39050" xr:uid="{00000000-0005-0000-0000-0000F6970000}"/>
    <cellStyle name="Normal 3 25 6 3" xfId="39051" xr:uid="{00000000-0005-0000-0000-0000F7970000}"/>
    <cellStyle name="Normal 3 25 6 3 2" xfId="39052" xr:uid="{00000000-0005-0000-0000-0000F8970000}"/>
    <cellStyle name="Normal 3 25 6 3 3" xfId="39053" xr:uid="{00000000-0005-0000-0000-0000F9970000}"/>
    <cellStyle name="Normal 3 25 6 4" xfId="39054" xr:uid="{00000000-0005-0000-0000-0000FA970000}"/>
    <cellStyle name="Normal 3 25 7" xfId="39055" xr:uid="{00000000-0005-0000-0000-0000FB970000}"/>
    <cellStyle name="Normal 3 25 7 2" xfId="39056" xr:uid="{00000000-0005-0000-0000-0000FC970000}"/>
    <cellStyle name="Normal 3 25 7 2 2" xfId="39057" xr:uid="{00000000-0005-0000-0000-0000FD970000}"/>
    <cellStyle name="Normal 3 25 7 2 2 2" xfId="39058" xr:uid="{00000000-0005-0000-0000-0000FE970000}"/>
    <cellStyle name="Normal 3 25 7 2 2 3" xfId="39059" xr:uid="{00000000-0005-0000-0000-0000FF970000}"/>
    <cellStyle name="Normal 3 25 7 2 3" xfId="39060" xr:uid="{00000000-0005-0000-0000-000000980000}"/>
    <cellStyle name="Normal 3 25 7 2 4" xfId="39061" xr:uid="{00000000-0005-0000-0000-000001980000}"/>
    <cellStyle name="Normal 3 25 7 3" xfId="39062" xr:uid="{00000000-0005-0000-0000-000002980000}"/>
    <cellStyle name="Normal 3 25 7 3 2" xfId="39063" xr:uid="{00000000-0005-0000-0000-000003980000}"/>
    <cellStyle name="Normal 3 25 7 3 3" xfId="39064" xr:uid="{00000000-0005-0000-0000-000004980000}"/>
    <cellStyle name="Normal 3 25 7 4" xfId="39065" xr:uid="{00000000-0005-0000-0000-000005980000}"/>
    <cellStyle name="Normal 3 25 8" xfId="39066" xr:uid="{00000000-0005-0000-0000-000006980000}"/>
    <cellStyle name="Normal 3 25 8 2" xfId="39067" xr:uid="{00000000-0005-0000-0000-000007980000}"/>
    <cellStyle name="Normal 3 25 8 2 2" xfId="39068" xr:uid="{00000000-0005-0000-0000-000008980000}"/>
    <cellStyle name="Normal 3 25 8 2 2 2" xfId="39069" xr:uid="{00000000-0005-0000-0000-000009980000}"/>
    <cellStyle name="Normal 3 25 8 2 2 3" xfId="39070" xr:uid="{00000000-0005-0000-0000-00000A980000}"/>
    <cellStyle name="Normal 3 25 8 2 3" xfId="39071" xr:uid="{00000000-0005-0000-0000-00000B980000}"/>
    <cellStyle name="Normal 3 25 8 2 4" xfId="39072" xr:uid="{00000000-0005-0000-0000-00000C980000}"/>
    <cellStyle name="Normal 3 25 8 3" xfId="39073" xr:uid="{00000000-0005-0000-0000-00000D980000}"/>
    <cellStyle name="Normal 3 25 8 3 2" xfId="39074" xr:uid="{00000000-0005-0000-0000-00000E980000}"/>
    <cellStyle name="Normal 3 25 8 3 3" xfId="39075" xr:uid="{00000000-0005-0000-0000-00000F980000}"/>
    <cellStyle name="Normal 3 25 8 4" xfId="39076" xr:uid="{00000000-0005-0000-0000-000010980000}"/>
    <cellStyle name="Normal 3 25 9" xfId="39077" xr:uid="{00000000-0005-0000-0000-000011980000}"/>
    <cellStyle name="Normal 3 25 9 2" xfId="39078" xr:uid="{00000000-0005-0000-0000-000012980000}"/>
    <cellStyle name="Normal 3 25 9 2 2" xfId="39079" xr:uid="{00000000-0005-0000-0000-000013980000}"/>
    <cellStyle name="Normal 3 25 9 2 2 2" xfId="39080" xr:uid="{00000000-0005-0000-0000-000014980000}"/>
    <cellStyle name="Normal 3 25 9 2 2 3" xfId="39081" xr:uid="{00000000-0005-0000-0000-000015980000}"/>
    <cellStyle name="Normal 3 25 9 2 3" xfId="39082" xr:uid="{00000000-0005-0000-0000-000016980000}"/>
    <cellStyle name="Normal 3 25 9 2 4" xfId="39083" xr:uid="{00000000-0005-0000-0000-000017980000}"/>
    <cellStyle name="Normal 3 25 9 3" xfId="39084" xr:uid="{00000000-0005-0000-0000-000018980000}"/>
    <cellStyle name="Normal 3 25 9 3 2" xfId="39085" xr:uid="{00000000-0005-0000-0000-000019980000}"/>
    <cellStyle name="Normal 3 25 9 3 3" xfId="39086" xr:uid="{00000000-0005-0000-0000-00001A980000}"/>
    <cellStyle name="Normal 3 25 9 4" xfId="39087" xr:uid="{00000000-0005-0000-0000-00001B980000}"/>
    <cellStyle name="Normal 3 26" xfId="39088" xr:uid="{00000000-0005-0000-0000-00001C980000}"/>
    <cellStyle name="Normal 3 26 10" xfId="39089" xr:uid="{00000000-0005-0000-0000-00001D980000}"/>
    <cellStyle name="Normal 3 26 10 2" xfId="39090" xr:uid="{00000000-0005-0000-0000-00001E980000}"/>
    <cellStyle name="Normal 3 26 10 2 2" xfId="39091" xr:uid="{00000000-0005-0000-0000-00001F980000}"/>
    <cellStyle name="Normal 3 26 10 2 2 2" xfId="39092" xr:uid="{00000000-0005-0000-0000-000020980000}"/>
    <cellStyle name="Normal 3 26 10 2 2 3" xfId="39093" xr:uid="{00000000-0005-0000-0000-000021980000}"/>
    <cellStyle name="Normal 3 26 10 2 3" xfId="39094" xr:uid="{00000000-0005-0000-0000-000022980000}"/>
    <cellStyle name="Normal 3 26 10 2 4" xfId="39095" xr:uid="{00000000-0005-0000-0000-000023980000}"/>
    <cellStyle name="Normal 3 26 10 3" xfId="39096" xr:uid="{00000000-0005-0000-0000-000024980000}"/>
    <cellStyle name="Normal 3 26 10 3 2" xfId="39097" xr:uid="{00000000-0005-0000-0000-000025980000}"/>
    <cellStyle name="Normal 3 26 10 3 3" xfId="39098" xr:uid="{00000000-0005-0000-0000-000026980000}"/>
    <cellStyle name="Normal 3 26 10 4" xfId="39099" xr:uid="{00000000-0005-0000-0000-000027980000}"/>
    <cellStyle name="Normal 3 26 11" xfId="39100" xr:uid="{00000000-0005-0000-0000-000028980000}"/>
    <cellStyle name="Normal 3 26 11 2" xfId="39101" xr:uid="{00000000-0005-0000-0000-000029980000}"/>
    <cellStyle name="Normal 3 26 11 2 2" xfId="39102" xr:uid="{00000000-0005-0000-0000-00002A980000}"/>
    <cellStyle name="Normal 3 26 11 2 2 2" xfId="39103" xr:uid="{00000000-0005-0000-0000-00002B980000}"/>
    <cellStyle name="Normal 3 26 11 2 2 3" xfId="39104" xr:uid="{00000000-0005-0000-0000-00002C980000}"/>
    <cellStyle name="Normal 3 26 11 2 3" xfId="39105" xr:uid="{00000000-0005-0000-0000-00002D980000}"/>
    <cellStyle name="Normal 3 26 11 2 4" xfId="39106" xr:uid="{00000000-0005-0000-0000-00002E980000}"/>
    <cellStyle name="Normal 3 26 11 3" xfId="39107" xr:uid="{00000000-0005-0000-0000-00002F980000}"/>
    <cellStyle name="Normal 3 26 11 3 2" xfId="39108" xr:uid="{00000000-0005-0000-0000-000030980000}"/>
    <cellStyle name="Normal 3 26 11 3 3" xfId="39109" xr:uid="{00000000-0005-0000-0000-000031980000}"/>
    <cellStyle name="Normal 3 26 11 4" xfId="39110" xr:uid="{00000000-0005-0000-0000-000032980000}"/>
    <cellStyle name="Normal 3 26 12" xfId="39111" xr:uid="{00000000-0005-0000-0000-000033980000}"/>
    <cellStyle name="Normal 3 26 12 2" xfId="39112" xr:uid="{00000000-0005-0000-0000-000034980000}"/>
    <cellStyle name="Normal 3 26 12 2 2" xfId="39113" xr:uid="{00000000-0005-0000-0000-000035980000}"/>
    <cellStyle name="Normal 3 26 12 2 2 2" xfId="39114" xr:uid="{00000000-0005-0000-0000-000036980000}"/>
    <cellStyle name="Normal 3 26 12 2 2 3" xfId="39115" xr:uid="{00000000-0005-0000-0000-000037980000}"/>
    <cellStyle name="Normal 3 26 12 2 3" xfId="39116" xr:uid="{00000000-0005-0000-0000-000038980000}"/>
    <cellStyle name="Normal 3 26 12 2 4" xfId="39117" xr:uid="{00000000-0005-0000-0000-000039980000}"/>
    <cellStyle name="Normal 3 26 12 3" xfId="39118" xr:uid="{00000000-0005-0000-0000-00003A980000}"/>
    <cellStyle name="Normal 3 26 12 3 2" xfId="39119" xr:uid="{00000000-0005-0000-0000-00003B980000}"/>
    <cellStyle name="Normal 3 26 12 3 3" xfId="39120" xr:uid="{00000000-0005-0000-0000-00003C980000}"/>
    <cellStyle name="Normal 3 26 12 4" xfId="39121" xr:uid="{00000000-0005-0000-0000-00003D980000}"/>
    <cellStyle name="Normal 3 26 13" xfId="39122" xr:uid="{00000000-0005-0000-0000-00003E980000}"/>
    <cellStyle name="Normal 3 26 13 2" xfId="39123" xr:uid="{00000000-0005-0000-0000-00003F980000}"/>
    <cellStyle name="Normal 3 26 13 2 2" xfId="39124" xr:uid="{00000000-0005-0000-0000-000040980000}"/>
    <cellStyle name="Normal 3 26 13 2 2 2" xfId="39125" xr:uid="{00000000-0005-0000-0000-000041980000}"/>
    <cellStyle name="Normal 3 26 13 2 2 3" xfId="39126" xr:uid="{00000000-0005-0000-0000-000042980000}"/>
    <cellStyle name="Normal 3 26 13 2 3" xfId="39127" xr:uid="{00000000-0005-0000-0000-000043980000}"/>
    <cellStyle name="Normal 3 26 13 2 4" xfId="39128" xr:uid="{00000000-0005-0000-0000-000044980000}"/>
    <cellStyle name="Normal 3 26 13 3" xfId="39129" xr:uid="{00000000-0005-0000-0000-000045980000}"/>
    <cellStyle name="Normal 3 26 13 3 2" xfId="39130" xr:uid="{00000000-0005-0000-0000-000046980000}"/>
    <cellStyle name="Normal 3 26 13 3 3" xfId="39131" xr:uid="{00000000-0005-0000-0000-000047980000}"/>
    <cellStyle name="Normal 3 26 13 4" xfId="39132" xr:uid="{00000000-0005-0000-0000-000048980000}"/>
    <cellStyle name="Normal 3 26 14" xfId="39133" xr:uid="{00000000-0005-0000-0000-000049980000}"/>
    <cellStyle name="Normal 3 26 14 2" xfId="39134" xr:uid="{00000000-0005-0000-0000-00004A980000}"/>
    <cellStyle name="Normal 3 26 14 2 2" xfId="39135" xr:uid="{00000000-0005-0000-0000-00004B980000}"/>
    <cellStyle name="Normal 3 26 14 2 2 2" xfId="39136" xr:uid="{00000000-0005-0000-0000-00004C980000}"/>
    <cellStyle name="Normal 3 26 14 2 2 3" xfId="39137" xr:uid="{00000000-0005-0000-0000-00004D980000}"/>
    <cellStyle name="Normal 3 26 14 2 3" xfId="39138" xr:uid="{00000000-0005-0000-0000-00004E980000}"/>
    <cellStyle name="Normal 3 26 14 2 4" xfId="39139" xr:uid="{00000000-0005-0000-0000-00004F980000}"/>
    <cellStyle name="Normal 3 26 14 3" xfId="39140" xr:uid="{00000000-0005-0000-0000-000050980000}"/>
    <cellStyle name="Normal 3 26 14 3 2" xfId="39141" xr:uid="{00000000-0005-0000-0000-000051980000}"/>
    <cellStyle name="Normal 3 26 14 3 3" xfId="39142" xr:uid="{00000000-0005-0000-0000-000052980000}"/>
    <cellStyle name="Normal 3 26 14 4" xfId="39143" xr:uid="{00000000-0005-0000-0000-000053980000}"/>
    <cellStyle name="Normal 3 26 15" xfId="39144" xr:uid="{00000000-0005-0000-0000-000054980000}"/>
    <cellStyle name="Normal 3 26 15 2" xfId="39145" xr:uid="{00000000-0005-0000-0000-000055980000}"/>
    <cellStyle name="Normal 3 26 15 2 2" xfId="39146" xr:uid="{00000000-0005-0000-0000-000056980000}"/>
    <cellStyle name="Normal 3 26 15 2 2 2" xfId="39147" xr:uid="{00000000-0005-0000-0000-000057980000}"/>
    <cellStyle name="Normal 3 26 15 2 2 3" xfId="39148" xr:uid="{00000000-0005-0000-0000-000058980000}"/>
    <cellStyle name="Normal 3 26 15 2 3" xfId="39149" xr:uid="{00000000-0005-0000-0000-000059980000}"/>
    <cellStyle name="Normal 3 26 15 2 4" xfId="39150" xr:uid="{00000000-0005-0000-0000-00005A980000}"/>
    <cellStyle name="Normal 3 26 15 3" xfId="39151" xr:uid="{00000000-0005-0000-0000-00005B980000}"/>
    <cellStyle name="Normal 3 26 15 3 2" xfId="39152" xr:uid="{00000000-0005-0000-0000-00005C980000}"/>
    <cellStyle name="Normal 3 26 15 3 3" xfId="39153" xr:uid="{00000000-0005-0000-0000-00005D980000}"/>
    <cellStyle name="Normal 3 26 15 4" xfId="39154" xr:uid="{00000000-0005-0000-0000-00005E980000}"/>
    <cellStyle name="Normal 3 26 16" xfId="39155" xr:uid="{00000000-0005-0000-0000-00005F980000}"/>
    <cellStyle name="Normal 3 26 16 2" xfId="39156" xr:uid="{00000000-0005-0000-0000-000060980000}"/>
    <cellStyle name="Normal 3 26 16 2 2" xfId="39157" xr:uid="{00000000-0005-0000-0000-000061980000}"/>
    <cellStyle name="Normal 3 26 16 2 2 2" xfId="39158" xr:uid="{00000000-0005-0000-0000-000062980000}"/>
    <cellStyle name="Normal 3 26 16 2 2 3" xfId="39159" xr:uid="{00000000-0005-0000-0000-000063980000}"/>
    <cellStyle name="Normal 3 26 16 2 3" xfId="39160" xr:uid="{00000000-0005-0000-0000-000064980000}"/>
    <cellStyle name="Normal 3 26 16 2 4" xfId="39161" xr:uid="{00000000-0005-0000-0000-000065980000}"/>
    <cellStyle name="Normal 3 26 16 3" xfId="39162" xr:uid="{00000000-0005-0000-0000-000066980000}"/>
    <cellStyle name="Normal 3 26 16 3 2" xfId="39163" xr:uid="{00000000-0005-0000-0000-000067980000}"/>
    <cellStyle name="Normal 3 26 16 3 3" xfId="39164" xr:uid="{00000000-0005-0000-0000-000068980000}"/>
    <cellStyle name="Normal 3 26 16 4" xfId="39165" xr:uid="{00000000-0005-0000-0000-000069980000}"/>
    <cellStyle name="Normal 3 26 17" xfId="39166" xr:uid="{00000000-0005-0000-0000-00006A980000}"/>
    <cellStyle name="Normal 3 26 17 2" xfId="39167" xr:uid="{00000000-0005-0000-0000-00006B980000}"/>
    <cellStyle name="Normal 3 26 17 2 2" xfId="39168" xr:uid="{00000000-0005-0000-0000-00006C980000}"/>
    <cellStyle name="Normal 3 26 17 2 2 2" xfId="39169" xr:uid="{00000000-0005-0000-0000-00006D980000}"/>
    <cellStyle name="Normal 3 26 17 2 2 3" xfId="39170" xr:uid="{00000000-0005-0000-0000-00006E980000}"/>
    <cellStyle name="Normal 3 26 17 2 3" xfId="39171" xr:uid="{00000000-0005-0000-0000-00006F980000}"/>
    <cellStyle name="Normal 3 26 17 2 4" xfId="39172" xr:uid="{00000000-0005-0000-0000-000070980000}"/>
    <cellStyle name="Normal 3 26 17 3" xfId="39173" xr:uid="{00000000-0005-0000-0000-000071980000}"/>
    <cellStyle name="Normal 3 26 17 3 2" xfId="39174" xr:uid="{00000000-0005-0000-0000-000072980000}"/>
    <cellStyle name="Normal 3 26 17 3 3" xfId="39175" xr:uid="{00000000-0005-0000-0000-000073980000}"/>
    <cellStyle name="Normal 3 26 17 4" xfId="39176" xr:uid="{00000000-0005-0000-0000-000074980000}"/>
    <cellStyle name="Normal 3 26 18" xfId="39177" xr:uid="{00000000-0005-0000-0000-000075980000}"/>
    <cellStyle name="Normal 3 26 18 2" xfId="39178" xr:uid="{00000000-0005-0000-0000-000076980000}"/>
    <cellStyle name="Normal 3 26 18 2 2" xfId="39179" xr:uid="{00000000-0005-0000-0000-000077980000}"/>
    <cellStyle name="Normal 3 26 18 2 2 2" xfId="39180" xr:uid="{00000000-0005-0000-0000-000078980000}"/>
    <cellStyle name="Normal 3 26 18 2 2 3" xfId="39181" xr:uid="{00000000-0005-0000-0000-000079980000}"/>
    <cellStyle name="Normal 3 26 18 2 3" xfId="39182" xr:uid="{00000000-0005-0000-0000-00007A980000}"/>
    <cellStyle name="Normal 3 26 18 2 4" xfId="39183" xr:uid="{00000000-0005-0000-0000-00007B980000}"/>
    <cellStyle name="Normal 3 26 18 3" xfId="39184" xr:uid="{00000000-0005-0000-0000-00007C980000}"/>
    <cellStyle name="Normal 3 26 18 3 2" xfId="39185" xr:uid="{00000000-0005-0000-0000-00007D980000}"/>
    <cellStyle name="Normal 3 26 18 3 3" xfId="39186" xr:uid="{00000000-0005-0000-0000-00007E980000}"/>
    <cellStyle name="Normal 3 26 18 4" xfId="39187" xr:uid="{00000000-0005-0000-0000-00007F980000}"/>
    <cellStyle name="Normal 3 26 19" xfId="39188" xr:uid="{00000000-0005-0000-0000-000080980000}"/>
    <cellStyle name="Normal 3 26 19 2" xfId="39189" xr:uid="{00000000-0005-0000-0000-000081980000}"/>
    <cellStyle name="Normal 3 26 19 2 2" xfId="39190" xr:uid="{00000000-0005-0000-0000-000082980000}"/>
    <cellStyle name="Normal 3 26 19 2 2 2" xfId="39191" xr:uid="{00000000-0005-0000-0000-000083980000}"/>
    <cellStyle name="Normal 3 26 19 2 2 3" xfId="39192" xr:uid="{00000000-0005-0000-0000-000084980000}"/>
    <cellStyle name="Normal 3 26 19 2 3" xfId="39193" xr:uid="{00000000-0005-0000-0000-000085980000}"/>
    <cellStyle name="Normal 3 26 19 2 4" xfId="39194" xr:uid="{00000000-0005-0000-0000-000086980000}"/>
    <cellStyle name="Normal 3 26 19 3" xfId="39195" xr:uid="{00000000-0005-0000-0000-000087980000}"/>
    <cellStyle name="Normal 3 26 19 3 2" xfId="39196" xr:uid="{00000000-0005-0000-0000-000088980000}"/>
    <cellStyle name="Normal 3 26 19 3 3" xfId="39197" xr:uid="{00000000-0005-0000-0000-000089980000}"/>
    <cellStyle name="Normal 3 26 19 4" xfId="39198" xr:uid="{00000000-0005-0000-0000-00008A980000}"/>
    <cellStyle name="Normal 3 26 2" xfId="39199" xr:uid="{00000000-0005-0000-0000-00008B980000}"/>
    <cellStyle name="Normal 3 26 2 2" xfId="39200" xr:uid="{00000000-0005-0000-0000-00008C980000}"/>
    <cellStyle name="Normal 3 26 2 2 2" xfId="39201" xr:uid="{00000000-0005-0000-0000-00008D980000}"/>
    <cellStyle name="Normal 3 26 2 2 2 2" xfId="39202" xr:uid="{00000000-0005-0000-0000-00008E980000}"/>
    <cellStyle name="Normal 3 26 2 2 2 3" xfId="39203" xr:uid="{00000000-0005-0000-0000-00008F980000}"/>
    <cellStyle name="Normal 3 26 2 2 3" xfId="39204" xr:uid="{00000000-0005-0000-0000-000090980000}"/>
    <cellStyle name="Normal 3 26 2 2 4" xfId="39205" xr:uid="{00000000-0005-0000-0000-000091980000}"/>
    <cellStyle name="Normal 3 26 2 3" xfId="39206" xr:uid="{00000000-0005-0000-0000-000092980000}"/>
    <cellStyle name="Normal 3 26 2 3 2" xfId="39207" xr:uid="{00000000-0005-0000-0000-000093980000}"/>
    <cellStyle name="Normal 3 26 2 3 3" xfId="39208" xr:uid="{00000000-0005-0000-0000-000094980000}"/>
    <cellStyle name="Normal 3 26 2 4" xfId="39209" xr:uid="{00000000-0005-0000-0000-000095980000}"/>
    <cellStyle name="Normal 3 26 20" xfId="39210" xr:uid="{00000000-0005-0000-0000-000096980000}"/>
    <cellStyle name="Normal 3 26 20 2" xfId="39211" xr:uid="{00000000-0005-0000-0000-000097980000}"/>
    <cellStyle name="Normal 3 26 20 2 2" xfId="39212" xr:uid="{00000000-0005-0000-0000-000098980000}"/>
    <cellStyle name="Normal 3 26 20 2 2 2" xfId="39213" xr:uid="{00000000-0005-0000-0000-000099980000}"/>
    <cellStyle name="Normal 3 26 20 2 2 3" xfId="39214" xr:uid="{00000000-0005-0000-0000-00009A980000}"/>
    <cellStyle name="Normal 3 26 20 2 3" xfId="39215" xr:uid="{00000000-0005-0000-0000-00009B980000}"/>
    <cellStyle name="Normal 3 26 20 2 4" xfId="39216" xr:uid="{00000000-0005-0000-0000-00009C980000}"/>
    <cellStyle name="Normal 3 26 20 3" xfId="39217" xr:uid="{00000000-0005-0000-0000-00009D980000}"/>
    <cellStyle name="Normal 3 26 20 3 2" xfId="39218" xr:uid="{00000000-0005-0000-0000-00009E980000}"/>
    <cellStyle name="Normal 3 26 20 3 3" xfId="39219" xr:uid="{00000000-0005-0000-0000-00009F980000}"/>
    <cellStyle name="Normal 3 26 20 4" xfId="39220" xr:uid="{00000000-0005-0000-0000-0000A0980000}"/>
    <cellStyle name="Normal 3 26 21" xfId="39221" xr:uid="{00000000-0005-0000-0000-0000A1980000}"/>
    <cellStyle name="Normal 3 26 21 2" xfId="39222" xr:uid="{00000000-0005-0000-0000-0000A2980000}"/>
    <cellStyle name="Normal 3 26 21 2 2" xfId="39223" xr:uid="{00000000-0005-0000-0000-0000A3980000}"/>
    <cellStyle name="Normal 3 26 21 2 2 2" xfId="39224" xr:uid="{00000000-0005-0000-0000-0000A4980000}"/>
    <cellStyle name="Normal 3 26 21 2 2 3" xfId="39225" xr:uid="{00000000-0005-0000-0000-0000A5980000}"/>
    <cellStyle name="Normal 3 26 21 2 3" xfId="39226" xr:uid="{00000000-0005-0000-0000-0000A6980000}"/>
    <cellStyle name="Normal 3 26 21 2 4" xfId="39227" xr:uid="{00000000-0005-0000-0000-0000A7980000}"/>
    <cellStyle name="Normal 3 26 21 3" xfId="39228" xr:uid="{00000000-0005-0000-0000-0000A8980000}"/>
    <cellStyle name="Normal 3 26 21 3 2" xfId="39229" xr:uid="{00000000-0005-0000-0000-0000A9980000}"/>
    <cellStyle name="Normal 3 26 21 3 3" xfId="39230" xr:uid="{00000000-0005-0000-0000-0000AA980000}"/>
    <cellStyle name="Normal 3 26 21 4" xfId="39231" xr:uid="{00000000-0005-0000-0000-0000AB980000}"/>
    <cellStyle name="Normal 3 26 22" xfId="39232" xr:uid="{00000000-0005-0000-0000-0000AC980000}"/>
    <cellStyle name="Normal 3 26 22 2" xfId="39233" xr:uid="{00000000-0005-0000-0000-0000AD980000}"/>
    <cellStyle name="Normal 3 26 22 2 2" xfId="39234" xr:uid="{00000000-0005-0000-0000-0000AE980000}"/>
    <cellStyle name="Normal 3 26 22 2 2 2" xfId="39235" xr:uid="{00000000-0005-0000-0000-0000AF980000}"/>
    <cellStyle name="Normal 3 26 22 2 2 3" xfId="39236" xr:uid="{00000000-0005-0000-0000-0000B0980000}"/>
    <cellStyle name="Normal 3 26 22 2 3" xfId="39237" xr:uid="{00000000-0005-0000-0000-0000B1980000}"/>
    <cellStyle name="Normal 3 26 22 2 4" xfId="39238" xr:uid="{00000000-0005-0000-0000-0000B2980000}"/>
    <cellStyle name="Normal 3 26 22 3" xfId="39239" xr:uid="{00000000-0005-0000-0000-0000B3980000}"/>
    <cellStyle name="Normal 3 26 22 3 2" xfId="39240" xr:uid="{00000000-0005-0000-0000-0000B4980000}"/>
    <cellStyle name="Normal 3 26 22 3 3" xfId="39241" xr:uid="{00000000-0005-0000-0000-0000B5980000}"/>
    <cellStyle name="Normal 3 26 22 4" xfId="39242" xr:uid="{00000000-0005-0000-0000-0000B6980000}"/>
    <cellStyle name="Normal 3 26 23" xfId="39243" xr:uid="{00000000-0005-0000-0000-0000B7980000}"/>
    <cellStyle name="Normal 3 26 23 2" xfId="39244" xr:uid="{00000000-0005-0000-0000-0000B8980000}"/>
    <cellStyle name="Normal 3 26 23 2 2" xfId="39245" xr:uid="{00000000-0005-0000-0000-0000B9980000}"/>
    <cellStyle name="Normal 3 26 23 2 2 2" xfId="39246" xr:uid="{00000000-0005-0000-0000-0000BA980000}"/>
    <cellStyle name="Normal 3 26 23 2 2 3" xfId="39247" xr:uid="{00000000-0005-0000-0000-0000BB980000}"/>
    <cellStyle name="Normal 3 26 23 2 3" xfId="39248" xr:uid="{00000000-0005-0000-0000-0000BC980000}"/>
    <cellStyle name="Normal 3 26 23 2 4" xfId="39249" xr:uid="{00000000-0005-0000-0000-0000BD980000}"/>
    <cellStyle name="Normal 3 26 23 3" xfId="39250" xr:uid="{00000000-0005-0000-0000-0000BE980000}"/>
    <cellStyle name="Normal 3 26 23 3 2" xfId="39251" xr:uid="{00000000-0005-0000-0000-0000BF980000}"/>
    <cellStyle name="Normal 3 26 23 3 3" xfId="39252" xr:uid="{00000000-0005-0000-0000-0000C0980000}"/>
    <cellStyle name="Normal 3 26 23 4" xfId="39253" xr:uid="{00000000-0005-0000-0000-0000C1980000}"/>
    <cellStyle name="Normal 3 26 24" xfId="39254" xr:uid="{00000000-0005-0000-0000-0000C2980000}"/>
    <cellStyle name="Normal 3 26 24 2" xfId="39255" xr:uid="{00000000-0005-0000-0000-0000C3980000}"/>
    <cellStyle name="Normal 3 26 24 2 2" xfId="39256" xr:uid="{00000000-0005-0000-0000-0000C4980000}"/>
    <cellStyle name="Normal 3 26 24 2 3" xfId="39257" xr:uid="{00000000-0005-0000-0000-0000C5980000}"/>
    <cellStyle name="Normal 3 26 24 3" xfId="39258" xr:uid="{00000000-0005-0000-0000-0000C6980000}"/>
    <cellStyle name="Normal 3 26 24 4" xfId="39259" xr:uid="{00000000-0005-0000-0000-0000C7980000}"/>
    <cellStyle name="Normal 3 26 25" xfId="39260" xr:uid="{00000000-0005-0000-0000-0000C8980000}"/>
    <cellStyle name="Normal 3 26 25 2" xfId="39261" xr:uid="{00000000-0005-0000-0000-0000C9980000}"/>
    <cellStyle name="Normal 3 26 25 3" xfId="39262" xr:uid="{00000000-0005-0000-0000-0000CA980000}"/>
    <cellStyle name="Normal 3 26 26" xfId="39263" xr:uid="{00000000-0005-0000-0000-0000CB980000}"/>
    <cellStyle name="Normal 3 26 3" xfId="39264" xr:uid="{00000000-0005-0000-0000-0000CC980000}"/>
    <cellStyle name="Normal 3 26 3 2" xfId="39265" xr:uid="{00000000-0005-0000-0000-0000CD980000}"/>
    <cellStyle name="Normal 3 26 3 2 2" xfId="39266" xr:uid="{00000000-0005-0000-0000-0000CE980000}"/>
    <cellStyle name="Normal 3 26 3 2 2 2" xfId="39267" xr:uid="{00000000-0005-0000-0000-0000CF980000}"/>
    <cellStyle name="Normal 3 26 3 2 2 3" xfId="39268" xr:uid="{00000000-0005-0000-0000-0000D0980000}"/>
    <cellStyle name="Normal 3 26 3 2 3" xfId="39269" xr:uid="{00000000-0005-0000-0000-0000D1980000}"/>
    <cellStyle name="Normal 3 26 3 2 4" xfId="39270" xr:uid="{00000000-0005-0000-0000-0000D2980000}"/>
    <cellStyle name="Normal 3 26 3 3" xfId="39271" xr:uid="{00000000-0005-0000-0000-0000D3980000}"/>
    <cellStyle name="Normal 3 26 3 3 2" xfId="39272" xr:uid="{00000000-0005-0000-0000-0000D4980000}"/>
    <cellStyle name="Normal 3 26 3 3 3" xfId="39273" xr:uid="{00000000-0005-0000-0000-0000D5980000}"/>
    <cellStyle name="Normal 3 26 3 4" xfId="39274" xr:uid="{00000000-0005-0000-0000-0000D6980000}"/>
    <cellStyle name="Normal 3 26 4" xfId="39275" xr:uid="{00000000-0005-0000-0000-0000D7980000}"/>
    <cellStyle name="Normal 3 26 4 2" xfId="39276" xr:uid="{00000000-0005-0000-0000-0000D8980000}"/>
    <cellStyle name="Normal 3 26 4 2 2" xfId="39277" xr:uid="{00000000-0005-0000-0000-0000D9980000}"/>
    <cellStyle name="Normal 3 26 4 2 2 2" xfId="39278" xr:uid="{00000000-0005-0000-0000-0000DA980000}"/>
    <cellStyle name="Normal 3 26 4 2 2 3" xfId="39279" xr:uid="{00000000-0005-0000-0000-0000DB980000}"/>
    <cellStyle name="Normal 3 26 4 2 3" xfId="39280" xr:uid="{00000000-0005-0000-0000-0000DC980000}"/>
    <cellStyle name="Normal 3 26 4 2 4" xfId="39281" xr:uid="{00000000-0005-0000-0000-0000DD980000}"/>
    <cellStyle name="Normal 3 26 4 3" xfId="39282" xr:uid="{00000000-0005-0000-0000-0000DE980000}"/>
    <cellStyle name="Normal 3 26 4 3 2" xfId="39283" xr:uid="{00000000-0005-0000-0000-0000DF980000}"/>
    <cellStyle name="Normal 3 26 4 3 3" xfId="39284" xr:uid="{00000000-0005-0000-0000-0000E0980000}"/>
    <cellStyle name="Normal 3 26 4 4" xfId="39285" xr:uid="{00000000-0005-0000-0000-0000E1980000}"/>
    <cellStyle name="Normal 3 26 5" xfId="39286" xr:uid="{00000000-0005-0000-0000-0000E2980000}"/>
    <cellStyle name="Normal 3 26 5 2" xfId="39287" xr:uid="{00000000-0005-0000-0000-0000E3980000}"/>
    <cellStyle name="Normal 3 26 5 2 2" xfId="39288" xr:uid="{00000000-0005-0000-0000-0000E4980000}"/>
    <cellStyle name="Normal 3 26 5 2 2 2" xfId="39289" xr:uid="{00000000-0005-0000-0000-0000E5980000}"/>
    <cellStyle name="Normal 3 26 5 2 2 3" xfId="39290" xr:uid="{00000000-0005-0000-0000-0000E6980000}"/>
    <cellStyle name="Normal 3 26 5 2 3" xfId="39291" xr:uid="{00000000-0005-0000-0000-0000E7980000}"/>
    <cellStyle name="Normal 3 26 5 2 4" xfId="39292" xr:uid="{00000000-0005-0000-0000-0000E8980000}"/>
    <cellStyle name="Normal 3 26 5 3" xfId="39293" xr:uid="{00000000-0005-0000-0000-0000E9980000}"/>
    <cellStyle name="Normal 3 26 5 3 2" xfId="39294" xr:uid="{00000000-0005-0000-0000-0000EA980000}"/>
    <cellStyle name="Normal 3 26 5 3 3" xfId="39295" xr:uid="{00000000-0005-0000-0000-0000EB980000}"/>
    <cellStyle name="Normal 3 26 5 4" xfId="39296" xr:uid="{00000000-0005-0000-0000-0000EC980000}"/>
    <cellStyle name="Normal 3 26 6" xfId="39297" xr:uid="{00000000-0005-0000-0000-0000ED980000}"/>
    <cellStyle name="Normal 3 26 6 2" xfId="39298" xr:uid="{00000000-0005-0000-0000-0000EE980000}"/>
    <cellStyle name="Normal 3 26 6 2 2" xfId="39299" xr:uid="{00000000-0005-0000-0000-0000EF980000}"/>
    <cellStyle name="Normal 3 26 6 2 2 2" xfId="39300" xr:uid="{00000000-0005-0000-0000-0000F0980000}"/>
    <cellStyle name="Normal 3 26 6 2 2 3" xfId="39301" xr:uid="{00000000-0005-0000-0000-0000F1980000}"/>
    <cellStyle name="Normal 3 26 6 2 3" xfId="39302" xr:uid="{00000000-0005-0000-0000-0000F2980000}"/>
    <cellStyle name="Normal 3 26 6 2 4" xfId="39303" xr:uid="{00000000-0005-0000-0000-0000F3980000}"/>
    <cellStyle name="Normal 3 26 6 3" xfId="39304" xr:uid="{00000000-0005-0000-0000-0000F4980000}"/>
    <cellStyle name="Normal 3 26 6 3 2" xfId="39305" xr:uid="{00000000-0005-0000-0000-0000F5980000}"/>
    <cellStyle name="Normal 3 26 6 3 3" xfId="39306" xr:uid="{00000000-0005-0000-0000-0000F6980000}"/>
    <cellStyle name="Normal 3 26 6 4" xfId="39307" xr:uid="{00000000-0005-0000-0000-0000F7980000}"/>
    <cellStyle name="Normal 3 26 7" xfId="39308" xr:uid="{00000000-0005-0000-0000-0000F8980000}"/>
    <cellStyle name="Normal 3 26 7 2" xfId="39309" xr:uid="{00000000-0005-0000-0000-0000F9980000}"/>
    <cellStyle name="Normal 3 26 7 2 2" xfId="39310" xr:uid="{00000000-0005-0000-0000-0000FA980000}"/>
    <cellStyle name="Normal 3 26 7 2 2 2" xfId="39311" xr:uid="{00000000-0005-0000-0000-0000FB980000}"/>
    <cellStyle name="Normal 3 26 7 2 2 3" xfId="39312" xr:uid="{00000000-0005-0000-0000-0000FC980000}"/>
    <cellStyle name="Normal 3 26 7 2 3" xfId="39313" xr:uid="{00000000-0005-0000-0000-0000FD980000}"/>
    <cellStyle name="Normal 3 26 7 2 4" xfId="39314" xr:uid="{00000000-0005-0000-0000-0000FE980000}"/>
    <cellStyle name="Normal 3 26 7 3" xfId="39315" xr:uid="{00000000-0005-0000-0000-0000FF980000}"/>
    <cellStyle name="Normal 3 26 7 3 2" xfId="39316" xr:uid="{00000000-0005-0000-0000-000000990000}"/>
    <cellStyle name="Normal 3 26 7 3 3" xfId="39317" xr:uid="{00000000-0005-0000-0000-000001990000}"/>
    <cellStyle name="Normal 3 26 7 4" xfId="39318" xr:uid="{00000000-0005-0000-0000-000002990000}"/>
    <cellStyle name="Normal 3 26 8" xfId="39319" xr:uid="{00000000-0005-0000-0000-000003990000}"/>
    <cellStyle name="Normal 3 26 8 2" xfId="39320" xr:uid="{00000000-0005-0000-0000-000004990000}"/>
    <cellStyle name="Normal 3 26 8 2 2" xfId="39321" xr:uid="{00000000-0005-0000-0000-000005990000}"/>
    <cellStyle name="Normal 3 26 8 2 2 2" xfId="39322" xr:uid="{00000000-0005-0000-0000-000006990000}"/>
    <cellStyle name="Normal 3 26 8 2 2 3" xfId="39323" xr:uid="{00000000-0005-0000-0000-000007990000}"/>
    <cellStyle name="Normal 3 26 8 2 3" xfId="39324" xr:uid="{00000000-0005-0000-0000-000008990000}"/>
    <cellStyle name="Normal 3 26 8 2 4" xfId="39325" xr:uid="{00000000-0005-0000-0000-000009990000}"/>
    <cellStyle name="Normal 3 26 8 3" xfId="39326" xr:uid="{00000000-0005-0000-0000-00000A990000}"/>
    <cellStyle name="Normal 3 26 8 3 2" xfId="39327" xr:uid="{00000000-0005-0000-0000-00000B990000}"/>
    <cellStyle name="Normal 3 26 8 3 3" xfId="39328" xr:uid="{00000000-0005-0000-0000-00000C990000}"/>
    <cellStyle name="Normal 3 26 8 4" xfId="39329" xr:uid="{00000000-0005-0000-0000-00000D990000}"/>
    <cellStyle name="Normal 3 26 9" xfId="39330" xr:uid="{00000000-0005-0000-0000-00000E990000}"/>
    <cellStyle name="Normal 3 26 9 2" xfId="39331" xr:uid="{00000000-0005-0000-0000-00000F990000}"/>
    <cellStyle name="Normal 3 26 9 2 2" xfId="39332" xr:uid="{00000000-0005-0000-0000-000010990000}"/>
    <cellStyle name="Normal 3 26 9 2 2 2" xfId="39333" xr:uid="{00000000-0005-0000-0000-000011990000}"/>
    <cellStyle name="Normal 3 26 9 2 2 3" xfId="39334" xr:uid="{00000000-0005-0000-0000-000012990000}"/>
    <cellStyle name="Normal 3 26 9 2 3" xfId="39335" xr:uid="{00000000-0005-0000-0000-000013990000}"/>
    <cellStyle name="Normal 3 26 9 2 4" xfId="39336" xr:uid="{00000000-0005-0000-0000-000014990000}"/>
    <cellStyle name="Normal 3 26 9 3" xfId="39337" xr:uid="{00000000-0005-0000-0000-000015990000}"/>
    <cellStyle name="Normal 3 26 9 3 2" xfId="39338" xr:uid="{00000000-0005-0000-0000-000016990000}"/>
    <cellStyle name="Normal 3 26 9 3 3" xfId="39339" xr:uid="{00000000-0005-0000-0000-000017990000}"/>
    <cellStyle name="Normal 3 26 9 4" xfId="39340" xr:uid="{00000000-0005-0000-0000-000018990000}"/>
    <cellStyle name="Normal 3 27" xfId="39341" xr:uid="{00000000-0005-0000-0000-000019990000}"/>
    <cellStyle name="Normal 3 27 10" xfId="39342" xr:uid="{00000000-0005-0000-0000-00001A990000}"/>
    <cellStyle name="Normal 3 27 10 2" xfId="39343" xr:uid="{00000000-0005-0000-0000-00001B990000}"/>
    <cellStyle name="Normal 3 27 10 2 2" xfId="39344" xr:uid="{00000000-0005-0000-0000-00001C990000}"/>
    <cellStyle name="Normal 3 27 10 2 2 2" xfId="39345" xr:uid="{00000000-0005-0000-0000-00001D990000}"/>
    <cellStyle name="Normal 3 27 10 2 2 3" xfId="39346" xr:uid="{00000000-0005-0000-0000-00001E990000}"/>
    <cellStyle name="Normal 3 27 10 2 3" xfId="39347" xr:uid="{00000000-0005-0000-0000-00001F990000}"/>
    <cellStyle name="Normal 3 27 10 2 4" xfId="39348" xr:uid="{00000000-0005-0000-0000-000020990000}"/>
    <cellStyle name="Normal 3 27 10 3" xfId="39349" xr:uid="{00000000-0005-0000-0000-000021990000}"/>
    <cellStyle name="Normal 3 27 10 3 2" xfId="39350" xr:uid="{00000000-0005-0000-0000-000022990000}"/>
    <cellStyle name="Normal 3 27 10 3 3" xfId="39351" xr:uid="{00000000-0005-0000-0000-000023990000}"/>
    <cellStyle name="Normal 3 27 10 4" xfId="39352" xr:uid="{00000000-0005-0000-0000-000024990000}"/>
    <cellStyle name="Normal 3 27 11" xfId="39353" xr:uid="{00000000-0005-0000-0000-000025990000}"/>
    <cellStyle name="Normal 3 27 11 2" xfId="39354" xr:uid="{00000000-0005-0000-0000-000026990000}"/>
    <cellStyle name="Normal 3 27 11 2 2" xfId="39355" xr:uid="{00000000-0005-0000-0000-000027990000}"/>
    <cellStyle name="Normal 3 27 11 2 2 2" xfId="39356" xr:uid="{00000000-0005-0000-0000-000028990000}"/>
    <cellStyle name="Normal 3 27 11 2 2 3" xfId="39357" xr:uid="{00000000-0005-0000-0000-000029990000}"/>
    <cellStyle name="Normal 3 27 11 2 3" xfId="39358" xr:uid="{00000000-0005-0000-0000-00002A990000}"/>
    <cellStyle name="Normal 3 27 11 2 4" xfId="39359" xr:uid="{00000000-0005-0000-0000-00002B990000}"/>
    <cellStyle name="Normal 3 27 11 3" xfId="39360" xr:uid="{00000000-0005-0000-0000-00002C990000}"/>
    <cellStyle name="Normal 3 27 11 3 2" xfId="39361" xr:uid="{00000000-0005-0000-0000-00002D990000}"/>
    <cellStyle name="Normal 3 27 11 3 3" xfId="39362" xr:uid="{00000000-0005-0000-0000-00002E990000}"/>
    <cellStyle name="Normal 3 27 11 4" xfId="39363" xr:uid="{00000000-0005-0000-0000-00002F990000}"/>
    <cellStyle name="Normal 3 27 12" xfId="39364" xr:uid="{00000000-0005-0000-0000-000030990000}"/>
    <cellStyle name="Normal 3 27 12 2" xfId="39365" xr:uid="{00000000-0005-0000-0000-000031990000}"/>
    <cellStyle name="Normal 3 27 12 2 2" xfId="39366" xr:uid="{00000000-0005-0000-0000-000032990000}"/>
    <cellStyle name="Normal 3 27 12 2 2 2" xfId="39367" xr:uid="{00000000-0005-0000-0000-000033990000}"/>
    <cellStyle name="Normal 3 27 12 2 2 3" xfId="39368" xr:uid="{00000000-0005-0000-0000-000034990000}"/>
    <cellStyle name="Normal 3 27 12 2 3" xfId="39369" xr:uid="{00000000-0005-0000-0000-000035990000}"/>
    <cellStyle name="Normal 3 27 12 2 4" xfId="39370" xr:uid="{00000000-0005-0000-0000-000036990000}"/>
    <cellStyle name="Normal 3 27 12 3" xfId="39371" xr:uid="{00000000-0005-0000-0000-000037990000}"/>
    <cellStyle name="Normal 3 27 12 3 2" xfId="39372" xr:uid="{00000000-0005-0000-0000-000038990000}"/>
    <cellStyle name="Normal 3 27 12 3 3" xfId="39373" xr:uid="{00000000-0005-0000-0000-000039990000}"/>
    <cellStyle name="Normal 3 27 12 4" xfId="39374" xr:uid="{00000000-0005-0000-0000-00003A990000}"/>
    <cellStyle name="Normal 3 27 13" xfId="39375" xr:uid="{00000000-0005-0000-0000-00003B990000}"/>
    <cellStyle name="Normal 3 27 13 2" xfId="39376" xr:uid="{00000000-0005-0000-0000-00003C990000}"/>
    <cellStyle name="Normal 3 27 13 2 2" xfId="39377" xr:uid="{00000000-0005-0000-0000-00003D990000}"/>
    <cellStyle name="Normal 3 27 13 2 2 2" xfId="39378" xr:uid="{00000000-0005-0000-0000-00003E990000}"/>
    <cellStyle name="Normal 3 27 13 2 2 3" xfId="39379" xr:uid="{00000000-0005-0000-0000-00003F990000}"/>
    <cellStyle name="Normal 3 27 13 2 3" xfId="39380" xr:uid="{00000000-0005-0000-0000-000040990000}"/>
    <cellStyle name="Normal 3 27 13 2 4" xfId="39381" xr:uid="{00000000-0005-0000-0000-000041990000}"/>
    <cellStyle name="Normal 3 27 13 3" xfId="39382" xr:uid="{00000000-0005-0000-0000-000042990000}"/>
    <cellStyle name="Normal 3 27 13 3 2" xfId="39383" xr:uid="{00000000-0005-0000-0000-000043990000}"/>
    <cellStyle name="Normal 3 27 13 3 3" xfId="39384" xr:uid="{00000000-0005-0000-0000-000044990000}"/>
    <cellStyle name="Normal 3 27 13 4" xfId="39385" xr:uid="{00000000-0005-0000-0000-000045990000}"/>
    <cellStyle name="Normal 3 27 14" xfId="39386" xr:uid="{00000000-0005-0000-0000-000046990000}"/>
    <cellStyle name="Normal 3 27 14 2" xfId="39387" xr:uid="{00000000-0005-0000-0000-000047990000}"/>
    <cellStyle name="Normal 3 27 14 2 2" xfId="39388" xr:uid="{00000000-0005-0000-0000-000048990000}"/>
    <cellStyle name="Normal 3 27 14 2 2 2" xfId="39389" xr:uid="{00000000-0005-0000-0000-000049990000}"/>
    <cellStyle name="Normal 3 27 14 2 2 3" xfId="39390" xr:uid="{00000000-0005-0000-0000-00004A990000}"/>
    <cellStyle name="Normal 3 27 14 2 3" xfId="39391" xr:uid="{00000000-0005-0000-0000-00004B990000}"/>
    <cellStyle name="Normal 3 27 14 2 4" xfId="39392" xr:uid="{00000000-0005-0000-0000-00004C990000}"/>
    <cellStyle name="Normal 3 27 14 3" xfId="39393" xr:uid="{00000000-0005-0000-0000-00004D990000}"/>
    <cellStyle name="Normal 3 27 14 3 2" xfId="39394" xr:uid="{00000000-0005-0000-0000-00004E990000}"/>
    <cellStyle name="Normal 3 27 14 3 3" xfId="39395" xr:uid="{00000000-0005-0000-0000-00004F990000}"/>
    <cellStyle name="Normal 3 27 14 4" xfId="39396" xr:uid="{00000000-0005-0000-0000-000050990000}"/>
    <cellStyle name="Normal 3 27 15" xfId="39397" xr:uid="{00000000-0005-0000-0000-000051990000}"/>
    <cellStyle name="Normal 3 27 15 2" xfId="39398" xr:uid="{00000000-0005-0000-0000-000052990000}"/>
    <cellStyle name="Normal 3 27 15 2 2" xfId="39399" xr:uid="{00000000-0005-0000-0000-000053990000}"/>
    <cellStyle name="Normal 3 27 15 2 2 2" xfId="39400" xr:uid="{00000000-0005-0000-0000-000054990000}"/>
    <cellStyle name="Normal 3 27 15 2 2 3" xfId="39401" xr:uid="{00000000-0005-0000-0000-000055990000}"/>
    <cellStyle name="Normal 3 27 15 2 3" xfId="39402" xr:uid="{00000000-0005-0000-0000-000056990000}"/>
    <cellStyle name="Normal 3 27 15 2 4" xfId="39403" xr:uid="{00000000-0005-0000-0000-000057990000}"/>
    <cellStyle name="Normal 3 27 15 3" xfId="39404" xr:uid="{00000000-0005-0000-0000-000058990000}"/>
    <cellStyle name="Normal 3 27 15 3 2" xfId="39405" xr:uid="{00000000-0005-0000-0000-000059990000}"/>
    <cellStyle name="Normal 3 27 15 3 3" xfId="39406" xr:uid="{00000000-0005-0000-0000-00005A990000}"/>
    <cellStyle name="Normal 3 27 15 4" xfId="39407" xr:uid="{00000000-0005-0000-0000-00005B990000}"/>
    <cellStyle name="Normal 3 27 16" xfId="39408" xr:uid="{00000000-0005-0000-0000-00005C990000}"/>
    <cellStyle name="Normal 3 27 16 2" xfId="39409" xr:uid="{00000000-0005-0000-0000-00005D990000}"/>
    <cellStyle name="Normal 3 27 16 2 2" xfId="39410" xr:uid="{00000000-0005-0000-0000-00005E990000}"/>
    <cellStyle name="Normal 3 27 16 2 2 2" xfId="39411" xr:uid="{00000000-0005-0000-0000-00005F990000}"/>
    <cellStyle name="Normal 3 27 16 2 2 3" xfId="39412" xr:uid="{00000000-0005-0000-0000-000060990000}"/>
    <cellStyle name="Normal 3 27 16 2 3" xfId="39413" xr:uid="{00000000-0005-0000-0000-000061990000}"/>
    <cellStyle name="Normal 3 27 16 2 4" xfId="39414" xr:uid="{00000000-0005-0000-0000-000062990000}"/>
    <cellStyle name="Normal 3 27 16 3" xfId="39415" xr:uid="{00000000-0005-0000-0000-000063990000}"/>
    <cellStyle name="Normal 3 27 16 3 2" xfId="39416" xr:uid="{00000000-0005-0000-0000-000064990000}"/>
    <cellStyle name="Normal 3 27 16 3 3" xfId="39417" xr:uid="{00000000-0005-0000-0000-000065990000}"/>
    <cellStyle name="Normal 3 27 16 4" xfId="39418" xr:uid="{00000000-0005-0000-0000-000066990000}"/>
    <cellStyle name="Normal 3 27 17" xfId="39419" xr:uid="{00000000-0005-0000-0000-000067990000}"/>
    <cellStyle name="Normal 3 27 17 2" xfId="39420" xr:uid="{00000000-0005-0000-0000-000068990000}"/>
    <cellStyle name="Normal 3 27 17 2 2" xfId="39421" xr:uid="{00000000-0005-0000-0000-000069990000}"/>
    <cellStyle name="Normal 3 27 17 2 2 2" xfId="39422" xr:uid="{00000000-0005-0000-0000-00006A990000}"/>
    <cellStyle name="Normal 3 27 17 2 2 3" xfId="39423" xr:uid="{00000000-0005-0000-0000-00006B990000}"/>
    <cellStyle name="Normal 3 27 17 2 3" xfId="39424" xr:uid="{00000000-0005-0000-0000-00006C990000}"/>
    <cellStyle name="Normal 3 27 17 2 4" xfId="39425" xr:uid="{00000000-0005-0000-0000-00006D990000}"/>
    <cellStyle name="Normal 3 27 17 3" xfId="39426" xr:uid="{00000000-0005-0000-0000-00006E990000}"/>
    <cellStyle name="Normal 3 27 17 3 2" xfId="39427" xr:uid="{00000000-0005-0000-0000-00006F990000}"/>
    <cellStyle name="Normal 3 27 17 3 3" xfId="39428" xr:uid="{00000000-0005-0000-0000-000070990000}"/>
    <cellStyle name="Normal 3 27 17 4" xfId="39429" xr:uid="{00000000-0005-0000-0000-000071990000}"/>
    <cellStyle name="Normal 3 27 18" xfId="39430" xr:uid="{00000000-0005-0000-0000-000072990000}"/>
    <cellStyle name="Normal 3 27 18 2" xfId="39431" xr:uid="{00000000-0005-0000-0000-000073990000}"/>
    <cellStyle name="Normal 3 27 18 2 2" xfId="39432" xr:uid="{00000000-0005-0000-0000-000074990000}"/>
    <cellStyle name="Normal 3 27 18 2 2 2" xfId="39433" xr:uid="{00000000-0005-0000-0000-000075990000}"/>
    <cellStyle name="Normal 3 27 18 2 2 3" xfId="39434" xr:uid="{00000000-0005-0000-0000-000076990000}"/>
    <cellStyle name="Normal 3 27 18 2 3" xfId="39435" xr:uid="{00000000-0005-0000-0000-000077990000}"/>
    <cellStyle name="Normal 3 27 18 2 4" xfId="39436" xr:uid="{00000000-0005-0000-0000-000078990000}"/>
    <cellStyle name="Normal 3 27 18 3" xfId="39437" xr:uid="{00000000-0005-0000-0000-000079990000}"/>
    <cellStyle name="Normal 3 27 18 3 2" xfId="39438" xr:uid="{00000000-0005-0000-0000-00007A990000}"/>
    <cellStyle name="Normal 3 27 18 3 3" xfId="39439" xr:uid="{00000000-0005-0000-0000-00007B990000}"/>
    <cellStyle name="Normal 3 27 18 4" xfId="39440" xr:uid="{00000000-0005-0000-0000-00007C990000}"/>
    <cellStyle name="Normal 3 27 19" xfId="39441" xr:uid="{00000000-0005-0000-0000-00007D990000}"/>
    <cellStyle name="Normal 3 27 19 2" xfId="39442" xr:uid="{00000000-0005-0000-0000-00007E990000}"/>
    <cellStyle name="Normal 3 27 19 2 2" xfId="39443" xr:uid="{00000000-0005-0000-0000-00007F990000}"/>
    <cellStyle name="Normal 3 27 19 2 2 2" xfId="39444" xr:uid="{00000000-0005-0000-0000-000080990000}"/>
    <cellStyle name="Normal 3 27 19 2 2 3" xfId="39445" xr:uid="{00000000-0005-0000-0000-000081990000}"/>
    <cellStyle name="Normal 3 27 19 2 3" xfId="39446" xr:uid="{00000000-0005-0000-0000-000082990000}"/>
    <cellStyle name="Normal 3 27 19 2 4" xfId="39447" xr:uid="{00000000-0005-0000-0000-000083990000}"/>
    <cellStyle name="Normal 3 27 19 3" xfId="39448" xr:uid="{00000000-0005-0000-0000-000084990000}"/>
    <cellStyle name="Normal 3 27 19 3 2" xfId="39449" xr:uid="{00000000-0005-0000-0000-000085990000}"/>
    <cellStyle name="Normal 3 27 19 3 3" xfId="39450" xr:uid="{00000000-0005-0000-0000-000086990000}"/>
    <cellStyle name="Normal 3 27 19 4" xfId="39451" xr:uid="{00000000-0005-0000-0000-000087990000}"/>
    <cellStyle name="Normal 3 27 2" xfId="39452" xr:uid="{00000000-0005-0000-0000-000088990000}"/>
    <cellStyle name="Normal 3 27 2 2" xfId="39453" xr:uid="{00000000-0005-0000-0000-000089990000}"/>
    <cellStyle name="Normal 3 27 2 2 2" xfId="39454" xr:uid="{00000000-0005-0000-0000-00008A990000}"/>
    <cellStyle name="Normal 3 27 2 2 2 2" xfId="39455" xr:uid="{00000000-0005-0000-0000-00008B990000}"/>
    <cellStyle name="Normal 3 27 2 2 2 3" xfId="39456" xr:uid="{00000000-0005-0000-0000-00008C990000}"/>
    <cellStyle name="Normal 3 27 2 2 3" xfId="39457" xr:uid="{00000000-0005-0000-0000-00008D990000}"/>
    <cellStyle name="Normal 3 27 2 2 4" xfId="39458" xr:uid="{00000000-0005-0000-0000-00008E990000}"/>
    <cellStyle name="Normal 3 27 2 3" xfId="39459" xr:uid="{00000000-0005-0000-0000-00008F990000}"/>
    <cellStyle name="Normal 3 27 2 3 2" xfId="39460" xr:uid="{00000000-0005-0000-0000-000090990000}"/>
    <cellStyle name="Normal 3 27 2 3 3" xfId="39461" xr:uid="{00000000-0005-0000-0000-000091990000}"/>
    <cellStyle name="Normal 3 27 2 4" xfId="39462" xr:uid="{00000000-0005-0000-0000-000092990000}"/>
    <cellStyle name="Normal 3 27 20" xfId="39463" xr:uid="{00000000-0005-0000-0000-000093990000}"/>
    <cellStyle name="Normal 3 27 20 2" xfId="39464" xr:uid="{00000000-0005-0000-0000-000094990000}"/>
    <cellStyle name="Normal 3 27 20 2 2" xfId="39465" xr:uid="{00000000-0005-0000-0000-000095990000}"/>
    <cellStyle name="Normal 3 27 20 2 2 2" xfId="39466" xr:uid="{00000000-0005-0000-0000-000096990000}"/>
    <cellStyle name="Normal 3 27 20 2 2 3" xfId="39467" xr:uid="{00000000-0005-0000-0000-000097990000}"/>
    <cellStyle name="Normal 3 27 20 2 3" xfId="39468" xr:uid="{00000000-0005-0000-0000-000098990000}"/>
    <cellStyle name="Normal 3 27 20 2 4" xfId="39469" xr:uid="{00000000-0005-0000-0000-000099990000}"/>
    <cellStyle name="Normal 3 27 20 3" xfId="39470" xr:uid="{00000000-0005-0000-0000-00009A990000}"/>
    <cellStyle name="Normal 3 27 20 3 2" xfId="39471" xr:uid="{00000000-0005-0000-0000-00009B990000}"/>
    <cellStyle name="Normal 3 27 20 3 3" xfId="39472" xr:uid="{00000000-0005-0000-0000-00009C990000}"/>
    <cellStyle name="Normal 3 27 20 4" xfId="39473" xr:uid="{00000000-0005-0000-0000-00009D990000}"/>
    <cellStyle name="Normal 3 27 21" xfId="39474" xr:uid="{00000000-0005-0000-0000-00009E990000}"/>
    <cellStyle name="Normal 3 27 21 2" xfId="39475" xr:uid="{00000000-0005-0000-0000-00009F990000}"/>
    <cellStyle name="Normal 3 27 21 2 2" xfId="39476" xr:uid="{00000000-0005-0000-0000-0000A0990000}"/>
    <cellStyle name="Normal 3 27 21 2 2 2" xfId="39477" xr:uid="{00000000-0005-0000-0000-0000A1990000}"/>
    <cellStyle name="Normal 3 27 21 2 2 3" xfId="39478" xr:uid="{00000000-0005-0000-0000-0000A2990000}"/>
    <cellStyle name="Normal 3 27 21 2 3" xfId="39479" xr:uid="{00000000-0005-0000-0000-0000A3990000}"/>
    <cellStyle name="Normal 3 27 21 2 4" xfId="39480" xr:uid="{00000000-0005-0000-0000-0000A4990000}"/>
    <cellStyle name="Normal 3 27 21 3" xfId="39481" xr:uid="{00000000-0005-0000-0000-0000A5990000}"/>
    <cellStyle name="Normal 3 27 21 3 2" xfId="39482" xr:uid="{00000000-0005-0000-0000-0000A6990000}"/>
    <cellStyle name="Normal 3 27 21 3 3" xfId="39483" xr:uid="{00000000-0005-0000-0000-0000A7990000}"/>
    <cellStyle name="Normal 3 27 21 4" xfId="39484" xr:uid="{00000000-0005-0000-0000-0000A8990000}"/>
    <cellStyle name="Normal 3 27 22" xfId="39485" xr:uid="{00000000-0005-0000-0000-0000A9990000}"/>
    <cellStyle name="Normal 3 27 22 2" xfId="39486" xr:uid="{00000000-0005-0000-0000-0000AA990000}"/>
    <cellStyle name="Normal 3 27 22 2 2" xfId="39487" xr:uid="{00000000-0005-0000-0000-0000AB990000}"/>
    <cellStyle name="Normal 3 27 22 2 2 2" xfId="39488" xr:uid="{00000000-0005-0000-0000-0000AC990000}"/>
    <cellStyle name="Normal 3 27 22 2 2 3" xfId="39489" xr:uid="{00000000-0005-0000-0000-0000AD990000}"/>
    <cellStyle name="Normal 3 27 22 2 3" xfId="39490" xr:uid="{00000000-0005-0000-0000-0000AE990000}"/>
    <cellStyle name="Normal 3 27 22 2 4" xfId="39491" xr:uid="{00000000-0005-0000-0000-0000AF990000}"/>
    <cellStyle name="Normal 3 27 22 3" xfId="39492" xr:uid="{00000000-0005-0000-0000-0000B0990000}"/>
    <cellStyle name="Normal 3 27 22 3 2" xfId="39493" xr:uid="{00000000-0005-0000-0000-0000B1990000}"/>
    <cellStyle name="Normal 3 27 22 3 3" xfId="39494" xr:uid="{00000000-0005-0000-0000-0000B2990000}"/>
    <cellStyle name="Normal 3 27 22 4" xfId="39495" xr:uid="{00000000-0005-0000-0000-0000B3990000}"/>
    <cellStyle name="Normal 3 27 23" xfId="39496" xr:uid="{00000000-0005-0000-0000-0000B4990000}"/>
    <cellStyle name="Normal 3 27 23 2" xfId="39497" xr:uid="{00000000-0005-0000-0000-0000B5990000}"/>
    <cellStyle name="Normal 3 27 23 2 2" xfId="39498" xr:uid="{00000000-0005-0000-0000-0000B6990000}"/>
    <cellStyle name="Normal 3 27 23 2 2 2" xfId="39499" xr:uid="{00000000-0005-0000-0000-0000B7990000}"/>
    <cellStyle name="Normal 3 27 23 2 2 3" xfId="39500" xr:uid="{00000000-0005-0000-0000-0000B8990000}"/>
    <cellStyle name="Normal 3 27 23 2 3" xfId="39501" xr:uid="{00000000-0005-0000-0000-0000B9990000}"/>
    <cellStyle name="Normal 3 27 23 2 4" xfId="39502" xr:uid="{00000000-0005-0000-0000-0000BA990000}"/>
    <cellStyle name="Normal 3 27 23 3" xfId="39503" xr:uid="{00000000-0005-0000-0000-0000BB990000}"/>
    <cellStyle name="Normal 3 27 23 3 2" xfId="39504" xr:uid="{00000000-0005-0000-0000-0000BC990000}"/>
    <cellStyle name="Normal 3 27 23 3 3" xfId="39505" xr:uid="{00000000-0005-0000-0000-0000BD990000}"/>
    <cellStyle name="Normal 3 27 23 4" xfId="39506" xr:uid="{00000000-0005-0000-0000-0000BE990000}"/>
    <cellStyle name="Normal 3 27 24" xfId="39507" xr:uid="{00000000-0005-0000-0000-0000BF990000}"/>
    <cellStyle name="Normal 3 27 24 2" xfId="39508" xr:uid="{00000000-0005-0000-0000-0000C0990000}"/>
    <cellStyle name="Normal 3 27 24 2 2" xfId="39509" xr:uid="{00000000-0005-0000-0000-0000C1990000}"/>
    <cellStyle name="Normal 3 27 24 2 3" xfId="39510" xr:uid="{00000000-0005-0000-0000-0000C2990000}"/>
    <cellStyle name="Normal 3 27 24 3" xfId="39511" xr:uid="{00000000-0005-0000-0000-0000C3990000}"/>
    <cellStyle name="Normal 3 27 24 4" xfId="39512" xr:uid="{00000000-0005-0000-0000-0000C4990000}"/>
    <cellStyle name="Normal 3 27 25" xfId="39513" xr:uid="{00000000-0005-0000-0000-0000C5990000}"/>
    <cellStyle name="Normal 3 27 25 2" xfId="39514" xr:uid="{00000000-0005-0000-0000-0000C6990000}"/>
    <cellStyle name="Normal 3 27 25 3" xfId="39515" xr:uid="{00000000-0005-0000-0000-0000C7990000}"/>
    <cellStyle name="Normal 3 27 26" xfId="39516" xr:uid="{00000000-0005-0000-0000-0000C8990000}"/>
    <cellStyle name="Normal 3 27 3" xfId="39517" xr:uid="{00000000-0005-0000-0000-0000C9990000}"/>
    <cellStyle name="Normal 3 27 3 2" xfId="39518" xr:uid="{00000000-0005-0000-0000-0000CA990000}"/>
    <cellStyle name="Normal 3 27 3 2 2" xfId="39519" xr:uid="{00000000-0005-0000-0000-0000CB990000}"/>
    <cellStyle name="Normal 3 27 3 2 2 2" xfId="39520" xr:uid="{00000000-0005-0000-0000-0000CC990000}"/>
    <cellStyle name="Normal 3 27 3 2 2 3" xfId="39521" xr:uid="{00000000-0005-0000-0000-0000CD990000}"/>
    <cellStyle name="Normal 3 27 3 2 3" xfId="39522" xr:uid="{00000000-0005-0000-0000-0000CE990000}"/>
    <cellStyle name="Normal 3 27 3 2 4" xfId="39523" xr:uid="{00000000-0005-0000-0000-0000CF990000}"/>
    <cellStyle name="Normal 3 27 3 3" xfId="39524" xr:uid="{00000000-0005-0000-0000-0000D0990000}"/>
    <cellStyle name="Normal 3 27 3 3 2" xfId="39525" xr:uid="{00000000-0005-0000-0000-0000D1990000}"/>
    <cellStyle name="Normal 3 27 3 3 3" xfId="39526" xr:uid="{00000000-0005-0000-0000-0000D2990000}"/>
    <cellStyle name="Normal 3 27 3 4" xfId="39527" xr:uid="{00000000-0005-0000-0000-0000D3990000}"/>
    <cellStyle name="Normal 3 27 4" xfId="39528" xr:uid="{00000000-0005-0000-0000-0000D4990000}"/>
    <cellStyle name="Normal 3 27 4 2" xfId="39529" xr:uid="{00000000-0005-0000-0000-0000D5990000}"/>
    <cellStyle name="Normal 3 27 4 2 2" xfId="39530" xr:uid="{00000000-0005-0000-0000-0000D6990000}"/>
    <cellStyle name="Normal 3 27 4 2 2 2" xfId="39531" xr:uid="{00000000-0005-0000-0000-0000D7990000}"/>
    <cellStyle name="Normal 3 27 4 2 2 3" xfId="39532" xr:uid="{00000000-0005-0000-0000-0000D8990000}"/>
    <cellStyle name="Normal 3 27 4 2 3" xfId="39533" xr:uid="{00000000-0005-0000-0000-0000D9990000}"/>
    <cellStyle name="Normal 3 27 4 2 4" xfId="39534" xr:uid="{00000000-0005-0000-0000-0000DA990000}"/>
    <cellStyle name="Normal 3 27 4 3" xfId="39535" xr:uid="{00000000-0005-0000-0000-0000DB990000}"/>
    <cellStyle name="Normal 3 27 4 3 2" xfId="39536" xr:uid="{00000000-0005-0000-0000-0000DC990000}"/>
    <cellStyle name="Normal 3 27 4 3 3" xfId="39537" xr:uid="{00000000-0005-0000-0000-0000DD990000}"/>
    <cellStyle name="Normal 3 27 4 4" xfId="39538" xr:uid="{00000000-0005-0000-0000-0000DE990000}"/>
    <cellStyle name="Normal 3 27 5" xfId="39539" xr:uid="{00000000-0005-0000-0000-0000DF990000}"/>
    <cellStyle name="Normal 3 27 5 2" xfId="39540" xr:uid="{00000000-0005-0000-0000-0000E0990000}"/>
    <cellStyle name="Normal 3 27 5 2 2" xfId="39541" xr:uid="{00000000-0005-0000-0000-0000E1990000}"/>
    <cellStyle name="Normal 3 27 5 2 2 2" xfId="39542" xr:uid="{00000000-0005-0000-0000-0000E2990000}"/>
    <cellStyle name="Normal 3 27 5 2 2 3" xfId="39543" xr:uid="{00000000-0005-0000-0000-0000E3990000}"/>
    <cellStyle name="Normal 3 27 5 2 3" xfId="39544" xr:uid="{00000000-0005-0000-0000-0000E4990000}"/>
    <cellStyle name="Normal 3 27 5 2 4" xfId="39545" xr:uid="{00000000-0005-0000-0000-0000E5990000}"/>
    <cellStyle name="Normal 3 27 5 3" xfId="39546" xr:uid="{00000000-0005-0000-0000-0000E6990000}"/>
    <cellStyle name="Normal 3 27 5 3 2" xfId="39547" xr:uid="{00000000-0005-0000-0000-0000E7990000}"/>
    <cellStyle name="Normal 3 27 5 3 3" xfId="39548" xr:uid="{00000000-0005-0000-0000-0000E8990000}"/>
    <cellStyle name="Normal 3 27 5 4" xfId="39549" xr:uid="{00000000-0005-0000-0000-0000E9990000}"/>
    <cellStyle name="Normal 3 27 6" xfId="39550" xr:uid="{00000000-0005-0000-0000-0000EA990000}"/>
    <cellStyle name="Normal 3 27 6 2" xfId="39551" xr:uid="{00000000-0005-0000-0000-0000EB990000}"/>
    <cellStyle name="Normal 3 27 6 2 2" xfId="39552" xr:uid="{00000000-0005-0000-0000-0000EC990000}"/>
    <cellStyle name="Normal 3 27 6 2 2 2" xfId="39553" xr:uid="{00000000-0005-0000-0000-0000ED990000}"/>
    <cellStyle name="Normal 3 27 6 2 2 3" xfId="39554" xr:uid="{00000000-0005-0000-0000-0000EE990000}"/>
    <cellStyle name="Normal 3 27 6 2 3" xfId="39555" xr:uid="{00000000-0005-0000-0000-0000EF990000}"/>
    <cellStyle name="Normal 3 27 6 2 4" xfId="39556" xr:uid="{00000000-0005-0000-0000-0000F0990000}"/>
    <cellStyle name="Normal 3 27 6 3" xfId="39557" xr:uid="{00000000-0005-0000-0000-0000F1990000}"/>
    <cellStyle name="Normal 3 27 6 3 2" xfId="39558" xr:uid="{00000000-0005-0000-0000-0000F2990000}"/>
    <cellStyle name="Normal 3 27 6 3 3" xfId="39559" xr:uid="{00000000-0005-0000-0000-0000F3990000}"/>
    <cellStyle name="Normal 3 27 6 4" xfId="39560" xr:uid="{00000000-0005-0000-0000-0000F4990000}"/>
    <cellStyle name="Normal 3 27 7" xfId="39561" xr:uid="{00000000-0005-0000-0000-0000F5990000}"/>
    <cellStyle name="Normal 3 27 7 2" xfId="39562" xr:uid="{00000000-0005-0000-0000-0000F6990000}"/>
    <cellStyle name="Normal 3 27 7 2 2" xfId="39563" xr:uid="{00000000-0005-0000-0000-0000F7990000}"/>
    <cellStyle name="Normal 3 27 7 2 2 2" xfId="39564" xr:uid="{00000000-0005-0000-0000-0000F8990000}"/>
    <cellStyle name="Normal 3 27 7 2 2 3" xfId="39565" xr:uid="{00000000-0005-0000-0000-0000F9990000}"/>
    <cellStyle name="Normal 3 27 7 2 3" xfId="39566" xr:uid="{00000000-0005-0000-0000-0000FA990000}"/>
    <cellStyle name="Normal 3 27 7 2 4" xfId="39567" xr:uid="{00000000-0005-0000-0000-0000FB990000}"/>
    <cellStyle name="Normal 3 27 7 3" xfId="39568" xr:uid="{00000000-0005-0000-0000-0000FC990000}"/>
    <cellStyle name="Normal 3 27 7 3 2" xfId="39569" xr:uid="{00000000-0005-0000-0000-0000FD990000}"/>
    <cellStyle name="Normal 3 27 7 3 3" xfId="39570" xr:uid="{00000000-0005-0000-0000-0000FE990000}"/>
    <cellStyle name="Normal 3 27 7 4" xfId="39571" xr:uid="{00000000-0005-0000-0000-0000FF990000}"/>
    <cellStyle name="Normal 3 27 8" xfId="39572" xr:uid="{00000000-0005-0000-0000-0000009A0000}"/>
    <cellStyle name="Normal 3 27 8 2" xfId="39573" xr:uid="{00000000-0005-0000-0000-0000019A0000}"/>
    <cellStyle name="Normal 3 27 8 2 2" xfId="39574" xr:uid="{00000000-0005-0000-0000-0000029A0000}"/>
    <cellStyle name="Normal 3 27 8 2 2 2" xfId="39575" xr:uid="{00000000-0005-0000-0000-0000039A0000}"/>
    <cellStyle name="Normal 3 27 8 2 2 3" xfId="39576" xr:uid="{00000000-0005-0000-0000-0000049A0000}"/>
    <cellStyle name="Normal 3 27 8 2 3" xfId="39577" xr:uid="{00000000-0005-0000-0000-0000059A0000}"/>
    <cellStyle name="Normal 3 27 8 2 4" xfId="39578" xr:uid="{00000000-0005-0000-0000-0000069A0000}"/>
    <cellStyle name="Normal 3 27 8 3" xfId="39579" xr:uid="{00000000-0005-0000-0000-0000079A0000}"/>
    <cellStyle name="Normal 3 27 8 3 2" xfId="39580" xr:uid="{00000000-0005-0000-0000-0000089A0000}"/>
    <cellStyle name="Normal 3 27 8 3 3" xfId="39581" xr:uid="{00000000-0005-0000-0000-0000099A0000}"/>
    <cellStyle name="Normal 3 27 8 4" xfId="39582" xr:uid="{00000000-0005-0000-0000-00000A9A0000}"/>
    <cellStyle name="Normal 3 27 9" xfId="39583" xr:uid="{00000000-0005-0000-0000-00000B9A0000}"/>
    <cellStyle name="Normal 3 27 9 2" xfId="39584" xr:uid="{00000000-0005-0000-0000-00000C9A0000}"/>
    <cellStyle name="Normal 3 27 9 2 2" xfId="39585" xr:uid="{00000000-0005-0000-0000-00000D9A0000}"/>
    <cellStyle name="Normal 3 27 9 2 2 2" xfId="39586" xr:uid="{00000000-0005-0000-0000-00000E9A0000}"/>
    <cellStyle name="Normal 3 27 9 2 2 3" xfId="39587" xr:uid="{00000000-0005-0000-0000-00000F9A0000}"/>
    <cellStyle name="Normal 3 27 9 2 3" xfId="39588" xr:uid="{00000000-0005-0000-0000-0000109A0000}"/>
    <cellStyle name="Normal 3 27 9 2 4" xfId="39589" xr:uid="{00000000-0005-0000-0000-0000119A0000}"/>
    <cellStyle name="Normal 3 27 9 3" xfId="39590" xr:uid="{00000000-0005-0000-0000-0000129A0000}"/>
    <cellStyle name="Normal 3 27 9 3 2" xfId="39591" xr:uid="{00000000-0005-0000-0000-0000139A0000}"/>
    <cellStyle name="Normal 3 27 9 3 3" xfId="39592" xr:uid="{00000000-0005-0000-0000-0000149A0000}"/>
    <cellStyle name="Normal 3 27 9 4" xfId="39593" xr:uid="{00000000-0005-0000-0000-0000159A0000}"/>
    <cellStyle name="Normal 3 28" xfId="39594" xr:uid="{00000000-0005-0000-0000-0000169A0000}"/>
    <cellStyle name="Normal 3 28 10" xfId="39595" xr:uid="{00000000-0005-0000-0000-0000179A0000}"/>
    <cellStyle name="Normal 3 28 10 2" xfId="39596" xr:uid="{00000000-0005-0000-0000-0000189A0000}"/>
    <cellStyle name="Normal 3 28 10 2 2" xfId="39597" xr:uid="{00000000-0005-0000-0000-0000199A0000}"/>
    <cellStyle name="Normal 3 28 10 2 2 2" xfId="39598" xr:uid="{00000000-0005-0000-0000-00001A9A0000}"/>
    <cellStyle name="Normal 3 28 10 2 2 3" xfId="39599" xr:uid="{00000000-0005-0000-0000-00001B9A0000}"/>
    <cellStyle name="Normal 3 28 10 2 3" xfId="39600" xr:uid="{00000000-0005-0000-0000-00001C9A0000}"/>
    <cellStyle name="Normal 3 28 10 2 4" xfId="39601" xr:uid="{00000000-0005-0000-0000-00001D9A0000}"/>
    <cellStyle name="Normal 3 28 10 3" xfId="39602" xr:uid="{00000000-0005-0000-0000-00001E9A0000}"/>
    <cellStyle name="Normal 3 28 10 3 2" xfId="39603" xr:uid="{00000000-0005-0000-0000-00001F9A0000}"/>
    <cellStyle name="Normal 3 28 10 3 3" xfId="39604" xr:uid="{00000000-0005-0000-0000-0000209A0000}"/>
    <cellStyle name="Normal 3 28 10 4" xfId="39605" xr:uid="{00000000-0005-0000-0000-0000219A0000}"/>
    <cellStyle name="Normal 3 28 11" xfId="39606" xr:uid="{00000000-0005-0000-0000-0000229A0000}"/>
    <cellStyle name="Normal 3 28 11 2" xfId="39607" xr:uid="{00000000-0005-0000-0000-0000239A0000}"/>
    <cellStyle name="Normal 3 28 11 2 2" xfId="39608" xr:uid="{00000000-0005-0000-0000-0000249A0000}"/>
    <cellStyle name="Normal 3 28 11 2 2 2" xfId="39609" xr:uid="{00000000-0005-0000-0000-0000259A0000}"/>
    <cellStyle name="Normal 3 28 11 2 2 3" xfId="39610" xr:uid="{00000000-0005-0000-0000-0000269A0000}"/>
    <cellStyle name="Normal 3 28 11 2 3" xfId="39611" xr:uid="{00000000-0005-0000-0000-0000279A0000}"/>
    <cellStyle name="Normal 3 28 11 2 4" xfId="39612" xr:uid="{00000000-0005-0000-0000-0000289A0000}"/>
    <cellStyle name="Normal 3 28 11 3" xfId="39613" xr:uid="{00000000-0005-0000-0000-0000299A0000}"/>
    <cellStyle name="Normal 3 28 11 3 2" xfId="39614" xr:uid="{00000000-0005-0000-0000-00002A9A0000}"/>
    <cellStyle name="Normal 3 28 11 3 3" xfId="39615" xr:uid="{00000000-0005-0000-0000-00002B9A0000}"/>
    <cellStyle name="Normal 3 28 11 4" xfId="39616" xr:uid="{00000000-0005-0000-0000-00002C9A0000}"/>
    <cellStyle name="Normal 3 28 12" xfId="39617" xr:uid="{00000000-0005-0000-0000-00002D9A0000}"/>
    <cellStyle name="Normal 3 28 12 2" xfId="39618" xr:uid="{00000000-0005-0000-0000-00002E9A0000}"/>
    <cellStyle name="Normal 3 28 12 2 2" xfId="39619" xr:uid="{00000000-0005-0000-0000-00002F9A0000}"/>
    <cellStyle name="Normal 3 28 12 2 2 2" xfId="39620" xr:uid="{00000000-0005-0000-0000-0000309A0000}"/>
    <cellStyle name="Normal 3 28 12 2 2 3" xfId="39621" xr:uid="{00000000-0005-0000-0000-0000319A0000}"/>
    <cellStyle name="Normal 3 28 12 2 3" xfId="39622" xr:uid="{00000000-0005-0000-0000-0000329A0000}"/>
    <cellStyle name="Normal 3 28 12 2 4" xfId="39623" xr:uid="{00000000-0005-0000-0000-0000339A0000}"/>
    <cellStyle name="Normal 3 28 12 3" xfId="39624" xr:uid="{00000000-0005-0000-0000-0000349A0000}"/>
    <cellStyle name="Normal 3 28 12 3 2" xfId="39625" xr:uid="{00000000-0005-0000-0000-0000359A0000}"/>
    <cellStyle name="Normal 3 28 12 3 3" xfId="39626" xr:uid="{00000000-0005-0000-0000-0000369A0000}"/>
    <cellStyle name="Normal 3 28 12 4" xfId="39627" xr:uid="{00000000-0005-0000-0000-0000379A0000}"/>
    <cellStyle name="Normal 3 28 13" xfId="39628" xr:uid="{00000000-0005-0000-0000-0000389A0000}"/>
    <cellStyle name="Normal 3 28 13 2" xfId="39629" xr:uid="{00000000-0005-0000-0000-0000399A0000}"/>
    <cellStyle name="Normal 3 28 13 2 2" xfId="39630" xr:uid="{00000000-0005-0000-0000-00003A9A0000}"/>
    <cellStyle name="Normal 3 28 13 2 2 2" xfId="39631" xr:uid="{00000000-0005-0000-0000-00003B9A0000}"/>
    <cellStyle name="Normal 3 28 13 2 2 3" xfId="39632" xr:uid="{00000000-0005-0000-0000-00003C9A0000}"/>
    <cellStyle name="Normal 3 28 13 2 3" xfId="39633" xr:uid="{00000000-0005-0000-0000-00003D9A0000}"/>
    <cellStyle name="Normal 3 28 13 2 4" xfId="39634" xr:uid="{00000000-0005-0000-0000-00003E9A0000}"/>
    <cellStyle name="Normal 3 28 13 3" xfId="39635" xr:uid="{00000000-0005-0000-0000-00003F9A0000}"/>
    <cellStyle name="Normal 3 28 13 3 2" xfId="39636" xr:uid="{00000000-0005-0000-0000-0000409A0000}"/>
    <cellStyle name="Normal 3 28 13 3 3" xfId="39637" xr:uid="{00000000-0005-0000-0000-0000419A0000}"/>
    <cellStyle name="Normal 3 28 13 4" xfId="39638" xr:uid="{00000000-0005-0000-0000-0000429A0000}"/>
    <cellStyle name="Normal 3 28 14" xfId="39639" xr:uid="{00000000-0005-0000-0000-0000439A0000}"/>
    <cellStyle name="Normal 3 28 14 2" xfId="39640" xr:uid="{00000000-0005-0000-0000-0000449A0000}"/>
    <cellStyle name="Normal 3 28 14 2 2" xfId="39641" xr:uid="{00000000-0005-0000-0000-0000459A0000}"/>
    <cellStyle name="Normal 3 28 14 2 2 2" xfId="39642" xr:uid="{00000000-0005-0000-0000-0000469A0000}"/>
    <cellStyle name="Normal 3 28 14 2 2 3" xfId="39643" xr:uid="{00000000-0005-0000-0000-0000479A0000}"/>
    <cellStyle name="Normal 3 28 14 2 3" xfId="39644" xr:uid="{00000000-0005-0000-0000-0000489A0000}"/>
    <cellStyle name="Normal 3 28 14 2 4" xfId="39645" xr:uid="{00000000-0005-0000-0000-0000499A0000}"/>
    <cellStyle name="Normal 3 28 14 3" xfId="39646" xr:uid="{00000000-0005-0000-0000-00004A9A0000}"/>
    <cellStyle name="Normal 3 28 14 3 2" xfId="39647" xr:uid="{00000000-0005-0000-0000-00004B9A0000}"/>
    <cellStyle name="Normal 3 28 14 3 3" xfId="39648" xr:uid="{00000000-0005-0000-0000-00004C9A0000}"/>
    <cellStyle name="Normal 3 28 14 4" xfId="39649" xr:uid="{00000000-0005-0000-0000-00004D9A0000}"/>
    <cellStyle name="Normal 3 28 15" xfId="39650" xr:uid="{00000000-0005-0000-0000-00004E9A0000}"/>
    <cellStyle name="Normal 3 28 15 2" xfId="39651" xr:uid="{00000000-0005-0000-0000-00004F9A0000}"/>
    <cellStyle name="Normal 3 28 15 2 2" xfId="39652" xr:uid="{00000000-0005-0000-0000-0000509A0000}"/>
    <cellStyle name="Normal 3 28 15 2 2 2" xfId="39653" xr:uid="{00000000-0005-0000-0000-0000519A0000}"/>
    <cellStyle name="Normal 3 28 15 2 2 3" xfId="39654" xr:uid="{00000000-0005-0000-0000-0000529A0000}"/>
    <cellStyle name="Normal 3 28 15 2 3" xfId="39655" xr:uid="{00000000-0005-0000-0000-0000539A0000}"/>
    <cellStyle name="Normal 3 28 15 2 4" xfId="39656" xr:uid="{00000000-0005-0000-0000-0000549A0000}"/>
    <cellStyle name="Normal 3 28 15 3" xfId="39657" xr:uid="{00000000-0005-0000-0000-0000559A0000}"/>
    <cellStyle name="Normal 3 28 15 3 2" xfId="39658" xr:uid="{00000000-0005-0000-0000-0000569A0000}"/>
    <cellStyle name="Normal 3 28 15 3 3" xfId="39659" xr:uid="{00000000-0005-0000-0000-0000579A0000}"/>
    <cellStyle name="Normal 3 28 15 4" xfId="39660" xr:uid="{00000000-0005-0000-0000-0000589A0000}"/>
    <cellStyle name="Normal 3 28 16" xfId="39661" xr:uid="{00000000-0005-0000-0000-0000599A0000}"/>
    <cellStyle name="Normal 3 28 16 2" xfId="39662" xr:uid="{00000000-0005-0000-0000-00005A9A0000}"/>
    <cellStyle name="Normal 3 28 16 2 2" xfId="39663" xr:uid="{00000000-0005-0000-0000-00005B9A0000}"/>
    <cellStyle name="Normal 3 28 16 2 2 2" xfId="39664" xr:uid="{00000000-0005-0000-0000-00005C9A0000}"/>
    <cellStyle name="Normal 3 28 16 2 2 3" xfId="39665" xr:uid="{00000000-0005-0000-0000-00005D9A0000}"/>
    <cellStyle name="Normal 3 28 16 2 3" xfId="39666" xr:uid="{00000000-0005-0000-0000-00005E9A0000}"/>
    <cellStyle name="Normal 3 28 16 2 4" xfId="39667" xr:uid="{00000000-0005-0000-0000-00005F9A0000}"/>
    <cellStyle name="Normal 3 28 16 3" xfId="39668" xr:uid="{00000000-0005-0000-0000-0000609A0000}"/>
    <cellStyle name="Normal 3 28 16 3 2" xfId="39669" xr:uid="{00000000-0005-0000-0000-0000619A0000}"/>
    <cellStyle name="Normal 3 28 16 3 3" xfId="39670" xr:uid="{00000000-0005-0000-0000-0000629A0000}"/>
    <cellStyle name="Normal 3 28 16 4" xfId="39671" xr:uid="{00000000-0005-0000-0000-0000639A0000}"/>
    <cellStyle name="Normal 3 28 17" xfId="39672" xr:uid="{00000000-0005-0000-0000-0000649A0000}"/>
    <cellStyle name="Normal 3 28 17 2" xfId="39673" xr:uid="{00000000-0005-0000-0000-0000659A0000}"/>
    <cellStyle name="Normal 3 28 17 2 2" xfId="39674" xr:uid="{00000000-0005-0000-0000-0000669A0000}"/>
    <cellStyle name="Normal 3 28 17 2 2 2" xfId="39675" xr:uid="{00000000-0005-0000-0000-0000679A0000}"/>
    <cellStyle name="Normal 3 28 17 2 2 3" xfId="39676" xr:uid="{00000000-0005-0000-0000-0000689A0000}"/>
    <cellStyle name="Normal 3 28 17 2 3" xfId="39677" xr:uid="{00000000-0005-0000-0000-0000699A0000}"/>
    <cellStyle name="Normal 3 28 17 2 4" xfId="39678" xr:uid="{00000000-0005-0000-0000-00006A9A0000}"/>
    <cellStyle name="Normal 3 28 17 3" xfId="39679" xr:uid="{00000000-0005-0000-0000-00006B9A0000}"/>
    <cellStyle name="Normal 3 28 17 3 2" xfId="39680" xr:uid="{00000000-0005-0000-0000-00006C9A0000}"/>
    <cellStyle name="Normal 3 28 17 3 3" xfId="39681" xr:uid="{00000000-0005-0000-0000-00006D9A0000}"/>
    <cellStyle name="Normal 3 28 17 4" xfId="39682" xr:uid="{00000000-0005-0000-0000-00006E9A0000}"/>
    <cellStyle name="Normal 3 28 18" xfId="39683" xr:uid="{00000000-0005-0000-0000-00006F9A0000}"/>
    <cellStyle name="Normal 3 28 18 2" xfId="39684" xr:uid="{00000000-0005-0000-0000-0000709A0000}"/>
    <cellStyle name="Normal 3 28 18 2 2" xfId="39685" xr:uid="{00000000-0005-0000-0000-0000719A0000}"/>
    <cellStyle name="Normal 3 28 18 2 2 2" xfId="39686" xr:uid="{00000000-0005-0000-0000-0000729A0000}"/>
    <cellStyle name="Normal 3 28 18 2 2 3" xfId="39687" xr:uid="{00000000-0005-0000-0000-0000739A0000}"/>
    <cellStyle name="Normal 3 28 18 2 3" xfId="39688" xr:uid="{00000000-0005-0000-0000-0000749A0000}"/>
    <cellStyle name="Normal 3 28 18 2 4" xfId="39689" xr:uid="{00000000-0005-0000-0000-0000759A0000}"/>
    <cellStyle name="Normal 3 28 18 3" xfId="39690" xr:uid="{00000000-0005-0000-0000-0000769A0000}"/>
    <cellStyle name="Normal 3 28 18 3 2" xfId="39691" xr:uid="{00000000-0005-0000-0000-0000779A0000}"/>
    <cellStyle name="Normal 3 28 18 3 3" xfId="39692" xr:uid="{00000000-0005-0000-0000-0000789A0000}"/>
    <cellStyle name="Normal 3 28 18 4" xfId="39693" xr:uid="{00000000-0005-0000-0000-0000799A0000}"/>
    <cellStyle name="Normal 3 28 19" xfId="39694" xr:uid="{00000000-0005-0000-0000-00007A9A0000}"/>
    <cellStyle name="Normal 3 28 19 2" xfId="39695" xr:uid="{00000000-0005-0000-0000-00007B9A0000}"/>
    <cellStyle name="Normal 3 28 19 2 2" xfId="39696" xr:uid="{00000000-0005-0000-0000-00007C9A0000}"/>
    <cellStyle name="Normal 3 28 19 2 2 2" xfId="39697" xr:uid="{00000000-0005-0000-0000-00007D9A0000}"/>
    <cellStyle name="Normal 3 28 19 2 2 3" xfId="39698" xr:uid="{00000000-0005-0000-0000-00007E9A0000}"/>
    <cellStyle name="Normal 3 28 19 2 3" xfId="39699" xr:uid="{00000000-0005-0000-0000-00007F9A0000}"/>
    <cellStyle name="Normal 3 28 19 2 4" xfId="39700" xr:uid="{00000000-0005-0000-0000-0000809A0000}"/>
    <cellStyle name="Normal 3 28 19 3" xfId="39701" xr:uid="{00000000-0005-0000-0000-0000819A0000}"/>
    <cellStyle name="Normal 3 28 19 3 2" xfId="39702" xr:uid="{00000000-0005-0000-0000-0000829A0000}"/>
    <cellStyle name="Normal 3 28 19 3 3" xfId="39703" xr:uid="{00000000-0005-0000-0000-0000839A0000}"/>
    <cellStyle name="Normal 3 28 19 4" xfId="39704" xr:uid="{00000000-0005-0000-0000-0000849A0000}"/>
    <cellStyle name="Normal 3 28 2" xfId="39705" xr:uid="{00000000-0005-0000-0000-0000859A0000}"/>
    <cellStyle name="Normal 3 28 2 2" xfId="39706" xr:uid="{00000000-0005-0000-0000-0000869A0000}"/>
    <cellStyle name="Normal 3 28 2 2 2" xfId="39707" xr:uid="{00000000-0005-0000-0000-0000879A0000}"/>
    <cellStyle name="Normal 3 28 2 2 2 2" xfId="39708" xr:uid="{00000000-0005-0000-0000-0000889A0000}"/>
    <cellStyle name="Normal 3 28 2 2 2 3" xfId="39709" xr:uid="{00000000-0005-0000-0000-0000899A0000}"/>
    <cellStyle name="Normal 3 28 2 2 3" xfId="39710" xr:uid="{00000000-0005-0000-0000-00008A9A0000}"/>
    <cellStyle name="Normal 3 28 2 2 4" xfId="39711" xr:uid="{00000000-0005-0000-0000-00008B9A0000}"/>
    <cellStyle name="Normal 3 28 2 3" xfId="39712" xr:uid="{00000000-0005-0000-0000-00008C9A0000}"/>
    <cellStyle name="Normal 3 28 2 3 2" xfId="39713" xr:uid="{00000000-0005-0000-0000-00008D9A0000}"/>
    <cellStyle name="Normal 3 28 2 3 3" xfId="39714" xr:uid="{00000000-0005-0000-0000-00008E9A0000}"/>
    <cellStyle name="Normal 3 28 2 4" xfId="39715" xr:uid="{00000000-0005-0000-0000-00008F9A0000}"/>
    <cellStyle name="Normal 3 28 20" xfId="39716" xr:uid="{00000000-0005-0000-0000-0000909A0000}"/>
    <cellStyle name="Normal 3 28 20 2" xfId="39717" xr:uid="{00000000-0005-0000-0000-0000919A0000}"/>
    <cellStyle name="Normal 3 28 20 2 2" xfId="39718" xr:uid="{00000000-0005-0000-0000-0000929A0000}"/>
    <cellStyle name="Normal 3 28 20 2 2 2" xfId="39719" xr:uid="{00000000-0005-0000-0000-0000939A0000}"/>
    <cellStyle name="Normal 3 28 20 2 2 3" xfId="39720" xr:uid="{00000000-0005-0000-0000-0000949A0000}"/>
    <cellStyle name="Normal 3 28 20 2 3" xfId="39721" xr:uid="{00000000-0005-0000-0000-0000959A0000}"/>
    <cellStyle name="Normal 3 28 20 2 4" xfId="39722" xr:uid="{00000000-0005-0000-0000-0000969A0000}"/>
    <cellStyle name="Normal 3 28 20 3" xfId="39723" xr:uid="{00000000-0005-0000-0000-0000979A0000}"/>
    <cellStyle name="Normal 3 28 20 3 2" xfId="39724" xr:uid="{00000000-0005-0000-0000-0000989A0000}"/>
    <cellStyle name="Normal 3 28 20 3 3" xfId="39725" xr:uid="{00000000-0005-0000-0000-0000999A0000}"/>
    <cellStyle name="Normal 3 28 20 4" xfId="39726" xr:uid="{00000000-0005-0000-0000-00009A9A0000}"/>
    <cellStyle name="Normal 3 28 21" xfId="39727" xr:uid="{00000000-0005-0000-0000-00009B9A0000}"/>
    <cellStyle name="Normal 3 28 21 2" xfId="39728" xr:uid="{00000000-0005-0000-0000-00009C9A0000}"/>
    <cellStyle name="Normal 3 28 21 2 2" xfId="39729" xr:uid="{00000000-0005-0000-0000-00009D9A0000}"/>
    <cellStyle name="Normal 3 28 21 2 2 2" xfId="39730" xr:uid="{00000000-0005-0000-0000-00009E9A0000}"/>
    <cellStyle name="Normal 3 28 21 2 2 3" xfId="39731" xr:uid="{00000000-0005-0000-0000-00009F9A0000}"/>
    <cellStyle name="Normal 3 28 21 2 3" xfId="39732" xr:uid="{00000000-0005-0000-0000-0000A09A0000}"/>
    <cellStyle name="Normal 3 28 21 2 4" xfId="39733" xr:uid="{00000000-0005-0000-0000-0000A19A0000}"/>
    <cellStyle name="Normal 3 28 21 3" xfId="39734" xr:uid="{00000000-0005-0000-0000-0000A29A0000}"/>
    <cellStyle name="Normal 3 28 21 3 2" xfId="39735" xr:uid="{00000000-0005-0000-0000-0000A39A0000}"/>
    <cellStyle name="Normal 3 28 21 3 3" xfId="39736" xr:uid="{00000000-0005-0000-0000-0000A49A0000}"/>
    <cellStyle name="Normal 3 28 21 4" xfId="39737" xr:uid="{00000000-0005-0000-0000-0000A59A0000}"/>
    <cellStyle name="Normal 3 28 22" xfId="39738" xr:uid="{00000000-0005-0000-0000-0000A69A0000}"/>
    <cellStyle name="Normal 3 28 22 2" xfId="39739" xr:uid="{00000000-0005-0000-0000-0000A79A0000}"/>
    <cellStyle name="Normal 3 28 22 2 2" xfId="39740" xr:uid="{00000000-0005-0000-0000-0000A89A0000}"/>
    <cellStyle name="Normal 3 28 22 2 2 2" xfId="39741" xr:uid="{00000000-0005-0000-0000-0000A99A0000}"/>
    <cellStyle name="Normal 3 28 22 2 2 3" xfId="39742" xr:uid="{00000000-0005-0000-0000-0000AA9A0000}"/>
    <cellStyle name="Normal 3 28 22 2 3" xfId="39743" xr:uid="{00000000-0005-0000-0000-0000AB9A0000}"/>
    <cellStyle name="Normal 3 28 22 2 4" xfId="39744" xr:uid="{00000000-0005-0000-0000-0000AC9A0000}"/>
    <cellStyle name="Normal 3 28 22 3" xfId="39745" xr:uid="{00000000-0005-0000-0000-0000AD9A0000}"/>
    <cellStyle name="Normal 3 28 22 3 2" xfId="39746" xr:uid="{00000000-0005-0000-0000-0000AE9A0000}"/>
    <cellStyle name="Normal 3 28 22 3 3" xfId="39747" xr:uid="{00000000-0005-0000-0000-0000AF9A0000}"/>
    <cellStyle name="Normal 3 28 22 4" xfId="39748" xr:uid="{00000000-0005-0000-0000-0000B09A0000}"/>
    <cellStyle name="Normal 3 28 23" xfId="39749" xr:uid="{00000000-0005-0000-0000-0000B19A0000}"/>
    <cellStyle name="Normal 3 28 23 2" xfId="39750" xr:uid="{00000000-0005-0000-0000-0000B29A0000}"/>
    <cellStyle name="Normal 3 28 23 2 2" xfId="39751" xr:uid="{00000000-0005-0000-0000-0000B39A0000}"/>
    <cellStyle name="Normal 3 28 23 2 2 2" xfId="39752" xr:uid="{00000000-0005-0000-0000-0000B49A0000}"/>
    <cellStyle name="Normal 3 28 23 2 2 3" xfId="39753" xr:uid="{00000000-0005-0000-0000-0000B59A0000}"/>
    <cellStyle name="Normal 3 28 23 2 3" xfId="39754" xr:uid="{00000000-0005-0000-0000-0000B69A0000}"/>
    <cellStyle name="Normal 3 28 23 2 4" xfId="39755" xr:uid="{00000000-0005-0000-0000-0000B79A0000}"/>
    <cellStyle name="Normal 3 28 23 3" xfId="39756" xr:uid="{00000000-0005-0000-0000-0000B89A0000}"/>
    <cellStyle name="Normal 3 28 23 3 2" xfId="39757" xr:uid="{00000000-0005-0000-0000-0000B99A0000}"/>
    <cellStyle name="Normal 3 28 23 3 3" xfId="39758" xr:uid="{00000000-0005-0000-0000-0000BA9A0000}"/>
    <cellStyle name="Normal 3 28 23 4" xfId="39759" xr:uid="{00000000-0005-0000-0000-0000BB9A0000}"/>
    <cellStyle name="Normal 3 28 24" xfId="39760" xr:uid="{00000000-0005-0000-0000-0000BC9A0000}"/>
    <cellStyle name="Normal 3 28 24 2" xfId="39761" xr:uid="{00000000-0005-0000-0000-0000BD9A0000}"/>
    <cellStyle name="Normal 3 28 24 2 2" xfId="39762" xr:uid="{00000000-0005-0000-0000-0000BE9A0000}"/>
    <cellStyle name="Normal 3 28 24 2 3" xfId="39763" xr:uid="{00000000-0005-0000-0000-0000BF9A0000}"/>
    <cellStyle name="Normal 3 28 24 3" xfId="39764" xr:uid="{00000000-0005-0000-0000-0000C09A0000}"/>
    <cellStyle name="Normal 3 28 24 4" xfId="39765" xr:uid="{00000000-0005-0000-0000-0000C19A0000}"/>
    <cellStyle name="Normal 3 28 25" xfId="39766" xr:uid="{00000000-0005-0000-0000-0000C29A0000}"/>
    <cellStyle name="Normal 3 28 25 2" xfId="39767" xr:uid="{00000000-0005-0000-0000-0000C39A0000}"/>
    <cellStyle name="Normal 3 28 25 3" xfId="39768" xr:uid="{00000000-0005-0000-0000-0000C49A0000}"/>
    <cellStyle name="Normal 3 28 26" xfId="39769" xr:uid="{00000000-0005-0000-0000-0000C59A0000}"/>
    <cellStyle name="Normal 3 28 3" xfId="39770" xr:uid="{00000000-0005-0000-0000-0000C69A0000}"/>
    <cellStyle name="Normal 3 28 3 2" xfId="39771" xr:uid="{00000000-0005-0000-0000-0000C79A0000}"/>
    <cellStyle name="Normal 3 28 3 2 2" xfId="39772" xr:uid="{00000000-0005-0000-0000-0000C89A0000}"/>
    <cellStyle name="Normal 3 28 3 2 2 2" xfId="39773" xr:uid="{00000000-0005-0000-0000-0000C99A0000}"/>
    <cellStyle name="Normal 3 28 3 2 2 3" xfId="39774" xr:uid="{00000000-0005-0000-0000-0000CA9A0000}"/>
    <cellStyle name="Normal 3 28 3 2 3" xfId="39775" xr:uid="{00000000-0005-0000-0000-0000CB9A0000}"/>
    <cellStyle name="Normal 3 28 3 2 4" xfId="39776" xr:uid="{00000000-0005-0000-0000-0000CC9A0000}"/>
    <cellStyle name="Normal 3 28 3 3" xfId="39777" xr:uid="{00000000-0005-0000-0000-0000CD9A0000}"/>
    <cellStyle name="Normal 3 28 3 3 2" xfId="39778" xr:uid="{00000000-0005-0000-0000-0000CE9A0000}"/>
    <cellStyle name="Normal 3 28 3 3 3" xfId="39779" xr:uid="{00000000-0005-0000-0000-0000CF9A0000}"/>
    <cellStyle name="Normal 3 28 3 4" xfId="39780" xr:uid="{00000000-0005-0000-0000-0000D09A0000}"/>
    <cellStyle name="Normal 3 28 4" xfId="39781" xr:uid="{00000000-0005-0000-0000-0000D19A0000}"/>
    <cellStyle name="Normal 3 28 4 2" xfId="39782" xr:uid="{00000000-0005-0000-0000-0000D29A0000}"/>
    <cellStyle name="Normal 3 28 4 2 2" xfId="39783" xr:uid="{00000000-0005-0000-0000-0000D39A0000}"/>
    <cellStyle name="Normal 3 28 4 2 2 2" xfId="39784" xr:uid="{00000000-0005-0000-0000-0000D49A0000}"/>
    <cellStyle name="Normal 3 28 4 2 2 3" xfId="39785" xr:uid="{00000000-0005-0000-0000-0000D59A0000}"/>
    <cellStyle name="Normal 3 28 4 2 3" xfId="39786" xr:uid="{00000000-0005-0000-0000-0000D69A0000}"/>
    <cellStyle name="Normal 3 28 4 2 4" xfId="39787" xr:uid="{00000000-0005-0000-0000-0000D79A0000}"/>
    <cellStyle name="Normal 3 28 4 3" xfId="39788" xr:uid="{00000000-0005-0000-0000-0000D89A0000}"/>
    <cellStyle name="Normal 3 28 4 3 2" xfId="39789" xr:uid="{00000000-0005-0000-0000-0000D99A0000}"/>
    <cellStyle name="Normal 3 28 4 3 3" xfId="39790" xr:uid="{00000000-0005-0000-0000-0000DA9A0000}"/>
    <cellStyle name="Normal 3 28 4 4" xfId="39791" xr:uid="{00000000-0005-0000-0000-0000DB9A0000}"/>
    <cellStyle name="Normal 3 28 5" xfId="39792" xr:uid="{00000000-0005-0000-0000-0000DC9A0000}"/>
    <cellStyle name="Normal 3 28 5 2" xfId="39793" xr:uid="{00000000-0005-0000-0000-0000DD9A0000}"/>
    <cellStyle name="Normal 3 28 5 2 2" xfId="39794" xr:uid="{00000000-0005-0000-0000-0000DE9A0000}"/>
    <cellStyle name="Normal 3 28 5 2 2 2" xfId="39795" xr:uid="{00000000-0005-0000-0000-0000DF9A0000}"/>
    <cellStyle name="Normal 3 28 5 2 2 3" xfId="39796" xr:uid="{00000000-0005-0000-0000-0000E09A0000}"/>
    <cellStyle name="Normal 3 28 5 2 3" xfId="39797" xr:uid="{00000000-0005-0000-0000-0000E19A0000}"/>
    <cellStyle name="Normal 3 28 5 2 4" xfId="39798" xr:uid="{00000000-0005-0000-0000-0000E29A0000}"/>
    <cellStyle name="Normal 3 28 5 3" xfId="39799" xr:uid="{00000000-0005-0000-0000-0000E39A0000}"/>
    <cellStyle name="Normal 3 28 5 3 2" xfId="39800" xr:uid="{00000000-0005-0000-0000-0000E49A0000}"/>
    <cellStyle name="Normal 3 28 5 3 3" xfId="39801" xr:uid="{00000000-0005-0000-0000-0000E59A0000}"/>
    <cellStyle name="Normal 3 28 5 4" xfId="39802" xr:uid="{00000000-0005-0000-0000-0000E69A0000}"/>
    <cellStyle name="Normal 3 28 6" xfId="39803" xr:uid="{00000000-0005-0000-0000-0000E79A0000}"/>
    <cellStyle name="Normal 3 28 6 2" xfId="39804" xr:uid="{00000000-0005-0000-0000-0000E89A0000}"/>
    <cellStyle name="Normal 3 28 6 2 2" xfId="39805" xr:uid="{00000000-0005-0000-0000-0000E99A0000}"/>
    <cellStyle name="Normal 3 28 6 2 2 2" xfId="39806" xr:uid="{00000000-0005-0000-0000-0000EA9A0000}"/>
    <cellStyle name="Normal 3 28 6 2 2 3" xfId="39807" xr:uid="{00000000-0005-0000-0000-0000EB9A0000}"/>
    <cellStyle name="Normal 3 28 6 2 3" xfId="39808" xr:uid="{00000000-0005-0000-0000-0000EC9A0000}"/>
    <cellStyle name="Normal 3 28 6 2 4" xfId="39809" xr:uid="{00000000-0005-0000-0000-0000ED9A0000}"/>
    <cellStyle name="Normal 3 28 6 3" xfId="39810" xr:uid="{00000000-0005-0000-0000-0000EE9A0000}"/>
    <cellStyle name="Normal 3 28 6 3 2" xfId="39811" xr:uid="{00000000-0005-0000-0000-0000EF9A0000}"/>
    <cellStyle name="Normal 3 28 6 3 3" xfId="39812" xr:uid="{00000000-0005-0000-0000-0000F09A0000}"/>
    <cellStyle name="Normal 3 28 6 4" xfId="39813" xr:uid="{00000000-0005-0000-0000-0000F19A0000}"/>
    <cellStyle name="Normal 3 28 7" xfId="39814" xr:uid="{00000000-0005-0000-0000-0000F29A0000}"/>
    <cellStyle name="Normal 3 28 7 2" xfId="39815" xr:uid="{00000000-0005-0000-0000-0000F39A0000}"/>
    <cellStyle name="Normal 3 28 7 2 2" xfId="39816" xr:uid="{00000000-0005-0000-0000-0000F49A0000}"/>
    <cellStyle name="Normal 3 28 7 2 2 2" xfId="39817" xr:uid="{00000000-0005-0000-0000-0000F59A0000}"/>
    <cellStyle name="Normal 3 28 7 2 2 3" xfId="39818" xr:uid="{00000000-0005-0000-0000-0000F69A0000}"/>
    <cellStyle name="Normal 3 28 7 2 3" xfId="39819" xr:uid="{00000000-0005-0000-0000-0000F79A0000}"/>
    <cellStyle name="Normal 3 28 7 2 4" xfId="39820" xr:uid="{00000000-0005-0000-0000-0000F89A0000}"/>
    <cellStyle name="Normal 3 28 7 3" xfId="39821" xr:uid="{00000000-0005-0000-0000-0000F99A0000}"/>
    <cellStyle name="Normal 3 28 7 3 2" xfId="39822" xr:uid="{00000000-0005-0000-0000-0000FA9A0000}"/>
    <cellStyle name="Normal 3 28 7 3 3" xfId="39823" xr:uid="{00000000-0005-0000-0000-0000FB9A0000}"/>
    <cellStyle name="Normal 3 28 7 4" xfId="39824" xr:uid="{00000000-0005-0000-0000-0000FC9A0000}"/>
    <cellStyle name="Normal 3 28 8" xfId="39825" xr:uid="{00000000-0005-0000-0000-0000FD9A0000}"/>
    <cellStyle name="Normal 3 28 8 2" xfId="39826" xr:uid="{00000000-0005-0000-0000-0000FE9A0000}"/>
    <cellStyle name="Normal 3 28 8 2 2" xfId="39827" xr:uid="{00000000-0005-0000-0000-0000FF9A0000}"/>
    <cellStyle name="Normal 3 28 8 2 2 2" xfId="39828" xr:uid="{00000000-0005-0000-0000-0000009B0000}"/>
    <cellStyle name="Normal 3 28 8 2 2 3" xfId="39829" xr:uid="{00000000-0005-0000-0000-0000019B0000}"/>
    <cellStyle name="Normal 3 28 8 2 3" xfId="39830" xr:uid="{00000000-0005-0000-0000-0000029B0000}"/>
    <cellStyle name="Normal 3 28 8 2 4" xfId="39831" xr:uid="{00000000-0005-0000-0000-0000039B0000}"/>
    <cellStyle name="Normal 3 28 8 3" xfId="39832" xr:uid="{00000000-0005-0000-0000-0000049B0000}"/>
    <cellStyle name="Normal 3 28 8 3 2" xfId="39833" xr:uid="{00000000-0005-0000-0000-0000059B0000}"/>
    <cellStyle name="Normal 3 28 8 3 3" xfId="39834" xr:uid="{00000000-0005-0000-0000-0000069B0000}"/>
    <cellStyle name="Normal 3 28 8 4" xfId="39835" xr:uid="{00000000-0005-0000-0000-0000079B0000}"/>
    <cellStyle name="Normal 3 28 9" xfId="39836" xr:uid="{00000000-0005-0000-0000-0000089B0000}"/>
    <cellStyle name="Normal 3 28 9 2" xfId="39837" xr:uid="{00000000-0005-0000-0000-0000099B0000}"/>
    <cellStyle name="Normal 3 28 9 2 2" xfId="39838" xr:uid="{00000000-0005-0000-0000-00000A9B0000}"/>
    <cellStyle name="Normal 3 28 9 2 2 2" xfId="39839" xr:uid="{00000000-0005-0000-0000-00000B9B0000}"/>
    <cellStyle name="Normal 3 28 9 2 2 3" xfId="39840" xr:uid="{00000000-0005-0000-0000-00000C9B0000}"/>
    <cellStyle name="Normal 3 28 9 2 3" xfId="39841" xr:uid="{00000000-0005-0000-0000-00000D9B0000}"/>
    <cellStyle name="Normal 3 28 9 2 4" xfId="39842" xr:uid="{00000000-0005-0000-0000-00000E9B0000}"/>
    <cellStyle name="Normal 3 28 9 3" xfId="39843" xr:uid="{00000000-0005-0000-0000-00000F9B0000}"/>
    <cellStyle name="Normal 3 28 9 3 2" xfId="39844" xr:uid="{00000000-0005-0000-0000-0000109B0000}"/>
    <cellStyle name="Normal 3 28 9 3 3" xfId="39845" xr:uid="{00000000-0005-0000-0000-0000119B0000}"/>
    <cellStyle name="Normal 3 28 9 4" xfId="39846" xr:uid="{00000000-0005-0000-0000-0000129B0000}"/>
    <cellStyle name="Normal 3 29" xfId="39847" xr:uid="{00000000-0005-0000-0000-0000139B0000}"/>
    <cellStyle name="Normal 3 29 10" xfId="39848" xr:uid="{00000000-0005-0000-0000-0000149B0000}"/>
    <cellStyle name="Normal 3 29 10 2" xfId="39849" xr:uid="{00000000-0005-0000-0000-0000159B0000}"/>
    <cellStyle name="Normal 3 29 10 2 2" xfId="39850" xr:uid="{00000000-0005-0000-0000-0000169B0000}"/>
    <cellStyle name="Normal 3 29 10 2 2 2" xfId="39851" xr:uid="{00000000-0005-0000-0000-0000179B0000}"/>
    <cellStyle name="Normal 3 29 10 2 2 3" xfId="39852" xr:uid="{00000000-0005-0000-0000-0000189B0000}"/>
    <cellStyle name="Normal 3 29 10 2 3" xfId="39853" xr:uid="{00000000-0005-0000-0000-0000199B0000}"/>
    <cellStyle name="Normal 3 29 10 2 4" xfId="39854" xr:uid="{00000000-0005-0000-0000-00001A9B0000}"/>
    <cellStyle name="Normal 3 29 10 3" xfId="39855" xr:uid="{00000000-0005-0000-0000-00001B9B0000}"/>
    <cellStyle name="Normal 3 29 10 3 2" xfId="39856" xr:uid="{00000000-0005-0000-0000-00001C9B0000}"/>
    <cellStyle name="Normal 3 29 10 3 3" xfId="39857" xr:uid="{00000000-0005-0000-0000-00001D9B0000}"/>
    <cellStyle name="Normal 3 29 10 4" xfId="39858" xr:uid="{00000000-0005-0000-0000-00001E9B0000}"/>
    <cellStyle name="Normal 3 29 11" xfId="39859" xr:uid="{00000000-0005-0000-0000-00001F9B0000}"/>
    <cellStyle name="Normal 3 29 11 2" xfId="39860" xr:uid="{00000000-0005-0000-0000-0000209B0000}"/>
    <cellStyle name="Normal 3 29 11 2 2" xfId="39861" xr:uid="{00000000-0005-0000-0000-0000219B0000}"/>
    <cellStyle name="Normal 3 29 11 2 2 2" xfId="39862" xr:uid="{00000000-0005-0000-0000-0000229B0000}"/>
    <cellStyle name="Normal 3 29 11 2 2 3" xfId="39863" xr:uid="{00000000-0005-0000-0000-0000239B0000}"/>
    <cellStyle name="Normal 3 29 11 2 3" xfId="39864" xr:uid="{00000000-0005-0000-0000-0000249B0000}"/>
    <cellStyle name="Normal 3 29 11 2 4" xfId="39865" xr:uid="{00000000-0005-0000-0000-0000259B0000}"/>
    <cellStyle name="Normal 3 29 11 3" xfId="39866" xr:uid="{00000000-0005-0000-0000-0000269B0000}"/>
    <cellStyle name="Normal 3 29 11 3 2" xfId="39867" xr:uid="{00000000-0005-0000-0000-0000279B0000}"/>
    <cellStyle name="Normal 3 29 11 3 3" xfId="39868" xr:uid="{00000000-0005-0000-0000-0000289B0000}"/>
    <cellStyle name="Normal 3 29 11 4" xfId="39869" xr:uid="{00000000-0005-0000-0000-0000299B0000}"/>
    <cellStyle name="Normal 3 29 12" xfId="39870" xr:uid="{00000000-0005-0000-0000-00002A9B0000}"/>
    <cellStyle name="Normal 3 29 12 2" xfId="39871" xr:uid="{00000000-0005-0000-0000-00002B9B0000}"/>
    <cellStyle name="Normal 3 29 12 2 2" xfId="39872" xr:uid="{00000000-0005-0000-0000-00002C9B0000}"/>
    <cellStyle name="Normal 3 29 12 2 2 2" xfId="39873" xr:uid="{00000000-0005-0000-0000-00002D9B0000}"/>
    <cellStyle name="Normal 3 29 12 2 2 3" xfId="39874" xr:uid="{00000000-0005-0000-0000-00002E9B0000}"/>
    <cellStyle name="Normal 3 29 12 2 3" xfId="39875" xr:uid="{00000000-0005-0000-0000-00002F9B0000}"/>
    <cellStyle name="Normal 3 29 12 2 4" xfId="39876" xr:uid="{00000000-0005-0000-0000-0000309B0000}"/>
    <cellStyle name="Normal 3 29 12 3" xfId="39877" xr:uid="{00000000-0005-0000-0000-0000319B0000}"/>
    <cellStyle name="Normal 3 29 12 3 2" xfId="39878" xr:uid="{00000000-0005-0000-0000-0000329B0000}"/>
    <cellStyle name="Normal 3 29 12 3 3" xfId="39879" xr:uid="{00000000-0005-0000-0000-0000339B0000}"/>
    <cellStyle name="Normal 3 29 12 4" xfId="39880" xr:uid="{00000000-0005-0000-0000-0000349B0000}"/>
    <cellStyle name="Normal 3 29 13" xfId="39881" xr:uid="{00000000-0005-0000-0000-0000359B0000}"/>
    <cellStyle name="Normal 3 29 13 2" xfId="39882" xr:uid="{00000000-0005-0000-0000-0000369B0000}"/>
    <cellStyle name="Normal 3 29 13 2 2" xfId="39883" xr:uid="{00000000-0005-0000-0000-0000379B0000}"/>
    <cellStyle name="Normal 3 29 13 2 2 2" xfId="39884" xr:uid="{00000000-0005-0000-0000-0000389B0000}"/>
    <cellStyle name="Normal 3 29 13 2 2 3" xfId="39885" xr:uid="{00000000-0005-0000-0000-0000399B0000}"/>
    <cellStyle name="Normal 3 29 13 2 3" xfId="39886" xr:uid="{00000000-0005-0000-0000-00003A9B0000}"/>
    <cellStyle name="Normal 3 29 13 2 4" xfId="39887" xr:uid="{00000000-0005-0000-0000-00003B9B0000}"/>
    <cellStyle name="Normal 3 29 13 3" xfId="39888" xr:uid="{00000000-0005-0000-0000-00003C9B0000}"/>
    <cellStyle name="Normal 3 29 13 3 2" xfId="39889" xr:uid="{00000000-0005-0000-0000-00003D9B0000}"/>
    <cellStyle name="Normal 3 29 13 3 3" xfId="39890" xr:uid="{00000000-0005-0000-0000-00003E9B0000}"/>
    <cellStyle name="Normal 3 29 13 4" xfId="39891" xr:uid="{00000000-0005-0000-0000-00003F9B0000}"/>
    <cellStyle name="Normal 3 29 14" xfId="39892" xr:uid="{00000000-0005-0000-0000-0000409B0000}"/>
    <cellStyle name="Normal 3 29 14 2" xfId="39893" xr:uid="{00000000-0005-0000-0000-0000419B0000}"/>
    <cellStyle name="Normal 3 29 14 2 2" xfId="39894" xr:uid="{00000000-0005-0000-0000-0000429B0000}"/>
    <cellStyle name="Normal 3 29 14 2 2 2" xfId="39895" xr:uid="{00000000-0005-0000-0000-0000439B0000}"/>
    <cellStyle name="Normal 3 29 14 2 2 3" xfId="39896" xr:uid="{00000000-0005-0000-0000-0000449B0000}"/>
    <cellStyle name="Normal 3 29 14 2 3" xfId="39897" xr:uid="{00000000-0005-0000-0000-0000459B0000}"/>
    <cellStyle name="Normal 3 29 14 2 4" xfId="39898" xr:uid="{00000000-0005-0000-0000-0000469B0000}"/>
    <cellStyle name="Normal 3 29 14 3" xfId="39899" xr:uid="{00000000-0005-0000-0000-0000479B0000}"/>
    <cellStyle name="Normal 3 29 14 3 2" xfId="39900" xr:uid="{00000000-0005-0000-0000-0000489B0000}"/>
    <cellStyle name="Normal 3 29 14 3 3" xfId="39901" xr:uid="{00000000-0005-0000-0000-0000499B0000}"/>
    <cellStyle name="Normal 3 29 14 4" xfId="39902" xr:uid="{00000000-0005-0000-0000-00004A9B0000}"/>
    <cellStyle name="Normal 3 29 15" xfId="39903" xr:uid="{00000000-0005-0000-0000-00004B9B0000}"/>
    <cellStyle name="Normal 3 29 15 2" xfId="39904" xr:uid="{00000000-0005-0000-0000-00004C9B0000}"/>
    <cellStyle name="Normal 3 29 15 2 2" xfId="39905" xr:uid="{00000000-0005-0000-0000-00004D9B0000}"/>
    <cellStyle name="Normal 3 29 15 2 2 2" xfId="39906" xr:uid="{00000000-0005-0000-0000-00004E9B0000}"/>
    <cellStyle name="Normal 3 29 15 2 2 3" xfId="39907" xr:uid="{00000000-0005-0000-0000-00004F9B0000}"/>
    <cellStyle name="Normal 3 29 15 2 3" xfId="39908" xr:uid="{00000000-0005-0000-0000-0000509B0000}"/>
    <cellStyle name="Normal 3 29 15 2 4" xfId="39909" xr:uid="{00000000-0005-0000-0000-0000519B0000}"/>
    <cellStyle name="Normal 3 29 15 3" xfId="39910" xr:uid="{00000000-0005-0000-0000-0000529B0000}"/>
    <cellStyle name="Normal 3 29 15 3 2" xfId="39911" xr:uid="{00000000-0005-0000-0000-0000539B0000}"/>
    <cellStyle name="Normal 3 29 15 3 3" xfId="39912" xr:uid="{00000000-0005-0000-0000-0000549B0000}"/>
    <cellStyle name="Normal 3 29 15 4" xfId="39913" xr:uid="{00000000-0005-0000-0000-0000559B0000}"/>
    <cellStyle name="Normal 3 29 16" xfId="39914" xr:uid="{00000000-0005-0000-0000-0000569B0000}"/>
    <cellStyle name="Normal 3 29 16 2" xfId="39915" xr:uid="{00000000-0005-0000-0000-0000579B0000}"/>
    <cellStyle name="Normal 3 29 16 2 2" xfId="39916" xr:uid="{00000000-0005-0000-0000-0000589B0000}"/>
    <cellStyle name="Normal 3 29 16 2 2 2" xfId="39917" xr:uid="{00000000-0005-0000-0000-0000599B0000}"/>
    <cellStyle name="Normal 3 29 16 2 2 3" xfId="39918" xr:uid="{00000000-0005-0000-0000-00005A9B0000}"/>
    <cellStyle name="Normal 3 29 16 2 3" xfId="39919" xr:uid="{00000000-0005-0000-0000-00005B9B0000}"/>
    <cellStyle name="Normal 3 29 16 2 4" xfId="39920" xr:uid="{00000000-0005-0000-0000-00005C9B0000}"/>
    <cellStyle name="Normal 3 29 16 3" xfId="39921" xr:uid="{00000000-0005-0000-0000-00005D9B0000}"/>
    <cellStyle name="Normal 3 29 16 3 2" xfId="39922" xr:uid="{00000000-0005-0000-0000-00005E9B0000}"/>
    <cellStyle name="Normal 3 29 16 3 3" xfId="39923" xr:uid="{00000000-0005-0000-0000-00005F9B0000}"/>
    <cellStyle name="Normal 3 29 16 4" xfId="39924" xr:uid="{00000000-0005-0000-0000-0000609B0000}"/>
    <cellStyle name="Normal 3 29 17" xfId="39925" xr:uid="{00000000-0005-0000-0000-0000619B0000}"/>
    <cellStyle name="Normal 3 29 17 2" xfId="39926" xr:uid="{00000000-0005-0000-0000-0000629B0000}"/>
    <cellStyle name="Normal 3 29 17 2 2" xfId="39927" xr:uid="{00000000-0005-0000-0000-0000639B0000}"/>
    <cellStyle name="Normal 3 29 17 2 2 2" xfId="39928" xr:uid="{00000000-0005-0000-0000-0000649B0000}"/>
    <cellStyle name="Normal 3 29 17 2 2 3" xfId="39929" xr:uid="{00000000-0005-0000-0000-0000659B0000}"/>
    <cellStyle name="Normal 3 29 17 2 3" xfId="39930" xr:uid="{00000000-0005-0000-0000-0000669B0000}"/>
    <cellStyle name="Normal 3 29 17 2 4" xfId="39931" xr:uid="{00000000-0005-0000-0000-0000679B0000}"/>
    <cellStyle name="Normal 3 29 17 3" xfId="39932" xr:uid="{00000000-0005-0000-0000-0000689B0000}"/>
    <cellStyle name="Normal 3 29 17 3 2" xfId="39933" xr:uid="{00000000-0005-0000-0000-0000699B0000}"/>
    <cellStyle name="Normal 3 29 17 3 3" xfId="39934" xr:uid="{00000000-0005-0000-0000-00006A9B0000}"/>
    <cellStyle name="Normal 3 29 17 4" xfId="39935" xr:uid="{00000000-0005-0000-0000-00006B9B0000}"/>
    <cellStyle name="Normal 3 29 18" xfId="39936" xr:uid="{00000000-0005-0000-0000-00006C9B0000}"/>
    <cellStyle name="Normal 3 29 18 2" xfId="39937" xr:uid="{00000000-0005-0000-0000-00006D9B0000}"/>
    <cellStyle name="Normal 3 29 18 2 2" xfId="39938" xr:uid="{00000000-0005-0000-0000-00006E9B0000}"/>
    <cellStyle name="Normal 3 29 18 2 2 2" xfId="39939" xr:uid="{00000000-0005-0000-0000-00006F9B0000}"/>
    <cellStyle name="Normal 3 29 18 2 2 3" xfId="39940" xr:uid="{00000000-0005-0000-0000-0000709B0000}"/>
    <cellStyle name="Normal 3 29 18 2 3" xfId="39941" xr:uid="{00000000-0005-0000-0000-0000719B0000}"/>
    <cellStyle name="Normal 3 29 18 2 4" xfId="39942" xr:uid="{00000000-0005-0000-0000-0000729B0000}"/>
    <cellStyle name="Normal 3 29 18 3" xfId="39943" xr:uid="{00000000-0005-0000-0000-0000739B0000}"/>
    <cellStyle name="Normal 3 29 18 3 2" xfId="39944" xr:uid="{00000000-0005-0000-0000-0000749B0000}"/>
    <cellStyle name="Normal 3 29 18 3 3" xfId="39945" xr:uid="{00000000-0005-0000-0000-0000759B0000}"/>
    <cellStyle name="Normal 3 29 18 4" xfId="39946" xr:uid="{00000000-0005-0000-0000-0000769B0000}"/>
    <cellStyle name="Normal 3 29 19" xfId="39947" xr:uid="{00000000-0005-0000-0000-0000779B0000}"/>
    <cellStyle name="Normal 3 29 19 2" xfId="39948" xr:uid="{00000000-0005-0000-0000-0000789B0000}"/>
    <cellStyle name="Normal 3 29 19 2 2" xfId="39949" xr:uid="{00000000-0005-0000-0000-0000799B0000}"/>
    <cellStyle name="Normal 3 29 19 2 2 2" xfId="39950" xr:uid="{00000000-0005-0000-0000-00007A9B0000}"/>
    <cellStyle name="Normal 3 29 19 2 2 3" xfId="39951" xr:uid="{00000000-0005-0000-0000-00007B9B0000}"/>
    <cellStyle name="Normal 3 29 19 2 3" xfId="39952" xr:uid="{00000000-0005-0000-0000-00007C9B0000}"/>
    <cellStyle name="Normal 3 29 19 2 4" xfId="39953" xr:uid="{00000000-0005-0000-0000-00007D9B0000}"/>
    <cellStyle name="Normal 3 29 19 3" xfId="39954" xr:uid="{00000000-0005-0000-0000-00007E9B0000}"/>
    <cellStyle name="Normal 3 29 19 3 2" xfId="39955" xr:uid="{00000000-0005-0000-0000-00007F9B0000}"/>
    <cellStyle name="Normal 3 29 19 3 3" xfId="39956" xr:uid="{00000000-0005-0000-0000-0000809B0000}"/>
    <cellStyle name="Normal 3 29 19 4" xfId="39957" xr:uid="{00000000-0005-0000-0000-0000819B0000}"/>
    <cellStyle name="Normal 3 29 2" xfId="39958" xr:uid="{00000000-0005-0000-0000-0000829B0000}"/>
    <cellStyle name="Normal 3 29 2 2" xfId="39959" xr:uid="{00000000-0005-0000-0000-0000839B0000}"/>
    <cellStyle name="Normal 3 29 2 2 2" xfId="39960" xr:uid="{00000000-0005-0000-0000-0000849B0000}"/>
    <cellStyle name="Normal 3 29 2 2 2 2" xfId="39961" xr:uid="{00000000-0005-0000-0000-0000859B0000}"/>
    <cellStyle name="Normal 3 29 2 2 2 3" xfId="39962" xr:uid="{00000000-0005-0000-0000-0000869B0000}"/>
    <cellStyle name="Normal 3 29 2 2 3" xfId="39963" xr:uid="{00000000-0005-0000-0000-0000879B0000}"/>
    <cellStyle name="Normal 3 29 2 2 4" xfId="39964" xr:uid="{00000000-0005-0000-0000-0000889B0000}"/>
    <cellStyle name="Normal 3 29 2 3" xfId="39965" xr:uid="{00000000-0005-0000-0000-0000899B0000}"/>
    <cellStyle name="Normal 3 29 2 3 2" xfId="39966" xr:uid="{00000000-0005-0000-0000-00008A9B0000}"/>
    <cellStyle name="Normal 3 29 2 3 3" xfId="39967" xr:uid="{00000000-0005-0000-0000-00008B9B0000}"/>
    <cellStyle name="Normal 3 29 2 4" xfId="39968" xr:uid="{00000000-0005-0000-0000-00008C9B0000}"/>
    <cellStyle name="Normal 3 29 20" xfId="39969" xr:uid="{00000000-0005-0000-0000-00008D9B0000}"/>
    <cellStyle name="Normal 3 29 20 2" xfId="39970" xr:uid="{00000000-0005-0000-0000-00008E9B0000}"/>
    <cellStyle name="Normal 3 29 20 2 2" xfId="39971" xr:uid="{00000000-0005-0000-0000-00008F9B0000}"/>
    <cellStyle name="Normal 3 29 20 2 2 2" xfId="39972" xr:uid="{00000000-0005-0000-0000-0000909B0000}"/>
    <cellStyle name="Normal 3 29 20 2 2 3" xfId="39973" xr:uid="{00000000-0005-0000-0000-0000919B0000}"/>
    <cellStyle name="Normal 3 29 20 2 3" xfId="39974" xr:uid="{00000000-0005-0000-0000-0000929B0000}"/>
    <cellStyle name="Normal 3 29 20 2 4" xfId="39975" xr:uid="{00000000-0005-0000-0000-0000939B0000}"/>
    <cellStyle name="Normal 3 29 20 3" xfId="39976" xr:uid="{00000000-0005-0000-0000-0000949B0000}"/>
    <cellStyle name="Normal 3 29 20 3 2" xfId="39977" xr:uid="{00000000-0005-0000-0000-0000959B0000}"/>
    <cellStyle name="Normal 3 29 20 3 3" xfId="39978" xr:uid="{00000000-0005-0000-0000-0000969B0000}"/>
    <cellStyle name="Normal 3 29 20 4" xfId="39979" xr:uid="{00000000-0005-0000-0000-0000979B0000}"/>
    <cellStyle name="Normal 3 29 21" xfId="39980" xr:uid="{00000000-0005-0000-0000-0000989B0000}"/>
    <cellStyle name="Normal 3 29 21 2" xfId="39981" xr:uid="{00000000-0005-0000-0000-0000999B0000}"/>
    <cellStyle name="Normal 3 29 21 2 2" xfId="39982" xr:uid="{00000000-0005-0000-0000-00009A9B0000}"/>
    <cellStyle name="Normal 3 29 21 2 2 2" xfId="39983" xr:uid="{00000000-0005-0000-0000-00009B9B0000}"/>
    <cellStyle name="Normal 3 29 21 2 2 3" xfId="39984" xr:uid="{00000000-0005-0000-0000-00009C9B0000}"/>
    <cellStyle name="Normal 3 29 21 2 3" xfId="39985" xr:uid="{00000000-0005-0000-0000-00009D9B0000}"/>
    <cellStyle name="Normal 3 29 21 2 4" xfId="39986" xr:uid="{00000000-0005-0000-0000-00009E9B0000}"/>
    <cellStyle name="Normal 3 29 21 3" xfId="39987" xr:uid="{00000000-0005-0000-0000-00009F9B0000}"/>
    <cellStyle name="Normal 3 29 21 3 2" xfId="39988" xr:uid="{00000000-0005-0000-0000-0000A09B0000}"/>
    <cellStyle name="Normal 3 29 21 3 3" xfId="39989" xr:uid="{00000000-0005-0000-0000-0000A19B0000}"/>
    <cellStyle name="Normal 3 29 21 4" xfId="39990" xr:uid="{00000000-0005-0000-0000-0000A29B0000}"/>
    <cellStyle name="Normal 3 29 22" xfId="39991" xr:uid="{00000000-0005-0000-0000-0000A39B0000}"/>
    <cellStyle name="Normal 3 29 22 2" xfId="39992" xr:uid="{00000000-0005-0000-0000-0000A49B0000}"/>
    <cellStyle name="Normal 3 29 22 2 2" xfId="39993" xr:uid="{00000000-0005-0000-0000-0000A59B0000}"/>
    <cellStyle name="Normal 3 29 22 2 2 2" xfId="39994" xr:uid="{00000000-0005-0000-0000-0000A69B0000}"/>
    <cellStyle name="Normal 3 29 22 2 2 3" xfId="39995" xr:uid="{00000000-0005-0000-0000-0000A79B0000}"/>
    <cellStyle name="Normal 3 29 22 2 3" xfId="39996" xr:uid="{00000000-0005-0000-0000-0000A89B0000}"/>
    <cellStyle name="Normal 3 29 22 2 4" xfId="39997" xr:uid="{00000000-0005-0000-0000-0000A99B0000}"/>
    <cellStyle name="Normal 3 29 22 3" xfId="39998" xr:uid="{00000000-0005-0000-0000-0000AA9B0000}"/>
    <cellStyle name="Normal 3 29 22 3 2" xfId="39999" xr:uid="{00000000-0005-0000-0000-0000AB9B0000}"/>
    <cellStyle name="Normal 3 29 22 3 3" xfId="40000" xr:uid="{00000000-0005-0000-0000-0000AC9B0000}"/>
    <cellStyle name="Normal 3 29 22 4" xfId="40001" xr:uid="{00000000-0005-0000-0000-0000AD9B0000}"/>
    <cellStyle name="Normal 3 29 23" xfId="40002" xr:uid="{00000000-0005-0000-0000-0000AE9B0000}"/>
    <cellStyle name="Normal 3 29 23 2" xfId="40003" xr:uid="{00000000-0005-0000-0000-0000AF9B0000}"/>
    <cellStyle name="Normal 3 29 23 2 2" xfId="40004" xr:uid="{00000000-0005-0000-0000-0000B09B0000}"/>
    <cellStyle name="Normal 3 29 23 2 2 2" xfId="40005" xr:uid="{00000000-0005-0000-0000-0000B19B0000}"/>
    <cellStyle name="Normal 3 29 23 2 2 3" xfId="40006" xr:uid="{00000000-0005-0000-0000-0000B29B0000}"/>
    <cellStyle name="Normal 3 29 23 2 3" xfId="40007" xr:uid="{00000000-0005-0000-0000-0000B39B0000}"/>
    <cellStyle name="Normal 3 29 23 2 4" xfId="40008" xr:uid="{00000000-0005-0000-0000-0000B49B0000}"/>
    <cellStyle name="Normal 3 29 23 3" xfId="40009" xr:uid="{00000000-0005-0000-0000-0000B59B0000}"/>
    <cellStyle name="Normal 3 29 23 3 2" xfId="40010" xr:uid="{00000000-0005-0000-0000-0000B69B0000}"/>
    <cellStyle name="Normal 3 29 23 3 3" xfId="40011" xr:uid="{00000000-0005-0000-0000-0000B79B0000}"/>
    <cellStyle name="Normal 3 29 23 4" xfId="40012" xr:uid="{00000000-0005-0000-0000-0000B89B0000}"/>
    <cellStyle name="Normal 3 29 24" xfId="40013" xr:uid="{00000000-0005-0000-0000-0000B99B0000}"/>
    <cellStyle name="Normal 3 29 24 2" xfId="40014" xr:uid="{00000000-0005-0000-0000-0000BA9B0000}"/>
    <cellStyle name="Normal 3 29 24 2 2" xfId="40015" xr:uid="{00000000-0005-0000-0000-0000BB9B0000}"/>
    <cellStyle name="Normal 3 29 24 2 3" xfId="40016" xr:uid="{00000000-0005-0000-0000-0000BC9B0000}"/>
    <cellStyle name="Normal 3 29 24 3" xfId="40017" xr:uid="{00000000-0005-0000-0000-0000BD9B0000}"/>
    <cellStyle name="Normal 3 29 24 4" xfId="40018" xr:uid="{00000000-0005-0000-0000-0000BE9B0000}"/>
    <cellStyle name="Normal 3 29 25" xfId="40019" xr:uid="{00000000-0005-0000-0000-0000BF9B0000}"/>
    <cellStyle name="Normal 3 29 25 2" xfId="40020" xr:uid="{00000000-0005-0000-0000-0000C09B0000}"/>
    <cellStyle name="Normal 3 29 25 3" xfId="40021" xr:uid="{00000000-0005-0000-0000-0000C19B0000}"/>
    <cellStyle name="Normal 3 29 26" xfId="40022" xr:uid="{00000000-0005-0000-0000-0000C29B0000}"/>
    <cellStyle name="Normal 3 29 3" xfId="40023" xr:uid="{00000000-0005-0000-0000-0000C39B0000}"/>
    <cellStyle name="Normal 3 29 3 2" xfId="40024" xr:uid="{00000000-0005-0000-0000-0000C49B0000}"/>
    <cellStyle name="Normal 3 29 3 2 2" xfId="40025" xr:uid="{00000000-0005-0000-0000-0000C59B0000}"/>
    <cellStyle name="Normal 3 29 3 2 2 2" xfId="40026" xr:uid="{00000000-0005-0000-0000-0000C69B0000}"/>
    <cellStyle name="Normal 3 29 3 2 2 3" xfId="40027" xr:uid="{00000000-0005-0000-0000-0000C79B0000}"/>
    <cellStyle name="Normal 3 29 3 2 3" xfId="40028" xr:uid="{00000000-0005-0000-0000-0000C89B0000}"/>
    <cellStyle name="Normal 3 29 3 2 4" xfId="40029" xr:uid="{00000000-0005-0000-0000-0000C99B0000}"/>
    <cellStyle name="Normal 3 29 3 3" xfId="40030" xr:uid="{00000000-0005-0000-0000-0000CA9B0000}"/>
    <cellStyle name="Normal 3 29 3 3 2" xfId="40031" xr:uid="{00000000-0005-0000-0000-0000CB9B0000}"/>
    <cellStyle name="Normal 3 29 3 3 3" xfId="40032" xr:uid="{00000000-0005-0000-0000-0000CC9B0000}"/>
    <cellStyle name="Normal 3 29 3 4" xfId="40033" xr:uid="{00000000-0005-0000-0000-0000CD9B0000}"/>
    <cellStyle name="Normal 3 29 4" xfId="40034" xr:uid="{00000000-0005-0000-0000-0000CE9B0000}"/>
    <cellStyle name="Normal 3 29 4 2" xfId="40035" xr:uid="{00000000-0005-0000-0000-0000CF9B0000}"/>
    <cellStyle name="Normal 3 29 4 2 2" xfId="40036" xr:uid="{00000000-0005-0000-0000-0000D09B0000}"/>
    <cellStyle name="Normal 3 29 4 2 2 2" xfId="40037" xr:uid="{00000000-0005-0000-0000-0000D19B0000}"/>
    <cellStyle name="Normal 3 29 4 2 2 3" xfId="40038" xr:uid="{00000000-0005-0000-0000-0000D29B0000}"/>
    <cellStyle name="Normal 3 29 4 2 3" xfId="40039" xr:uid="{00000000-0005-0000-0000-0000D39B0000}"/>
    <cellStyle name="Normal 3 29 4 2 4" xfId="40040" xr:uid="{00000000-0005-0000-0000-0000D49B0000}"/>
    <cellStyle name="Normal 3 29 4 3" xfId="40041" xr:uid="{00000000-0005-0000-0000-0000D59B0000}"/>
    <cellStyle name="Normal 3 29 4 3 2" xfId="40042" xr:uid="{00000000-0005-0000-0000-0000D69B0000}"/>
    <cellStyle name="Normal 3 29 4 3 3" xfId="40043" xr:uid="{00000000-0005-0000-0000-0000D79B0000}"/>
    <cellStyle name="Normal 3 29 4 4" xfId="40044" xr:uid="{00000000-0005-0000-0000-0000D89B0000}"/>
    <cellStyle name="Normal 3 29 5" xfId="40045" xr:uid="{00000000-0005-0000-0000-0000D99B0000}"/>
    <cellStyle name="Normal 3 29 5 2" xfId="40046" xr:uid="{00000000-0005-0000-0000-0000DA9B0000}"/>
    <cellStyle name="Normal 3 29 5 2 2" xfId="40047" xr:uid="{00000000-0005-0000-0000-0000DB9B0000}"/>
    <cellStyle name="Normal 3 29 5 2 2 2" xfId="40048" xr:uid="{00000000-0005-0000-0000-0000DC9B0000}"/>
    <cellStyle name="Normal 3 29 5 2 2 3" xfId="40049" xr:uid="{00000000-0005-0000-0000-0000DD9B0000}"/>
    <cellStyle name="Normal 3 29 5 2 3" xfId="40050" xr:uid="{00000000-0005-0000-0000-0000DE9B0000}"/>
    <cellStyle name="Normal 3 29 5 2 4" xfId="40051" xr:uid="{00000000-0005-0000-0000-0000DF9B0000}"/>
    <cellStyle name="Normal 3 29 5 3" xfId="40052" xr:uid="{00000000-0005-0000-0000-0000E09B0000}"/>
    <cellStyle name="Normal 3 29 5 3 2" xfId="40053" xr:uid="{00000000-0005-0000-0000-0000E19B0000}"/>
    <cellStyle name="Normal 3 29 5 3 3" xfId="40054" xr:uid="{00000000-0005-0000-0000-0000E29B0000}"/>
    <cellStyle name="Normal 3 29 5 4" xfId="40055" xr:uid="{00000000-0005-0000-0000-0000E39B0000}"/>
    <cellStyle name="Normal 3 29 6" xfId="40056" xr:uid="{00000000-0005-0000-0000-0000E49B0000}"/>
    <cellStyle name="Normal 3 29 6 2" xfId="40057" xr:uid="{00000000-0005-0000-0000-0000E59B0000}"/>
    <cellStyle name="Normal 3 29 6 2 2" xfId="40058" xr:uid="{00000000-0005-0000-0000-0000E69B0000}"/>
    <cellStyle name="Normal 3 29 6 2 2 2" xfId="40059" xr:uid="{00000000-0005-0000-0000-0000E79B0000}"/>
    <cellStyle name="Normal 3 29 6 2 2 3" xfId="40060" xr:uid="{00000000-0005-0000-0000-0000E89B0000}"/>
    <cellStyle name="Normal 3 29 6 2 3" xfId="40061" xr:uid="{00000000-0005-0000-0000-0000E99B0000}"/>
    <cellStyle name="Normal 3 29 6 2 4" xfId="40062" xr:uid="{00000000-0005-0000-0000-0000EA9B0000}"/>
    <cellStyle name="Normal 3 29 6 3" xfId="40063" xr:uid="{00000000-0005-0000-0000-0000EB9B0000}"/>
    <cellStyle name="Normal 3 29 6 3 2" xfId="40064" xr:uid="{00000000-0005-0000-0000-0000EC9B0000}"/>
    <cellStyle name="Normal 3 29 6 3 3" xfId="40065" xr:uid="{00000000-0005-0000-0000-0000ED9B0000}"/>
    <cellStyle name="Normal 3 29 6 4" xfId="40066" xr:uid="{00000000-0005-0000-0000-0000EE9B0000}"/>
    <cellStyle name="Normal 3 29 7" xfId="40067" xr:uid="{00000000-0005-0000-0000-0000EF9B0000}"/>
    <cellStyle name="Normal 3 29 7 2" xfId="40068" xr:uid="{00000000-0005-0000-0000-0000F09B0000}"/>
    <cellStyle name="Normal 3 29 7 2 2" xfId="40069" xr:uid="{00000000-0005-0000-0000-0000F19B0000}"/>
    <cellStyle name="Normal 3 29 7 2 2 2" xfId="40070" xr:uid="{00000000-0005-0000-0000-0000F29B0000}"/>
    <cellStyle name="Normal 3 29 7 2 2 3" xfId="40071" xr:uid="{00000000-0005-0000-0000-0000F39B0000}"/>
    <cellStyle name="Normal 3 29 7 2 3" xfId="40072" xr:uid="{00000000-0005-0000-0000-0000F49B0000}"/>
    <cellStyle name="Normal 3 29 7 2 4" xfId="40073" xr:uid="{00000000-0005-0000-0000-0000F59B0000}"/>
    <cellStyle name="Normal 3 29 7 3" xfId="40074" xr:uid="{00000000-0005-0000-0000-0000F69B0000}"/>
    <cellStyle name="Normal 3 29 7 3 2" xfId="40075" xr:uid="{00000000-0005-0000-0000-0000F79B0000}"/>
    <cellStyle name="Normal 3 29 7 3 3" xfId="40076" xr:uid="{00000000-0005-0000-0000-0000F89B0000}"/>
    <cellStyle name="Normal 3 29 7 4" xfId="40077" xr:uid="{00000000-0005-0000-0000-0000F99B0000}"/>
    <cellStyle name="Normal 3 29 8" xfId="40078" xr:uid="{00000000-0005-0000-0000-0000FA9B0000}"/>
    <cellStyle name="Normal 3 29 8 2" xfId="40079" xr:uid="{00000000-0005-0000-0000-0000FB9B0000}"/>
    <cellStyle name="Normal 3 29 8 2 2" xfId="40080" xr:uid="{00000000-0005-0000-0000-0000FC9B0000}"/>
    <cellStyle name="Normal 3 29 8 2 2 2" xfId="40081" xr:uid="{00000000-0005-0000-0000-0000FD9B0000}"/>
    <cellStyle name="Normal 3 29 8 2 2 3" xfId="40082" xr:uid="{00000000-0005-0000-0000-0000FE9B0000}"/>
    <cellStyle name="Normal 3 29 8 2 3" xfId="40083" xr:uid="{00000000-0005-0000-0000-0000FF9B0000}"/>
    <cellStyle name="Normal 3 29 8 2 4" xfId="40084" xr:uid="{00000000-0005-0000-0000-0000009C0000}"/>
    <cellStyle name="Normal 3 29 8 3" xfId="40085" xr:uid="{00000000-0005-0000-0000-0000019C0000}"/>
    <cellStyle name="Normal 3 29 8 3 2" xfId="40086" xr:uid="{00000000-0005-0000-0000-0000029C0000}"/>
    <cellStyle name="Normal 3 29 8 3 3" xfId="40087" xr:uid="{00000000-0005-0000-0000-0000039C0000}"/>
    <cellStyle name="Normal 3 29 8 4" xfId="40088" xr:uid="{00000000-0005-0000-0000-0000049C0000}"/>
    <cellStyle name="Normal 3 29 9" xfId="40089" xr:uid="{00000000-0005-0000-0000-0000059C0000}"/>
    <cellStyle name="Normal 3 29 9 2" xfId="40090" xr:uid="{00000000-0005-0000-0000-0000069C0000}"/>
    <cellStyle name="Normal 3 29 9 2 2" xfId="40091" xr:uid="{00000000-0005-0000-0000-0000079C0000}"/>
    <cellStyle name="Normal 3 29 9 2 2 2" xfId="40092" xr:uid="{00000000-0005-0000-0000-0000089C0000}"/>
    <cellStyle name="Normal 3 29 9 2 2 3" xfId="40093" xr:uid="{00000000-0005-0000-0000-0000099C0000}"/>
    <cellStyle name="Normal 3 29 9 2 3" xfId="40094" xr:uid="{00000000-0005-0000-0000-00000A9C0000}"/>
    <cellStyle name="Normal 3 29 9 2 4" xfId="40095" xr:uid="{00000000-0005-0000-0000-00000B9C0000}"/>
    <cellStyle name="Normal 3 29 9 3" xfId="40096" xr:uid="{00000000-0005-0000-0000-00000C9C0000}"/>
    <cellStyle name="Normal 3 29 9 3 2" xfId="40097" xr:uid="{00000000-0005-0000-0000-00000D9C0000}"/>
    <cellStyle name="Normal 3 29 9 3 3" xfId="40098" xr:uid="{00000000-0005-0000-0000-00000E9C0000}"/>
    <cellStyle name="Normal 3 29 9 4" xfId="40099" xr:uid="{00000000-0005-0000-0000-00000F9C0000}"/>
    <cellStyle name="Normal 3 3" xfId="298" xr:uid="{00000000-0005-0000-0000-0000109C0000}"/>
    <cellStyle name="Normal 3 3 10" xfId="40100" xr:uid="{00000000-0005-0000-0000-0000119C0000}"/>
    <cellStyle name="Normal 3 3 10 2" xfId="40101" xr:uid="{00000000-0005-0000-0000-0000129C0000}"/>
    <cellStyle name="Normal 3 3 10 2 2" xfId="40102" xr:uid="{00000000-0005-0000-0000-0000139C0000}"/>
    <cellStyle name="Normal 3 3 10 2 2 2" xfId="40103" xr:uid="{00000000-0005-0000-0000-0000149C0000}"/>
    <cellStyle name="Normal 3 3 10 2 2 3" xfId="40104" xr:uid="{00000000-0005-0000-0000-0000159C0000}"/>
    <cellStyle name="Normal 3 3 10 2 3" xfId="40105" xr:uid="{00000000-0005-0000-0000-0000169C0000}"/>
    <cellStyle name="Normal 3 3 10 2 4" xfId="40106" xr:uid="{00000000-0005-0000-0000-0000179C0000}"/>
    <cellStyle name="Normal 3 3 10 3" xfId="40107" xr:uid="{00000000-0005-0000-0000-0000189C0000}"/>
    <cellStyle name="Normal 3 3 10 3 2" xfId="40108" xr:uid="{00000000-0005-0000-0000-0000199C0000}"/>
    <cellStyle name="Normal 3 3 10 3 3" xfId="40109" xr:uid="{00000000-0005-0000-0000-00001A9C0000}"/>
    <cellStyle name="Normal 3 3 10 4" xfId="40110" xr:uid="{00000000-0005-0000-0000-00001B9C0000}"/>
    <cellStyle name="Normal 3 3 11" xfId="40111" xr:uid="{00000000-0005-0000-0000-00001C9C0000}"/>
    <cellStyle name="Normal 3 3 11 2" xfId="40112" xr:uid="{00000000-0005-0000-0000-00001D9C0000}"/>
    <cellStyle name="Normal 3 3 11 2 2" xfId="40113" xr:uid="{00000000-0005-0000-0000-00001E9C0000}"/>
    <cellStyle name="Normal 3 3 11 2 2 2" xfId="40114" xr:uid="{00000000-0005-0000-0000-00001F9C0000}"/>
    <cellStyle name="Normal 3 3 11 2 2 3" xfId="40115" xr:uid="{00000000-0005-0000-0000-0000209C0000}"/>
    <cellStyle name="Normal 3 3 11 2 3" xfId="40116" xr:uid="{00000000-0005-0000-0000-0000219C0000}"/>
    <cellStyle name="Normal 3 3 11 2 4" xfId="40117" xr:uid="{00000000-0005-0000-0000-0000229C0000}"/>
    <cellStyle name="Normal 3 3 11 3" xfId="40118" xr:uid="{00000000-0005-0000-0000-0000239C0000}"/>
    <cellStyle name="Normal 3 3 11 3 2" xfId="40119" xr:uid="{00000000-0005-0000-0000-0000249C0000}"/>
    <cellStyle name="Normal 3 3 11 3 3" xfId="40120" xr:uid="{00000000-0005-0000-0000-0000259C0000}"/>
    <cellStyle name="Normal 3 3 11 4" xfId="40121" xr:uid="{00000000-0005-0000-0000-0000269C0000}"/>
    <cellStyle name="Normal 3 3 12" xfId="40122" xr:uid="{00000000-0005-0000-0000-0000279C0000}"/>
    <cellStyle name="Normal 3 3 12 2" xfId="40123" xr:uid="{00000000-0005-0000-0000-0000289C0000}"/>
    <cellStyle name="Normal 3 3 12 2 2" xfId="40124" xr:uid="{00000000-0005-0000-0000-0000299C0000}"/>
    <cellStyle name="Normal 3 3 12 2 2 2" xfId="40125" xr:uid="{00000000-0005-0000-0000-00002A9C0000}"/>
    <cellStyle name="Normal 3 3 12 2 2 3" xfId="40126" xr:uid="{00000000-0005-0000-0000-00002B9C0000}"/>
    <cellStyle name="Normal 3 3 12 2 3" xfId="40127" xr:uid="{00000000-0005-0000-0000-00002C9C0000}"/>
    <cellStyle name="Normal 3 3 12 2 4" xfId="40128" xr:uid="{00000000-0005-0000-0000-00002D9C0000}"/>
    <cellStyle name="Normal 3 3 12 3" xfId="40129" xr:uid="{00000000-0005-0000-0000-00002E9C0000}"/>
    <cellStyle name="Normal 3 3 12 3 2" xfId="40130" xr:uid="{00000000-0005-0000-0000-00002F9C0000}"/>
    <cellStyle name="Normal 3 3 12 3 3" xfId="40131" xr:uid="{00000000-0005-0000-0000-0000309C0000}"/>
    <cellStyle name="Normal 3 3 12 4" xfId="40132" xr:uid="{00000000-0005-0000-0000-0000319C0000}"/>
    <cellStyle name="Normal 3 3 13" xfId="40133" xr:uid="{00000000-0005-0000-0000-0000329C0000}"/>
    <cellStyle name="Normal 3 3 13 2" xfId="40134" xr:uid="{00000000-0005-0000-0000-0000339C0000}"/>
    <cellStyle name="Normal 3 3 13 2 2" xfId="40135" xr:uid="{00000000-0005-0000-0000-0000349C0000}"/>
    <cellStyle name="Normal 3 3 13 2 2 2" xfId="40136" xr:uid="{00000000-0005-0000-0000-0000359C0000}"/>
    <cellStyle name="Normal 3 3 13 2 2 3" xfId="40137" xr:uid="{00000000-0005-0000-0000-0000369C0000}"/>
    <cellStyle name="Normal 3 3 13 2 3" xfId="40138" xr:uid="{00000000-0005-0000-0000-0000379C0000}"/>
    <cellStyle name="Normal 3 3 13 2 4" xfId="40139" xr:uid="{00000000-0005-0000-0000-0000389C0000}"/>
    <cellStyle name="Normal 3 3 13 3" xfId="40140" xr:uid="{00000000-0005-0000-0000-0000399C0000}"/>
    <cellStyle name="Normal 3 3 13 3 2" xfId="40141" xr:uid="{00000000-0005-0000-0000-00003A9C0000}"/>
    <cellStyle name="Normal 3 3 13 3 3" xfId="40142" xr:uid="{00000000-0005-0000-0000-00003B9C0000}"/>
    <cellStyle name="Normal 3 3 13 4" xfId="40143" xr:uid="{00000000-0005-0000-0000-00003C9C0000}"/>
    <cellStyle name="Normal 3 3 14" xfId="40144" xr:uid="{00000000-0005-0000-0000-00003D9C0000}"/>
    <cellStyle name="Normal 3 3 14 2" xfId="40145" xr:uid="{00000000-0005-0000-0000-00003E9C0000}"/>
    <cellStyle name="Normal 3 3 14 2 2" xfId="40146" xr:uid="{00000000-0005-0000-0000-00003F9C0000}"/>
    <cellStyle name="Normal 3 3 14 2 2 2" xfId="40147" xr:uid="{00000000-0005-0000-0000-0000409C0000}"/>
    <cellStyle name="Normal 3 3 14 2 2 3" xfId="40148" xr:uid="{00000000-0005-0000-0000-0000419C0000}"/>
    <cellStyle name="Normal 3 3 14 2 3" xfId="40149" xr:uid="{00000000-0005-0000-0000-0000429C0000}"/>
    <cellStyle name="Normal 3 3 14 2 4" xfId="40150" xr:uid="{00000000-0005-0000-0000-0000439C0000}"/>
    <cellStyle name="Normal 3 3 14 3" xfId="40151" xr:uid="{00000000-0005-0000-0000-0000449C0000}"/>
    <cellStyle name="Normal 3 3 14 3 2" xfId="40152" xr:uid="{00000000-0005-0000-0000-0000459C0000}"/>
    <cellStyle name="Normal 3 3 14 3 3" xfId="40153" xr:uid="{00000000-0005-0000-0000-0000469C0000}"/>
    <cellStyle name="Normal 3 3 14 4" xfId="40154" xr:uid="{00000000-0005-0000-0000-0000479C0000}"/>
    <cellStyle name="Normal 3 3 15" xfId="40155" xr:uid="{00000000-0005-0000-0000-0000489C0000}"/>
    <cellStyle name="Normal 3 3 15 2" xfId="40156" xr:uid="{00000000-0005-0000-0000-0000499C0000}"/>
    <cellStyle name="Normal 3 3 15 2 2" xfId="40157" xr:uid="{00000000-0005-0000-0000-00004A9C0000}"/>
    <cellStyle name="Normal 3 3 15 2 2 2" xfId="40158" xr:uid="{00000000-0005-0000-0000-00004B9C0000}"/>
    <cellStyle name="Normal 3 3 15 2 2 3" xfId="40159" xr:uid="{00000000-0005-0000-0000-00004C9C0000}"/>
    <cellStyle name="Normal 3 3 15 2 3" xfId="40160" xr:uid="{00000000-0005-0000-0000-00004D9C0000}"/>
    <cellStyle name="Normal 3 3 15 2 4" xfId="40161" xr:uid="{00000000-0005-0000-0000-00004E9C0000}"/>
    <cellStyle name="Normal 3 3 15 3" xfId="40162" xr:uid="{00000000-0005-0000-0000-00004F9C0000}"/>
    <cellStyle name="Normal 3 3 15 3 2" xfId="40163" xr:uid="{00000000-0005-0000-0000-0000509C0000}"/>
    <cellStyle name="Normal 3 3 15 3 3" xfId="40164" xr:uid="{00000000-0005-0000-0000-0000519C0000}"/>
    <cellStyle name="Normal 3 3 15 4" xfId="40165" xr:uid="{00000000-0005-0000-0000-0000529C0000}"/>
    <cellStyle name="Normal 3 3 16" xfId="40166" xr:uid="{00000000-0005-0000-0000-0000539C0000}"/>
    <cellStyle name="Normal 3 3 16 2" xfId="40167" xr:uid="{00000000-0005-0000-0000-0000549C0000}"/>
    <cellStyle name="Normal 3 3 16 2 2" xfId="40168" xr:uid="{00000000-0005-0000-0000-0000559C0000}"/>
    <cellStyle name="Normal 3 3 16 2 2 2" xfId="40169" xr:uid="{00000000-0005-0000-0000-0000569C0000}"/>
    <cellStyle name="Normal 3 3 16 2 2 3" xfId="40170" xr:uid="{00000000-0005-0000-0000-0000579C0000}"/>
    <cellStyle name="Normal 3 3 16 2 3" xfId="40171" xr:uid="{00000000-0005-0000-0000-0000589C0000}"/>
    <cellStyle name="Normal 3 3 16 2 4" xfId="40172" xr:uid="{00000000-0005-0000-0000-0000599C0000}"/>
    <cellStyle name="Normal 3 3 16 3" xfId="40173" xr:uid="{00000000-0005-0000-0000-00005A9C0000}"/>
    <cellStyle name="Normal 3 3 16 3 2" xfId="40174" xr:uid="{00000000-0005-0000-0000-00005B9C0000}"/>
    <cellStyle name="Normal 3 3 16 3 3" xfId="40175" xr:uid="{00000000-0005-0000-0000-00005C9C0000}"/>
    <cellStyle name="Normal 3 3 16 4" xfId="40176" xr:uid="{00000000-0005-0000-0000-00005D9C0000}"/>
    <cellStyle name="Normal 3 3 17" xfId="40177" xr:uid="{00000000-0005-0000-0000-00005E9C0000}"/>
    <cellStyle name="Normal 3 3 17 2" xfId="40178" xr:uid="{00000000-0005-0000-0000-00005F9C0000}"/>
    <cellStyle name="Normal 3 3 17 2 2" xfId="40179" xr:uid="{00000000-0005-0000-0000-0000609C0000}"/>
    <cellStyle name="Normal 3 3 17 2 2 2" xfId="40180" xr:uid="{00000000-0005-0000-0000-0000619C0000}"/>
    <cellStyle name="Normal 3 3 17 2 2 3" xfId="40181" xr:uid="{00000000-0005-0000-0000-0000629C0000}"/>
    <cellStyle name="Normal 3 3 17 2 3" xfId="40182" xr:uid="{00000000-0005-0000-0000-0000639C0000}"/>
    <cellStyle name="Normal 3 3 17 2 4" xfId="40183" xr:uid="{00000000-0005-0000-0000-0000649C0000}"/>
    <cellStyle name="Normal 3 3 17 3" xfId="40184" xr:uid="{00000000-0005-0000-0000-0000659C0000}"/>
    <cellStyle name="Normal 3 3 17 3 2" xfId="40185" xr:uid="{00000000-0005-0000-0000-0000669C0000}"/>
    <cellStyle name="Normal 3 3 17 3 3" xfId="40186" xr:uid="{00000000-0005-0000-0000-0000679C0000}"/>
    <cellStyle name="Normal 3 3 17 4" xfId="40187" xr:uid="{00000000-0005-0000-0000-0000689C0000}"/>
    <cellStyle name="Normal 3 3 18" xfId="40188" xr:uid="{00000000-0005-0000-0000-0000699C0000}"/>
    <cellStyle name="Normal 3 3 18 2" xfId="40189" xr:uid="{00000000-0005-0000-0000-00006A9C0000}"/>
    <cellStyle name="Normal 3 3 18 2 2" xfId="40190" xr:uid="{00000000-0005-0000-0000-00006B9C0000}"/>
    <cellStyle name="Normal 3 3 18 2 2 2" xfId="40191" xr:uid="{00000000-0005-0000-0000-00006C9C0000}"/>
    <cellStyle name="Normal 3 3 18 2 2 3" xfId="40192" xr:uid="{00000000-0005-0000-0000-00006D9C0000}"/>
    <cellStyle name="Normal 3 3 18 2 3" xfId="40193" xr:uid="{00000000-0005-0000-0000-00006E9C0000}"/>
    <cellStyle name="Normal 3 3 18 2 4" xfId="40194" xr:uid="{00000000-0005-0000-0000-00006F9C0000}"/>
    <cellStyle name="Normal 3 3 18 3" xfId="40195" xr:uid="{00000000-0005-0000-0000-0000709C0000}"/>
    <cellStyle name="Normal 3 3 18 3 2" xfId="40196" xr:uid="{00000000-0005-0000-0000-0000719C0000}"/>
    <cellStyle name="Normal 3 3 18 3 3" xfId="40197" xr:uid="{00000000-0005-0000-0000-0000729C0000}"/>
    <cellStyle name="Normal 3 3 18 4" xfId="40198" xr:uid="{00000000-0005-0000-0000-0000739C0000}"/>
    <cellStyle name="Normal 3 3 19" xfId="40199" xr:uid="{00000000-0005-0000-0000-0000749C0000}"/>
    <cellStyle name="Normal 3 3 19 2" xfId="40200" xr:uid="{00000000-0005-0000-0000-0000759C0000}"/>
    <cellStyle name="Normal 3 3 19 2 2" xfId="40201" xr:uid="{00000000-0005-0000-0000-0000769C0000}"/>
    <cellStyle name="Normal 3 3 19 2 2 2" xfId="40202" xr:uid="{00000000-0005-0000-0000-0000779C0000}"/>
    <cellStyle name="Normal 3 3 19 2 2 3" xfId="40203" xr:uid="{00000000-0005-0000-0000-0000789C0000}"/>
    <cellStyle name="Normal 3 3 19 2 3" xfId="40204" xr:uid="{00000000-0005-0000-0000-0000799C0000}"/>
    <cellStyle name="Normal 3 3 19 2 4" xfId="40205" xr:uid="{00000000-0005-0000-0000-00007A9C0000}"/>
    <cellStyle name="Normal 3 3 19 3" xfId="40206" xr:uid="{00000000-0005-0000-0000-00007B9C0000}"/>
    <cellStyle name="Normal 3 3 19 3 2" xfId="40207" xr:uid="{00000000-0005-0000-0000-00007C9C0000}"/>
    <cellStyle name="Normal 3 3 19 3 3" xfId="40208" xr:uid="{00000000-0005-0000-0000-00007D9C0000}"/>
    <cellStyle name="Normal 3 3 19 4" xfId="40209" xr:uid="{00000000-0005-0000-0000-00007E9C0000}"/>
    <cellStyle name="Normal 3 3 2" xfId="299" xr:uid="{00000000-0005-0000-0000-00007F9C0000}"/>
    <cellStyle name="Normal 3 3 2 10" xfId="40210" xr:uid="{00000000-0005-0000-0000-0000809C0000}"/>
    <cellStyle name="Normal 3 3 2 10 2" xfId="40211" xr:uid="{00000000-0005-0000-0000-0000819C0000}"/>
    <cellStyle name="Normal 3 3 2 10 3" xfId="40212" xr:uid="{00000000-0005-0000-0000-0000829C0000}"/>
    <cellStyle name="Normal 3 3 2 11" xfId="40213" xr:uid="{00000000-0005-0000-0000-0000839C0000}"/>
    <cellStyle name="Normal 3 3 2 11 2" xfId="40214" xr:uid="{00000000-0005-0000-0000-0000849C0000}"/>
    <cellStyle name="Normal 3 3 2 11 3" xfId="40215" xr:uid="{00000000-0005-0000-0000-0000859C0000}"/>
    <cellStyle name="Normal 3 3 2 12" xfId="40216" xr:uid="{00000000-0005-0000-0000-0000869C0000}"/>
    <cellStyle name="Normal 3 3 2 12 2" xfId="40217" xr:uid="{00000000-0005-0000-0000-0000879C0000}"/>
    <cellStyle name="Normal 3 3 2 12 3" xfId="40218" xr:uid="{00000000-0005-0000-0000-0000889C0000}"/>
    <cellStyle name="Normal 3 3 2 13" xfId="40219" xr:uid="{00000000-0005-0000-0000-0000899C0000}"/>
    <cellStyle name="Normal 3 3 2 13 2" xfId="40220" xr:uid="{00000000-0005-0000-0000-00008A9C0000}"/>
    <cellStyle name="Normal 3 3 2 13 3" xfId="40221" xr:uid="{00000000-0005-0000-0000-00008B9C0000}"/>
    <cellStyle name="Normal 3 3 2 14" xfId="40222" xr:uid="{00000000-0005-0000-0000-00008C9C0000}"/>
    <cellStyle name="Normal 3 3 2 14 2" xfId="40223" xr:uid="{00000000-0005-0000-0000-00008D9C0000}"/>
    <cellStyle name="Normal 3 3 2 14 3" xfId="40224" xr:uid="{00000000-0005-0000-0000-00008E9C0000}"/>
    <cellStyle name="Normal 3 3 2 15" xfId="40225" xr:uid="{00000000-0005-0000-0000-00008F9C0000}"/>
    <cellStyle name="Normal 3 3 2 15 2" xfId="40226" xr:uid="{00000000-0005-0000-0000-0000909C0000}"/>
    <cellStyle name="Normal 3 3 2 15 3" xfId="40227" xr:uid="{00000000-0005-0000-0000-0000919C0000}"/>
    <cellStyle name="Normal 3 3 2 16" xfId="40228" xr:uid="{00000000-0005-0000-0000-0000929C0000}"/>
    <cellStyle name="Normal 3 3 2 17" xfId="40229" xr:uid="{00000000-0005-0000-0000-0000939C0000}"/>
    <cellStyle name="Normal 3 3 2 18" xfId="40230" xr:uid="{00000000-0005-0000-0000-0000949C0000}"/>
    <cellStyle name="Normal 3 3 2 2" xfId="40231" xr:uid="{00000000-0005-0000-0000-0000959C0000}"/>
    <cellStyle name="Normal 3 3 2 2 10" xfId="40232" xr:uid="{00000000-0005-0000-0000-0000969C0000}"/>
    <cellStyle name="Normal 3 3 2 2 11" xfId="40233" xr:uid="{00000000-0005-0000-0000-0000979C0000}"/>
    <cellStyle name="Normal 3 3 2 2 12" xfId="40234" xr:uid="{00000000-0005-0000-0000-0000989C0000}"/>
    <cellStyle name="Normal 3 3 2 2 2" xfId="40235" xr:uid="{00000000-0005-0000-0000-0000999C0000}"/>
    <cellStyle name="Normal 3 3 2 2 2 10" xfId="40236" xr:uid="{00000000-0005-0000-0000-00009A9C0000}"/>
    <cellStyle name="Normal 3 3 2 2 2 11" xfId="40237" xr:uid="{00000000-0005-0000-0000-00009B9C0000}"/>
    <cellStyle name="Normal 3 3 2 2 2 12" xfId="40238" xr:uid="{00000000-0005-0000-0000-00009C9C0000}"/>
    <cellStyle name="Normal 3 3 2 2 2 2" xfId="40239" xr:uid="{00000000-0005-0000-0000-00009D9C0000}"/>
    <cellStyle name="Normal 3 3 2 2 2 2 10" xfId="40240" xr:uid="{00000000-0005-0000-0000-00009E9C0000}"/>
    <cellStyle name="Normal 3 3 2 2 2 2 11" xfId="40241" xr:uid="{00000000-0005-0000-0000-00009F9C0000}"/>
    <cellStyle name="Normal 3 3 2 2 2 2 2" xfId="40242" xr:uid="{00000000-0005-0000-0000-0000A09C0000}"/>
    <cellStyle name="Normal 3 3 2 2 2 2 2 2" xfId="40243" xr:uid="{00000000-0005-0000-0000-0000A19C0000}"/>
    <cellStyle name="Normal 3 3 2 2 2 2 2 2 2" xfId="40244" xr:uid="{00000000-0005-0000-0000-0000A29C0000}"/>
    <cellStyle name="Normal 3 3 2 2 2 2 2 2 2 2" xfId="40245" xr:uid="{00000000-0005-0000-0000-0000A39C0000}"/>
    <cellStyle name="Normal 3 3 2 2 2 2 2 2 2 3" xfId="40246" xr:uid="{00000000-0005-0000-0000-0000A49C0000}"/>
    <cellStyle name="Normal 3 3 2 2 2 2 2 2 3" xfId="40247" xr:uid="{00000000-0005-0000-0000-0000A59C0000}"/>
    <cellStyle name="Normal 3 3 2 2 2 2 2 2 3 2" xfId="40248" xr:uid="{00000000-0005-0000-0000-0000A69C0000}"/>
    <cellStyle name="Normal 3 3 2 2 2 2 2 2 3 3" xfId="40249" xr:uid="{00000000-0005-0000-0000-0000A79C0000}"/>
    <cellStyle name="Normal 3 3 2 2 2 2 2 2 4" xfId="40250" xr:uid="{00000000-0005-0000-0000-0000A89C0000}"/>
    <cellStyle name="Normal 3 3 2 2 2 2 2 2 5" xfId="40251" xr:uid="{00000000-0005-0000-0000-0000A99C0000}"/>
    <cellStyle name="Normal 3 3 2 2 2 2 2 2 6" xfId="40252" xr:uid="{00000000-0005-0000-0000-0000AA9C0000}"/>
    <cellStyle name="Normal 3 3 2 2 2 2 2 2 7" xfId="40253" xr:uid="{00000000-0005-0000-0000-0000AB9C0000}"/>
    <cellStyle name="Normal 3 3 2 2 2 2 2 2 8" xfId="40254" xr:uid="{00000000-0005-0000-0000-0000AC9C0000}"/>
    <cellStyle name="Normal 3 3 2 2 2 2 2 3" xfId="40255" xr:uid="{00000000-0005-0000-0000-0000AD9C0000}"/>
    <cellStyle name="Normal 3 3 2 2 2 2 2 3 2" xfId="40256" xr:uid="{00000000-0005-0000-0000-0000AE9C0000}"/>
    <cellStyle name="Normal 3 3 2 2 2 2 2 3 2 2" xfId="40257" xr:uid="{00000000-0005-0000-0000-0000AF9C0000}"/>
    <cellStyle name="Normal 3 3 2 2 2 2 2 3 2 3" xfId="40258" xr:uid="{00000000-0005-0000-0000-0000B09C0000}"/>
    <cellStyle name="Normal 3 3 2 2 2 2 2 3 3" xfId="40259" xr:uid="{00000000-0005-0000-0000-0000B19C0000}"/>
    <cellStyle name="Normal 3 3 2 2 2 2 2 3 3 2" xfId="40260" xr:uid="{00000000-0005-0000-0000-0000B29C0000}"/>
    <cellStyle name="Normal 3 3 2 2 2 2 2 3 4" xfId="40261" xr:uid="{00000000-0005-0000-0000-0000B39C0000}"/>
    <cellStyle name="Normal 3 3 2 2 2 2 2 4" xfId="40262" xr:uid="{00000000-0005-0000-0000-0000B49C0000}"/>
    <cellStyle name="Normal 3 3 2 2 2 2 2 4 2" xfId="40263" xr:uid="{00000000-0005-0000-0000-0000B59C0000}"/>
    <cellStyle name="Normal 3 3 2 2 2 2 2 4 3" xfId="40264" xr:uid="{00000000-0005-0000-0000-0000B69C0000}"/>
    <cellStyle name="Normal 3 3 2 2 2 2 2 5" xfId="40265" xr:uid="{00000000-0005-0000-0000-0000B79C0000}"/>
    <cellStyle name="Normal 3 3 2 2 2 2 2 6" xfId="40266" xr:uid="{00000000-0005-0000-0000-0000B89C0000}"/>
    <cellStyle name="Normal 3 3 2 2 2 2 2 7" xfId="40267" xr:uid="{00000000-0005-0000-0000-0000B99C0000}"/>
    <cellStyle name="Normal 3 3 2 2 2 2 2 8" xfId="40268" xr:uid="{00000000-0005-0000-0000-0000BA9C0000}"/>
    <cellStyle name="Normal 3 3 2 2 2 2 2 9" xfId="40269" xr:uid="{00000000-0005-0000-0000-0000BB9C0000}"/>
    <cellStyle name="Normal 3 3 2 2 2 2 3" xfId="40270" xr:uid="{00000000-0005-0000-0000-0000BC9C0000}"/>
    <cellStyle name="Normal 3 3 2 2 2 2 3 2" xfId="40271" xr:uid="{00000000-0005-0000-0000-0000BD9C0000}"/>
    <cellStyle name="Normal 3 3 2 2 2 2 3 2 2" xfId="40272" xr:uid="{00000000-0005-0000-0000-0000BE9C0000}"/>
    <cellStyle name="Normal 3 3 2 2 2 2 3 2 3" xfId="40273" xr:uid="{00000000-0005-0000-0000-0000BF9C0000}"/>
    <cellStyle name="Normal 3 3 2 2 2 2 3 3" xfId="40274" xr:uid="{00000000-0005-0000-0000-0000C09C0000}"/>
    <cellStyle name="Normal 3 3 2 2 2 2 3 3 2" xfId="40275" xr:uid="{00000000-0005-0000-0000-0000C19C0000}"/>
    <cellStyle name="Normal 3 3 2 2 2 2 3 3 3" xfId="40276" xr:uid="{00000000-0005-0000-0000-0000C29C0000}"/>
    <cellStyle name="Normal 3 3 2 2 2 2 3 4" xfId="40277" xr:uid="{00000000-0005-0000-0000-0000C39C0000}"/>
    <cellStyle name="Normal 3 3 2 2 2 2 3 5" xfId="40278" xr:uid="{00000000-0005-0000-0000-0000C49C0000}"/>
    <cellStyle name="Normal 3 3 2 2 2 2 3 6" xfId="40279" xr:uid="{00000000-0005-0000-0000-0000C59C0000}"/>
    <cellStyle name="Normal 3 3 2 2 2 2 3 7" xfId="40280" xr:uid="{00000000-0005-0000-0000-0000C69C0000}"/>
    <cellStyle name="Normal 3 3 2 2 2 2 3 8" xfId="40281" xr:uid="{00000000-0005-0000-0000-0000C79C0000}"/>
    <cellStyle name="Normal 3 3 2 2 2 2 4" xfId="40282" xr:uid="{00000000-0005-0000-0000-0000C89C0000}"/>
    <cellStyle name="Normal 3 3 2 2 2 2 4 2" xfId="40283" xr:uid="{00000000-0005-0000-0000-0000C99C0000}"/>
    <cellStyle name="Normal 3 3 2 2 2 2 4 2 2" xfId="40284" xr:uid="{00000000-0005-0000-0000-0000CA9C0000}"/>
    <cellStyle name="Normal 3 3 2 2 2 2 4 2 3" xfId="40285" xr:uid="{00000000-0005-0000-0000-0000CB9C0000}"/>
    <cellStyle name="Normal 3 3 2 2 2 2 4 3" xfId="40286" xr:uid="{00000000-0005-0000-0000-0000CC9C0000}"/>
    <cellStyle name="Normal 3 3 2 2 2 2 4 3 2" xfId="40287" xr:uid="{00000000-0005-0000-0000-0000CD9C0000}"/>
    <cellStyle name="Normal 3 3 2 2 2 2 4 4" xfId="40288" xr:uid="{00000000-0005-0000-0000-0000CE9C0000}"/>
    <cellStyle name="Normal 3 3 2 2 2 2 5" xfId="40289" xr:uid="{00000000-0005-0000-0000-0000CF9C0000}"/>
    <cellStyle name="Normal 3 3 2 2 2 2 5 2" xfId="40290" xr:uid="{00000000-0005-0000-0000-0000D09C0000}"/>
    <cellStyle name="Normal 3 3 2 2 2 2 5 3" xfId="40291" xr:uid="{00000000-0005-0000-0000-0000D19C0000}"/>
    <cellStyle name="Normal 3 3 2 2 2 2 6" xfId="40292" xr:uid="{00000000-0005-0000-0000-0000D29C0000}"/>
    <cellStyle name="Normal 3 3 2 2 2 2 6 2" xfId="40293" xr:uid="{00000000-0005-0000-0000-0000D39C0000}"/>
    <cellStyle name="Normal 3 3 2 2 2 2 6 3" xfId="40294" xr:uid="{00000000-0005-0000-0000-0000D49C0000}"/>
    <cellStyle name="Normal 3 3 2 2 2 2 7" xfId="40295" xr:uid="{00000000-0005-0000-0000-0000D59C0000}"/>
    <cellStyle name="Normal 3 3 2 2 2 2 8" xfId="40296" xr:uid="{00000000-0005-0000-0000-0000D69C0000}"/>
    <cellStyle name="Normal 3 3 2 2 2 2 9" xfId="40297" xr:uid="{00000000-0005-0000-0000-0000D79C0000}"/>
    <cellStyle name="Normal 3 3 2 2 2 3" xfId="40298" xr:uid="{00000000-0005-0000-0000-0000D89C0000}"/>
    <cellStyle name="Normal 3 3 2 2 2 3 10" xfId="40299" xr:uid="{00000000-0005-0000-0000-0000D99C0000}"/>
    <cellStyle name="Normal 3 3 2 2 2 3 2" xfId="40300" xr:uid="{00000000-0005-0000-0000-0000DA9C0000}"/>
    <cellStyle name="Normal 3 3 2 2 2 3 2 2" xfId="40301" xr:uid="{00000000-0005-0000-0000-0000DB9C0000}"/>
    <cellStyle name="Normal 3 3 2 2 2 3 2 2 2" xfId="40302" xr:uid="{00000000-0005-0000-0000-0000DC9C0000}"/>
    <cellStyle name="Normal 3 3 2 2 2 3 2 2 3" xfId="40303" xr:uid="{00000000-0005-0000-0000-0000DD9C0000}"/>
    <cellStyle name="Normal 3 3 2 2 2 3 2 2 4" xfId="40304" xr:uid="{00000000-0005-0000-0000-0000DE9C0000}"/>
    <cellStyle name="Normal 3 3 2 2 2 3 2 3" xfId="40305" xr:uid="{00000000-0005-0000-0000-0000DF9C0000}"/>
    <cellStyle name="Normal 3 3 2 2 2 3 2 3 2" xfId="40306" xr:uid="{00000000-0005-0000-0000-0000E09C0000}"/>
    <cellStyle name="Normal 3 3 2 2 2 3 2 3 3" xfId="40307" xr:uid="{00000000-0005-0000-0000-0000E19C0000}"/>
    <cellStyle name="Normal 3 3 2 2 2 3 2 4" xfId="40308" xr:uid="{00000000-0005-0000-0000-0000E29C0000}"/>
    <cellStyle name="Normal 3 3 2 2 2 3 2 5" xfId="40309" xr:uid="{00000000-0005-0000-0000-0000E39C0000}"/>
    <cellStyle name="Normal 3 3 2 2 2 3 2 6" xfId="40310" xr:uid="{00000000-0005-0000-0000-0000E49C0000}"/>
    <cellStyle name="Normal 3 3 2 2 2 3 2 7" xfId="40311" xr:uid="{00000000-0005-0000-0000-0000E59C0000}"/>
    <cellStyle name="Normal 3 3 2 2 2 3 2 8" xfId="40312" xr:uid="{00000000-0005-0000-0000-0000E69C0000}"/>
    <cellStyle name="Normal 3 3 2 2 2 3 3" xfId="40313" xr:uid="{00000000-0005-0000-0000-0000E79C0000}"/>
    <cellStyle name="Normal 3 3 2 2 2 3 3 2" xfId="40314" xr:uid="{00000000-0005-0000-0000-0000E89C0000}"/>
    <cellStyle name="Normal 3 3 2 2 2 3 3 2 2" xfId="40315" xr:uid="{00000000-0005-0000-0000-0000E99C0000}"/>
    <cellStyle name="Normal 3 3 2 2 2 3 3 2 3" xfId="40316" xr:uid="{00000000-0005-0000-0000-0000EA9C0000}"/>
    <cellStyle name="Normal 3 3 2 2 2 3 3 3" xfId="40317" xr:uid="{00000000-0005-0000-0000-0000EB9C0000}"/>
    <cellStyle name="Normal 3 3 2 2 2 3 3 4" xfId="40318" xr:uid="{00000000-0005-0000-0000-0000EC9C0000}"/>
    <cellStyle name="Normal 3 3 2 2 2 3 3 5" xfId="40319" xr:uid="{00000000-0005-0000-0000-0000ED9C0000}"/>
    <cellStyle name="Normal 3 3 2 2 2 3 3 6" xfId="40320" xr:uid="{00000000-0005-0000-0000-0000EE9C0000}"/>
    <cellStyle name="Normal 3 3 2 2 2 3 4" xfId="40321" xr:uid="{00000000-0005-0000-0000-0000EF9C0000}"/>
    <cellStyle name="Normal 3 3 2 2 2 3 4 2" xfId="40322" xr:uid="{00000000-0005-0000-0000-0000F09C0000}"/>
    <cellStyle name="Normal 3 3 2 2 2 3 4 3" xfId="40323" xr:uid="{00000000-0005-0000-0000-0000F19C0000}"/>
    <cellStyle name="Normal 3 3 2 2 2 3 5" xfId="40324" xr:uid="{00000000-0005-0000-0000-0000F29C0000}"/>
    <cellStyle name="Normal 3 3 2 2 2 3 5 2" xfId="40325" xr:uid="{00000000-0005-0000-0000-0000F39C0000}"/>
    <cellStyle name="Normal 3 3 2 2 2 3 5 3" xfId="40326" xr:uid="{00000000-0005-0000-0000-0000F49C0000}"/>
    <cellStyle name="Normal 3 3 2 2 2 3 6" xfId="40327" xr:uid="{00000000-0005-0000-0000-0000F59C0000}"/>
    <cellStyle name="Normal 3 3 2 2 2 3 7" xfId="40328" xr:uid="{00000000-0005-0000-0000-0000F69C0000}"/>
    <cellStyle name="Normal 3 3 2 2 2 3 8" xfId="40329" xr:uid="{00000000-0005-0000-0000-0000F79C0000}"/>
    <cellStyle name="Normal 3 3 2 2 2 3 9" xfId="40330" xr:uid="{00000000-0005-0000-0000-0000F89C0000}"/>
    <cellStyle name="Normal 3 3 2 2 2 4" xfId="40331" xr:uid="{00000000-0005-0000-0000-0000F99C0000}"/>
    <cellStyle name="Normal 3 3 2 2 2 4 2" xfId="40332" xr:uid="{00000000-0005-0000-0000-0000FA9C0000}"/>
    <cellStyle name="Normal 3 3 2 2 2 4 2 2" xfId="40333" xr:uid="{00000000-0005-0000-0000-0000FB9C0000}"/>
    <cellStyle name="Normal 3 3 2 2 2 4 2 3" xfId="40334" xr:uid="{00000000-0005-0000-0000-0000FC9C0000}"/>
    <cellStyle name="Normal 3 3 2 2 2 4 2 4" xfId="40335" xr:uid="{00000000-0005-0000-0000-0000FD9C0000}"/>
    <cellStyle name="Normal 3 3 2 2 2 4 3" xfId="40336" xr:uid="{00000000-0005-0000-0000-0000FE9C0000}"/>
    <cellStyle name="Normal 3 3 2 2 2 4 3 2" xfId="40337" xr:uid="{00000000-0005-0000-0000-0000FF9C0000}"/>
    <cellStyle name="Normal 3 3 2 2 2 4 3 3" xfId="40338" xr:uid="{00000000-0005-0000-0000-0000009D0000}"/>
    <cellStyle name="Normal 3 3 2 2 2 4 4" xfId="40339" xr:uid="{00000000-0005-0000-0000-0000019D0000}"/>
    <cellStyle name="Normal 3 3 2 2 2 4 5" xfId="40340" xr:uid="{00000000-0005-0000-0000-0000029D0000}"/>
    <cellStyle name="Normal 3 3 2 2 2 4 6" xfId="40341" xr:uid="{00000000-0005-0000-0000-0000039D0000}"/>
    <cellStyle name="Normal 3 3 2 2 2 4 7" xfId="40342" xr:uid="{00000000-0005-0000-0000-0000049D0000}"/>
    <cellStyle name="Normal 3 3 2 2 2 4 8" xfId="40343" xr:uid="{00000000-0005-0000-0000-0000059D0000}"/>
    <cellStyle name="Normal 3 3 2 2 2 5" xfId="40344" xr:uid="{00000000-0005-0000-0000-0000069D0000}"/>
    <cellStyle name="Normal 3 3 2 2 2 5 2" xfId="40345" xr:uid="{00000000-0005-0000-0000-0000079D0000}"/>
    <cellStyle name="Normal 3 3 2 2 2 5 2 2" xfId="40346" xr:uid="{00000000-0005-0000-0000-0000089D0000}"/>
    <cellStyle name="Normal 3 3 2 2 2 5 2 3" xfId="40347" xr:uid="{00000000-0005-0000-0000-0000099D0000}"/>
    <cellStyle name="Normal 3 3 2 2 2 5 3" xfId="40348" xr:uid="{00000000-0005-0000-0000-00000A9D0000}"/>
    <cellStyle name="Normal 3 3 2 2 2 5 4" xfId="40349" xr:uid="{00000000-0005-0000-0000-00000B9D0000}"/>
    <cellStyle name="Normal 3 3 2 2 2 5 5" xfId="40350" xr:uid="{00000000-0005-0000-0000-00000C9D0000}"/>
    <cellStyle name="Normal 3 3 2 2 2 5 6" xfId="40351" xr:uid="{00000000-0005-0000-0000-00000D9D0000}"/>
    <cellStyle name="Normal 3 3 2 2 2 6" xfId="40352" xr:uid="{00000000-0005-0000-0000-00000E9D0000}"/>
    <cellStyle name="Normal 3 3 2 2 2 6 2" xfId="40353" xr:uid="{00000000-0005-0000-0000-00000F9D0000}"/>
    <cellStyle name="Normal 3 3 2 2 2 6 3" xfId="40354" xr:uid="{00000000-0005-0000-0000-0000109D0000}"/>
    <cellStyle name="Normal 3 3 2 2 2 7" xfId="40355" xr:uid="{00000000-0005-0000-0000-0000119D0000}"/>
    <cellStyle name="Normal 3 3 2 2 2 7 2" xfId="40356" xr:uid="{00000000-0005-0000-0000-0000129D0000}"/>
    <cellStyle name="Normal 3 3 2 2 2 7 3" xfId="40357" xr:uid="{00000000-0005-0000-0000-0000139D0000}"/>
    <cellStyle name="Normal 3 3 2 2 2 8" xfId="40358" xr:uid="{00000000-0005-0000-0000-0000149D0000}"/>
    <cellStyle name="Normal 3 3 2 2 2 9" xfId="40359" xr:uid="{00000000-0005-0000-0000-0000159D0000}"/>
    <cellStyle name="Normal 3 3 2 2 3" xfId="40360" xr:uid="{00000000-0005-0000-0000-0000169D0000}"/>
    <cellStyle name="Normal 3 3 2 2 3 10" xfId="40361" xr:uid="{00000000-0005-0000-0000-0000179D0000}"/>
    <cellStyle name="Normal 3 3 2 2 3 11" xfId="40362" xr:uid="{00000000-0005-0000-0000-0000189D0000}"/>
    <cellStyle name="Normal 3 3 2 2 3 2" xfId="40363" xr:uid="{00000000-0005-0000-0000-0000199D0000}"/>
    <cellStyle name="Normal 3 3 2 2 3 2 2" xfId="40364" xr:uid="{00000000-0005-0000-0000-00001A9D0000}"/>
    <cellStyle name="Normal 3 3 2 2 3 2 2 2" xfId="40365" xr:uid="{00000000-0005-0000-0000-00001B9D0000}"/>
    <cellStyle name="Normal 3 3 2 2 3 2 2 2 2" xfId="40366" xr:uid="{00000000-0005-0000-0000-00001C9D0000}"/>
    <cellStyle name="Normal 3 3 2 2 3 2 2 2 3" xfId="40367" xr:uid="{00000000-0005-0000-0000-00001D9D0000}"/>
    <cellStyle name="Normal 3 3 2 2 3 2 2 3" xfId="40368" xr:uid="{00000000-0005-0000-0000-00001E9D0000}"/>
    <cellStyle name="Normal 3 3 2 2 3 2 2 3 2" xfId="40369" xr:uid="{00000000-0005-0000-0000-00001F9D0000}"/>
    <cellStyle name="Normal 3 3 2 2 3 2 2 3 3" xfId="40370" xr:uid="{00000000-0005-0000-0000-0000209D0000}"/>
    <cellStyle name="Normal 3 3 2 2 3 2 2 4" xfId="40371" xr:uid="{00000000-0005-0000-0000-0000219D0000}"/>
    <cellStyle name="Normal 3 3 2 2 3 2 2 5" xfId="40372" xr:uid="{00000000-0005-0000-0000-0000229D0000}"/>
    <cellStyle name="Normal 3 3 2 2 3 2 2 6" xfId="40373" xr:uid="{00000000-0005-0000-0000-0000239D0000}"/>
    <cellStyle name="Normal 3 3 2 2 3 2 2 7" xfId="40374" xr:uid="{00000000-0005-0000-0000-0000249D0000}"/>
    <cellStyle name="Normal 3 3 2 2 3 2 2 8" xfId="40375" xr:uid="{00000000-0005-0000-0000-0000259D0000}"/>
    <cellStyle name="Normal 3 3 2 2 3 2 3" xfId="40376" xr:uid="{00000000-0005-0000-0000-0000269D0000}"/>
    <cellStyle name="Normal 3 3 2 2 3 2 3 2" xfId="40377" xr:uid="{00000000-0005-0000-0000-0000279D0000}"/>
    <cellStyle name="Normal 3 3 2 2 3 2 3 2 2" xfId="40378" xr:uid="{00000000-0005-0000-0000-0000289D0000}"/>
    <cellStyle name="Normal 3 3 2 2 3 2 3 2 3" xfId="40379" xr:uid="{00000000-0005-0000-0000-0000299D0000}"/>
    <cellStyle name="Normal 3 3 2 2 3 2 3 3" xfId="40380" xr:uid="{00000000-0005-0000-0000-00002A9D0000}"/>
    <cellStyle name="Normal 3 3 2 2 3 2 3 3 2" xfId="40381" xr:uid="{00000000-0005-0000-0000-00002B9D0000}"/>
    <cellStyle name="Normal 3 3 2 2 3 2 3 4" xfId="40382" xr:uid="{00000000-0005-0000-0000-00002C9D0000}"/>
    <cellStyle name="Normal 3 3 2 2 3 2 4" xfId="40383" xr:uid="{00000000-0005-0000-0000-00002D9D0000}"/>
    <cellStyle name="Normal 3 3 2 2 3 2 4 2" xfId="40384" xr:uid="{00000000-0005-0000-0000-00002E9D0000}"/>
    <cellStyle name="Normal 3 3 2 2 3 2 4 3" xfId="40385" xr:uid="{00000000-0005-0000-0000-00002F9D0000}"/>
    <cellStyle name="Normal 3 3 2 2 3 2 5" xfId="40386" xr:uid="{00000000-0005-0000-0000-0000309D0000}"/>
    <cellStyle name="Normal 3 3 2 2 3 2 6" xfId="40387" xr:uid="{00000000-0005-0000-0000-0000319D0000}"/>
    <cellStyle name="Normal 3 3 2 2 3 2 7" xfId="40388" xr:uid="{00000000-0005-0000-0000-0000329D0000}"/>
    <cellStyle name="Normal 3 3 2 2 3 2 8" xfId="40389" xr:uid="{00000000-0005-0000-0000-0000339D0000}"/>
    <cellStyle name="Normal 3 3 2 2 3 2 9" xfId="40390" xr:uid="{00000000-0005-0000-0000-0000349D0000}"/>
    <cellStyle name="Normal 3 3 2 2 3 3" xfId="40391" xr:uid="{00000000-0005-0000-0000-0000359D0000}"/>
    <cellStyle name="Normal 3 3 2 2 3 3 2" xfId="40392" xr:uid="{00000000-0005-0000-0000-0000369D0000}"/>
    <cellStyle name="Normal 3 3 2 2 3 3 2 2" xfId="40393" xr:uid="{00000000-0005-0000-0000-0000379D0000}"/>
    <cellStyle name="Normal 3 3 2 2 3 3 2 3" xfId="40394" xr:uid="{00000000-0005-0000-0000-0000389D0000}"/>
    <cellStyle name="Normal 3 3 2 2 3 3 3" xfId="40395" xr:uid="{00000000-0005-0000-0000-0000399D0000}"/>
    <cellStyle name="Normal 3 3 2 2 3 3 3 2" xfId="40396" xr:uid="{00000000-0005-0000-0000-00003A9D0000}"/>
    <cellStyle name="Normal 3 3 2 2 3 3 3 3" xfId="40397" xr:uid="{00000000-0005-0000-0000-00003B9D0000}"/>
    <cellStyle name="Normal 3 3 2 2 3 3 4" xfId="40398" xr:uid="{00000000-0005-0000-0000-00003C9D0000}"/>
    <cellStyle name="Normal 3 3 2 2 3 3 5" xfId="40399" xr:uid="{00000000-0005-0000-0000-00003D9D0000}"/>
    <cellStyle name="Normal 3 3 2 2 3 3 6" xfId="40400" xr:uid="{00000000-0005-0000-0000-00003E9D0000}"/>
    <cellStyle name="Normal 3 3 2 2 3 3 7" xfId="40401" xr:uid="{00000000-0005-0000-0000-00003F9D0000}"/>
    <cellStyle name="Normal 3 3 2 2 3 3 8" xfId="40402" xr:uid="{00000000-0005-0000-0000-0000409D0000}"/>
    <cellStyle name="Normal 3 3 2 2 3 4" xfId="40403" xr:uid="{00000000-0005-0000-0000-0000419D0000}"/>
    <cellStyle name="Normal 3 3 2 2 3 4 2" xfId="40404" xr:uid="{00000000-0005-0000-0000-0000429D0000}"/>
    <cellStyle name="Normal 3 3 2 2 3 4 2 2" xfId="40405" xr:uid="{00000000-0005-0000-0000-0000439D0000}"/>
    <cellStyle name="Normal 3 3 2 2 3 4 2 3" xfId="40406" xr:uid="{00000000-0005-0000-0000-0000449D0000}"/>
    <cellStyle name="Normal 3 3 2 2 3 4 3" xfId="40407" xr:uid="{00000000-0005-0000-0000-0000459D0000}"/>
    <cellStyle name="Normal 3 3 2 2 3 4 3 2" xfId="40408" xr:uid="{00000000-0005-0000-0000-0000469D0000}"/>
    <cellStyle name="Normal 3 3 2 2 3 4 4" xfId="40409" xr:uid="{00000000-0005-0000-0000-0000479D0000}"/>
    <cellStyle name="Normal 3 3 2 2 3 5" xfId="40410" xr:uid="{00000000-0005-0000-0000-0000489D0000}"/>
    <cellStyle name="Normal 3 3 2 2 3 5 2" xfId="40411" xr:uid="{00000000-0005-0000-0000-0000499D0000}"/>
    <cellStyle name="Normal 3 3 2 2 3 5 3" xfId="40412" xr:uid="{00000000-0005-0000-0000-00004A9D0000}"/>
    <cellStyle name="Normal 3 3 2 2 3 6" xfId="40413" xr:uid="{00000000-0005-0000-0000-00004B9D0000}"/>
    <cellStyle name="Normal 3 3 2 2 3 6 2" xfId="40414" xr:uid="{00000000-0005-0000-0000-00004C9D0000}"/>
    <cellStyle name="Normal 3 3 2 2 3 6 3" xfId="40415" xr:uid="{00000000-0005-0000-0000-00004D9D0000}"/>
    <cellStyle name="Normal 3 3 2 2 3 7" xfId="40416" xr:uid="{00000000-0005-0000-0000-00004E9D0000}"/>
    <cellStyle name="Normal 3 3 2 2 3 8" xfId="40417" xr:uid="{00000000-0005-0000-0000-00004F9D0000}"/>
    <cellStyle name="Normal 3 3 2 2 3 9" xfId="40418" xr:uid="{00000000-0005-0000-0000-0000509D0000}"/>
    <cellStyle name="Normal 3 3 2 2 4" xfId="40419" xr:uid="{00000000-0005-0000-0000-0000519D0000}"/>
    <cellStyle name="Normal 3 3 2 2 4 10" xfId="40420" xr:uid="{00000000-0005-0000-0000-0000529D0000}"/>
    <cellStyle name="Normal 3 3 2 2 4 2" xfId="40421" xr:uid="{00000000-0005-0000-0000-0000539D0000}"/>
    <cellStyle name="Normal 3 3 2 2 4 2 2" xfId="40422" xr:uid="{00000000-0005-0000-0000-0000549D0000}"/>
    <cellStyle name="Normal 3 3 2 2 4 2 2 2" xfId="40423" xr:uid="{00000000-0005-0000-0000-0000559D0000}"/>
    <cellStyle name="Normal 3 3 2 2 4 2 2 3" xfId="40424" xr:uid="{00000000-0005-0000-0000-0000569D0000}"/>
    <cellStyle name="Normal 3 3 2 2 4 2 2 4" xfId="40425" xr:uid="{00000000-0005-0000-0000-0000579D0000}"/>
    <cellStyle name="Normal 3 3 2 2 4 2 3" xfId="40426" xr:uid="{00000000-0005-0000-0000-0000589D0000}"/>
    <cellStyle name="Normal 3 3 2 2 4 2 3 2" xfId="40427" xr:uid="{00000000-0005-0000-0000-0000599D0000}"/>
    <cellStyle name="Normal 3 3 2 2 4 2 3 3" xfId="40428" xr:uid="{00000000-0005-0000-0000-00005A9D0000}"/>
    <cellStyle name="Normal 3 3 2 2 4 2 4" xfId="40429" xr:uid="{00000000-0005-0000-0000-00005B9D0000}"/>
    <cellStyle name="Normal 3 3 2 2 4 2 5" xfId="40430" xr:uid="{00000000-0005-0000-0000-00005C9D0000}"/>
    <cellStyle name="Normal 3 3 2 2 4 2 6" xfId="40431" xr:uid="{00000000-0005-0000-0000-00005D9D0000}"/>
    <cellStyle name="Normal 3 3 2 2 4 2 7" xfId="40432" xr:uid="{00000000-0005-0000-0000-00005E9D0000}"/>
    <cellStyle name="Normal 3 3 2 2 4 2 8" xfId="40433" xr:uid="{00000000-0005-0000-0000-00005F9D0000}"/>
    <cellStyle name="Normal 3 3 2 2 4 3" xfId="40434" xr:uid="{00000000-0005-0000-0000-0000609D0000}"/>
    <cellStyle name="Normal 3 3 2 2 4 3 2" xfId="40435" xr:uid="{00000000-0005-0000-0000-0000619D0000}"/>
    <cellStyle name="Normal 3 3 2 2 4 3 2 2" xfId="40436" xr:uid="{00000000-0005-0000-0000-0000629D0000}"/>
    <cellStyle name="Normal 3 3 2 2 4 3 2 3" xfId="40437" xr:uid="{00000000-0005-0000-0000-0000639D0000}"/>
    <cellStyle name="Normal 3 3 2 2 4 3 3" xfId="40438" xr:uid="{00000000-0005-0000-0000-0000649D0000}"/>
    <cellStyle name="Normal 3 3 2 2 4 3 4" xfId="40439" xr:uid="{00000000-0005-0000-0000-0000659D0000}"/>
    <cellStyle name="Normal 3 3 2 2 4 3 5" xfId="40440" xr:uid="{00000000-0005-0000-0000-0000669D0000}"/>
    <cellStyle name="Normal 3 3 2 2 4 3 6" xfId="40441" xr:uid="{00000000-0005-0000-0000-0000679D0000}"/>
    <cellStyle name="Normal 3 3 2 2 4 4" xfId="40442" xr:uid="{00000000-0005-0000-0000-0000689D0000}"/>
    <cellStyle name="Normal 3 3 2 2 4 4 2" xfId="40443" xr:uid="{00000000-0005-0000-0000-0000699D0000}"/>
    <cellStyle name="Normal 3 3 2 2 4 4 3" xfId="40444" xr:uid="{00000000-0005-0000-0000-00006A9D0000}"/>
    <cellStyle name="Normal 3 3 2 2 4 5" xfId="40445" xr:uid="{00000000-0005-0000-0000-00006B9D0000}"/>
    <cellStyle name="Normal 3 3 2 2 4 5 2" xfId="40446" xr:uid="{00000000-0005-0000-0000-00006C9D0000}"/>
    <cellStyle name="Normal 3 3 2 2 4 5 3" xfId="40447" xr:uid="{00000000-0005-0000-0000-00006D9D0000}"/>
    <cellStyle name="Normal 3 3 2 2 4 6" xfId="40448" xr:uid="{00000000-0005-0000-0000-00006E9D0000}"/>
    <cellStyle name="Normal 3 3 2 2 4 7" xfId="40449" xr:uid="{00000000-0005-0000-0000-00006F9D0000}"/>
    <cellStyle name="Normal 3 3 2 2 4 8" xfId="40450" xr:uid="{00000000-0005-0000-0000-0000709D0000}"/>
    <cellStyle name="Normal 3 3 2 2 4 9" xfId="40451" xr:uid="{00000000-0005-0000-0000-0000719D0000}"/>
    <cellStyle name="Normal 3 3 2 2 5" xfId="40452" xr:uid="{00000000-0005-0000-0000-0000729D0000}"/>
    <cellStyle name="Normal 3 3 2 2 5 2" xfId="40453" xr:uid="{00000000-0005-0000-0000-0000739D0000}"/>
    <cellStyle name="Normal 3 3 2 2 5 2 2" xfId="40454" xr:uid="{00000000-0005-0000-0000-0000749D0000}"/>
    <cellStyle name="Normal 3 3 2 2 5 2 3" xfId="40455" xr:uid="{00000000-0005-0000-0000-0000759D0000}"/>
    <cellStyle name="Normal 3 3 2 2 5 2 4" xfId="40456" xr:uid="{00000000-0005-0000-0000-0000769D0000}"/>
    <cellStyle name="Normal 3 3 2 2 5 3" xfId="40457" xr:uid="{00000000-0005-0000-0000-0000779D0000}"/>
    <cellStyle name="Normal 3 3 2 2 5 3 2" xfId="40458" xr:uid="{00000000-0005-0000-0000-0000789D0000}"/>
    <cellStyle name="Normal 3 3 2 2 5 3 3" xfId="40459" xr:uid="{00000000-0005-0000-0000-0000799D0000}"/>
    <cellStyle name="Normal 3 3 2 2 5 4" xfId="40460" xr:uid="{00000000-0005-0000-0000-00007A9D0000}"/>
    <cellStyle name="Normal 3 3 2 2 5 5" xfId="40461" xr:uid="{00000000-0005-0000-0000-00007B9D0000}"/>
    <cellStyle name="Normal 3 3 2 2 5 6" xfId="40462" xr:uid="{00000000-0005-0000-0000-00007C9D0000}"/>
    <cellStyle name="Normal 3 3 2 2 5 7" xfId="40463" xr:uid="{00000000-0005-0000-0000-00007D9D0000}"/>
    <cellStyle name="Normal 3 3 2 2 5 8" xfId="40464" xr:uid="{00000000-0005-0000-0000-00007E9D0000}"/>
    <cellStyle name="Normal 3 3 2 2 6" xfId="40465" xr:uid="{00000000-0005-0000-0000-00007F9D0000}"/>
    <cellStyle name="Normal 3 3 2 2 6 2" xfId="40466" xr:uid="{00000000-0005-0000-0000-0000809D0000}"/>
    <cellStyle name="Normal 3 3 2 2 6 2 2" xfId="40467" xr:uid="{00000000-0005-0000-0000-0000819D0000}"/>
    <cellStyle name="Normal 3 3 2 2 6 2 3" xfId="40468" xr:uid="{00000000-0005-0000-0000-0000829D0000}"/>
    <cellStyle name="Normal 3 3 2 2 6 3" xfId="40469" xr:uid="{00000000-0005-0000-0000-0000839D0000}"/>
    <cellStyle name="Normal 3 3 2 2 6 3 2" xfId="40470" xr:uid="{00000000-0005-0000-0000-0000849D0000}"/>
    <cellStyle name="Normal 3 3 2 2 6 3 3" xfId="40471" xr:uid="{00000000-0005-0000-0000-0000859D0000}"/>
    <cellStyle name="Normal 3 3 2 2 6 4" xfId="40472" xr:uid="{00000000-0005-0000-0000-0000869D0000}"/>
    <cellStyle name="Normal 3 3 2 2 6 5" xfId="40473" xr:uid="{00000000-0005-0000-0000-0000879D0000}"/>
    <cellStyle name="Normal 3 3 2 2 6 6" xfId="40474" xr:uid="{00000000-0005-0000-0000-0000889D0000}"/>
    <cellStyle name="Normal 3 3 2 2 6 7" xfId="40475" xr:uid="{00000000-0005-0000-0000-0000899D0000}"/>
    <cellStyle name="Normal 3 3 2 2 6 8" xfId="40476" xr:uid="{00000000-0005-0000-0000-00008A9D0000}"/>
    <cellStyle name="Normal 3 3 2 2 7" xfId="40477" xr:uid="{00000000-0005-0000-0000-00008B9D0000}"/>
    <cellStyle name="Normal 3 3 2 2 7 2" xfId="40478" xr:uid="{00000000-0005-0000-0000-00008C9D0000}"/>
    <cellStyle name="Normal 3 3 2 2 7 3" xfId="40479" xr:uid="{00000000-0005-0000-0000-00008D9D0000}"/>
    <cellStyle name="Normal 3 3 2 2 8" xfId="40480" xr:uid="{00000000-0005-0000-0000-00008E9D0000}"/>
    <cellStyle name="Normal 3 3 2 2 8 2" xfId="40481" xr:uid="{00000000-0005-0000-0000-00008F9D0000}"/>
    <cellStyle name="Normal 3 3 2 2 8 3" xfId="40482" xr:uid="{00000000-0005-0000-0000-0000909D0000}"/>
    <cellStyle name="Normal 3 3 2 2 9" xfId="40483" xr:uid="{00000000-0005-0000-0000-0000919D0000}"/>
    <cellStyle name="Normal 3 3 2 2 9 2" xfId="40484" xr:uid="{00000000-0005-0000-0000-0000929D0000}"/>
    <cellStyle name="Normal 3 3 2 2 9 3" xfId="40485" xr:uid="{00000000-0005-0000-0000-0000939D0000}"/>
    <cellStyle name="Normal 3 3 2 3" xfId="40486" xr:uid="{00000000-0005-0000-0000-0000949D0000}"/>
    <cellStyle name="Normal 3 3 2 3 10" xfId="40487" xr:uid="{00000000-0005-0000-0000-0000959D0000}"/>
    <cellStyle name="Normal 3 3 2 3 11" xfId="40488" xr:uid="{00000000-0005-0000-0000-0000969D0000}"/>
    <cellStyle name="Normal 3 3 2 3 12" xfId="40489" xr:uid="{00000000-0005-0000-0000-0000979D0000}"/>
    <cellStyle name="Normal 3 3 2 3 13" xfId="40490" xr:uid="{00000000-0005-0000-0000-0000989D0000}"/>
    <cellStyle name="Normal 3 3 2 3 2" xfId="40491" xr:uid="{00000000-0005-0000-0000-0000999D0000}"/>
    <cellStyle name="Normal 3 3 2 3 2 10" xfId="40492" xr:uid="{00000000-0005-0000-0000-00009A9D0000}"/>
    <cellStyle name="Normal 3 3 2 3 2 11" xfId="40493" xr:uid="{00000000-0005-0000-0000-00009B9D0000}"/>
    <cellStyle name="Normal 3 3 2 3 2 2" xfId="40494" xr:uid="{00000000-0005-0000-0000-00009C9D0000}"/>
    <cellStyle name="Normal 3 3 2 3 2 2 2" xfId="40495" xr:uid="{00000000-0005-0000-0000-00009D9D0000}"/>
    <cellStyle name="Normal 3 3 2 3 2 2 2 2" xfId="40496" xr:uid="{00000000-0005-0000-0000-00009E9D0000}"/>
    <cellStyle name="Normal 3 3 2 3 2 2 2 2 2" xfId="40497" xr:uid="{00000000-0005-0000-0000-00009F9D0000}"/>
    <cellStyle name="Normal 3 3 2 3 2 2 2 2 3" xfId="40498" xr:uid="{00000000-0005-0000-0000-0000A09D0000}"/>
    <cellStyle name="Normal 3 3 2 3 2 2 2 3" xfId="40499" xr:uid="{00000000-0005-0000-0000-0000A19D0000}"/>
    <cellStyle name="Normal 3 3 2 3 2 2 2 3 2" xfId="40500" xr:uid="{00000000-0005-0000-0000-0000A29D0000}"/>
    <cellStyle name="Normal 3 3 2 3 2 2 2 3 3" xfId="40501" xr:uid="{00000000-0005-0000-0000-0000A39D0000}"/>
    <cellStyle name="Normal 3 3 2 3 2 2 2 4" xfId="40502" xr:uid="{00000000-0005-0000-0000-0000A49D0000}"/>
    <cellStyle name="Normal 3 3 2 3 2 2 2 5" xfId="40503" xr:uid="{00000000-0005-0000-0000-0000A59D0000}"/>
    <cellStyle name="Normal 3 3 2 3 2 2 2 6" xfId="40504" xr:uid="{00000000-0005-0000-0000-0000A69D0000}"/>
    <cellStyle name="Normal 3 3 2 3 2 2 2 7" xfId="40505" xr:uid="{00000000-0005-0000-0000-0000A79D0000}"/>
    <cellStyle name="Normal 3 3 2 3 2 2 2 8" xfId="40506" xr:uid="{00000000-0005-0000-0000-0000A89D0000}"/>
    <cellStyle name="Normal 3 3 2 3 2 2 3" xfId="40507" xr:uid="{00000000-0005-0000-0000-0000A99D0000}"/>
    <cellStyle name="Normal 3 3 2 3 2 2 3 2" xfId="40508" xr:uid="{00000000-0005-0000-0000-0000AA9D0000}"/>
    <cellStyle name="Normal 3 3 2 3 2 2 3 2 2" xfId="40509" xr:uid="{00000000-0005-0000-0000-0000AB9D0000}"/>
    <cellStyle name="Normal 3 3 2 3 2 2 3 2 3" xfId="40510" xr:uid="{00000000-0005-0000-0000-0000AC9D0000}"/>
    <cellStyle name="Normal 3 3 2 3 2 2 3 3" xfId="40511" xr:uid="{00000000-0005-0000-0000-0000AD9D0000}"/>
    <cellStyle name="Normal 3 3 2 3 2 2 3 3 2" xfId="40512" xr:uid="{00000000-0005-0000-0000-0000AE9D0000}"/>
    <cellStyle name="Normal 3 3 2 3 2 2 3 4" xfId="40513" xr:uid="{00000000-0005-0000-0000-0000AF9D0000}"/>
    <cellStyle name="Normal 3 3 2 3 2 2 4" xfId="40514" xr:uid="{00000000-0005-0000-0000-0000B09D0000}"/>
    <cellStyle name="Normal 3 3 2 3 2 2 4 2" xfId="40515" xr:uid="{00000000-0005-0000-0000-0000B19D0000}"/>
    <cellStyle name="Normal 3 3 2 3 2 2 4 3" xfId="40516" xr:uid="{00000000-0005-0000-0000-0000B29D0000}"/>
    <cellStyle name="Normal 3 3 2 3 2 2 5" xfId="40517" xr:uid="{00000000-0005-0000-0000-0000B39D0000}"/>
    <cellStyle name="Normal 3 3 2 3 2 2 6" xfId="40518" xr:uid="{00000000-0005-0000-0000-0000B49D0000}"/>
    <cellStyle name="Normal 3 3 2 3 2 2 7" xfId="40519" xr:uid="{00000000-0005-0000-0000-0000B59D0000}"/>
    <cellStyle name="Normal 3 3 2 3 2 2 8" xfId="40520" xr:uid="{00000000-0005-0000-0000-0000B69D0000}"/>
    <cellStyle name="Normal 3 3 2 3 2 2 9" xfId="40521" xr:uid="{00000000-0005-0000-0000-0000B79D0000}"/>
    <cellStyle name="Normal 3 3 2 3 2 3" xfId="40522" xr:uid="{00000000-0005-0000-0000-0000B89D0000}"/>
    <cellStyle name="Normal 3 3 2 3 2 3 2" xfId="40523" xr:uid="{00000000-0005-0000-0000-0000B99D0000}"/>
    <cellStyle name="Normal 3 3 2 3 2 3 2 2" xfId="40524" xr:uid="{00000000-0005-0000-0000-0000BA9D0000}"/>
    <cellStyle name="Normal 3 3 2 3 2 3 2 3" xfId="40525" xr:uid="{00000000-0005-0000-0000-0000BB9D0000}"/>
    <cellStyle name="Normal 3 3 2 3 2 3 3" xfId="40526" xr:uid="{00000000-0005-0000-0000-0000BC9D0000}"/>
    <cellStyle name="Normal 3 3 2 3 2 3 3 2" xfId="40527" xr:uid="{00000000-0005-0000-0000-0000BD9D0000}"/>
    <cellStyle name="Normal 3 3 2 3 2 3 3 3" xfId="40528" xr:uid="{00000000-0005-0000-0000-0000BE9D0000}"/>
    <cellStyle name="Normal 3 3 2 3 2 3 4" xfId="40529" xr:uid="{00000000-0005-0000-0000-0000BF9D0000}"/>
    <cellStyle name="Normal 3 3 2 3 2 3 5" xfId="40530" xr:uid="{00000000-0005-0000-0000-0000C09D0000}"/>
    <cellStyle name="Normal 3 3 2 3 2 3 6" xfId="40531" xr:uid="{00000000-0005-0000-0000-0000C19D0000}"/>
    <cellStyle name="Normal 3 3 2 3 2 3 7" xfId="40532" xr:uid="{00000000-0005-0000-0000-0000C29D0000}"/>
    <cellStyle name="Normal 3 3 2 3 2 3 8" xfId="40533" xr:uid="{00000000-0005-0000-0000-0000C39D0000}"/>
    <cellStyle name="Normal 3 3 2 3 2 4" xfId="40534" xr:uid="{00000000-0005-0000-0000-0000C49D0000}"/>
    <cellStyle name="Normal 3 3 2 3 2 4 2" xfId="40535" xr:uid="{00000000-0005-0000-0000-0000C59D0000}"/>
    <cellStyle name="Normal 3 3 2 3 2 4 2 2" xfId="40536" xr:uid="{00000000-0005-0000-0000-0000C69D0000}"/>
    <cellStyle name="Normal 3 3 2 3 2 4 2 3" xfId="40537" xr:uid="{00000000-0005-0000-0000-0000C79D0000}"/>
    <cellStyle name="Normal 3 3 2 3 2 4 3" xfId="40538" xr:uid="{00000000-0005-0000-0000-0000C89D0000}"/>
    <cellStyle name="Normal 3 3 2 3 2 4 3 2" xfId="40539" xr:uid="{00000000-0005-0000-0000-0000C99D0000}"/>
    <cellStyle name="Normal 3 3 2 3 2 4 4" xfId="40540" xr:uid="{00000000-0005-0000-0000-0000CA9D0000}"/>
    <cellStyle name="Normal 3 3 2 3 2 5" xfId="40541" xr:uid="{00000000-0005-0000-0000-0000CB9D0000}"/>
    <cellStyle name="Normal 3 3 2 3 2 5 2" xfId="40542" xr:uid="{00000000-0005-0000-0000-0000CC9D0000}"/>
    <cellStyle name="Normal 3 3 2 3 2 5 3" xfId="40543" xr:uid="{00000000-0005-0000-0000-0000CD9D0000}"/>
    <cellStyle name="Normal 3 3 2 3 2 6" xfId="40544" xr:uid="{00000000-0005-0000-0000-0000CE9D0000}"/>
    <cellStyle name="Normal 3 3 2 3 2 6 2" xfId="40545" xr:uid="{00000000-0005-0000-0000-0000CF9D0000}"/>
    <cellStyle name="Normal 3 3 2 3 2 6 3" xfId="40546" xr:uid="{00000000-0005-0000-0000-0000D09D0000}"/>
    <cellStyle name="Normal 3 3 2 3 2 7" xfId="40547" xr:uid="{00000000-0005-0000-0000-0000D19D0000}"/>
    <cellStyle name="Normal 3 3 2 3 2 8" xfId="40548" xr:uid="{00000000-0005-0000-0000-0000D29D0000}"/>
    <cellStyle name="Normal 3 3 2 3 2 9" xfId="40549" xr:uid="{00000000-0005-0000-0000-0000D39D0000}"/>
    <cellStyle name="Normal 3 3 2 3 3" xfId="40550" xr:uid="{00000000-0005-0000-0000-0000D49D0000}"/>
    <cellStyle name="Normal 3 3 2 3 3 10" xfId="40551" xr:uid="{00000000-0005-0000-0000-0000D59D0000}"/>
    <cellStyle name="Normal 3 3 2 3 3 2" xfId="40552" xr:uid="{00000000-0005-0000-0000-0000D69D0000}"/>
    <cellStyle name="Normal 3 3 2 3 3 2 2" xfId="40553" xr:uid="{00000000-0005-0000-0000-0000D79D0000}"/>
    <cellStyle name="Normal 3 3 2 3 3 2 2 2" xfId="40554" xr:uid="{00000000-0005-0000-0000-0000D89D0000}"/>
    <cellStyle name="Normal 3 3 2 3 3 2 2 3" xfId="40555" xr:uid="{00000000-0005-0000-0000-0000D99D0000}"/>
    <cellStyle name="Normal 3 3 2 3 3 2 2 4" xfId="40556" xr:uid="{00000000-0005-0000-0000-0000DA9D0000}"/>
    <cellStyle name="Normal 3 3 2 3 3 2 3" xfId="40557" xr:uid="{00000000-0005-0000-0000-0000DB9D0000}"/>
    <cellStyle name="Normal 3 3 2 3 3 2 3 2" xfId="40558" xr:uid="{00000000-0005-0000-0000-0000DC9D0000}"/>
    <cellStyle name="Normal 3 3 2 3 3 2 3 3" xfId="40559" xr:uid="{00000000-0005-0000-0000-0000DD9D0000}"/>
    <cellStyle name="Normal 3 3 2 3 3 2 4" xfId="40560" xr:uid="{00000000-0005-0000-0000-0000DE9D0000}"/>
    <cellStyle name="Normal 3 3 2 3 3 2 5" xfId="40561" xr:uid="{00000000-0005-0000-0000-0000DF9D0000}"/>
    <cellStyle name="Normal 3 3 2 3 3 2 6" xfId="40562" xr:uid="{00000000-0005-0000-0000-0000E09D0000}"/>
    <cellStyle name="Normal 3 3 2 3 3 2 7" xfId="40563" xr:uid="{00000000-0005-0000-0000-0000E19D0000}"/>
    <cellStyle name="Normal 3 3 2 3 3 2 8" xfId="40564" xr:uid="{00000000-0005-0000-0000-0000E29D0000}"/>
    <cellStyle name="Normal 3 3 2 3 3 3" xfId="40565" xr:uid="{00000000-0005-0000-0000-0000E39D0000}"/>
    <cellStyle name="Normal 3 3 2 3 3 3 2" xfId="40566" xr:uid="{00000000-0005-0000-0000-0000E49D0000}"/>
    <cellStyle name="Normal 3 3 2 3 3 3 2 2" xfId="40567" xr:uid="{00000000-0005-0000-0000-0000E59D0000}"/>
    <cellStyle name="Normal 3 3 2 3 3 3 2 3" xfId="40568" xr:uid="{00000000-0005-0000-0000-0000E69D0000}"/>
    <cellStyle name="Normal 3 3 2 3 3 3 3" xfId="40569" xr:uid="{00000000-0005-0000-0000-0000E79D0000}"/>
    <cellStyle name="Normal 3 3 2 3 3 3 4" xfId="40570" xr:uid="{00000000-0005-0000-0000-0000E89D0000}"/>
    <cellStyle name="Normal 3 3 2 3 3 3 5" xfId="40571" xr:uid="{00000000-0005-0000-0000-0000E99D0000}"/>
    <cellStyle name="Normal 3 3 2 3 3 3 6" xfId="40572" xr:uid="{00000000-0005-0000-0000-0000EA9D0000}"/>
    <cellStyle name="Normal 3 3 2 3 3 4" xfId="40573" xr:uid="{00000000-0005-0000-0000-0000EB9D0000}"/>
    <cellStyle name="Normal 3 3 2 3 3 4 2" xfId="40574" xr:uid="{00000000-0005-0000-0000-0000EC9D0000}"/>
    <cellStyle name="Normal 3 3 2 3 3 4 3" xfId="40575" xr:uid="{00000000-0005-0000-0000-0000ED9D0000}"/>
    <cellStyle name="Normal 3 3 2 3 3 5" xfId="40576" xr:uid="{00000000-0005-0000-0000-0000EE9D0000}"/>
    <cellStyle name="Normal 3 3 2 3 3 5 2" xfId="40577" xr:uid="{00000000-0005-0000-0000-0000EF9D0000}"/>
    <cellStyle name="Normal 3 3 2 3 3 5 3" xfId="40578" xr:uid="{00000000-0005-0000-0000-0000F09D0000}"/>
    <cellStyle name="Normal 3 3 2 3 3 6" xfId="40579" xr:uid="{00000000-0005-0000-0000-0000F19D0000}"/>
    <cellStyle name="Normal 3 3 2 3 3 7" xfId="40580" xr:uid="{00000000-0005-0000-0000-0000F29D0000}"/>
    <cellStyle name="Normal 3 3 2 3 3 8" xfId="40581" xr:uid="{00000000-0005-0000-0000-0000F39D0000}"/>
    <cellStyle name="Normal 3 3 2 3 3 9" xfId="40582" xr:uid="{00000000-0005-0000-0000-0000F49D0000}"/>
    <cellStyle name="Normal 3 3 2 3 4" xfId="40583" xr:uid="{00000000-0005-0000-0000-0000F59D0000}"/>
    <cellStyle name="Normal 3 3 2 3 4 2" xfId="40584" xr:uid="{00000000-0005-0000-0000-0000F69D0000}"/>
    <cellStyle name="Normal 3 3 2 3 4 2 2" xfId="40585" xr:uid="{00000000-0005-0000-0000-0000F79D0000}"/>
    <cellStyle name="Normal 3 3 2 3 4 2 3" xfId="40586" xr:uid="{00000000-0005-0000-0000-0000F89D0000}"/>
    <cellStyle name="Normal 3 3 2 3 4 2 4" xfId="40587" xr:uid="{00000000-0005-0000-0000-0000F99D0000}"/>
    <cellStyle name="Normal 3 3 2 3 4 3" xfId="40588" xr:uid="{00000000-0005-0000-0000-0000FA9D0000}"/>
    <cellStyle name="Normal 3 3 2 3 4 3 2" xfId="40589" xr:uid="{00000000-0005-0000-0000-0000FB9D0000}"/>
    <cellStyle name="Normal 3 3 2 3 4 3 3" xfId="40590" xr:uid="{00000000-0005-0000-0000-0000FC9D0000}"/>
    <cellStyle name="Normal 3 3 2 3 4 4" xfId="40591" xr:uid="{00000000-0005-0000-0000-0000FD9D0000}"/>
    <cellStyle name="Normal 3 3 2 3 4 5" xfId="40592" xr:uid="{00000000-0005-0000-0000-0000FE9D0000}"/>
    <cellStyle name="Normal 3 3 2 3 4 6" xfId="40593" xr:uid="{00000000-0005-0000-0000-0000FF9D0000}"/>
    <cellStyle name="Normal 3 3 2 3 4 7" xfId="40594" xr:uid="{00000000-0005-0000-0000-0000009E0000}"/>
    <cellStyle name="Normal 3 3 2 3 4 8" xfId="40595" xr:uid="{00000000-0005-0000-0000-0000019E0000}"/>
    <cellStyle name="Normal 3 3 2 3 5" xfId="40596" xr:uid="{00000000-0005-0000-0000-0000029E0000}"/>
    <cellStyle name="Normal 3 3 2 3 5 2" xfId="40597" xr:uid="{00000000-0005-0000-0000-0000039E0000}"/>
    <cellStyle name="Normal 3 3 2 3 5 2 2" xfId="40598" xr:uid="{00000000-0005-0000-0000-0000049E0000}"/>
    <cellStyle name="Normal 3 3 2 3 5 2 3" xfId="40599" xr:uid="{00000000-0005-0000-0000-0000059E0000}"/>
    <cellStyle name="Normal 3 3 2 3 5 3" xfId="40600" xr:uid="{00000000-0005-0000-0000-0000069E0000}"/>
    <cellStyle name="Normal 3 3 2 3 5 4" xfId="40601" xr:uid="{00000000-0005-0000-0000-0000079E0000}"/>
    <cellStyle name="Normal 3 3 2 3 5 5" xfId="40602" xr:uid="{00000000-0005-0000-0000-0000089E0000}"/>
    <cellStyle name="Normal 3 3 2 3 5 6" xfId="40603" xr:uid="{00000000-0005-0000-0000-0000099E0000}"/>
    <cellStyle name="Normal 3 3 2 3 6" xfId="40604" xr:uid="{00000000-0005-0000-0000-00000A9E0000}"/>
    <cellStyle name="Normal 3 3 2 3 6 2" xfId="40605" xr:uid="{00000000-0005-0000-0000-00000B9E0000}"/>
    <cellStyle name="Normal 3 3 2 3 6 3" xfId="40606" xr:uid="{00000000-0005-0000-0000-00000C9E0000}"/>
    <cellStyle name="Normal 3 3 2 3 7" xfId="40607" xr:uid="{00000000-0005-0000-0000-00000D9E0000}"/>
    <cellStyle name="Normal 3 3 2 3 7 2" xfId="40608" xr:uid="{00000000-0005-0000-0000-00000E9E0000}"/>
    <cellStyle name="Normal 3 3 2 3 7 3" xfId="40609" xr:uid="{00000000-0005-0000-0000-00000F9E0000}"/>
    <cellStyle name="Normal 3 3 2 3 8" xfId="40610" xr:uid="{00000000-0005-0000-0000-0000109E0000}"/>
    <cellStyle name="Normal 3 3 2 3 8 2" xfId="40611" xr:uid="{00000000-0005-0000-0000-0000119E0000}"/>
    <cellStyle name="Normal 3 3 2 3 8 3" xfId="40612" xr:uid="{00000000-0005-0000-0000-0000129E0000}"/>
    <cellStyle name="Normal 3 3 2 3 9" xfId="40613" xr:uid="{00000000-0005-0000-0000-0000139E0000}"/>
    <cellStyle name="Normal 3 3 2 4" xfId="40614" xr:uid="{00000000-0005-0000-0000-0000149E0000}"/>
    <cellStyle name="Normal 3 3 2 4 10" xfId="40615" xr:uid="{00000000-0005-0000-0000-0000159E0000}"/>
    <cellStyle name="Normal 3 3 2 4 11" xfId="40616" xr:uid="{00000000-0005-0000-0000-0000169E0000}"/>
    <cellStyle name="Normal 3 3 2 4 2" xfId="40617" xr:uid="{00000000-0005-0000-0000-0000179E0000}"/>
    <cellStyle name="Normal 3 3 2 4 2 10" xfId="40618" xr:uid="{00000000-0005-0000-0000-0000189E0000}"/>
    <cellStyle name="Normal 3 3 2 4 2 2" xfId="40619" xr:uid="{00000000-0005-0000-0000-0000199E0000}"/>
    <cellStyle name="Normal 3 3 2 4 2 2 2" xfId="40620" xr:uid="{00000000-0005-0000-0000-00001A9E0000}"/>
    <cellStyle name="Normal 3 3 2 4 2 2 2 2" xfId="40621" xr:uid="{00000000-0005-0000-0000-00001B9E0000}"/>
    <cellStyle name="Normal 3 3 2 4 2 2 2 3" xfId="40622" xr:uid="{00000000-0005-0000-0000-00001C9E0000}"/>
    <cellStyle name="Normal 3 3 2 4 2 2 3" xfId="40623" xr:uid="{00000000-0005-0000-0000-00001D9E0000}"/>
    <cellStyle name="Normal 3 3 2 4 2 2 3 2" xfId="40624" xr:uid="{00000000-0005-0000-0000-00001E9E0000}"/>
    <cellStyle name="Normal 3 3 2 4 2 2 3 3" xfId="40625" xr:uid="{00000000-0005-0000-0000-00001F9E0000}"/>
    <cellStyle name="Normal 3 3 2 4 2 2 4" xfId="40626" xr:uid="{00000000-0005-0000-0000-0000209E0000}"/>
    <cellStyle name="Normal 3 3 2 4 2 2 5" xfId="40627" xr:uid="{00000000-0005-0000-0000-0000219E0000}"/>
    <cellStyle name="Normal 3 3 2 4 2 2 6" xfId="40628" xr:uid="{00000000-0005-0000-0000-0000229E0000}"/>
    <cellStyle name="Normal 3 3 2 4 2 2 7" xfId="40629" xr:uid="{00000000-0005-0000-0000-0000239E0000}"/>
    <cellStyle name="Normal 3 3 2 4 2 2 8" xfId="40630" xr:uid="{00000000-0005-0000-0000-0000249E0000}"/>
    <cellStyle name="Normal 3 3 2 4 2 3" xfId="40631" xr:uid="{00000000-0005-0000-0000-0000259E0000}"/>
    <cellStyle name="Normal 3 3 2 4 2 3 2" xfId="40632" xr:uid="{00000000-0005-0000-0000-0000269E0000}"/>
    <cellStyle name="Normal 3 3 2 4 2 3 2 2" xfId="40633" xr:uid="{00000000-0005-0000-0000-0000279E0000}"/>
    <cellStyle name="Normal 3 3 2 4 2 3 2 3" xfId="40634" xr:uid="{00000000-0005-0000-0000-0000289E0000}"/>
    <cellStyle name="Normal 3 3 2 4 2 3 3" xfId="40635" xr:uid="{00000000-0005-0000-0000-0000299E0000}"/>
    <cellStyle name="Normal 3 3 2 4 2 3 3 2" xfId="40636" xr:uid="{00000000-0005-0000-0000-00002A9E0000}"/>
    <cellStyle name="Normal 3 3 2 4 2 3 4" xfId="40637" xr:uid="{00000000-0005-0000-0000-00002B9E0000}"/>
    <cellStyle name="Normal 3 3 2 4 2 4" xfId="40638" xr:uid="{00000000-0005-0000-0000-00002C9E0000}"/>
    <cellStyle name="Normal 3 3 2 4 2 4 2" xfId="40639" xr:uid="{00000000-0005-0000-0000-00002D9E0000}"/>
    <cellStyle name="Normal 3 3 2 4 2 4 3" xfId="40640" xr:uid="{00000000-0005-0000-0000-00002E9E0000}"/>
    <cellStyle name="Normal 3 3 2 4 2 5" xfId="40641" xr:uid="{00000000-0005-0000-0000-00002F9E0000}"/>
    <cellStyle name="Normal 3 3 2 4 2 5 2" xfId="40642" xr:uid="{00000000-0005-0000-0000-0000309E0000}"/>
    <cellStyle name="Normal 3 3 2 4 2 5 3" xfId="40643" xr:uid="{00000000-0005-0000-0000-0000319E0000}"/>
    <cellStyle name="Normal 3 3 2 4 2 6" xfId="40644" xr:uid="{00000000-0005-0000-0000-0000329E0000}"/>
    <cellStyle name="Normal 3 3 2 4 2 7" xfId="40645" xr:uid="{00000000-0005-0000-0000-0000339E0000}"/>
    <cellStyle name="Normal 3 3 2 4 2 8" xfId="40646" xr:uid="{00000000-0005-0000-0000-0000349E0000}"/>
    <cellStyle name="Normal 3 3 2 4 2 9" xfId="40647" xr:uid="{00000000-0005-0000-0000-0000359E0000}"/>
    <cellStyle name="Normal 3 3 2 4 3" xfId="40648" xr:uid="{00000000-0005-0000-0000-0000369E0000}"/>
    <cellStyle name="Normal 3 3 2 4 3 2" xfId="40649" xr:uid="{00000000-0005-0000-0000-0000379E0000}"/>
    <cellStyle name="Normal 3 3 2 4 3 2 2" xfId="40650" xr:uid="{00000000-0005-0000-0000-0000389E0000}"/>
    <cellStyle name="Normal 3 3 2 4 3 2 3" xfId="40651" xr:uid="{00000000-0005-0000-0000-0000399E0000}"/>
    <cellStyle name="Normal 3 3 2 4 3 3" xfId="40652" xr:uid="{00000000-0005-0000-0000-00003A9E0000}"/>
    <cellStyle name="Normal 3 3 2 4 3 3 2" xfId="40653" xr:uid="{00000000-0005-0000-0000-00003B9E0000}"/>
    <cellStyle name="Normal 3 3 2 4 3 3 3" xfId="40654" xr:uid="{00000000-0005-0000-0000-00003C9E0000}"/>
    <cellStyle name="Normal 3 3 2 4 3 4" xfId="40655" xr:uid="{00000000-0005-0000-0000-00003D9E0000}"/>
    <cellStyle name="Normal 3 3 2 4 3 5" xfId="40656" xr:uid="{00000000-0005-0000-0000-00003E9E0000}"/>
    <cellStyle name="Normal 3 3 2 4 3 6" xfId="40657" xr:uid="{00000000-0005-0000-0000-00003F9E0000}"/>
    <cellStyle name="Normal 3 3 2 4 3 7" xfId="40658" xr:uid="{00000000-0005-0000-0000-0000409E0000}"/>
    <cellStyle name="Normal 3 3 2 4 3 8" xfId="40659" xr:uid="{00000000-0005-0000-0000-0000419E0000}"/>
    <cellStyle name="Normal 3 3 2 4 4" xfId="40660" xr:uid="{00000000-0005-0000-0000-0000429E0000}"/>
    <cellStyle name="Normal 3 3 2 4 4 2" xfId="40661" xr:uid="{00000000-0005-0000-0000-0000439E0000}"/>
    <cellStyle name="Normal 3 3 2 4 4 2 2" xfId="40662" xr:uid="{00000000-0005-0000-0000-0000449E0000}"/>
    <cellStyle name="Normal 3 3 2 4 4 2 3" xfId="40663" xr:uid="{00000000-0005-0000-0000-0000459E0000}"/>
    <cellStyle name="Normal 3 3 2 4 4 3" xfId="40664" xr:uid="{00000000-0005-0000-0000-0000469E0000}"/>
    <cellStyle name="Normal 3 3 2 4 4 3 2" xfId="40665" xr:uid="{00000000-0005-0000-0000-0000479E0000}"/>
    <cellStyle name="Normal 3 3 2 4 4 4" xfId="40666" xr:uid="{00000000-0005-0000-0000-0000489E0000}"/>
    <cellStyle name="Normal 3 3 2 4 5" xfId="40667" xr:uid="{00000000-0005-0000-0000-0000499E0000}"/>
    <cellStyle name="Normal 3 3 2 4 5 2" xfId="40668" xr:uid="{00000000-0005-0000-0000-00004A9E0000}"/>
    <cellStyle name="Normal 3 3 2 4 5 3" xfId="40669" xr:uid="{00000000-0005-0000-0000-00004B9E0000}"/>
    <cellStyle name="Normal 3 3 2 4 6" xfId="40670" xr:uid="{00000000-0005-0000-0000-00004C9E0000}"/>
    <cellStyle name="Normal 3 3 2 4 6 2" xfId="40671" xr:uid="{00000000-0005-0000-0000-00004D9E0000}"/>
    <cellStyle name="Normal 3 3 2 4 6 3" xfId="40672" xr:uid="{00000000-0005-0000-0000-00004E9E0000}"/>
    <cellStyle name="Normal 3 3 2 4 7" xfId="40673" xr:uid="{00000000-0005-0000-0000-00004F9E0000}"/>
    <cellStyle name="Normal 3 3 2 4 8" xfId="40674" xr:uid="{00000000-0005-0000-0000-0000509E0000}"/>
    <cellStyle name="Normal 3 3 2 4 9" xfId="40675" xr:uid="{00000000-0005-0000-0000-0000519E0000}"/>
    <cellStyle name="Normal 3 3 2 5" xfId="40676" xr:uid="{00000000-0005-0000-0000-0000529E0000}"/>
    <cellStyle name="Normal 3 3 2 5 10" xfId="40677" xr:uid="{00000000-0005-0000-0000-0000539E0000}"/>
    <cellStyle name="Normal 3 3 2 5 11" xfId="40678" xr:uid="{00000000-0005-0000-0000-0000549E0000}"/>
    <cellStyle name="Normal 3 3 2 5 2" xfId="40679" xr:uid="{00000000-0005-0000-0000-0000559E0000}"/>
    <cellStyle name="Normal 3 3 2 5 2 2" xfId="40680" xr:uid="{00000000-0005-0000-0000-0000569E0000}"/>
    <cellStyle name="Normal 3 3 2 5 2 2 2" xfId="40681" xr:uid="{00000000-0005-0000-0000-0000579E0000}"/>
    <cellStyle name="Normal 3 3 2 5 2 2 3" xfId="40682" xr:uid="{00000000-0005-0000-0000-0000589E0000}"/>
    <cellStyle name="Normal 3 3 2 5 2 2 4" xfId="40683" xr:uid="{00000000-0005-0000-0000-0000599E0000}"/>
    <cellStyle name="Normal 3 3 2 5 2 3" xfId="40684" xr:uid="{00000000-0005-0000-0000-00005A9E0000}"/>
    <cellStyle name="Normal 3 3 2 5 2 3 2" xfId="40685" xr:uid="{00000000-0005-0000-0000-00005B9E0000}"/>
    <cellStyle name="Normal 3 3 2 5 2 3 3" xfId="40686" xr:uid="{00000000-0005-0000-0000-00005C9E0000}"/>
    <cellStyle name="Normal 3 3 2 5 2 4" xfId="40687" xr:uid="{00000000-0005-0000-0000-00005D9E0000}"/>
    <cellStyle name="Normal 3 3 2 5 2 5" xfId="40688" xr:uid="{00000000-0005-0000-0000-00005E9E0000}"/>
    <cellStyle name="Normal 3 3 2 5 2 6" xfId="40689" xr:uid="{00000000-0005-0000-0000-00005F9E0000}"/>
    <cellStyle name="Normal 3 3 2 5 2 7" xfId="40690" xr:uid="{00000000-0005-0000-0000-0000609E0000}"/>
    <cellStyle name="Normal 3 3 2 5 2 8" xfId="40691" xr:uid="{00000000-0005-0000-0000-0000619E0000}"/>
    <cellStyle name="Normal 3 3 2 5 3" xfId="40692" xr:uid="{00000000-0005-0000-0000-0000629E0000}"/>
    <cellStyle name="Normal 3 3 2 5 3 2" xfId="40693" xr:uid="{00000000-0005-0000-0000-0000639E0000}"/>
    <cellStyle name="Normal 3 3 2 5 3 2 2" xfId="40694" xr:uid="{00000000-0005-0000-0000-0000649E0000}"/>
    <cellStyle name="Normal 3 3 2 5 3 2 3" xfId="40695" xr:uid="{00000000-0005-0000-0000-0000659E0000}"/>
    <cellStyle name="Normal 3 3 2 5 3 3" xfId="40696" xr:uid="{00000000-0005-0000-0000-0000669E0000}"/>
    <cellStyle name="Normal 3 3 2 5 3 4" xfId="40697" xr:uid="{00000000-0005-0000-0000-0000679E0000}"/>
    <cellStyle name="Normal 3 3 2 5 3 5" xfId="40698" xr:uid="{00000000-0005-0000-0000-0000689E0000}"/>
    <cellStyle name="Normal 3 3 2 5 3 6" xfId="40699" xr:uid="{00000000-0005-0000-0000-0000699E0000}"/>
    <cellStyle name="Normal 3 3 2 5 4" xfId="40700" xr:uid="{00000000-0005-0000-0000-00006A9E0000}"/>
    <cellStyle name="Normal 3 3 2 5 4 2" xfId="40701" xr:uid="{00000000-0005-0000-0000-00006B9E0000}"/>
    <cellStyle name="Normal 3 3 2 5 4 3" xfId="40702" xr:uid="{00000000-0005-0000-0000-00006C9E0000}"/>
    <cellStyle name="Normal 3 3 2 5 5" xfId="40703" xr:uid="{00000000-0005-0000-0000-00006D9E0000}"/>
    <cellStyle name="Normal 3 3 2 5 5 2" xfId="40704" xr:uid="{00000000-0005-0000-0000-00006E9E0000}"/>
    <cellStyle name="Normal 3 3 2 5 5 3" xfId="40705" xr:uid="{00000000-0005-0000-0000-00006F9E0000}"/>
    <cellStyle name="Normal 3 3 2 5 6" xfId="40706" xr:uid="{00000000-0005-0000-0000-0000709E0000}"/>
    <cellStyle name="Normal 3 3 2 5 6 2" xfId="40707" xr:uid="{00000000-0005-0000-0000-0000719E0000}"/>
    <cellStyle name="Normal 3 3 2 5 6 3" xfId="40708" xr:uid="{00000000-0005-0000-0000-0000729E0000}"/>
    <cellStyle name="Normal 3 3 2 5 7" xfId="40709" xr:uid="{00000000-0005-0000-0000-0000739E0000}"/>
    <cellStyle name="Normal 3 3 2 5 8" xfId="40710" xr:uid="{00000000-0005-0000-0000-0000749E0000}"/>
    <cellStyle name="Normal 3 3 2 5 9" xfId="40711" xr:uid="{00000000-0005-0000-0000-0000759E0000}"/>
    <cellStyle name="Normal 3 3 2 6" xfId="40712" xr:uid="{00000000-0005-0000-0000-0000769E0000}"/>
    <cellStyle name="Normal 3 3 2 6 2" xfId="40713" xr:uid="{00000000-0005-0000-0000-0000779E0000}"/>
    <cellStyle name="Normal 3 3 2 6 2 2" xfId="40714" xr:uid="{00000000-0005-0000-0000-0000789E0000}"/>
    <cellStyle name="Normal 3 3 2 6 3" xfId="40715" xr:uid="{00000000-0005-0000-0000-0000799E0000}"/>
    <cellStyle name="Normal 3 3 2 6 4" xfId="40716" xr:uid="{00000000-0005-0000-0000-00007A9E0000}"/>
    <cellStyle name="Normal 3 3 2 6 5" xfId="40717" xr:uid="{00000000-0005-0000-0000-00007B9E0000}"/>
    <cellStyle name="Normal 3 3 2 7" xfId="40718" xr:uid="{00000000-0005-0000-0000-00007C9E0000}"/>
    <cellStyle name="Normal 3 3 2 7 2" xfId="40719" xr:uid="{00000000-0005-0000-0000-00007D9E0000}"/>
    <cellStyle name="Normal 3 3 2 7 2 2" xfId="40720" xr:uid="{00000000-0005-0000-0000-00007E9E0000}"/>
    <cellStyle name="Normal 3 3 2 7 2 3" xfId="40721" xr:uid="{00000000-0005-0000-0000-00007F9E0000}"/>
    <cellStyle name="Normal 3 3 2 7 3" xfId="40722" xr:uid="{00000000-0005-0000-0000-0000809E0000}"/>
    <cellStyle name="Normal 3 3 2 7 3 2" xfId="40723" xr:uid="{00000000-0005-0000-0000-0000819E0000}"/>
    <cellStyle name="Normal 3 3 2 7 3 3" xfId="40724" xr:uid="{00000000-0005-0000-0000-0000829E0000}"/>
    <cellStyle name="Normal 3 3 2 7 4" xfId="40725" xr:uid="{00000000-0005-0000-0000-0000839E0000}"/>
    <cellStyle name="Normal 3 3 2 7 5" xfId="40726" xr:uid="{00000000-0005-0000-0000-0000849E0000}"/>
    <cellStyle name="Normal 3 3 2 7 6" xfId="40727" xr:uid="{00000000-0005-0000-0000-0000859E0000}"/>
    <cellStyle name="Normal 3 3 2 7 7" xfId="40728" xr:uid="{00000000-0005-0000-0000-0000869E0000}"/>
    <cellStyle name="Normal 3 3 2 7 8" xfId="40729" xr:uid="{00000000-0005-0000-0000-0000879E0000}"/>
    <cellStyle name="Normal 3 3 2 8" xfId="40730" xr:uid="{00000000-0005-0000-0000-0000889E0000}"/>
    <cellStyle name="Normal 3 3 2 8 2" xfId="40731" xr:uid="{00000000-0005-0000-0000-0000899E0000}"/>
    <cellStyle name="Normal 3 3 2 8 2 2" xfId="40732" xr:uid="{00000000-0005-0000-0000-00008A9E0000}"/>
    <cellStyle name="Normal 3 3 2 8 2 3" xfId="40733" xr:uid="{00000000-0005-0000-0000-00008B9E0000}"/>
    <cellStyle name="Normal 3 3 2 8 3" xfId="40734" xr:uid="{00000000-0005-0000-0000-00008C9E0000}"/>
    <cellStyle name="Normal 3 3 2 8 3 2" xfId="40735" xr:uid="{00000000-0005-0000-0000-00008D9E0000}"/>
    <cellStyle name="Normal 3 3 2 8 3 3" xfId="40736" xr:uid="{00000000-0005-0000-0000-00008E9E0000}"/>
    <cellStyle name="Normal 3 3 2 8 4" xfId="40737" xr:uid="{00000000-0005-0000-0000-00008F9E0000}"/>
    <cellStyle name="Normal 3 3 2 8 5" xfId="40738" xr:uid="{00000000-0005-0000-0000-0000909E0000}"/>
    <cellStyle name="Normal 3 3 2 8 6" xfId="40739" xr:uid="{00000000-0005-0000-0000-0000919E0000}"/>
    <cellStyle name="Normal 3 3 2 8 7" xfId="40740" xr:uid="{00000000-0005-0000-0000-0000929E0000}"/>
    <cellStyle name="Normal 3 3 2 8 8" xfId="40741" xr:uid="{00000000-0005-0000-0000-0000939E0000}"/>
    <cellStyle name="Normal 3 3 2 9" xfId="40742" xr:uid="{00000000-0005-0000-0000-0000949E0000}"/>
    <cellStyle name="Normal 3 3 2 9 2" xfId="40743" xr:uid="{00000000-0005-0000-0000-0000959E0000}"/>
    <cellStyle name="Normal 3 3 2 9 3" xfId="40744" xr:uid="{00000000-0005-0000-0000-0000969E0000}"/>
    <cellStyle name="Normal 3 3 2 9 4" xfId="40745" xr:uid="{00000000-0005-0000-0000-0000979E0000}"/>
    <cellStyle name="Normal 3 3 20" xfId="40746" xr:uid="{00000000-0005-0000-0000-0000989E0000}"/>
    <cellStyle name="Normal 3 3 20 2" xfId="40747" xr:uid="{00000000-0005-0000-0000-0000999E0000}"/>
    <cellStyle name="Normal 3 3 20 2 2" xfId="40748" xr:uid="{00000000-0005-0000-0000-00009A9E0000}"/>
    <cellStyle name="Normal 3 3 20 2 2 2" xfId="40749" xr:uid="{00000000-0005-0000-0000-00009B9E0000}"/>
    <cellStyle name="Normal 3 3 20 2 2 3" xfId="40750" xr:uid="{00000000-0005-0000-0000-00009C9E0000}"/>
    <cellStyle name="Normal 3 3 20 2 3" xfId="40751" xr:uid="{00000000-0005-0000-0000-00009D9E0000}"/>
    <cellStyle name="Normal 3 3 20 2 4" xfId="40752" xr:uid="{00000000-0005-0000-0000-00009E9E0000}"/>
    <cellStyle name="Normal 3 3 20 3" xfId="40753" xr:uid="{00000000-0005-0000-0000-00009F9E0000}"/>
    <cellStyle name="Normal 3 3 20 3 2" xfId="40754" xr:uid="{00000000-0005-0000-0000-0000A09E0000}"/>
    <cellStyle name="Normal 3 3 20 3 3" xfId="40755" xr:uid="{00000000-0005-0000-0000-0000A19E0000}"/>
    <cellStyle name="Normal 3 3 20 4" xfId="40756" xr:uid="{00000000-0005-0000-0000-0000A29E0000}"/>
    <cellStyle name="Normal 3 3 21" xfId="40757" xr:uid="{00000000-0005-0000-0000-0000A39E0000}"/>
    <cellStyle name="Normal 3 3 21 2" xfId="40758" xr:uid="{00000000-0005-0000-0000-0000A49E0000}"/>
    <cellStyle name="Normal 3 3 21 2 2" xfId="40759" xr:uid="{00000000-0005-0000-0000-0000A59E0000}"/>
    <cellStyle name="Normal 3 3 21 2 2 2" xfId="40760" xr:uid="{00000000-0005-0000-0000-0000A69E0000}"/>
    <cellStyle name="Normal 3 3 21 2 2 3" xfId="40761" xr:uid="{00000000-0005-0000-0000-0000A79E0000}"/>
    <cellStyle name="Normal 3 3 21 2 3" xfId="40762" xr:uid="{00000000-0005-0000-0000-0000A89E0000}"/>
    <cellStyle name="Normal 3 3 21 2 4" xfId="40763" xr:uid="{00000000-0005-0000-0000-0000A99E0000}"/>
    <cellStyle name="Normal 3 3 21 3" xfId="40764" xr:uid="{00000000-0005-0000-0000-0000AA9E0000}"/>
    <cellStyle name="Normal 3 3 21 3 2" xfId="40765" xr:uid="{00000000-0005-0000-0000-0000AB9E0000}"/>
    <cellStyle name="Normal 3 3 21 3 3" xfId="40766" xr:uid="{00000000-0005-0000-0000-0000AC9E0000}"/>
    <cellStyle name="Normal 3 3 21 4" xfId="40767" xr:uid="{00000000-0005-0000-0000-0000AD9E0000}"/>
    <cellStyle name="Normal 3 3 22" xfId="40768" xr:uid="{00000000-0005-0000-0000-0000AE9E0000}"/>
    <cellStyle name="Normal 3 3 22 2" xfId="40769" xr:uid="{00000000-0005-0000-0000-0000AF9E0000}"/>
    <cellStyle name="Normal 3 3 22 2 2" xfId="40770" xr:uid="{00000000-0005-0000-0000-0000B09E0000}"/>
    <cellStyle name="Normal 3 3 22 2 2 2" xfId="40771" xr:uid="{00000000-0005-0000-0000-0000B19E0000}"/>
    <cellStyle name="Normal 3 3 22 2 2 3" xfId="40772" xr:uid="{00000000-0005-0000-0000-0000B29E0000}"/>
    <cellStyle name="Normal 3 3 22 2 3" xfId="40773" xr:uid="{00000000-0005-0000-0000-0000B39E0000}"/>
    <cellStyle name="Normal 3 3 22 2 4" xfId="40774" xr:uid="{00000000-0005-0000-0000-0000B49E0000}"/>
    <cellStyle name="Normal 3 3 22 3" xfId="40775" xr:uid="{00000000-0005-0000-0000-0000B59E0000}"/>
    <cellStyle name="Normal 3 3 22 3 2" xfId="40776" xr:uid="{00000000-0005-0000-0000-0000B69E0000}"/>
    <cellStyle name="Normal 3 3 22 3 3" xfId="40777" xr:uid="{00000000-0005-0000-0000-0000B79E0000}"/>
    <cellStyle name="Normal 3 3 22 4" xfId="40778" xr:uid="{00000000-0005-0000-0000-0000B89E0000}"/>
    <cellStyle name="Normal 3 3 23" xfId="40779" xr:uid="{00000000-0005-0000-0000-0000B99E0000}"/>
    <cellStyle name="Normal 3 3 23 2" xfId="40780" xr:uid="{00000000-0005-0000-0000-0000BA9E0000}"/>
    <cellStyle name="Normal 3 3 23 2 2" xfId="40781" xr:uid="{00000000-0005-0000-0000-0000BB9E0000}"/>
    <cellStyle name="Normal 3 3 23 2 2 2" xfId="40782" xr:uid="{00000000-0005-0000-0000-0000BC9E0000}"/>
    <cellStyle name="Normal 3 3 23 2 2 3" xfId="40783" xr:uid="{00000000-0005-0000-0000-0000BD9E0000}"/>
    <cellStyle name="Normal 3 3 23 2 3" xfId="40784" xr:uid="{00000000-0005-0000-0000-0000BE9E0000}"/>
    <cellStyle name="Normal 3 3 23 2 4" xfId="40785" xr:uid="{00000000-0005-0000-0000-0000BF9E0000}"/>
    <cellStyle name="Normal 3 3 23 3" xfId="40786" xr:uid="{00000000-0005-0000-0000-0000C09E0000}"/>
    <cellStyle name="Normal 3 3 23 3 2" xfId="40787" xr:uid="{00000000-0005-0000-0000-0000C19E0000}"/>
    <cellStyle name="Normal 3 3 23 3 3" xfId="40788" xr:uid="{00000000-0005-0000-0000-0000C29E0000}"/>
    <cellStyle name="Normal 3 3 23 4" xfId="40789" xr:uid="{00000000-0005-0000-0000-0000C39E0000}"/>
    <cellStyle name="Normal 3 3 24" xfId="40790" xr:uid="{00000000-0005-0000-0000-0000C49E0000}"/>
    <cellStyle name="Normal 3 3 24 2" xfId="40791" xr:uid="{00000000-0005-0000-0000-0000C59E0000}"/>
    <cellStyle name="Normal 3 3 24 2 2" xfId="40792" xr:uid="{00000000-0005-0000-0000-0000C69E0000}"/>
    <cellStyle name="Normal 3 3 24 2 3" xfId="40793" xr:uid="{00000000-0005-0000-0000-0000C79E0000}"/>
    <cellStyle name="Normal 3 3 24 3" xfId="40794" xr:uid="{00000000-0005-0000-0000-0000C89E0000}"/>
    <cellStyle name="Normal 3 3 24 4" xfId="40795" xr:uid="{00000000-0005-0000-0000-0000C99E0000}"/>
    <cellStyle name="Normal 3 3 25" xfId="40796" xr:uid="{00000000-0005-0000-0000-0000CA9E0000}"/>
    <cellStyle name="Normal 3 3 25 2" xfId="40797" xr:uid="{00000000-0005-0000-0000-0000CB9E0000}"/>
    <cellStyle name="Normal 3 3 25 2 2" xfId="40798" xr:uid="{00000000-0005-0000-0000-0000CC9E0000}"/>
    <cellStyle name="Normal 3 3 25 2 3" xfId="40799" xr:uid="{00000000-0005-0000-0000-0000CD9E0000}"/>
    <cellStyle name="Normal 3 3 25 3" xfId="40800" xr:uid="{00000000-0005-0000-0000-0000CE9E0000}"/>
    <cellStyle name="Normal 3 3 25 3 2" xfId="40801" xr:uid="{00000000-0005-0000-0000-0000CF9E0000}"/>
    <cellStyle name="Normal 3 3 25 3 3" xfId="40802" xr:uid="{00000000-0005-0000-0000-0000D09E0000}"/>
    <cellStyle name="Normal 3 3 25 4" xfId="40803" xr:uid="{00000000-0005-0000-0000-0000D19E0000}"/>
    <cellStyle name="Normal 3 3 25 5" xfId="40804" xr:uid="{00000000-0005-0000-0000-0000D29E0000}"/>
    <cellStyle name="Normal 3 3 25 6" xfId="40805" xr:uid="{00000000-0005-0000-0000-0000D39E0000}"/>
    <cellStyle name="Normal 3 3 25 7" xfId="40806" xr:uid="{00000000-0005-0000-0000-0000D49E0000}"/>
    <cellStyle name="Normal 3 3 25 8" xfId="40807" xr:uid="{00000000-0005-0000-0000-0000D59E0000}"/>
    <cellStyle name="Normal 3 3 26" xfId="40808" xr:uid="{00000000-0005-0000-0000-0000D69E0000}"/>
    <cellStyle name="Normal 3 3 26 2" xfId="40809" xr:uid="{00000000-0005-0000-0000-0000D79E0000}"/>
    <cellStyle name="Normal 3 3 26 2 2" xfId="40810" xr:uid="{00000000-0005-0000-0000-0000D89E0000}"/>
    <cellStyle name="Normal 3 3 26 2 3" xfId="40811" xr:uid="{00000000-0005-0000-0000-0000D99E0000}"/>
    <cellStyle name="Normal 3 3 26 3" xfId="40812" xr:uid="{00000000-0005-0000-0000-0000DA9E0000}"/>
    <cellStyle name="Normal 3 3 26 3 2" xfId="40813" xr:uid="{00000000-0005-0000-0000-0000DB9E0000}"/>
    <cellStyle name="Normal 3 3 26 3 3" xfId="40814" xr:uid="{00000000-0005-0000-0000-0000DC9E0000}"/>
    <cellStyle name="Normal 3 3 26 4" xfId="40815" xr:uid="{00000000-0005-0000-0000-0000DD9E0000}"/>
    <cellStyle name="Normal 3 3 26 5" xfId="40816" xr:uid="{00000000-0005-0000-0000-0000DE9E0000}"/>
    <cellStyle name="Normal 3 3 26 6" xfId="40817" xr:uid="{00000000-0005-0000-0000-0000DF9E0000}"/>
    <cellStyle name="Normal 3 3 26 7" xfId="40818" xr:uid="{00000000-0005-0000-0000-0000E09E0000}"/>
    <cellStyle name="Normal 3 3 26 8" xfId="40819" xr:uid="{00000000-0005-0000-0000-0000E19E0000}"/>
    <cellStyle name="Normal 3 3 27" xfId="40820" xr:uid="{00000000-0005-0000-0000-0000E29E0000}"/>
    <cellStyle name="Normal 3 3 27 2" xfId="40821" xr:uid="{00000000-0005-0000-0000-0000E39E0000}"/>
    <cellStyle name="Normal 3 3 27 3" xfId="40822" xr:uid="{00000000-0005-0000-0000-0000E49E0000}"/>
    <cellStyle name="Normal 3 3 28" xfId="40823" xr:uid="{00000000-0005-0000-0000-0000E59E0000}"/>
    <cellStyle name="Normal 3 3 28 2" xfId="40824" xr:uid="{00000000-0005-0000-0000-0000E69E0000}"/>
    <cellStyle name="Normal 3 3 28 3" xfId="40825" xr:uid="{00000000-0005-0000-0000-0000E79E0000}"/>
    <cellStyle name="Normal 3 3 29" xfId="40826" xr:uid="{00000000-0005-0000-0000-0000E89E0000}"/>
    <cellStyle name="Normal 3 3 29 2" xfId="40827" xr:uid="{00000000-0005-0000-0000-0000E99E0000}"/>
    <cellStyle name="Normal 3 3 29 3" xfId="40828" xr:uid="{00000000-0005-0000-0000-0000EA9E0000}"/>
    <cellStyle name="Normal 3 3 3" xfId="40829" xr:uid="{00000000-0005-0000-0000-0000EB9E0000}"/>
    <cellStyle name="Normal 3 3 3 10" xfId="40830" xr:uid="{00000000-0005-0000-0000-0000EC9E0000}"/>
    <cellStyle name="Normal 3 3 3 11" xfId="40831" xr:uid="{00000000-0005-0000-0000-0000ED9E0000}"/>
    <cellStyle name="Normal 3 3 3 12" xfId="40832" xr:uid="{00000000-0005-0000-0000-0000EE9E0000}"/>
    <cellStyle name="Normal 3 3 3 2" xfId="40833" xr:uid="{00000000-0005-0000-0000-0000EF9E0000}"/>
    <cellStyle name="Normal 3 3 3 2 10" xfId="40834" xr:uid="{00000000-0005-0000-0000-0000F09E0000}"/>
    <cellStyle name="Normal 3 3 3 2 11" xfId="40835" xr:uid="{00000000-0005-0000-0000-0000F19E0000}"/>
    <cellStyle name="Normal 3 3 3 2 2" xfId="40836" xr:uid="{00000000-0005-0000-0000-0000F29E0000}"/>
    <cellStyle name="Normal 3 3 3 2 2 10" xfId="40837" xr:uid="{00000000-0005-0000-0000-0000F39E0000}"/>
    <cellStyle name="Normal 3 3 3 2 2 11" xfId="40838" xr:uid="{00000000-0005-0000-0000-0000F49E0000}"/>
    <cellStyle name="Normal 3 3 3 2 2 2" xfId="40839" xr:uid="{00000000-0005-0000-0000-0000F59E0000}"/>
    <cellStyle name="Normal 3 3 3 2 2 2 2" xfId="40840" xr:uid="{00000000-0005-0000-0000-0000F69E0000}"/>
    <cellStyle name="Normal 3 3 3 2 2 2 2 2" xfId="40841" xr:uid="{00000000-0005-0000-0000-0000F79E0000}"/>
    <cellStyle name="Normal 3 3 3 2 2 2 2 2 2" xfId="40842" xr:uid="{00000000-0005-0000-0000-0000F89E0000}"/>
    <cellStyle name="Normal 3 3 3 2 2 2 2 2 3" xfId="40843" xr:uid="{00000000-0005-0000-0000-0000F99E0000}"/>
    <cellStyle name="Normal 3 3 3 2 2 2 2 3" xfId="40844" xr:uid="{00000000-0005-0000-0000-0000FA9E0000}"/>
    <cellStyle name="Normal 3 3 3 2 2 2 2 3 2" xfId="40845" xr:uid="{00000000-0005-0000-0000-0000FB9E0000}"/>
    <cellStyle name="Normal 3 3 3 2 2 2 2 3 3" xfId="40846" xr:uid="{00000000-0005-0000-0000-0000FC9E0000}"/>
    <cellStyle name="Normal 3 3 3 2 2 2 2 4" xfId="40847" xr:uid="{00000000-0005-0000-0000-0000FD9E0000}"/>
    <cellStyle name="Normal 3 3 3 2 2 2 2 5" xfId="40848" xr:uid="{00000000-0005-0000-0000-0000FE9E0000}"/>
    <cellStyle name="Normal 3 3 3 2 2 2 2 6" xfId="40849" xr:uid="{00000000-0005-0000-0000-0000FF9E0000}"/>
    <cellStyle name="Normal 3 3 3 2 2 2 2 7" xfId="40850" xr:uid="{00000000-0005-0000-0000-0000009F0000}"/>
    <cellStyle name="Normal 3 3 3 2 2 2 2 8" xfId="40851" xr:uid="{00000000-0005-0000-0000-0000019F0000}"/>
    <cellStyle name="Normal 3 3 3 2 2 2 3" xfId="40852" xr:uid="{00000000-0005-0000-0000-0000029F0000}"/>
    <cellStyle name="Normal 3 3 3 2 2 2 3 2" xfId="40853" xr:uid="{00000000-0005-0000-0000-0000039F0000}"/>
    <cellStyle name="Normal 3 3 3 2 2 2 3 2 2" xfId="40854" xr:uid="{00000000-0005-0000-0000-0000049F0000}"/>
    <cellStyle name="Normal 3 3 3 2 2 2 3 2 3" xfId="40855" xr:uid="{00000000-0005-0000-0000-0000059F0000}"/>
    <cellStyle name="Normal 3 3 3 2 2 2 3 3" xfId="40856" xr:uid="{00000000-0005-0000-0000-0000069F0000}"/>
    <cellStyle name="Normal 3 3 3 2 2 2 3 3 2" xfId="40857" xr:uid="{00000000-0005-0000-0000-0000079F0000}"/>
    <cellStyle name="Normal 3 3 3 2 2 2 3 4" xfId="40858" xr:uid="{00000000-0005-0000-0000-0000089F0000}"/>
    <cellStyle name="Normal 3 3 3 2 2 2 4" xfId="40859" xr:uid="{00000000-0005-0000-0000-0000099F0000}"/>
    <cellStyle name="Normal 3 3 3 2 2 2 4 2" xfId="40860" xr:uid="{00000000-0005-0000-0000-00000A9F0000}"/>
    <cellStyle name="Normal 3 3 3 2 2 2 4 3" xfId="40861" xr:uid="{00000000-0005-0000-0000-00000B9F0000}"/>
    <cellStyle name="Normal 3 3 3 2 2 2 5" xfId="40862" xr:uid="{00000000-0005-0000-0000-00000C9F0000}"/>
    <cellStyle name="Normal 3 3 3 2 2 2 6" xfId="40863" xr:uid="{00000000-0005-0000-0000-00000D9F0000}"/>
    <cellStyle name="Normal 3 3 3 2 2 2 7" xfId="40864" xr:uid="{00000000-0005-0000-0000-00000E9F0000}"/>
    <cellStyle name="Normal 3 3 3 2 2 2 8" xfId="40865" xr:uid="{00000000-0005-0000-0000-00000F9F0000}"/>
    <cellStyle name="Normal 3 3 3 2 2 2 9" xfId="40866" xr:uid="{00000000-0005-0000-0000-0000109F0000}"/>
    <cellStyle name="Normal 3 3 3 2 2 3" xfId="40867" xr:uid="{00000000-0005-0000-0000-0000119F0000}"/>
    <cellStyle name="Normal 3 3 3 2 2 3 2" xfId="40868" xr:uid="{00000000-0005-0000-0000-0000129F0000}"/>
    <cellStyle name="Normal 3 3 3 2 2 3 2 2" xfId="40869" xr:uid="{00000000-0005-0000-0000-0000139F0000}"/>
    <cellStyle name="Normal 3 3 3 2 2 3 2 3" xfId="40870" xr:uid="{00000000-0005-0000-0000-0000149F0000}"/>
    <cellStyle name="Normal 3 3 3 2 2 3 3" xfId="40871" xr:uid="{00000000-0005-0000-0000-0000159F0000}"/>
    <cellStyle name="Normal 3 3 3 2 2 3 3 2" xfId="40872" xr:uid="{00000000-0005-0000-0000-0000169F0000}"/>
    <cellStyle name="Normal 3 3 3 2 2 3 3 3" xfId="40873" xr:uid="{00000000-0005-0000-0000-0000179F0000}"/>
    <cellStyle name="Normal 3 3 3 2 2 3 4" xfId="40874" xr:uid="{00000000-0005-0000-0000-0000189F0000}"/>
    <cellStyle name="Normal 3 3 3 2 2 3 5" xfId="40875" xr:uid="{00000000-0005-0000-0000-0000199F0000}"/>
    <cellStyle name="Normal 3 3 3 2 2 3 6" xfId="40876" xr:uid="{00000000-0005-0000-0000-00001A9F0000}"/>
    <cellStyle name="Normal 3 3 3 2 2 3 7" xfId="40877" xr:uid="{00000000-0005-0000-0000-00001B9F0000}"/>
    <cellStyle name="Normal 3 3 3 2 2 3 8" xfId="40878" xr:uid="{00000000-0005-0000-0000-00001C9F0000}"/>
    <cellStyle name="Normal 3 3 3 2 2 4" xfId="40879" xr:uid="{00000000-0005-0000-0000-00001D9F0000}"/>
    <cellStyle name="Normal 3 3 3 2 2 4 2" xfId="40880" xr:uid="{00000000-0005-0000-0000-00001E9F0000}"/>
    <cellStyle name="Normal 3 3 3 2 2 4 2 2" xfId="40881" xr:uid="{00000000-0005-0000-0000-00001F9F0000}"/>
    <cellStyle name="Normal 3 3 3 2 2 4 2 3" xfId="40882" xr:uid="{00000000-0005-0000-0000-0000209F0000}"/>
    <cellStyle name="Normal 3 3 3 2 2 4 3" xfId="40883" xr:uid="{00000000-0005-0000-0000-0000219F0000}"/>
    <cellStyle name="Normal 3 3 3 2 2 4 3 2" xfId="40884" xr:uid="{00000000-0005-0000-0000-0000229F0000}"/>
    <cellStyle name="Normal 3 3 3 2 2 4 4" xfId="40885" xr:uid="{00000000-0005-0000-0000-0000239F0000}"/>
    <cellStyle name="Normal 3 3 3 2 2 5" xfId="40886" xr:uid="{00000000-0005-0000-0000-0000249F0000}"/>
    <cellStyle name="Normal 3 3 3 2 2 5 2" xfId="40887" xr:uid="{00000000-0005-0000-0000-0000259F0000}"/>
    <cellStyle name="Normal 3 3 3 2 2 5 3" xfId="40888" xr:uid="{00000000-0005-0000-0000-0000269F0000}"/>
    <cellStyle name="Normal 3 3 3 2 2 6" xfId="40889" xr:uid="{00000000-0005-0000-0000-0000279F0000}"/>
    <cellStyle name="Normal 3 3 3 2 2 6 2" xfId="40890" xr:uid="{00000000-0005-0000-0000-0000289F0000}"/>
    <cellStyle name="Normal 3 3 3 2 2 6 3" xfId="40891" xr:uid="{00000000-0005-0000-0000-0000299F0000}"/>
    <cellStyle name="Normal 3 3 3 2 2 7" xfId="40892" xr:uid="{00000000-0005-0000-0000-00002A9F0000}"/>
    <cellStyle name="Normal 3 3 3 2 2 8" xfId="40893" xr:uid="{00000000-0005-0000-0000-00002B9F0000}"/>
    <cellStyle name="Normal 3 3 3 2 2 9" xfId="40894" xr:uid="{00000000-0005-0000-0000-00002C9F0000}"/>
    <cellStyle name="Normal 3 3 3 2 3" xfId="40895" xr:uid="{00000000-0005-0000-0000-00002D9F0000}"/>
    <cellStyle name="Normal 3 3 3 2 3 10" xfId="40896" xr:uid="{00000000-0005-0000-0000-00002E9F0000}"/>
    <cellStyle name="Normal 3 3 3 2 3 2" xfId="40897" xr:uid="{00000000-0005-0000-0000-00002F9F0000}"/>
    <cellStyle name="Normal 3 3 3 2 3 2 2" xfId="40898" xr:uid="{00000000-0005-0000-0000-0000309F0000}"/>
    <cellStyle name="Normal 3 3 3 2 3 2 2 2" xfId="40899" xr:uid="{00000000-0005-0000-0000-0000319F0000}"/>
    <cellStyle name="Normal 3 3 3 2 3 2 2 3" xfId="40900" xr:uid="{00000000-0005-0000-0000-0000329F0000}"/>
    <cellStyle name="Normal 3 3 3 2 3 2 2 4" xfId="40901" xr:uid="{00000000-0005-0000-0000-0000339F0000}"/>
    <cellStyle name="Normal 3 3 3 2 3 2 3" xfId="40902" xr:uid="{00000000-0005-0000-0000-0000349F0000}"/>
    <cellStyle name="Normal 3 3 3 2 3 2 3 2" xfId="40903" xr:uid="{00000000-0005-0000-0000-0000359F0000}"/>
    <cellStyle name="Normal 3 3 3 2 3 2 3 3" xfId="40904" xr:uid="{00000000-0005-0000-0000-0000369F0000}"/>
    <cellStyle name="Normal 3 3 3 2 3 2 4" xfId="40905" xr:uid="{00000000-0005-0000-0000-0000379F0000}"/>
    <cellStyle name="Normal 3 3 3 2 3 2 5" xfId="40906" xr:uid="{00000000-0005-0000-0000-0000389F0000}"/>
    <cellStyle name="Normal 3 3 3 2 3 2 6" xfId="40907" xr:uid="{00000000-0005-0000-0000-0000399F0000}"/>
    <cellStyle name="Normal 3 3 3 2 3 2 7" xfId="40908" xr:uid="{00000000-0005-0000-0000-00003A9F0000}"/>
    <cellStyle name="Normal 3 3 3 2 3 2 8" xfId="40909" xr:uid="{00000000-0005-0000-0000-00003B9F0000}"/>
    <cellStyle name="Normal 3 3 3 2 3 3" xfId="40910" xr:uid="{00000000-0005-0000-0000-00003C9F0000}"/>
    <cellStyle name="Normal 3 3 3 2 3 3 2" xfId="40911" xr:uid="{00000000-0005-0000-0000-00003D9F0000}"/>
    <cellStyle name="Normal 3 3 3 2 3 3 2 2" xfId="40912" xr:uid="{00000000-0005-0000-0000-00003E9F0000}"/>
    <cellStyle name="Normal 3 3 3 2 3 3 2 3" xfId="40913" xr:uid="{00000000-0005-0000-0000-00003F9F0000}"/>
    <cellStyle name="Normal 3 3 3 2 3 3 3" xfId="40914" xr:uid="{00000000-0005-0000-0000-0000409F0000}"/>
    <cellStyle name="Normal 3 3 3 2 3 3 4" xfId="40915" xr:uid="{00000000-0005-0000-0000-0000419F0000}"/>
    <cellStyle name="Normal 3 3 3 2 3 3 5" xfId="40916" xr:uid="{00000000-0005-0000-0000-0000429F0000}"/>
    <cellStyle name="Normal 3 3 3 2 3 3 6" xfId="40917" xr:uid="{00000000-0005-0000-0000-0000439F0000}"/>
    <cellStyle name="Normal 3 3 3 2 3 4" xfId="40918" xr:uid="{00000000-0005-0000-0000-0000449F0000}"/>
    <cellStyle name="Normal 3 3 3 2 3 4 2" xfId="40919" xr:uid="{00000000-0005-0000-0000-0000459F0000}"/>
    <cellStyle name="Normal 3 3 3 2 3 4 3" xfId="40920" xr:uid="{00000000-0005-0000-0000-0000469F0000}"/>
    <cellStyle name="Normal 3 3 3 2 3 5" xfId="40921" xr:uid="{00000000-0005-0000-0000-0000479F0000}"/>
    <cellStyle name="Normal 3 3 3 2 3 5 2" xfId="40922" xr:uid="{00000000-0005-0000-0000-0000489F0000}"/>
    <cellStyle name="Normal 3 3 3 2 3 5 3" xfId="40923" xr:uid="{00000000-0005-0000-0000-0000499F0000}"/>
    <cellStyle name="Normal 3 3 3 2 3 6" xfId="40924" xr:uid="{00000000-0005-0000-0000-00004A9F0000}"/>
    <cellStyle name="Normal 3 3 3 2 3 7" xfId="40925" xr:uid="{00000000-0005-0000-0000-00004B9F0000}"/>
    <cellStyle name="Normal 3 3 3 2 3 8" xfId="40926" xr:uid="{00000000-0005-0000-0000-00004C9F0000}"/>
    <cellStyle name="Normal 3 3 3 2 3 9" xfId="40927" xr:uid="{00000000-0005-0000-0000-00004D9F0000}"/>
    <cellStyle name="Normal 3 3 3 2 4" xfId="40928" xr:uid="{00000000-0005-0000-0000-00004E9F0000}"/>
    <cellStyle name="Normal 3 3 3 2 4 2" xfId="40929" xr:uid="{00000000-0005-0000-0000-00004F9F0000}"/>
    <cellStyle name="Normal 3 3 3 2 4 2 2" xfId="40930" xr:uid="{00000000-0005-0000-0000-0000509F0000}"/>
    <cellStyle name="Normal 3 3 3 2 4 2 3" xfId="40931" xr:uid="{00000000-0005-0000-0000-0000519F0000}"/>
    <cellStyle name="Normal 3 3 3 2 4 2 4" xfId="40932" xr:uid="{00000000-0005-0000-0000-0000529F0000}"/>
    <cellStyle name="Normal 3 3 3 2 4 3" xfId="40933" xr:uid="{00000000-0005-0000-0000-0000539F0000}"/>
    <cellStyle name="Normal 3 3 3 2 4 3 2" xfId="40934" xr:uid="{00000000-0005-0000-0000-0000549F0000}"/>
    <cellStyle name="Normal 3 3 3 2 4 3 3" xfId="40935" xr:uid="{00000000-0005-0000-0000-0000559F0000}"/>
    <cellStyle name="Normal 3 3 3 2 4 4" xfId="40936" xr:uid="{00000000-0005-0000-0000-0000569F0000}"/>
    <cellStyle name="Normal 3 3 3 2 4 5" xfId="40937" xr:uid="{00000000-0005-0000-0000-0000579F0000}"/>
    <cellStyle name="Normal 3 3 3 2 4 6" xfId="40938" xr:uid="{00000000-0005-0000-0000-0000589F0000}"/>
    <cellStyle name="Normal 3 3 3 2 4 7" xfId="40939" xr:uid="{00000000-0005-0000-0000-0000599F0000}"/>
    <cellStyle name="Normal 3 3 3 2 4 8" xfId="40940" xr:uid="{00000000-0005-0000-0000-00005A9F0000}"/>
    <cellStyle name="Normal 3 3 3 2 5" xfId="40941" xr:uid="{00000000-0005-0000-0000-00005B9F0000}"/>
    <cellStyle name="Normal 3 3 3 2 5 2" xfId="40942" xr:uid="{00000000-0005-0000-0000-00005C9F0000}"/>
    <cellStyle name="Normal 3 3 3 2 5 2 2" xfId="40943" xr:uid="{00000000-0005-0000-0000-00005D9F0000}"/>
    <cellStyle name="Normal 3 3 3 2 5 2 3" xfId="40944" xr:uid="{00000000-0005-0000-0000-00005E9F0000}"/>
    <cellStyle name="Normal 3 3 3 2 5 3" xfId="40945" xr:uid="{00000000-0005-0000-0000-00005F9F0000}"/>
    <cellStyle name="Normal 3 3 3 2 5 4" xfId="40946" xr:uid="{00000000-0005-0000-0000-0000609F0000}"/>
    <cellStyle name="Normal 3 3 3 2 5 5" xfId="40947" xr:uid="{00000000-0005-0000-0000-0000619F0000}"/>
    <cellStyle name="Normal 3 3 3 2 5 6" xfId="40948" xr:uid="{00000000-0005-0000-0000-0000629F0000}"/>
    <cellStyle name="Normal 3 3 3 2 6" xfId="40949" xr:uid="{00000000-0005-0000-0000-0000639F0000}"/>
    <cellStyle name="Normal 3 3 3 2 6 2" xfId="40950" xr:uid="{00000000-0005-0000-0000-0000649F0000}"/>
    <cellStyle name="Normal 3 3 3 2 6 3" xfId="40951" xr:uid="{00000000-0005-0000-0000-0000659F0000}"/>
    <cellStyle name="Normal 3 3 3 2 7" xfId="40952" xr:uid="{00000000-0005-0000-0000-0000669F0000}"/>
    <cellStyle name="Normal 3 3 3 2 7 2" xfId="40953" xr:uid="{00000000-0005-0000-0000-0000679F0000}"/>
    <cellStyle name="Normal 3 3 3 2 7 3" xfId="40954" xr:uid="{00000000-0005-0000-0000-0000689F0000}"/>
    <cellStyle name="Normal 3 3 3 2 8" xfId="40955" xr:uid="{00000000-0005-0000-0000-0000699F0000}"/>
    <cellStyle name="Normal 3 3 3 2 8 2" xfId="40956" xr:uid="{00000000-0005-0000-0000-00006A9F0000}"/>
    <cellStyle name="Normal 3 3 3 2 8 3" xfId="40957" xr:uid="{00000000-0005-0000-0000-00006B9F0000}"/>
    <cellStyle name="Normal 3 3 3 2 9" xfId="40958" xr:uid="{00000000-0005-0000-0000-00006C9F0000}"/>
    <cellStyle name="Normal 3 3 3 3" xfId="40959" xr:uid="{00000000-0005-0000-0000-00006D9F0000}"/>
    <cellStyle name="Normal 3 3 3 3 10" xfId="40960" xr:uid="{00000000-0005-0000-0000-00006E9F0000}"/>
    <cellStyle name="Normal 3 3 3 3 11" xfId="40961" xr:uid="{00000000-0005-0000-0000-00006F9F0000}"/>
    <cellStyle name="Normal 3 3 3 3 2" xfId="40962" xr:uid="{00000000-0005-0000-0000-0000709F0000}"/>
    <cellStyle name="Normal 3 3 3 3 2 2" xfId="40963" xr:uid="{00000000-0005-0000-0000-0000719F0000}"/>
    <cellStyle name="Normal 3 3 3 3 2 2 2" xfId="40964" xr:uid="{00000000-0005-0000-0000-0000729F0000}"/>
    <cellStyle name="Normal 3 3 3 3 2 2 2 2" xfId="40965" xr:uid="{00000000-0005-0000-0000-0000739F0000}"/>
    <cellStyle name="Normal 3 3 3 3 2 2 2 3" xfId="40966" xr:uid="{00000000-0005-0000-0000-0000749F0000}"/>
    <cellStyle name="Normal 3 3 3 3 2 2 3" xfId="40967" xr:uid="{00000000-0005-0000-0000-0000759F0000}"/>
    <cellStyle name="Normal 3 3 3 3 2 2 3 2" xfId="40968" xr:uid="{00000000-0005-0000-0000-0000769F0000}"/>
    <cellStyle name="Normal 3 3 3 3 2 2 3 3" xfId="40969" xr:uid="{00000000-0005-0000-0000-0000779F0000}"/>
    <cellStyle name="Normal 3 3 3 3 2 2 4" xfId="40970" xr:uid="{00000000-0005-0000-0000-0000789F0000}"/>
    <cellStyle name="Normal 3 3 3 3 2 2 5" xfId="40971" xr:uid="{00000000-0005-0000-0000-0000799F0000}"/>
    <cellStyle name="Normal 3 3 3 3 2 2 6" xfId="40972" xr:uid="{00000000-0005-0000-0000-00007A9F0000}"/>
    <cellStyle name="Normal 3 3 3 3 2 2 7" xfId="40973" xr:uid="{00000000-0005-0000-0000-00007B9F0000}"/>
    <cellStyle name="Normal 3 3 3 3 2 2 8" xfId="40974" xr:uid="{00000000-0005-0000-0000-00007C9F0000}"/>
    <cellStyle name="Normal 3 3 3 3 2 3" xfId="40975" xr:uid="{00000000-0005-0000-0000-00007D9F0000}"/>
    <cellStyle name="Normal 3 3 3 3 2 3 2" xfId="40976" xr:uid="{00000000-0005-0000-0000-00007E9F0000}"/>
    <cellStyle name="Normal 3 3 3 3 2 3 2 2" xfId="40977" xr:uid="{00000000-0005-0000-0000-00007F9F0000}"/>
    <cellStyle name="Normal 3 3 3 3 2 3 2 3" xfId="40978" xr:uid="{00000000-0005-0000-0000-0000809F0000}"/>
    <cellStyle name="Normal 3 3 3 3 2 3 3" xfId="40979" xr:uid="{00000000-0005-0000-0000-0000819F0000}"/>
    <cellStyle name="Normal 3 3 3 3 2 3 3 2" xfId="40980" xr:uid="{00000000-0005-0000-0000-0000829F0000}"/>
    <cellStyle name="Normal 3 3 3 3 2 3 4" xfId="40981" xr:uid="{00000000-0005-0000-0000-0000839F0000}"/>
    <cellStyle name="Normal 3 3 3 3 2 4" xfId="40982" xr:uid="{00000000-0005-0000-0000-0000849F0000}"/>
    <cellStyle name="Normal 3 3 3 3 2 4 2" xfId="40983" xr:uid="{00000000-0005-0000-0000-0000859F0000}"/>
    <cellStyle name="Normal 3 3 3 3 2 4 3" xfId="40984" xr:uid="{00000000-0005-0000-0000-0000869F0000}"/>
    <cellStyle name="Normal 3 3 3 3 2 5" xfId="40985" xr:uid="{00000000-0005-0000-0000-0000879F0000}"/>
    <cellStyle name="Normal 3 3 3 3 2 6" xfId="40986" xr:uid="{00000000-0005-0000-0000-0000889F0000}"/>
    <cellStyle name="Normal 3 3 3 3 2 7" xfId="40987" xr:uid="{00000000-0005-0000-0000-0000899F0000}"/>
    <cellStyle name="Normal 3 3 3 3 2 8" xfId="40988" xr:uid="{00000000-0005-0000-0000-00008A9F0000}"/>
    <cellStyle name="Normal 3 3 3 3 2 9" xfId="40989" xr:uid="{00000000-0005-0000-0000-00008B9F0000}"/>
    <cellStyle name="Normal 3 3 3 3 3" xfId="40990" xr:uid="{00000000-0005-0000-0000-00008C9F0000}"/>
    <cellStyle name="Normal 3 3 3 3 3 2" xfId="40991" xr:uid="{00000000-0005-0000-0000-00008D9F0000}"/>
    <cellStyle name="Normal 3 3 3 3 3 2 2" xfId="40992" xr:uid="{00000000-0005-0000-0000-00008E9F0000}"/>
    <cellStyle name="Normal 3 3 3 3 3 2 3" xfId="40993" xr:uid="{00000000-0005-0000-0000-00008F9F0000}"/>
    <cellStyle name="Normal 3 3 3 3 3 3" xfId="40994" xr:uid="{00000000-0005-0000-0000-0000909F0000}"/>
    <cellStyle name="Normal 3 3 3 3 3 3 2" xfId="40995" xr:uid="{00000000-0005-0000-0000-0000919F0000}"/>
    <cellStyle name="Normal 3 3 3 3 3 3 3" xfId="40996" xr:uid="{00000000-0005-0000-0000-0000929F0000}"/>
    <cellStyle name="Normal 3 3 3 3 3 4" xfId="40997" xr:uid="{00000000-0005-0000-0000-0000939F0000}"/>
    <cellStyle name="Normal 3 3 3 3 3 5" xfId="40998" xr:uid="{00000000-0005-0000-0000-0000949F0000}"/>
    <cellStyle name="Normal 3 3 3 3 3 6" xfId="40999" xr:uid="{00000000-0005-0000-0000-0000959F0000}"/>
    <cellStyle name="Normal 3 3 3 3 3 7" xfId="41000" xr:uid="{00000000-0005-0000-0000-0000969F0000}"/>
    <cellStyle name="Normal 3 3 3 3 3 8" xfId="41001" xr:uid="{00000000-0005-0000-0000-0000979F0000}"/>
    <cellStyle name="Normal 3 3 3 3 4" xfId="41002" xr:uid="{00000000-0005-0000-0000-0000989F0000}"/>
    <cellStyle name="Normal 3 3 3 3 4 2" xfId="41003" xr:uid="{00000000-0005-0000-0000-0000999F0000}"/>
    <cellStyle name="Normal 3 3 3 3 4 2 2" xfId="41004" xr:uid="{00000000-0005-0000-0000-00009A9F0000}"/>
    <cellStyle name="Normal 3 3 3 3 4 2 3" xfId="41005" xr:uid="{00000000-0005-0000-0000-00009B9F0000}"/>
    <cellStyle name="Normal 3 3 3 3 4 3" xfId="41006" xr:uid="{00000000-0005-0000-0000-00009C9F0000}"/>
    <cellStyle name="Normal 3 3 3 3 4 3 2" xfId="41007" xr:uid="{00000000-0005-0000-0000-00009D9F0000}"/>
    <cellStyle name="Normal 3 3 3 3 4 4" xfId="41008" xr:uid="{00000000-0005-0000-0000-00009E9F0000}"/>
    <cellStyle name="Normal 3 3 3 3 5" xfId="41009" xr:uid="{00000000-0005-0000-0000-00009F9F0000}"/>
    <cellStyle name="Normal 3 3 3 3 5 2" xfId="41010" xr:uid="{00000000-0005-0000-0000-0000A09F0000}"/>
    <cellStyle name="Normal 3 3 3 3 5 3" xfId="41011" xr:uid="{00000000-0005-0000-0000-0000A19F0000}"/>
    <cellStyle name="Normal 3 3 3 3 6" xfId="41012" xr:uid="{00000000-0005-0000-0000-0000A29F0000}"/>
    <cellStyle name="Normal 3 3 3 3 6 2" xfId="41013" xr:uid="{00000000-0005-0000-0000-0000A39F0000}"/>
    <cellStyle name="Normal 3 3 3 3 6 3" xfId="41014" xr:uid="{00000000-0005-0000-0000-0000A49F0000}"/>
    <cellStyle name="Normal 3 3 3 3 7" xfId="41015" xr:uid="{00000000-0005-0000-0000-0000A59F0000}"/>
    <cellStyle name="Normal 3 3 3 3 8" xfId="41016" xr:uid="{00000000-0005-0000-0000-0000A69F0000}"/>
    <cellStyle name="Normal 3 3 3 3 9" xfId="41017" xr:uid="{00000000-0005-0000-0000-0000A79F0000}"/>
    <cellStyle name="Normal 3 3 3 4" xfId="41018" xr:uid="{00000000-0005-0000-0000-0000A89F0000}"/>
    <cellStyle name="Normal 3 3 3 4 10" xfId="41019" xr:uid="{00000000-0005-0000-0000-0000A99F0000}"/>
    <cellStyle name="Normal 3 3 3 4 2" xfId="41020" xr:uid="{00000000-0005-0000-0000-0000AA9F0000}"/>
    <cellStyle name="Normal 3 3 3 4 2 2" xfId="41021" xr:uid="{00000000-0005-0000-0000-0000AB9F0000}"/>
    <cellStyle name="Normal 3 3 3 4 2 2 2" xfId="41022" xr:uid="{00000000-0005-0000-0000-0000AC9F0000}"/>
    <cellStyle name="Normal 3 3 3 4 2 2 3" xfId="41023" xr:uid="{00000000-0005-0000-0000-0000AD9F0000}"/>
    <cellStyle name="Normal 3 3 3 4 2 2 4" xfId="41024" xr:uid="{00000000-0005-0000-0000-0000AE9F0000}"/>
    <cellStyle name="Normal 3 3 3 4 2 3" xfId="41025" xr:uid="{00000000-0005-0000-0000-0000AF9F0000}"/>
    <cellStyle name="Normal 3 3 3 4 2 3 2" xfId="41026" xr:uid="{00000000-0005-0000-0000-0000B09F0000}"/>
    <cellStyle name="Normal 3 3 3 4 2 3 3" xfId="41027" xr:uid="{00000000-0005-0000-0000-0000B19F0000}"/>
    <cellStyle name="Normal 3 3 3 4 2 4" xfId="41028" xr:uid="{00000000-0005-0000-0000-0000B29F0000}"/>
    <cellStyle name="Normal 3 3 3 4 2 5" xfId="41029" xr:uid="{00000000-0005-0000-0000-0000B39F0000}"/>
    <cellStyle name="Normal 3 3 3 4 2 6" xfId="41030" xr:uid="{00000000-0005-0000-0000-0000B49F0000}"/>
    <cellStyle name="Normal 3 3 3 4 2 7" xfId="41031" xr:uid="{00000000-0005-0000-0000-0000B59F0000}"/>
    <cellStyle name="Normal 3 3 3 4 2 8" xfId="41032" xr:uid="{00000000-0005-0000-0000-0000B69F0000}"/>
    <cellStyle name="Normal 3 3 3 4 3" xfId="41033" xr:uid="{00000000-0005-0000-0000-0000B79F0000}"/>
    <cellStyle name="Normal 3 3 3 4 3 2" xfId="41034" xr:uid="{00000000-0005-0000-0000-0000B89F0000}"/>
    <cellStyle name="Normal 3 3 3 4 3 2 2" xfId="41035" xr:uid="{00000000-0005-0000-0000-0000B99F0000}"/>
    <cellStyle name="Normal 3 3 3 4 3 2 3" xfId="41036" xr:uid="{00000000-0005-0000-0000-0000BA9F0000}"/>
    <cellStyle name="Normal 3 3 3 4 3 3" xfId="41037" xr:uid="{00000000-0005-0000-0000-0000BB9F0000}"/>
    <cellStyle name="Normal 3 3 3 4 3 4" xfId="41038" xr:uid="{00000000-0005-0000-0000-0000BC9F0000}"/>
    <cellStyle name="Normal 3 3 3 4 3 5" xfId="41039" xr:uid="{00000000-0005-0000-0000-0000BD9F0000}"/>
    <cellStyle name="Normal 3 3 3 4 3 6" xfId="41040" xr:uid="{00000000-0005-0000-0000-0000BE9F0000}"/>
    <cellStyle name="Normal 3 3 3 4 4" xfId="41041" xr:uid="{00000000-0005-0000-0000-0000BF9F0000}"/>
    <cellStyle name="Normal 3 3 3 4 4 2" xfId="41042" xr:uid="{00000000-0005-0000-0000-0000C09F0000}"/>
    <cellStyle name="Normal 3 3 3 4 4 3" xfId="41043" xr:uid="{00000000-0005-0000-0000-0000C19F0000}"/>
    <cellStyle name="Normal 3 3 3 4 5" xfId="41044" xr:uid="{00000000-0005-0000-0000-0000C29F0000}"/>
    <cellStyle name="Normal 3 3 3 4 5 2" xfId="41045" xr:uid="{00000000-0005-0000-0000-0000C39F0000}"/>
    <cellStyle name="Normal 3 3 3 4 5 3" xfId="41046" xr:uid="{00000000-0005-0000-0000-0000C49F0000}"/>
    <cellStyle name="Normal 3 3 3 4 6" xfId="41047" xr:uid="{00000000-0005-0000-0000-0000C59F0000}"/>
    <cellStyle name="Normal 3 3 3 4 7" xfId="41048" xr:uid="{00000000-0005-0000-0000-0000C69F0000}"/>
    <cellStyle name="Normal 3 3 3 4 8" xfId="41049" xr:uid="{00000000-0005-0000-0000-0000C79F0000}"/>
    <cellStyle name="Normal 3 3 3 4 9" xfId="41050" xr:uid="{00000000-0005-0000-0000-0000C89F0000}"/>
    <cellStyle name="Normal 3 3 3 5" xfId="41051" xr:uid="{00000000-0005-0000-0000-0000C99F0000}"/>
    <cellStyle name="Normal 3 3 3 5 2" xfId="41052" xr:uid="{00000000-0005-0000-0000-0000CA9F0000}"/>
    <cellStyle name="Normal 3 3 3 5 2 2" xfId="41053" xr:uid="{00000000-0005-0000-0000-0000CB9F0000}"/>
    <cellStyle name="Normal 3 3 3 5 3" xfId="41054" xr:uid="{00000000-0005-0000-0000-0000CC9F0000}"/>
    <cellStyle name="Normal 3 3 3 5 4" xfId="41055" xr:uid="{00000000-0005-0000-0000-0000CD9F0000}"/>
    <cellStyle name="Normal 3 3 3 5 5" xfId="41056" xr:uid="{00000000-0005-0000-0000-0000CE9F0000}"/>
    <cellStyle name="Normal 3 3 3 6" xfId="41057" xr:uid="{00000000-0005-0000-0000-0000CF9F0000}"/>
    <cellStyle name="Normal 3 3 3 6 2" xfId="41058" xr:uid="{00000000-0005-0000-0000-0000D09F0000}"/>
    <cellStyle name="Normal 3 3 3 6 2 2" xfId="41059" xr:uid="{00000000-0005-0000-0000-0000D19F0000}"/>
    <cellStyle name="Normal 3 3 3 6 2 3" xfId="41060" xr:uid="{00000000-0005-0000-0000-0000D29F0000}"/>
    <cellStyle name="Normal 3 3 3 6 3" xfId="41061" xr:uid="{00000000-0005-0000-0000-0000D39F0000}"/>
    <cellStyle name="Normal 3 3 3 6 3 2" xfId="41062" xr:uid="{00000000-0005-0000-0000-0000D49F0000}"/>
    <cellStyle name="Normal 3 3 3 6 3 3" xfId="41063" xr:uid="{00000000-0005-0000-0000-0000D59F0000}"/>
    <cellStyle name="Normal 3 3 3 6 4" xfId="41064" xr:uid="{00000000-0005-0000-0000-0000D69F0000}"/>
    <cellStyle name="Normal 3 3 3 6 5" xfId="41065" xr:uid="{00000000-0005-0000-0000-0000D79F0000}"/>
    <cellStyle name="Normal 3 3 3 6 6" xfId="41066" xr:uid="{00000000-0005-0000-0000-0000D89F0000}"/>
    <cellStyle name="Normal 3 3 3 6 7" xfId="41067" xr:uid="{00000000-0005-0000-0000-0000D99F0000}"/>
    <cellStyle name="Normal 3 3 3 6 8" xfId="41068" xr:uid="{00000000-0005-0000-0000-0000DA9F0000}"/>
    <cellStyle name="Normal 3 3 3 7" xfId="41069" xr:uid="{00000000-0005-0000-0000-0000DB9F0000}"/>
    <cellStyle name="Normal 3 3 3 7 2" xfId="41070" xr:uid="{00000000-0005-0000-0000-0000DC9F0000}"/>
    <cellStyle name="Normal 3 3 3 7 2 2" xfId="41071" xr:uid="{00000000-0005-0000-0000-0000DD9F0000}"/>
    <cellStyle name="Normal 3 3 3 7 2 3" xfId="41072" xr:uid="{00000000-0005-0000-0000-0000DE9F0000}"/>
    <cellStyle name="Normal 3 3 3 7 3" xfId="41073" xr:uid="{00000000-0005-0000-0000-0000DF9F0000}"/>
    <cellStyle name="Normal 3 3 3 7 3 2" xfId="41074" xr:uid="{00000000-0005-0000-0000-0000E09F0000}"/>
    <cellStyle name="Normal 3 3 3 7 3 3" xfId="41075" xr:uid="{00000000-0005-0000-0000-0000E19F0000}"/>
    <cellStyle name="Normal 3 3 3 7 4" xfId="41076" xr:uid="{00000000-0005-0000-0000-0000E29F0000}"/>
    <cellStyle name="Normal 3 3 3 7 5" xfId="41077" xr:uid="{00000000-0005-0000-0000-0000E39F0000}"/>
    <cellStyle name="Normal 3 3 3 7 6" xfId="41078" xr:uid="{00000000-0005-0000-0000-0000E49F0000}"/>
    <cellStyle name="Normal 3 3 3 7 7" xfId="41079" xr:uid="{00000000-0005-0000-0000-0000E59F0000}"/>
    <cellStyle name="Normal 3 3 3 7 8" xfId="41080" xr:uid="{00000000-0005-0000-0000-0000E69F0000}"/>
    <cellStyle name="Normal 3 3 3 8" xfId="41081" xr:uid="{00000000-0005-0000-0000-0000E79F0000}"/>
    <cellStyle name="Normal 3 3 3 8 2" xfId="41082" xr:uid="{00000000-0005-0000-0000-0000E89F0000}"/>
    <cellStyle name="Normal 3 3 3 8 3" xfId="41083" xr:uid="{00000000-0005-0000-0000-0000E99F0000}"/>
    <cellStyle name="Normal 3 3 3 9" xfId="41084" xr:uid="{00000000-0005-0000-0000-0000EA9F0000}"/>
    <cellStyle name="Normal 3 3 3 9 2" xfId="41085" xr:uid="{00000000-0005-0000-0000-0000EB9F0000}"/>
    <cellStyle name="Normal 3 3 3 9 3" xfId="41086" xr:uid="{00000000-0005-0000-0000-0000EC9F0000}"/>
    <cellStyle name="Normal 3 3 30" xfId="41087" xr:uid="{00000000-0005-0000-0000-0000ED9F0000}"/>
    <cellStyle name="Normal 3 3 30 2" xfId="41088" xr:uid="{00000000-0005-0000-0000-0000EE9F0000}"/>
    <cellStyle name="Normal 3 3 30 3" xfId="41089" xr:uid="{00000000-0005-0000-0000-0000EF9F0000}"/>
    <cellStyle name="Normal 3 3 31" xfId="41090" xr:uid="{00000000-0005-0000-0000-0000F09F0000}"/>
    <cellStyle name="Normal 3 3 31 2" xfId="41091" xr:uid="{00000000-0005-0000-0000-0000F19F0000}"/>
    <cellStyle name="Normal 3 3 31 3" xfId="41092" xr:uid="{00000000-0005-0000-0000-0000F29F0000}"/>
    <cellStyle name="Normal 3 3 32" xfId="41093" xr:uid="{00000000-0005-0000-0000-0000F39F0000}"/>
    <cellStyle name="Normal 3 3 32 2" xfId="41094" xr:uid="{00000000-0005-0000-0000-0000F49F0000}"/>
    <cellStyle name="Normal 3 3 32 3" xfId="41095" xr:uid="{00000000-0005-0000-0000-0000F59F0000}"/>
    <cellStyle name="Normal 3 3 33" xfId="41096" xr:uid="{00000000-0005-0000-0000-0000F69F0000}"/>
    <cellStyle name="Normal 3 3 33 2" xfId="41097" xr:uid="{00000000-0005-0000-0000-0000F79F0000}"/>
    <cellStyle name="Normal 3 3 33 3" xfId="41098" xr:uid="{00000000-0005-0000-0000-0000F89F0000}"/>
    <cellStyle name="Normal 3 3 34" xfId="41099" xr:uid="{00000000-0005-0000-0000-0000F99F0000}"/>
    <cellStyle name="Normal 3 3 34 2" xfId="41100" xr:uid="{00000000-0005-0000-0000-0000FA9F0000}"/>
    <cellStyle name="Normal 3 3 34 3" xfId="41101" xr:uid="{00000000-0005-0000-0000-0000FB9F0000}"/>
    <cellStyle name="Normal 3 3 35" xfId="41102" xr:uid="{00000000-0005-0000-0000-0000FC9F0000}"/>
    <cellStyle name="Normal 3 3 35 2" xfId="41103" xr:uid="{00000000-0005-0000-0000-0000FD9F0000}"/>
    <cellStyle name="Normal 3 3 35 3" xfId="41104" xr:uid="{00000000-0005-0000-0000-0000FE9F0000}"/>
    <cellStyle name="Normal 3 3 36" xfId="41105" xr:uid="{00000000-0005-0000-0000-0000FF9F0000}"/>
    <cellStyle name="Normal 3 3 36 2" xfId="41106" xr:uid="{00000000-0005-0000-0000-000000A00000}"/>
    <cellStyle name="Normal 3 3 36 3" xfId="41107" xr:uid="{00000000-0005-0000-0000-000001A00000}"/>
    <cellStyle name="Normal 3 3 37" xfId="41108" xr:uid="{00000000-0005-0000-0000-000002A00000}"/>
    <cellStyle name="Normal 3 3 37 2" xfId="41109" xr:uid="{00000000-0005-0000-0000-000003A00000}"/>
    <cellStyle name="Normal 3 3 37 3" xfId="41110" xr:uid="{00000000-0005-0000-0000-000004A00000}"/>
    <cellStyle name="Normal 3 3 38" xfId="41111" xr:uid="{00000000-0005-0000-0000-000005A00000}"/>
    <cellStyle name="Normal 3 3 38 2" xfId="41112" xr:uid="{00000000-0005-0000-0000-000006A00000}"/>
    <cellStyle name="Normal 3 3 38 3" xfId="41113" xr:uid="{00000000-0005-0000-0000-000007A00000}"/>
    <cellStyle name="Normal 3 3 39" xfId="41114" xr:uid="{00000000-0005-0000-0000-000008A00000}"/>
    <cellStyle name="Normal 3 3 4" xfId="41115" xr:uid="{00000000-0005-0000-0000-000009A00000}"/>
    <cellStyle name="Normal 3 3 4 10" xfId="41116" xr:uid="{00000000-0005-0000-0000-00000AA00000}"/>
    <cellStyle name="Normal 3 3 4 11" xfId="41117" xr:uid="{00000000-0005-0000-0000-00000BA00000}"/>
    <cellStyle name="Normal 3 3 4 2" xfId="41118" xr:uid="{00000000-0005-0000-0000-00000CA00000}"/>
    <cellStyle name="Normal 3 3 4 2 2" xfId="41119" xr:uid="{00000000-0005-0000-0000-00000DA00000}"/>
    <cellStyle name="Normal 3 3 4 2 2 10" xfId="41120" xr:uid="{00000000-0005-0000-0000-00000EA00000}"/>
    <cellStyle name="Normal 3 3 4 2 2 2" xfId="41121" xr:uid="{00000000-0005-0000-0000-00000FA00000}"/>
    <cellStyle name="Normal 3 3 4 2 2 2 2" xfId="41122" xr:uid="{00000000-0005-0000-0000-000010A00000}"/>
    <cellStyle name="Normal 3 3 4 2 2 2 2 2" xfId="41123" xr:uid="{00000000-0005-0000-0000-000011A00000}"/>
    <cellStyle name="Normal 3 3 4 2 2 2 2 3" xfId="41124" xr:uid="{00000000-0005-0000-0000-000012A00000}"/>
    <cellStyle name="Normal 3 3 4 2 2 2 3" xfId="41125" xr:uid="{00000000-0005-0000-0000-000013A00000}"/>
    <cellStyle name="Normal 3 3 4 2 2 2 3 2" xfId="41126" xr:uid="{00000000-0005-0000-0000-000014A00000}"/>
    <cellStyle name="Normal 3 3 4 2 2 2 3 3" xfId="41127" xr:uid="{00000000-0005-0000-0000-000015A00000}"/>
    <cellStyle name="Normal 3 3 4 2 2 2 4" xfId="41128" xr:uid="{00000000-0005-0000-0000-000016A00000}"/>
    <cellStyle name="Normal 3 3 4 2 2 2 5" xfId="41129" xr:uid="{00000000-0005-0000-0000-000017A00000}"/>
    <cellStyle name="Normal 3 3 4 2 2 2 6" xfId="41130" xr:uid="{00000000-0005-0000-0000-000018A00000}"/>
    <cellStyle name="Normal 3 3 4 2 2 2 7" xfId="41131" xr:uid="{00000000-0005-0000-0000-000019A00000}"/>
    <cellStyle name="Normal 3 3 4 2 2 2 8" xfId="41132" xr:uid="{00000000-0005-0000-0000-00001AA00000}"/>
    <cellStyle name="Normal 3 3 4 2 2 3" xfId="41133" xr:uid="{00000000-0005-0000-0000-00001BA00000}"/>
    <cellStyle name="Normal 3 3 4 2 2 3 2" xfId="41134" xr:uid="{00000000-0005-0000-0000-00001CA00000}"/>
    <cellStyle name="Normal 3 3 4 2 2 3 2 2" xfId="41135" xr:uid="{00000000-0005-0000-0000-00001DA00000}"/>
    <cellStyle name="Normal 3 3 4 2 2 3 2 3" xfId="41136" xr:uid="{00000000-0005-0000-0000-00001EA00000}"/>
    <cellStyle name="Normal 3 3 4 2 2 3 3" xfId="41137" xr:uid="{00000000-0005-0000-0000-00001FA00000}"/>
    <cellStyle name="Normal 3 3 4 2 2 3 3 2" xfId="41138" xr:uid="{00000000-0005-0000-0000-000020A00000}"/>
    <cellStyle name="Normal 3 3 4 2 2 3 4" xfId="41139" xr:uid="{00000000-0005-0000-0000-000021A00000}"/>
    <cellStyle name="Normal 3 3 4 2 2 4" xfId="41140" xr:uid="{00000000-0005-0000-0000-000022A00000}"/>
    <cellStyle name="Normal 3 3 4 2 2 4 2" xfId="41141" xr:uid="{00000000-0005-0000-0000-000023A00000}"/>
    <cellStyle name="Normal 3 3 4 2 2 4 3" xfId="41142" xr:uid="{00000000-0005-0000-0000-000024A00000}"/>
    <cellStyle name="Normal 3 3 4 2 2 5" xfId="41143" xr:uid="{00000000-0005-0000-0000-000025A00000}"/>
    <cellStyle name="Normal 3 3 4 2 2 5 2" xfId="41144" xr:uid="{00000000-0005-0000-0000-000026A00000}"/>
    <cellStyle name="Normal 3 3 4 2 2 5 3" xfId="41145" xr:uid="{00000000-0005-0000-0000-000027A00000}"/>
    <cellStyle name="Normal 3 3 4 2 2 6" xfId="41146" xr:uid="{00000000-0005-0000-0000-000028A00000}"/>
    <cellStyle name="Normal 3 3 4 2 2 7" xfId="41147" xr:uid="{00000000-0005-0000-0000-000029A00000}"/>
    <cellStyle name="Normal 3 3 4 2 2 8" xfId="41148" xr:uid="{00000000-0005-0000-0000-00002AA00000}"/>
    <cellStyle name="Normal 3 3 4 2 2 9" xfId="41149" xr:uid="{00000000-0005-0000-0000-00002BA00000}"/>
    <cellStyle name="Normal 3 3 4 2 3" xfId="41150" xr:uid="{00000000-0005-0000-0000-00002CA00000}"/>
    <cellStyle name="Normal 3 3 4 2 3 2" xfId="41151" xr:uid="{00000000-0005-0000-0000-00002DA00000}"/>
    <cellStyle name="Normal 3 3 4 2 3 2 2" xfId="41152" xr:uid="{00000000-0005-0000-0000-00002EA00000}"/>
    <cellStyle name="Normal 3 3 4 2 3 2 3" xfId="41153" xr:uid="{00000000-0005-0000-0000-00002FA00000}"/>
    <cellStyle name="Normal 3 3 4 2 3 3" xfId="41154" xr:uid="{00000000-0005-0000-0000-000030A00000}"/>
    <cellStyle name="Normal 3 3 4 2 3 3 2" xfId="41155" xr:uid="{00000000-0005-0000-0000-000031A00000}"/>
    <cellStyle name="Normal 3 3 4 2 3 3 3" xfId="41156" xr:uid="{00000000-0005-0000-0000-000032A00000}"/>
    <cellStyle name="Normal 3 3 4 2 3 4" xfId="41157" xr:uid="{00000000-0005-0000-0000-000033A00000}"/>
    <cellStyle name="Normal 3 3 4 2 3 5" xfId="41158" xr:uid="{00000000-0005-0000-0000-000034A00000}"/>
    <cellStyle name="Normal 3 3 4 2 3 6" xfId="41159" xr:uid="{00000000-0005-0000-0000-000035A00000}"/>
    <cellStyle name="Normal 3 3 4 2 3 7" xfId="41160" xr:uid="{00000000-0005-0000-0000-000036A00000}"/>
    <cellStyle name="Normal 3 3 4 2 3 8" xfId="41161" xr:uid="{00000000-0005-0000-0000-000037A00000}"/>
    <cellStyle name="Normal 3 3 4 2 4" xfId="41162" xr:uid="{00000000-0005-0000-0000-000038A00000}"/>
    <cellStyle name="Normal 3 3 4 2 4 2" xfId="41163" xr:uid="{00000000-0005-0000-0000-000039A00000}"/>
    <cellStyle name="Normal 3 3 4 2 4 2 2" xfId="41164" xr:uid="{00000000-0005-0000-0000-00003AA00000}"/>
    <cellStyle name="Normal 3 3 4 2 4 2 3" xfId="41165" xr:uid="{00000000-0005-0000-0000-00003BA00000}"/>
    <cellStyle name="Normal 3 3 4 2 4 3" xfId="41166" xr:uid="{00000000-0005-0000-0000-00003CA00000}"/>
    <cellStyle name="Normal 3 3 4 2 4 3 2" xfId="41167" xr:uid="{00000000-0005-0000-0000-00003DA00000}"/>
    <cellStyle name="Normal 3 3 4 2 4 4" xfId="41168" xr:uid="{00000000-0005-0000-0000-00003EA00000}"/>
    <cellStyle name="Normal 3 3 4 2 5" xfId="41169" xr:uid="{00000000-0005-0000-0000-00003FA00000}"/>
    <cellStyle name="Normal 3 3 4 2 5 2" xfId="41170" xr:uid="{00000000-0005-0000-0000-000040A00000}"/>
    <cellStyle name="Normal 3 3 4 2 5 3" xfId="41171" xr:uid="{00000000-0005-0000-0000-000041A00000}"/>
    <cellStyle name="Normal 3 3 4 2 6" xfId="41172" xr:uid="{00000000-0005-0000-0000-000042A00000}"/>
    <cellStyle name="Normal 3 3 4 2 6 2" xfId="41173" xr:uid="{00000000-0005-0000-0000-000043A00000}"/>
    <cellStyle name="Normal 3 3 4 2 6 3" xfId="41174" xr:uid="{00000000-0005-0000-0000-000044A00000}"/>
    <cellStyle name="Normal 3 3 4 2 7" xfId="41175" xr:uid="{00000000-0005-0000-0000-000045A00000}"/>
    <cellStyle name="Normal 3 3 4 2 8" xfId="41176" xr:uid="{00000000-0005-0000-0000-000046A00000}"/>
    <cellStyle name="Normal 3 3 4 2 9" xfId="41177" xr:uid="{00000000-0005-0000-0000-000047A00000}"/>
    <cellStyle name="Normal 3 3 4 3" xfId="41178" xr:uid="{00000000-0005-0000-0000-000048A00000}"/>
    <cellStyle name="Normal 3 3 4 3 10" xfId="41179" xr:uid="{00000000-0005-0000-0000-000049A00000}"/>
    <cellStyle name="Normal 3 3 4 3 2" xfId="41180" xr:uid="{00000000-0005-0000-0000-00004AA00000}"/>
    <cellStyle name="Normal 3 3 4 3 2 2" xfId="41181" xr:uid="{00000000-0005-0000-0000-00004BA00000}"/>
    <cellStyle name="Normal 3 3 4 3 2 2 2" xfId="41182" xr:uid="{00000000-0005-0000-0000-00004CA00000}"/>
    <cellStyle name="Normal 3 3 4 3 2 2 3" xfId="41183" xr:uid="{00000000-0005-0000-0000-00004DA00000}"/>
    <cellStyle name="Normal 3 3 4 3 2 2 4" xfId="41184" xr:uid="{00000000-0005-0000-0000-00004EA00000}"/>
    <cellStyle name="Normal 3 3 4 3 2 3" xfId="41185" xr:uid="{00000000-0005-0000-0000-00004FA00000}"/>
    <cellStyle name="Normal 3 3 4 3 2 3 2" xfId="41186" xr:uid="{00000000-0005-0000-0000-000050A00000}"/>
    <cellStyle name="Normal 3 3 4 3 2 3 3" xfId="41187" xr:uid="{00000000-0005-0000-0000-000051A00000}"/>
    <cellStyle name="Normal 3 3 4 3 2 4" xfId="41188" xr:uid="{00000000-0005-0000-0000-000052A00000}"/>
    <cellStyle name="Normal 3 3 4 3 2 5" xfId="41189" xr:uid="{00000000-0005-0000-0000-000053A00000}"/>
    <cellStyle name="Normal 3 3 4 3 2 6" xfId="41190" xr:uid="{00000000-0005-0000-0000-000054A00000}"/>
    <cellStyle name="Normal 3 3 4 3 2 7" xfId="41191" xr:uid="{00000000-0005-0000-0000-000055A00000}"/>
    <cellStyle name="Normal 3 3 4 3 2 8" xfId="41192" xr:uid="{00000000-0005-0000-0000-000056A00000}"/>
    <cellStyle name="Normal 3 3 4 3 3" xfId="41193" xr:uid="{00000000-0005-0000-0000-000057A00000}"/>
    <cellStyle name="Normal 3 3 4 3 3 2" xfId="41194" xr:uid="{00000000-0005-0000-0000-000058A00000}"/>
    <cellStyle name="Normal 3 3 4 3 3 2 2" xfId="41195" xr:uid="{00000000-0005-0000-0000-000059A00000}"/>
    <cellStyle name="Normal 3 3 4 3 3 2 3" xfId="41196" xr:uid="{00000000-0005-0000-0000-00005AA00000}"/>
    <cellStyle name="Normal 3 3 4 3 3 3" xfId="41197" xr:uid="{00000000-0005-0000-0000-00005BA00000}"/>
    <cellStyle name="Normal 3 3 4 3 3 4" xfId="41198" xr:uid="{00000000-0005-0000-0000-00005CA00000}"/>
    <cellStyle name="Normal 3 3 4 3 3 5" xfId="41199" xr:uid="{00000000-0005-0000-0000-00005DA00000}"/>
    <cellStyle name="Normal 3 3 4 3 3 6" xfId="41200" xr:uid="{00000000-0005-0000-0000-00005EA00000}"/>
    <cellStyle name="Normal 3 3 4 3 4" xfId="41201" xr:uid="{00000000-0005-0000-0000-00005FA00000}"/>
    <cellStyle name="Normal 3 3 4 3 4 2" xfId="41202" xr:uid="{00000000-0005-0000-0000-000060A00000}"/>
    <cellStyle name="Normal 3 3 4 3 4 3" xfId="41203" xr:uid="{00000000-0005-0000-0000-000061A00000}"/>
    <cellStyle name="Normal 3 3 4 3 5" xfId="41204" xr:uid="{00000000-0005-0000-0000-000062A00000}"/>
    <cellStyle name="Normal 3 3 4 3 5 2" xfId="41205" xr:uid="{00000000-0005-0000-0000-000063A00000}"/>
    <cellStyle name="Normal 3 3 4 3 5 3" xfId="41206" xr:uid="{00000000-0005-0000-0000-000064A00000}"/>
    <cellStyle name="Normal 3 3 4 3 6" xfId="41207" xr:uid="{00000000-0005-0000-0000-000065A00000}"/>
    <cellStyle name="Normal 3 3 4 3 7" xfId="41208" xr:uid="{00000000-0005-0000-0000-000066A00000}"/>
    <cellStyle name="Normal 3 3 4 3 8" xfId="41209" xr:uid="{00000000-0005-0000-0000-000067A00000}"/>
    <cellStyle name="Normal 3 3 4 3 9" xfId="41210" xr:uid="{00000000-0005-0000-0000-000068A00000}"/>
    <cellStyle name="Normal 3 3 4 4" xfId="41211" xr:uid="{00000000-0005-0000-0000-000069A00000}"/>
    <cellStyle name="Normal 3 3 4 4 2" xfId="41212" xr:uid="{00000000-0005-0000-0000-00006AA00000}"/>
    <cellStyle name="Normal 3 3 4 4 2 2" xfId="41213" xr:uid="{00000000-0005-0000-0000-00006BA00000}"/>
    <cellStyle name="Normal 3 3 4 4 3" xfId="41214" xr:uid="{00000000-0005-0000-0000-00006CA00000}"/>
    <cellStyle name="Normal 3 3 4 4 4" xfId="41215" xr:uid="{00000000-0005-0000-0000-00006DA00000}"/>
    <cellStyle name="Normal 3 3 4 4 5" xfId="41216" xr:uid="{00000000-0005-0000-0000-00006EA00000}"/>
    <cellStyle name="Normal 3 3 4 5" xfId="41217" xr:uid="{00000000-0005-0000-0000-00006FA00000}"/>
    <cellStyle name="Normal 3 3 4 5 2" xfId="41218" xr:uid="{00000000-0005-0000-0000-000070A00000}"/>
    <cellStyle name="Normal 3 3 4 5 2 2" xfId="41219" xr:uid="{00000000-0005-0000-0000-000071A00000}"/>
    <cellStyle name="Normal 3 3 4 5 2 3" xfId="41220" xr:uid="{00000000-0005-0000-0000-000072A00000}"/>
    <cellStyle name="Normal 3 3 4 5 3" xfId="41221" xr:uid="{00000000-0005-0000-0000-000073A00000}"/>
    <cellStyle name="Normal 3 3 4 5 3 2" xfId="41222" xr:uid="{00000000-0005-0000-0000-000074A00000}"/>
    <cellStyle name="Normal 3 3 4 5 3 3" xfId="41223" xr:uid="{00000000-0005-0000-0000-000075A00000}"/>
    <cellStyle name="Normal 3 3 4 5 4" xfId="41224" xr:uid="{00000000-0005-0000-0000-000076A00000}"/>
    <cellStyle name="Normal 3 3 4 5 5" xfId="41225" xr:uid="{00000000-0005-0000-0000-000077A00000}"/>
    <cellStyle name="Normal 3 3 4 5 6" xfId="41226" xr:uid="{00000000-0005-0000-0000-000078A00000}"/>
    <cellStyle name="Normal 3 3 4 5 7" xfId="41227" xr:uid="{00000000-0005-0000-0000-000079A00000}"/>
    <cellStyle name="Normal 3 3 4 5 8" xfId="41228" xr:uid="{00000000-0005-0000-0000-00007AA00000}"/>
    <cellStyle name="Normal 3 3 4 6" xfId="41229" xr:uid="{00000000-0005-0000-0000-00007BA00000}"/>
    <cellStyle name="Normal 3 3 4 6 2" xfId="41230" xr:uid="{00000000-0005-0000-0000-00007CA00000}"/>
    <cellStyle name="Normal 3 3 4 6 2 2" xfId="41231" xr:uid="{00000000-0005-0000-0000-00007DA00000}"/>
    <cellStyle name="Normal 3 3 4 6 2 3" xfId="41232" xr:uid="{00000000-0005-0000-0000-00007EA00000}"/>
    <cellStyle name="Normal 3 3 4 6 3" xfId="41233" xr:uid="{00000000-0005-0000-0000-00007FA00000}"/>
    <cellStyle name="Normal 3 3 4 6 4" xfId="41234" xr:uid="{00000000-0005-0000-0000-000080A00000}"/>
    <cellStyle name="Normal 3 3 4 6 5" xfId="41235" xr:uid="{00000000-0005-0000-0000-000081A00000}"/>
    <cellStyle name="Normal 3 3 4 6 6" xfId="41236" xr:uid="{00000000-0005-0000-0000-000082A00000}"/>
    <cellStyle name="Normal 3 3 4 7" xfId="41237" xr:uid="{00000000-0005-0000-0000-000083A00000}"/>
    <cellStyle name="Normal 3 3 4 7 2" xfId="41238" xr:uid="{00000000-0005-0000-0000-000084A00000}"/>
    <cellStyle name="Normal 3 3 4 7 3" xfId="41239" xr:uid="{00000000-0005-0000-0000-000085A00000}"/>
    <cellStyle name="Normal 3 3 4 8" xfId="41240" xr:uid="{00000000-0005-0000-0000-000086A00000}"/>
    <cellStyle name="Normal 3 3 4 8 2" xfId="41241" xr:uid="{00000000-0005-0000-0000-000087A00000}"/>
    <cellStyle name="Normal 3 3 4 8 3" xfId="41242" xr:uid="{00000000-0005-0000-0000-000088A00000}"/>
    <cellStyle name="Normal 3 3 4 9" xfId="41243" xr:uid="{00000000-0005-0000-0000-000089A00000}"/>
    <cellStyle name="Normal 3 3 40" xfId="41244" xr:uid="{00000000-0005-0000-0000-00008AA00000}"/>
    <cellStyle name="Normal 3 3 41" xfId="41245" xr:uid="{00000000-0005-0000-0000-00008BA00000}"/>
    <cellStyle name="Normal 3 3 5" xfId="41246" xr:uid="{00000000-0005-0000-0000-00008CA00000}"/>
    <cellStyle name="Normal 3 3 5 10" xfId="41247" xr:uid="{00000000-0005-0000-0000-00008DA00000}"/>
    <cellStyle name="Normal 3 3 5 2" xfId="41248" xr:uid="{00000000-0005-0000-0000-00008EA00000}"/>
    <cellStyle name="Normal 3 3 5 2 2" xfId="41249" xr:uid="{00000000-0005-0000-0000-00008FA00000}"/>
    <cellStyle name="Normal 3 3 5 2 2 2" xfId="41250" xr:uid="{00000000-0005-0000-0000-000090A00000}"/>
    <cellStyle name="Normal 3 3 5 2 2 2 2" xfId="41251" xr:uid="{00000000-0005-0000-0000-000091A00000}"/>
    <cellStyle name="Normal 3 3 5 2 2 2 2 2" xfId="41252" xr:uid="{00000000-0005-0000-0000-000092A00000}"/>
    <cellStyle name="Normal 3 3 5 2 2 2 2 3" xfId="41253" xr:uid="{00000000-0005-0000-0000-000093A00000}"/>
    <cellStyle name="Normal 3 3 5 2 2 2 3" xfId="41254" xr:uid="{00000000-0005-0000-0000-000094A00000}"/>
    <cellStyle name="Normal 3 3 5 2 2 2 3 2" xfId="41255" xr:uid="{00000000-0005-0000-0000-000095A00000}"/>
    <cellStyle name="Normal 3 3 5 2 2 2 3 3" xfId="41256" xr:uid="{00000000-0005-0000-0000-000096A00000}"/>
    <cellStyle name="Normal 3 3 5 2 2 2 4" xfId="41257" xr:uid="{00000000-0005-0000-0000-000097A00000}"/>
    <cellStyle name="Normal 3 3 5 2 2 2 5" xfId="41258" xr:uid="{00000000-0005-0000-0000-000098A00000}"/>
    <cellStyle name="Normal 3 3 5 2 2 2 6" xfId="41259" xr:uid="{00000000-0005-0000-0000-000099A00000}"/>
    <cellStyle name="Normal 3 3 5 2 2 2 7" xfId="41260" xr:uid="{00000000-0005-0000-0000-00009AA00000}"/>
    <cellStyle name="Normal 3 3 5 2 2 2 8" xfId="41261" xr:uid="{00000000-0005-0000-0000-00009BA00000}"/>
    <cellStyle name="Normal 3 3 5 2 2 3" xfId="41262" xr:uid="{00000000-0005-0000-0000-00009CA00000}"/>
    <cellStyle name="Normal 3 3 5 2 2 3 2" xfId="41263" xr:uid="{00000000-0005-0000-0000-00009DA00000}"/>
    <cellStyle name="Normal 3 3 5 2 2 3 3" xfId="41264" xr:uid="{00000000-0005-0000-0000-00009EA00000}"/>
    <cellStyle name="Normal 3 3 5 2 2 4" xfId="41265" xr:uid="{00000000-0005-0000-0000-00009FA00000}"/>
    <cellStyle name="Normal 3 3 5 2 2 4 2" xfId="41266" xr:uid="{00000000-0005-0000-0000-0000A0A00000}"/>
    <cellStyle name="Normal 3 3 5 2 2 4 3" xfId="41267" xr:uid="{00000000-0005-0000-0000-0000A1A00000}"/>
    <cellStyle name="Normal 3 3 5 2 2 5" xfId="41268" xr:uid="{00000000-0005-0000-0000-0000A2A00000}"/>
    <cellStyle name="Normal 3 3 5 2 2 6" xfId="41269" xr:uid="{00000000-0005-0000-0000-0000A3A00000}"/>
    <cellStyle name="Normal 3 3 5 2 2 7" xfId="41270" xr:uid="{00000000-0005-0000-0000-0000A4A00000}"/>
    <cellStyle name="Normal 3 3 5 2 2 8" xfId="41271" xr:uid="{00000000-0005-0000-0000-0000A5A00000}"/>
    <cellStyle name="Normal 3 3 5 2 2 9" xfId="41272" xr:uid="{00000000-0005-0000-0000-0000A6A00000}"/>
    <cellStyle name="Normal 3 3 5 2 3" xfId="41273" xr:uid="{00000000-0005-0000-0000-0000A7A00000}"/>
    <cellStyle name="Normal 3 3 5 2 3 2" xfId="41274" xr:uid="{00000000-0005-0000-0000-0000A8A00000}"/>
    <cellStyle name="Normal 3 3 5 2 3 2 2" xfId="41275" xr:uid="{00000000-0005-0000-0000-0000A9A00000}"/>
    <cellStyle name="Normal 3 3 5 2 3 2 3" xfId="41276" xr:uid="{00000000-0005-0000-0000-0000AAA00000}"/>
    <cellStyle name="Normal 3 3 5 2 3 3" xfId="41277" xr:uid="{00000000-0005-0000-0000-0000ABA00000}"/>
    <cellStyle name="Normal 3 3 5 2 3 3 2" xfId="41278" xr:uid="{00000000-0005-0000-0000-0000ACA00000}"/>
    <cellStyle name="Normal 3 3 5 2 3 4" xfId="41279" xr:uid="{00000000-0005-0000-0000-0000ADA00000}"/>
    <cellStyle name="Normal 3 3 5 2 4" xfId="41280" xr:uid="{00000000-0005-0000-0000-0000AEA00000}"/>
    <cellStyle name="Normal 3 3 5 2 5" xfId="41281" xr:uid="{00000000-0005-0000-0000-0000AFA00000}"/>
    <cellStyle name="Normal 3 3 5 2 6" xfId="41282" xr:uid="{00000000-0005-0000-0000-0000B0A00000}"/>
    <cellStyle name="Normal 3 3 5 2_Dec monthly report" xfId="41283" xr:uid="{00000000-0005-0000-0000-0000B1A00000}"/>
    <cellStyle name="Normal 3 3 5 3" xfId="41284" xr:uid="{00000000-0005-0000-0000-0000B2A00000}"/>
    <cellStyle name="Normal 3 3 5 3 2" xfId="41285" xr:uid="{00000000-0005-0000-0000-0000B3A00000}"/>
    <cellStyle name="Normal 3 3 5 3 2 2" xfId="41286" xr:uid="{00000000-0005-0000-0000-0000B4A00000}"/>
    <cellStyle name="Normal 3 3 5 3 2 3" xfId="41287" xr:uid="{00000000-0005-0000-0000-0000B5A00000}"/>
    <cellStyle name="Normal 3 3 5 3 2 4" xfId="41288" xr:uid="{00000000-0005-0000-0000-0000B6A00000}"/>
    <cellStyle name="Normal 3 3 5 3 3" xfId="41289" xr:uid="{00000000-0005-0000-0000-0000B7A00000}"/>
    <cellStyle name="Normal 3 3 5 3 3 2" xfId="41290" xr:uid="{00000000-0005-0000-0000-0000B8A00000}"/>
    <cellStyle name="Normal 3 3 5 3 3 3" xfId="41291" xr:uid="{00000000-0005-0000-0000-0000B9A00000}"/>
    <cellStyle name="Normal 3 3 5 3 4" xfId="41292" xr:uid="{00000000-0005-0000-0000-0000BAA00000}"/>
    <cellStyle name="Normal 3 3 5 3 5" xfId="41293" xr:uid="{00000000-0005-0000-0000-0000BBA00000}"/>
    <cellStyle name="Normal 3 3 5 3 6" xfId="41294" xr:uid="{00000000-0005-0000-0000-0000BCA00000}"/>
    <cellStyle name="Normal 3 3 5 3 7" xfId="41295" xr:uid="{00000000-0005-0000-0000-0000BDA00000}"/>
    <cellStyle name="Normal 3 3 5 3 8" xfId="41296" xr:uid="{00000000-0005-0000-0000-0000BEA00000}"/>
    <cellStyle name="Normal 3 3 5 4" xfId="41297" xr:uid="{00000000-0005-0000-0000-0000BFA00000}"/>
    <cellStyle name="Normal 3 3 5 4 2" xfId="41298" xr:uid="{00000000-0005-0000-0000-0000C0A00000}"/>
    <cellStyle name="Normal 3 3 5 4 2 2" xfId="41299" xr:uid="{00000000-0005-0000-0000-0000C1A00000}"/>
    <cellStyle name="Normal 3 3 5 4 2 3" xfId="41300" xr:uid="{00000000-0005-0000-0000-0000C2A00000}"/>
    <cellStyle name="Normal 3 3 5 4 3" xfId="41301" xr:uid="{00000000-0005-0000-0000-0000C3A00000}"/>
    <cellStyle name="Normal 3 3 5 4 4" xfId="41302" xr:uid="{00000000-0005-0000-0000-0000C4A00000}"/>
    <cellStyle name="Normal 3 3 5 4 5" xfId="41303" xr:uid="{00000000-0005-0000-0000-0000C5A00000}"/>
    <cellStyle name="Normal 3 3 5 4 6" xfId="41304" xr:uid="{00000000-0005-0000-0000-0000C6A00000}"/>
    <cellStyle name="Normal 3 3 5 5" xfId="41305" xr:uid="{00000000-0005-0000-0000-0000C7A00000}"/>
    <cellStyle name="Normal 3 3 5 5 2" xfId="41306" xr:uid="{00000000-0005-0000-0000-0000C8A00000}"/>
    <cellStyle name="Normal 3 3 5 5 3" xfId="41307" xr:uid="{00000000-0005-0000-0000-0000C9A00000}"/>
    <cellStyle name="Normal 3 3 5 5 4" xfId="41308" xr:uid="{00000000-0005-0000-0000-0000CAA00000}"/>
    <cellStyle name="Normal 3 3 5 6" xfId="41309" xr:uid="{00000000-0005-0000-0000-0000CBA00000}"/>
    <cellStyle name="Normal 3 3 5 6 2" xfId="41310" xr:uid="{00000000-0005-0000-0000-0000CCA00000}"/>
    <cellStyle name="Normal 3 3 5 6 3" xfId="41311" xr:uid="{00000000-0005-0000-0000-0000CDA00000}"/>
    <cellStyle name="Normal 3 3 5 7" xfId="41312" xr:uid="{00000000-0005-0000-0000-0000CEA00000}"/>
    <cellStyle name="Normal 3 3 5 7 2" xfId="41313" xr:uid="{00000000-0005-0000-0000-0000CFA00000}"/>
    <cellStyle name="Normal 3 3 5 7 3" xfId="41314" xr:uid="{00000000-0005-0000-0000-0000D0A00000}"/>
    <cellStyle name="Normal 3 3 5 8" xfId="41315" xr:uid="{00000000-0005-0000-0000-0000D1A00000}"/>
    <cellStyle name="Normal 3 3 5 9" xfId="41316" xr:uid="{00000000-0005-0000-0000-0000D2A00000}"/>
    <cellStyle name="Normal 3 3 6" xfId="41317" xr:uid="{00000000-0005-0000-0000-0000D3A00000}"/>
    <cellStyle name="Normal 3 3 6 10" xfId="41318" xr:uid="{00000000-0005-0000-0000-0000D4A00000}"/>
    <cellStyle name="Normal 3 3 6 2" xfId="41319" xr:uid="{00000000-0005-0000-0000-0000D5A00000}"/>
    <cellStyle name="Normal 3 3 6 2 2" xfId="41320" xr:uid="{00000000-0005-0000-0000-0000D6A00000}"/>
    <cellStyle name="Normal 3 3 6 2 2 2" xfId="41321" xr:uid="{00000000-0005-0000-0000-0000D7A00000}"/>
    <cellStyle name="Normal 3 3 6 2 2 3" xfId="41322" xr:uid="{00000000-0005-0000-0000-0000D8A00000}"/>
    <cellStyle name="Normal 3 3 6 2 3" xfId="41323" xr:uid="{00000000-0005-0000-0000-0000D9A00000}"/>
    <cellStyle name="Normal 3 3 6 2 4" xfId="41324" xr:uid="{00000000-0005-0000-0000-0000DAA00000}"/>
    <cellStyle name="Normal 3 3 6 2 5" xfId="41325" xr:uid="{00000000-0005-0000-0000-0000DBA00000}"/>
    <cellStyle name="Normal 3 3 6 3" xfId="41326" xr:uid="{00000000-0005-0000-0000-0000DCA00000}"/>
    <cellStyle name="Normal 3 3 6 3 2" xfId="41327" xr:uid="{00000000-0005-0000-0000-0000DDA00000}"/>
    <cellStyle name="Normal 3 3 6 3 2 2" xfId="41328" xr:uid="{00000000-0005-0000-0000-0000DEA00000}"/>
    <cellStyle name="Normal 3 3 6 3 2 3" xfId="41329" xr:uid="{00000000-0005-0000-0000-0000DFA00000}"/>
    <cellStyle name="Normal 3 3 6 3 3" xfId="41330" xr:uid="{00000000-0005-0000-0000-0000E0A00000}"/>
    <cellStyle name="Normal 3 3 6 3 3 2" xfId="41331" xr:uid="{00000000-0005-0000-0000-0000E1A00000}"/>
    <cellStyle name="Normal 3 3 6 3 3 3" xfId="41332" xr:uid="{00000000-0005-0000-0000-0000E2A00000}"/>
    <cellStyle name="Normal 3 3 6 3 4" xfId="41333" xr:uid="{00000000-0005-0000-0000-0000E3A00000}"/>
    <cellStyle name="Normal 3 3 6 3 5" xfId="41334" xr:uid="{00000000-0005-0000-0000-0000E4A00000}"/>
    <cellStyle name="Normal 3 3 6 3 6" xfId="41335" xr:uid="{00000000-0005-0000-0000-0000E5A00000}"/>
    <cellStyle name="Normal 3 3 6 3 7" xfId="41336" xr:uid="{00000000-0005-0000-0000-0000E6A00000}"/>
    <cellStyle name="Normal 3 3 6 3 8" xfId="41337" xr:uid="{00000000-0005-0000-0000-0000E7A00000}"/>
    <cellStyle name="Normal 3 3 6 4" xfId="41338" xr:uid="{00000000-0005-0000-0000-0000E8A00000}"/>
    <cellStyle name="Normal 3 3 6 4 2" xfId="41339" xr:uid="{00000000-0005-0000-0000-0000E9A00000}"/>
    <cellStyle name="Normal 3 3 6 4 2 2" xfId="41340" xr:uid="{00000000-0005-0000-0000-0000EAA00000}"/>
    <cellStyle name="Normal 3 3 6 4 2 3" xfId="41341" xr:uid="{00000000-0005-0000-0000-0000EBA00000}"/>
    <cellStyle name="Normal 3 3 6 4 3" xfId="41342" xr:uid="{00000000-0005-0000-0000-0000ECA00000}"/>
    <cellStyle name="Normal 3 3 6 4 4" xfId="41343" xr:uid="{00000000-0005-0000-0000-0000EDA00000}"/>
    <cellStyle name="Normal 3 3 6 4 5" xfId="41344" xr:uid="{00000000-0005-0000-0000-0000EEA00000}"/>
    <cellStyle name="Normal 3 3 6 4 6" xfId="41345" xr:uid="{00000000-0005-0000-0000-0000EFA00000}"/>
    <cellStyle name="Normal 3 3 6 5" xfId="41346" xr:uid="{00000000-0005-0000-0000-0000F0A00000}"/>
    <cellStyle name="Normal 3 3 6 5 2" xfId="41347" xr:uid="{00000000-0005-0000-0000-0000F1A00000}"/>
    <cellStyle name="Normal 3 3 6 5 3" xfId="41348" xr:uid="{00000000-0005-0000-0000-0000F2A00000}"/>
    <cellStyle name="Normal 3 3 6 6" xfId="41349" xr:uid="{00000000-0005-0000-0000-0000F3A00000}"/>
    <cellStyle name="Normal 3 3 6 6 2" xfId="41350" xr:uid="{00000000-0005-0000-0000-0000F4A00000}"/>
    <cellStyle name="Normal 3 3 6 6 3" xfId="41351" xr:uid="{00000000-0005-0000-0000-0000F5A00000}"/>
    <cellStyle name="Normal 3 3 6 7" xfId="41352" xr:uid="{00000000-0005-0000-0000-0000F6A00000}"/>
    <cellStyle name="Normal 3 3 6 7 2" xfId="41353" xr:uid="{00000000-0005-0000-0000-0000F7A00000}"/>
    <cellStyle name="Normal 3 3 6 7 3" xfId="41354" xr:uid="{00000000-0005-0000-0000-0000F8A00000}"/>
    <cellStyle name="Normal 3 3 6 8" xfId="41355" xr:uid="{00000000-0005-0000-0000-0000F9A00000}"/>
    <cellStyle name="Normal 3 3 6 9" xfId="41356" xr:uid="{00000000-0005-0000-0000-0000FAA00000}"/>
    <cellStyle name="Normal 3 3 7" xfId="41357" xr:uid="{00000000-0005-0000-0000-0000FBA00000}"/>
    <cellStyle name="Normal 3 3 7 2" xfId="41358" xr:uid="{00000000-0005-0000-0000-0000FCA00000}"/>
    <cellStyle name="Normal 3 3 7 2 2" xfId="41359" xr:uid="{00000000-0005-0000-0000-0000FDA00000}"/>
    <cellStyle name="Normal 3 3 7 2 2 2" xfId="41360" xr:uid="{00000000-0005-0000-0000-0000FEA00000}"/>
    <cellStyle name="Normal 3 3 7 2 2 3" xfId="41361" xr:uid="{00000000-0005-0000-0000-0000FFA00000}"/>
    <cellStyle name="Normal 3 3 7 2 3" xfId="41362" xr:uid="{00000000-0005-0000-0000-000000A10000}"/>
    <cellStyle name="Normal 3 3 7 2 4" xfId="41363" xr:uid="{00000000-0005-0000-0000-000001A10000}"/>
    <cellStyle name="Normal 3 3 7 3" xfId="41364" xr:uid="{00000000-0005-0000-0000-000002A10000}"/>
    <cellStyle name="Normal 3 3 7 3 2" xfId="41365" xr:uid="{00000000-0005-0000-0000-000003A10000}"/>
    <cellStyle name="Normal 3 3 7 3 3" xfId="41366" xr:uid="{00000000-0005-0000-0000-000004A10000}"/>
    <cellStyle name="Normal 3 3 7 4" xfId="41367" xr:uid="{00000000-0005-0000-0000-000005A10000}"/>
    <cellStyle name="Normal 3 3 7 5" xfId="41368" xr:uid="{00000000-0005-0000-0000-000006A10000}"/>
    <cellStyle name="Normal 3 3 8" xfId="41369" xr:uid="{00000000-0005-0000-0000-000007A10000}"/>
    <cellStyle name="Normal 3 3 8 2" xfId="41370" xr:uid="{00000000-0005-0000-0000-000008A10000}"/>
    <cellStyle name="Normal 3 3 8 2 2" xfId="41371" xr:uid="{00000000-0005-0000-0000-000009A10000}"/>
    <cellStyle name="Normal 3 3 8 2 2 2" xfId="41372" xr:uid="{00000000-0005-0000-0000-00000AA10000}"/>
    <cellStyle name="Normal 3 3 8 2 2 3" xfId="41373" xr:uid="{00000000-0005-0000-0000-00000BA10000}"/>
    <cellStyle name="Normal 3 3 8 2 3" xfId="41374" xr:uid="{00000000-0005-0000-0000-00000CA10000}"/>
    <cellStyle name="Normal 3 3 8 2 4" xfId="41375" xr:uid="{00000000-0005-0000-0000-00000DA10000}"/>
    <cellStyle name="Normal 3 3 8 3" xfId="41376" xr:uid="{00000000-0005-0000-0000-00000EA10000}"/>
    <cellStyle name="Normal 3 3 8 3 2" xfId="41377" xr:uid="{00000000-0005-0000-0000-00000FA10000}"/>
    <cellStyle name="Normal 3 3 8 3 3" xfId="41378" xr:uid="{00000000-0005-0000-0000-000010A10000}"/>
    <cellStyle name="Normal 3 3 8 4" xfId="41379" xr:uid="{00000000-0005-0000-0000-000011A10000}"/>
    <cellStyle name="Normal 3 3 9" xfId="41380" xr:uid="{00000000-0005-0000-0000-000012A10000}"/>
    <cellStyle name="Normal 3 3 9 2" xfId="41381" xr:uid="{00000000-0005-0000-0000-000013A10000}"/>
    <cellStyle name="Normal 3 3 9 2 2" xfId="41382" xr:uid="{00000000-0005-0000-0000-000014A10000}"/>
    <cellStyle name="Normal 3 3 9 2 2 2" xfId="41383" xr:uid="{00000000-0005-0000-0000-000015A10000}"/>
    <cellStyle name="Normal 3 3 9 2 2 3" xfId="41384" xr:uid="{00000000-0005-0000-0000-000016A10000}"/>
    <cellStyle name="Normal 3 3 9 2 3" xfId="41385" xr:uid="{00000000-0005-0000-0000-000017A10000}"/>
    <cellStyle name="Normal 3 3 9 2 4" xfId="41386" xr:uid="{00000000-0005-0000-0000-000018A10000}"/>
    <cellStyle name="Normal 3 3 9 3" xfId="41387" xr:uid="{00000000-0005-0000-0000-000019A10000}"/>
    <cellStyle name="Normal 3 3 9 3 2" xfId="41388" xr:uid="{00000000-0005-0000-0000-00001AA10000}"/>
    <cellStyle name="Normal 3 3 9 3 3" xfId="41389" xr:uid="{00000000-0005-0000-0000-00001BA10000}"/>
    <cellStyle name="Normal 3 3 9 4" xfId="41390" xr:uid="{00000000-0005-0000-0000-00001CA10000}"/>
    <cellStyle name="Normal 3 3_2015 Annual Rpt" xfId="41391" xr:uid="{00000000-0005-0000-0000-00001DA10000}"/>
    <cellStyle name="Normal 3 30" xfId="41392" xr:uid="{00000000-0005-0000-0000-00001EA10000}"/>
    <cellStyle name="Normal 3 30 10" xfId="41393" xr:uid="{00000000-0005-0000-0000-00001FA10000}"/>
    <cellStyle name="Normal 3 30 10 2" xfId="41394" xr:uid="{00000000-0005-0000-0000-000020A10000}"/>
    <cellStyle name="Normal 3 30 10 2 2" xfId="41395" xr:uid="{00000000-0005-0000-0000-000021A10000}"/>
    <cellStyle name="Normal 3 30 10 2 2 2" xfId="41396" xr:uid="{00000000-0005-0000-0000-000022A10000}"/>
    <cellStyle name="Normal 3 30 10 2 2 3" xfId="41397" xr:uid="{00000000-0005-0000-0000-000023A10000}"/>
    <cellStyle name="Normal 3 30 10 2 3" xfId="41398" xr:uid="{00000000-0005-0000-0000-000024A10000}"/>
    <cellStyle name="Normal 3 30 10 2 4" xfId="41399" xr:uid="{00000000-0005-0000-0000-000025A10000}"/>
    <cellStyle name="Normal 3 30 10 3" xfId="41400" xr:uid="{00000000-0005-0000-0000-000026A10000}"/>
    <cellStyle name="Normal 3 30 10 3 2" xfId="41401" xr:uid="{00000000-0005-0000-0000-000027A10000}"/>
    <cellStyle name="Normal 3 30 10 3 3" xfId="41402" xr:uid="{00000000-0005-0000-0000-000028A10000}"/>
    <cellStyle name="Normal 3 30 10 4" xfId="41403" xr:uid="{00000000-0005-0000-0000-000029A10000}"/>
    <cellStyle name="Normal 3 30 11" xfId="41404" xr:uid="{00000000-0005-0000-0000-00002AA10000}"/>
    <cellStyle name="Normal 3 30 11 2" xfId="41405" xr:uid="{00000000-0005-0000-0000-00002BA10000}"/>
    <cellStyle name="Normal 3 30 11 2 2" xfId="41406" xr:uid="{00000000-0005-0000-0000-00002CA10000}"/>
    <cellStyle name="Normal 3 30 11 2 2 2" xfId="41407" xr:uid="{00000000-0005-0000-0000-00002DA10000}"/>
    <cellStyle name="Normal 3 30 11 2 2 3" xfId="41408" xr:uid="{00000000-0005-0000-0000-00002EA10000}"/>
    <cellStyle name="Normal 3 30 11 2 3" xfId="41409" xr:uid="{00000000-0005-0000-0000-00002FA10000}"/>
    <cellStyle name="Normal 3 30 11 2 4" xfId="41410" xr:uid="{00000000-0005-0000-0000-000030A10000}"/>
    <cellStyle name="Normal 3 30 11 3" xfId="41411" xr:uid="{00000000-0005-0000-0000-000031A10000}"/>
    <cellStyle name="Normal 3 30 11 3 2" xfId="41412" xr:uid="{00000000-0005-0000-0000-000032A10000}"/>
    <cellStyle name="Normal 3 30 11 3 3" xfId="41413" xr:uid="{00000000-0005-0000-0000-000033A10000}"/>
    <cellStyle name="Normal 3 30 11 4" xfId="41414" xr:uid="{00000000-0005-0000-0000-000034A10000}"/>
    <cellStyle name="Normal 3 30 12" xfId="41415" xr:uid="{00000000-0005-0000-0000-000035A10000}"/>
    <cellStyle name="Normal 3 30 12 2" xfId="41416" xr:uid="{00000000-0005-0000-0000-000036A10000}"/>
    <cellStyle name="Normal 3 30 12 2 2" xfId="41417" xr:uid="{00000000-0005-0000-0000-000037A10000}"/>
    <cellStyle name="Normal 3 30 12 2 2 2" xfId="41418" xr:uid="{00000000-0005-0000-0000-000038A10000}"/>
    <cellStyle name="Normal 3 30 12 2 2 3" xfId="41419" xr:uid="{00000000-0005-0000-0000-000039A10000}"/>
    <cellStyle name="Normal 3 30 12 2 3" xfId="41420" xr:uid="{00000000-0005-0000-0000-00003AA10000}"/>
    <cellStyle name="Normal 3 30 12 2 4" xfId="41421" xr:uid="{00000000-0005-0000-0000-00003BA10000}"/>
    <cellStyle name="Normal 3 30 12 3" xfId="41422" xr:uid="{00000000-0005-0000-0000-00003CA10000}"/>
    <cellStyle name="Normal 3 30 12 3 2" xfId="41423" xr:uid="{00000000-0005-0000-0000-00003DA10000}"/>
    <cellStyle name="Normal 3 30 12 3 3" xfId="41424" xr:uid="{00000000-0005-0000-0000-00003EA10000}"/>
    <cellStyle name="Normal 3 30 12 4" xfId="41425" xr:uid="{00000000-0005-0000-0000-00003FA10000}"/>
    <cellStyle name="Normal 3 30 13" xfId="41426" xr:uid="{00000000-0005-0000-0000-000040A10000}"/>
    <cellStyle name="Normal 3 30 13 2" xfId="41427" xr:uid="{00000000-0005-0000-0000-000041A10000}"/>
    <cellStyle name="Normal 3 30 13 2 2" xfId="41428" xr:uid="{00000000-0005-0000-0000-000042A10000}"/>
    <cellStyle name="Normal 3 30 13 2 2 2" xfId="41429" xr:uid="{00000000-0005-0000-0000-000043A10000}"/>
    <cellStyle name="Normal 3 30 13 2 2 3" xfId="41430" xr:uid="{00000000-0005-0000-0000-000044A10000}"/>
    <cellStyle name="Normal 3 30 13 2 3" xfId="41431" xr:uid="{00000000-0005-0000-0000-000045A10000}"/>
    <cellStyle name="Normal 3 30 13 2 4" xfId="41432" xr:uid="{00000000-0005-0000-0000-000046A10000}"/>
    <cellStyle name="Normal 3 30 13 3" xfId="41433" xr:uid="{00000000-0005-0000-0000-000047A10000}"/>
    <cellStyle name="Normal 3 30 13 3 2" xfId="41434" xr:uid="{00000000-0005-0000-0000-000048A10000}"/>
    <cellStyle name="Normal 3 30 13 3 3" xfId="41435" xr:uid="{00000000-0005-0000-0000-000049A10000}"/>
    <cellStyle name="Normal 3 30 13 4" xfId="41436" xr:uid="{00000000-0005-0000-0000-00004AA10000}"/>
    <cellStyle name="Normal 3 30 14" xfId="41437" xr:uid="{00000000-0005-0000-0000-00004BA10000}"/>
    <cellStyle name="Normal 3 30 14 2" xfId="41438" xr:uid="{00000000-0005-0000-0000-00004CA10000}"/>
    <cellStyle name="Normal 3 30 14 2 2" xfId="41439" xr:uid="{00000000-0005-0000-0000-00004DA10000}"/>
    <cellStyle name="Normal 3 30 14 2 2 2" xfId="41440" xr:uid="{00000000-0005-0000-0000-00004EA10000}"/>
    <cellStyle name="Normal 3 30 14 2 2 3" xfId="41441" xr:uid="{00000000-0005-0000-0000-00004FA10000}"/>
    <cellStyle name="Normal 3 30 14 2 3" xfId="41442" xr:uid="{00000000-0005-0000-0000-000050A10000}"/>
    <cellStyle name="Normal 3 30 14 2 4" xfId="41443" xr:uid="{00000000-0005-0000-0000-000051A10000}"/>
    <cellStyle name="Normal 3 30 14 3" xfId="41444" xr:uid="{00000000-0005-0000-0000-000052A10000}"/>
    <cellStyle name="Normal 3 30 14 3 2" xfId="41445" xr:uid="{00000000-0005-0000-0000-000053A10000}"/>
    <cellStyle name="Normal 3 30 14 3 3" xfId="41446" xr:uid="{00000000-0005-0000-0000-000054A10000}"/>
    <cellStyle name="Normal 3 30 14 4" xfId="41447" xr:uid="{00000000-0005-0000-0000-000055A10000}"/>
    <cellStyle name="Normal 3 30 15" xfId="41448" xr:uid="{00000000-0005-0000-0000-000056A10000}"/>
    <cellStyle name="Normal 3 30 15 2" xfId="41449" xr:uid="{00000000-0005-0000-0000-000057A10000}"/>
    <cellStyle name="Normal 3 30 15 2 2" xfId="41450" xr:uid="{00000000-0005-0000-0000-000058A10000}"/>
    <cellStyle name="Normal 3 30 15 2 2 2" xfId="41451" xr:uid="{00000000-0005-0000-0000-000059A10000}"/>
    <cellStyle name="Normal 3 30 15 2 2 3" xfId="41452" xr:uid="{00000000-0005-0000-0000-00005AA10000}"/>
    <cellStyle name="Normal 3 30 15 2 3" xfId="41453" xr:uid="{00000000-0005-0000-0000-00005BA10000}"/>
    <cellStyle name="Normal 3 30 15 2 4" xfId="41454" xr:uid="{00000000-0005-0000-0000-00005CA10000}"/>
    <cellStyle name="Normal 3 30 15 3" xfId="41455" xr:uid="{00000000-0005-0000-0000-00005DA10000}"/>
    <cellStyle name="Normal 3 30 15 3 2" xfId="41456" xr:uid="{00000000-0005-0000-0000-00005EA10000}"/>
    <cellStyle name="Normal 3 30 15 3 3" xfId="41457" xr:uid="{00000000-0005-0000-0000-00005FA10000}"/>
    <cellStyle name="Normal 3 30 15 4" xfId="41458" xr:uid="{00000000-0005-0000-0000-000060A10000}"/>
    <cellStyle name="Normal 3 30 16" xfId="41459" xr:uid="{00000000-0005-0000-0000-000061A10000}"/>
    <cellStyle name="Normal 3 30 16 2" xfId="41460" xr:uid="{00000000-0005-0000-0000-000062A10000}"/>
    <cellStyle name="Normal 3 30 16 2 2" xfId="41461" xr:uid="{00000000-0005-0000-0000-000063A10000}"/>
    <cellStyle name="Normal 3 30 16 2 2 2" xfId="41462" xr:uid="{00000000-0005-0000-0000-000064A10000}"/>
    <cellStyle name="Normal 3 30 16 2 2 3" xfId="41463" xr:uid="{00000000-0005-0000-0000-000065A10000}"/>
    <cellStyle name="Normal 3 30 16 2 3" xfId="41464" xr:uid="{00000000-0005-0000-0000-000066A10000}"/>
    <cellStyle name="Normal 3 30 16 2 4" xfId="41465" xr:uid="{00000000-0005-0000-0000-000067A10000}"/>
    <cellStyle name="Normal 3 30 16 3" xfId="41466" xr:uid="{00000000-0005-0000-0000-000068A10000}"/>
    <cellStyle name="Normal 3 30 16 3 2" xfId="41467" xr:uid="{00000000-0005-0000-0000-000069A10000}"/>
    <cellStyle name="Normal 3 30 16 3 3" xfId="41468" xr:uid="{00000000-0005-0000-0000-00006AA10000}"/>
    <cellStyle name="Normal 3 30 16 4" xfId="41469" xr:uid="{00000000-0005-0000-0000-00006BA10000}"/>
    <cellStyle name="Normal 3 30 17" xfId="41470" xr:uid="{00000000-0005-0000-0000-00006CA10000}"/>
    <cellStyle name="Normal 3 30 17 2" xfId="41471" xr:uid="{00000000-0005-0000-0000-00006DA10000}"/>
    <cellStyle name="Normal 3 30 17 2 2" xfId="41472" xr:uid="{00000000-0005-0000-0000-00006EA10000}"/>
    <cellStyle name="Normal 3 30 17 2 2 2" xfId="41473" xr:uid="{00000000-0005-0000-0000-00006FA10000}"/>
    <cellStyle name="Normal 3 30 17 2 2 3" xfId="41474" xr:uid="{00000000-0005-0000-0000-000070A10000}"/>
    <cellStyle name="Normal 3 30 17 2 3" xfId="41475" xr:uid="{00000000-0005-0000-0000-000071A10000}"/>
    <cellStyle name="Normal 3 30 17 2 4" xfId="41476" xr:uid="{00000000-0005-0000-0000-000072A10000}"/>
    <cellStyle name="Normal 3 30 17 3" xfId="41477" xr:uid="{00000000-0005-0000-0000-000073A10000}"/>
    <cellStyle name="Normal 3 30 17 3 2" xfId="41478" xr:uid="{00000000-0005-0000-0000-000074A10000}"/>
    <cellStyle name="Normal 3 30 17 3 3" xfId="41479" xr:uid="{00000000-0005-0000-0000-000075A10000}"/>
    <cellStyle name="Normal 3 30 17 4" xfId="41480" xr:uid="{00000000-0005-0000-0000-000076A10000}"/>
    <cellStyle name="Normal 3 30 18" xfId="41481" xr:uid="{00000000-0005-0000-0000-000077A10000}"/>
    <cellStyle name="Normal 3 30 18 2" xfId="41482" xr:uid="{00000000-0005-0000-0000-000078A10000}"/>
    <cellStyle name="Normal 3 30 18 2 2" xfId="41483" xr:uid="{00000000-0005-0000-0000-000079A10000}"/>
    <cellStyle name="Normal 3 30 18 2 2 2" xfId="41484" xr:uid="{00000000-0005-0000-0000-00007AA10000}"/>
    <cellStyle name="Normal 3 30 18 2 2 3" xfId="41485" xr:uid="{00000000-0005-0000-0000-00007BA10000}"/>
    <cellStyle name="Normal 3 30 18 2 3" xfId="41486" xr:uid="{00000000-0005-0000-0000-00007CA10000}"/>
    <cellStyle name="Normal 3 30 18 2 4" xfId="41487" xr:uid="{00000000-0005-0000-0000-00007DA10000}"/>
    <cellStyle name="Normal 3 30 18 3" xfId="41488" xr:uid="{00000000-0005-0000-0000-00007EA10000}"/>
    <cellStyle name="Normal 3 30 18 3 2" xfId="41489" xr:uid="{00000000-0005-0000-0000-00007FA10000}"/>
    <cellStyle name="Normal 3 30 18 3 3" xfId="41490" xr:uid="{00000000-0005-0000-0000-000080A10000}"/>
    <cellStyle name="Normal 3 30 18 4" xfId="41491" xr:uid="{00000000-0005-0000-0000-000081A10000}"/>
    <cellStyle name="Normal 3 30 19" xfId="41492" xr:uid="{00000000-0005-0000-0000-000082A10000}"/>
    <cellStyle name="Normal 3 30 19 2" xfId="41493" xr:uid="{00000000-0005-0000-0000-000083A10000}"/>
    <cellStyle name="Normal 3 30 19 2 2" xfId="41494" xr:uid="{00000000-0005-0000-0000-000084A10000}"/>
    <cellStyle name="Normal 3 30 19 2 2 2" xfId="41495" xr:uid="{00000000-0005-0000-0000-000085A10000}"/>
    <cellStyle name="Normal 3 30 19 2 2 3" xfId="41496" xr:uid="{00000000-0005-0000-0000-000086A10000}"/>
    <cellStyle name="Normal 3 30 19 2 3" xfId="41497" xr:uid="{00000000-0005-0000-0000-000087A10000}"/>
    <cellStyle name="Normal 3 30 19 2 4" xfId="41498" xr:uid="{00000000-0005-0000-0000-000088A10000}"/>
    <cellStyle name="Normal 3 30 19 3" xfId="41499" xr:uid="{00000000-0005-0000-0000-000089A10000}"/>
    <cellStyle name="Normal 3 30 19 3 2" xfId="41500" xr:uid="{00000000-0005-0000-0000-00008AA10000}"/>
    <cellStyle name="Normal 3 30 19 3 3" xfId="41501" xr:uid="{00000000-0005-0000-0000-00008BA10000}"/>
    <cellStyle name="Normal 3 30 19 4" xfId="41502" xr:uid="{00000000-0005-0000-0000-00008CA10000}"/>
    <cellStyle name="Normal 3 30 2" xfId="41503" xr:uid="{00000000-0005-0000-0000-00008DA10000}"/>
    <cellStyle name="Normal 3 30 2 2" xfId="41504" xr:uid="{00000000-0005-0000-0000-00008EA10000}"/>
    <cellStyle name="Normal 3 30 2 2 2" xfId="41505" xr:uid="{00000000-0005-0000-0000-00008FA10000}"/>
    <cellStyle name="Normal 3 30 2 2 2 2" xfId="41506" xr:uid="{00000000-0005-0000-0000-000090A10000}"/>
    <cellStyle name="Normal 3 30 2 2 2 3" xfId="41507" xr:uid="{00000000-0005-0000-0000-000091A10000}"/>
    <cellStyle name="Normal 3 30 2 2 3" xfId="41508" xr:uid="{00000000-0005-0000-0000-000092A10000}"/>
    <cellStyle name="Normal 3 30 2 2 4" xfId="41509" xr:uid="{00000000-0005-0000-0000-000093A10000}"/>
    <cellStyle name="Normal 3 30 2 3" xfId="41510" xr:uid="{00000000-0005-0000-0000-000094A10000}"/>
    <cellStyle name="Normal 3 30 2 3 2" xfId="41511" xr:uid="{00000000-0005-0000-0000-000095A10000}"/>
    <cellStyle name="Normal 3 30 2 3 3" xfId="41512" xr:uid="{00000000-0005-0000-0000-000096A10000}"/>
    <cellStyle name="Normal 3 30 2 4" xfId="41513" xr:uid="{00000000-0005-0000-0000-000097A10000}"/>
    <cellStyle name="Normal 3 30 20" xfId="41514" xr:uid="{00000000-0005-0000-0000-000098A10000}"/>
    <cellStyle name="Normal 3 30 20 2" xfId="41515" xr:uid="{00000000-0005-0000-0000-000099A10000}"/>
    <cellStyle name="Normal 3 30 20 2 2" xfId="41516" xr:uid="{00000000-0005-0000-0000-00009AA10000}"/>
    <cellStyle name="Normal 3 30 20 2 2 2" xfId="41517" xr:uid="{00000000-0005-0000-0000-00009BA10000}"/>
    <cellStyle name="Normal 3 30 20 2 2 3" xfId="41518" xr:uid="{00000000-0005-0000-0000-00009CA10000}"/>
    <cellStyle name="Normal 3 30 20 2 3" xfId="41519" xr:uid="{00000000-0005-0000-0000-00009DA10000}"/>
    <cellStyle name="Normal 3 30 20 2 4" xfId="41520" xr:uid="{00000000-0005-0000-0000-00009EA10000}"/>
    <cellStyle name="Normal 3 30 20 3" xfId="41521" xr:uid="{00000000-0005-0000-0000-00009FA10000}"/>
    <cellStyle name="Normal 3 30 20 3 2" xfId="41522" xr:uid="{00000000-0005-0000-0000-0000A0A10000}"/>
    <cellStyle name="Normal 3 30 20 3 3" xfId="41523" xr:uid="{00000000-0005-0000-0000-0000A1A10000}"/>
    <cellStyle name="Normal 3 30 20 4" xfId="41524" xr:uid="{00000000-0005-0000-0000-0000A2A10000}"/>
    <cellStyle name="Normal 3 30 21" xfId="41525" xr:uid="{00000000-0005-0000-0000-0000A3A10000}"/>
    <cellStyle name="Normal 3 30 21 2" xfId="41526" xr:uid="{00000000-0005-0000-0000-0000A4A10000}"/>
    <cellStyle name="Normal 3 30 21 2 2" xfId="41527" xr:uid="{00000000-0005-0000-0000-0000A5A10000}"/>
    <cellStyle name="Normal 3 30 21 2 2 2" xfId="41528" xr:uid="{00000000-0005-0000-0000-0000A6A10000}"/>
    <cellStyle name="Normal 3 30 21 2 2 3" xfId="41529" xr:uid="{00000000-0005-0000-0000-0000A7A10000}"/>
    <cellStyle name="Normal 3 30 21 2 3" xfId="41530" xr:uid="{00000000-0005-0000-0000-0000A8A10000}"/>
    <cellStyle name="Normal 3 30 21 2 4" xfId="41531" xr:uid="{00000000-0005-0000-0000-0000A9A10000}"/>
    <cellStyle name="Normal 3 30 21 3" xfId="41532" xr:uid="{00000000-0005-0000-0000-0000AAA10000}"/>
    <cellStyle name="Normal 3 30 21 3 2" xfId="41533" xr:uid="{00000000-0005-0000-0000-0000ABA10000}"/>
    <cellStyle name="Normal 3 30 21 3 3" xfId="41534" xr:uid="{00000000-0005-0000-0000-0000ACA10000}"/>
    <cellStyle name="Normal 3 30 21 4" xfId="41535" xr:uid="{00000000-0005-0000-0000-0000ADA10000}"/>
    <cellStyle name="Normal 3 30 22" xfId="41536" xr:uid="{00000000-0005-0000-0000-0000AEA10000}"/>
    <cellStyle name="Normal 3 30 22 2" xfId="41537" xr:uid="{00000000-0005-0000-0000-0000AFA10000}"/>
    <cellStyle name="Normal 3 30 22 2 2" xfId="41538" xr:uid="{00000000-0005-0000-0000-0000B0A10000}"/>
    <cellStyle name="Normal 3 30 22 2 2 2" xfId="41539" xr:uid="{00000000-0005-0000-0000-0000B1A10000}"/>
    <cellStyle name="Normal 3 30 22 2 2 3" xfId="41540" xr:uid="{00000000-0005-0000-0000-0000B2A10000}"/>
    <cellStyle name="Normal 3 30 22 2 3" xfId="41541" xr:uid="{00000000-0005-0000-0000-0000B3A10000}"/>
    <cellStyle name="Normal 3 30 22 2 4" xfId="41542" xr:uid="{00000000-0005-0000-0000-0000B4A10000}"/>
    <cellStyle name="Normal 3 30 22 3" xfId="41543" xr:uid="{00000000-0005-0000-0000-0000B5A10000}"/>
    <cellStyle name="Normal 3 30 22 3 2" xfId="41544" xr:uid="{00000000-0005-0000-0000-0000B6A10000}"/>
    <cellStyle name="Normal 3 30 22 3 3" xfId="41545" xr:uid="{00000000-0005-0000-0000-0000B7A10000}"/>
    <cellStyle name="Normal 3 30 22 4" xfId="41546" xr:uid="{00000000-0005-0000-0000-0000B8A10000}"/>
    <cellStyle name="Normal 3 30 23" xfId="41547" xr:uid="{00000000-0005-0000-0000-0000B9A10000}"/>
    <cellStyle name="Normal 3 30 23 2" xfId="41548" xr:uid="{00000000-0005-0000-0000-0000BAA10000}"/>
    <cellStyle name="Normal 3 30 23 2 2" xfId="41549" xr:uid="{00000000-0005-0000-0000-0000BBA10000}"/>
    <cellStyle name="Normal 3 30 23 2 2 2" xfId="41550" xr:uid="{00000000-0005-0000-0000-0000BCA10000}"/>
    <cellStyle name="Normal 3 30 23 2 2 3" xfId="41551" xr:uid="{00000000-0005-0000-0000-0000BDA10000}"/>
    <cellStyle name="Normal 3 30 23 2 3" xfId="41552" xr:uid="{00000000-0005-0000-0000-0000BEA10000}"/>
    <cellStyle name="Normal 3 30 23 2 4" xfId="41553" xr:uid="{00000000-0005-0000-0000-0000BFA10000}"/>
    <cellStyle name="Normal 3 30 23 3" xfId="41554" xr:uid="{00000000-0005-0000-0000-0000C0A10000}"/>
    <cellStyle name="Normal 3 30 23 3 2" xfId="41555" xr:uid="{00000000-0005-0000-0000-0000C1A10000}"/>
    <cellStyle name="Normal 3 30 23 3 3" xfId="41556" xr:uid="{00000000-0005-0000-0000-0000C2A10000}"/>
    <cellStyle name="Normal 3 30 23 4" xfId="41557" xr:uid="{00000000-0005-0000-0000-0000C3A10000}"/>
    <cellStyle name="Normal 3 30 24" xfId="41558" xr:uid="{00000000-0005-0000-0000-0000C4A10000}"/>
    <cellStyle name="Normal 3 30 24 2" xfId="41559" xr:uid="{00000000-0005-0000-0000-0000C5A10000}"/>
    <cellStyle name="Normal 3 30 24 2 2" xfId="41560" xr:uid="{00000000-0005-0000-0000-0000C6A10000}"/>
    <cellStyle name="Normal 3 30 24 2 3" xfId="41561" xr:uid="{00000000-0005-0000-0000-0000C7A10000}"/>
    <cellStyle name="Normal 3 30 24 3" xfId="41562" xr:uid="{00000000-0005-0000-0000-0000C8A10000}"/>
    <cellStyle name="Normal 3 30 24 4" xfId="41563" xr:uid="{00000000-0005-0000-0000-0000C9A10000}"/>
    <cellStyle name="Normal 3 30 25" xfId="41564" xr:uid="{00000000-0005-0000-0000-0000CAA10000}"/>
    <cellStyle name="Normal 3 30 25 2" xfId="41565" xr:uid="{00000000-0005-0000-0000-0000CBA10000}"/>
    <cellStyle name="Normal 3 30 25 3" xfId="41566" xr:uid="{00000000-0005-0000-0000-0000CCA10000}"/>
    <cellStyle name="Normal 3 30 26" xfId="41567" xr:uid="{00000000-0005-0000-0000-0000CDA10000}"/>
    <cellStyle name="Normal 3 30 3" xfId="41568" xr:uid="{00000000-0005-0000-0000-0000CEA10000}"/>
    <cellStyle name="Normal 3 30 3 2" xfId="41569" xr:uid="{00000000-0005-0000-0000-0000CFA10000}"/>
    <cellStyle name="Normal 3 30 3 2 2" xfId="41570" xr:uid="{00000000-0005-0000-0000-0000D0A10000}"/>
    <cellStyle name="Normal 3 30 3 2 2 2" xfId="41571" xr:uid="{00000000-0005-0000-0000-0000D1A10000}"/>
    <cellStyle name="Normal 3 30 3 2 2 3" xfId="41572" xr:uid="{00000000-0005-0000-0000-0000D2A10000}"/>
    <cellStyle name="Normal 3 30 3 2 3" xfId="41573" xr:uid="{00000000-0005-0000-0000-0000D3A10000}"/>
    <cellStyle name="Normal 3 30 3 2 4" xfId="41574" xr:uid="{00000000-0005-0000-0000-0000D4A10000}"/>
    <cellStyle name="Normal 3 30 3 3" xfId="41575" xr:uid="{00000000-0005-0000-0000-0000D5A10000}"/>
    <cellStyle name="Normal 3 30 3 3 2" xfId="41576" xr:uid="{00000000-0005-0000-0000-0000D6A10000}"/>
    <cellStyle name="Normal 3 30 3 3 3" xfId="41577" xr:uid="{00000000-0005-0000-0000-0000D7A10000}"/>
    <cellStyle name="Normal 3 30 3 4" xfId="41578" xr:uid="{00000000-0005-0000-0000-0000D8A10000}"/>
    <cellStyle name="Normal 3 30 4" xfId="41579" xr:uid="{00000000-0005-0000-0000-0000D9A10000}"/>
    <cellStyle name="Normal 3 30 4 2" xfId="41580" xr:uid="{00000000-0005-0000-0000-0000DAA10000}"/>
    <cellStyle name="Normal 3 30 4 2 2" xfId="41581" xr:uid="{00000000-0005-0000-0000-0000DBA10000}"/>
    <cellStyle name="Normal 3 30 4 2 2 2" xfId="41582" xr:uid="{00000000-0005-0000-0000-0000DCA10000}"/>
    <cellStyle name="Normal 3 30 4 2 2 3" xfId="41583" xr:uid="{00000000-0005-0000-0000-0000DDA10000}"/>
    <cellStyle name="Normal 3 30 4 2 3" xfId="41584" xr:uid="{00000000-0005-0000-0000-0000DEA10000}"/>
    <cellStyle name="Normal 3 30 4 2 4" xfId="41585" xr:uid="{00000000-0005-0000-0000-0000DFA10000}"/>
    <cellStyle name="Normal 3 30 4 3" xfId="41586" xr:uid="{00000000-0005-0000-0000-0000E0A10000}"/>
    <cellStyle name="Normal 3 30 4 3 2" xfId="41587" xr:uid="{00000000-0005-0000-0000-0000E1A10000}"/>
    <cellStyle name="Normal 3 30 4 3 3" xfId="41588" xr:uid="{00000000-0005-0000-0000-0000E2A10000}"/>
    <cellStyle name="Normal 3 30 4 4" xfId="41589" xr:uid="{00000000-0005-0000-0000-0000E3A10000}"/>
    <cellStyle name="Normal 3 30 5" xfId="41590" xr:uid="{00000000-0005-0000-0000-0000E4A10000}"/>
    <cellStyle name="Normal 3 30 5 2" xfId="41591" xr:uid="{00000000-0005-0000-0000-0000E5A10000}"/>
    <cellStyle name="Normal 3 30 5 2 2" xfId="41592" xr:uid="{00000000-0005-0000-0000-0000E6A10000}"/>
    <cellStyle name="Normal 3 30 5 2 2 2" xfId="41593" xr:uid="{00000000-0005-0000-0000-0000E7A10000}"/>
    <cellStyle name="Normal 3 30 5 2 2 3" xfId="41594" xr:uid="{00000000-0005-0000-0000-0000E8A10000}"/>
    <cellStyle name="Normal 3 30 5 2 3" xfId="41595" xr:uid="{00000000-0005-0000-0000-0000E9A10000}"/>
    <cellStyle name="Normal 3 30 5 2 4" xfId="41596" xr:uid="{00000000-0005-0000-0000-0000EAA10000}"/>
    <cellStyle name="Normal 3 30 5 3" xfId="41597" xr:uid="{00000000-0005-0000-0000-0000EBA10000}"/>
    <cellStyle name="Normal 3 30 5 3 2" xfId="41598" xr:uid="{00000000-0005-0000-0000-0000ECA10000}"/>
    <cellStyle name="Normal 3 30 5 3 3" xfId="41599" xr:uid="{00000000-0005-0000-0000-0000EDA10000}"/>
    <cellStyle name="Normal 3 30 5 4" xfId="41600" xr:uid="{00000000-0005-0000-0000-0000EEA10000}"/>
    <cellStyle name="Normal 3 30 6" xfId="41601" xr:uid="{00000000-0005-0000-0000-0000EFA10000}"/>
    <cellStyle name="Normal 3 30 6 2" xfId="41602" xr:uid="{00000000-0005-0000-0000-0000F0A10000}"/>
    <cellStyle name="Normal 3 30 6 2 2" xfId="41603" xr:uid="{00000000-0005-0000-0000-0000F1A10000}"/>
    <cellStyle name="Normal 3 30 6 2 2 2" xfId="41604" xr:uid="{00000000-0005-0000-0000-0000F2A10000}"/>
    <cellStyle name="Normal 3 30 6 2 2 3" xfId="41605" xr:uid="{00000000-0005-0000-0000-0000F3A10000}"/>
    <cellStyle name="Normal 3 30 6 2 3" xfId="41606" xr:uid="{00000000-0005-0000-0000-0000F4A10000}"/>
    <cellStyle name="Normal 3 30 6 2 4" xfId="41607" xr:uid="{00000000-0005-0000-0000-0000F5A10000}"/>
    <cellStyle name="Normal 3 30 6 3" xfId="41608" xr:uid="{00000000-0005-0000-0000-0000F6A10000}"/>
    <cellStyle name="Normal 3 30 6 3 2" xfId="41609" xr:uid="{00000000-0005-0000-0000-0000F7A10000}"/>
    <cellStyle name="Normal 3 30 6 3 3" xfId="41610" xr:uid="{00000000-0005-0000-0000-0000F8A10000}"/>
    <cellStyle name="Normal 3 30 6 4" xfId="41611" xr:uid="{00000000-0005-0000-0000-0000F9A10000}"/>
    <cellStyle name="Normal 3 30 7" xfId="41612" xr:uid="{00000000-0005-0000-0000-0000FAA10000}"/>
    <cellStyle name="Normal 3 30 7 2" xfId="41613" xr:uid="{00000000-0005-0000-0000-0000FBA10000}"/>
    <cellStyle name="Normal 3 30 7 2 2" xfId="41614" xr:uid="{00000000-0005-0000-0000-0000FCA10000}"/>
    <cellStyle name="Normal 3 30 7 2 2 2" xfId="41615" xr:uid="{00000000-0005-0000-0000-0000FDA10000}"/>
    <cellStyle name="Normal 3 30 7 2 2 3" xfId="41616" xr:uid="{00000000-0005-0000-0000-0000FEA10000}"/>
    <cellStyle name="Normal 3 30 7 2 3" xfId="41617" xr:uid="{00000000-0005-0000-0000-0000FFA10000}"/>
    <cellStyle name="Normal 3 30 7 2 4" xfId="41618" xr:uid="{00000000-0005-0000-0000-000000A20000}"/>
    <cellStyle name="Normal 3 30 7 3" xfId="41619" xr:uid="{00000000-0005-0000-0000-000001A20000}"/>
    <cellStyle name="Normal 3 30 7 3 2" xfId="41620" xr:uid="{00000000-0005-0000-0000-000002A20000}"/>
    <cellStyle name="Normal 3 30 7 3 3" xfId="41621" xr:uid="{00000000-0005-0000-0000-000003A20000}"/>
    <cellStyle name="Normal 3 30 7 4" xfId="41622" xr:uid="{00000000-0005-0000-0000-000004A20000}"/>
    <cellStyle name="Normal 3 30 8" xfId="41623" xr:uid="{00000000-0005-0000-0000-000005A20000}"/>
    <cellStyle name="Normal 3 30 8 2" xfId="41624" xr:uid="{00000000-0005-0000-0000-000006A20000}"/>
    <cellStyle name="Normal 3 30 8 2 2" xfId="41625" xr:uid="{00000000-0005-0000-0000-000007A20000}"/>
    <cellStyle name="Normal 3 30 8 2 2 2" xfId="41626" xr:uid="{00000000-0005-0000-0000-000008A20000}"/>
    <cellStyle name="Normal 3 30 8 2 2 3" xfId="41627" xr:uid="{00000000-0005-0000-0000-000009A20000}"/>
    <cellStyle name="Normal 3 30 8 2 3" xfId="41628" xr:uid="{00000000-0005-0000-0000-00000AA20000}"/>
    <cellStyle name="Normal 3 30 8 2 4" xfId="41629" xr:uid="{00000000-0005-0000-0000-00000BA20000}"/>
    <cellStyle name="Normal 3 30 8 3" xfId="41630" xr:uid="{00000000-0005-0000-0000-00000CA20000}"/>
    <cellStyle name="Normal 3 30 8 3 2" xfId="41631" xr:uid="{00000000-0005-0000-0000-00000DA20000}"/>
    <cellStyle name="Normal 3 30 8 3 3" xfId="41632" xr:uid="{00000000-0005-0000-0000-00000EA20000}"/>
    <cellStyle name="Normal 3 30 8 4" xfId="41633" xr:uid="{00000000-0005-0000-0000-00000FA20000}"/>
    <cellStyle name="Normal 3 30 9" xfId="41634" xr:uid="{00000000-0005-0000-0000-000010A20000}"/>
    <cellStyle name="Normal 3 30 9 2" xfId="41635" xr:uid="{00000000-0005-0000-0000-000011A20000}"/>
    <cellStyle name="Normal 3 30 9 2 2" xfId="41636" xr:uid="{00000000-0005-0000-0000-000012A20000}"/>
    <cellStyle name="Normal 3 30 9 2 2 2" xfId="41637" xr:uid="{00000000-0005-0000-0000-000013A20000}"/>
    <cellStyle name="Normal 3 30 9 2 2 3" xfId="41638" xr:uid="{00000000-0005-0000-0000-000014A20000}"/>
    <cellStyle name="Normal 3 30 9 2 3" xfId="41639" xr:uid="{00000000-0005-0000-0000-000015A20000}"/>
    <cellStyle name="Normal 3 30 9 2 4" xfId="41640" xr:uid="{00000000-0005-0000-0000-000016A20000}"/>
    <cellStyle name="Normal 3 30 9 3" xfId="41641" xr:uid="{00000000-0005-0000-0000-000017A20000}"/>
    <cellStyle name="Normal 3 30 9 3 2" xfId="41642" xr:uid="{00000000-0005-0000-0000-000018A20000}"/>
    <cellStyle name="Normal 3 30 9 3 3" xfId="41643" xr:uid="{00000000-0005-0000-0000-000019A20000}"/>
    <cellStyle name="Normal 3 30 9 4" xfId="41644" xr:uid="{00000000-0005-0000-0000-00001AA20000}"/>
    <cellStyle name="Normal 3 31" xfId="41645" xr:uid="{00000000-0005-0000-0000-00001BA20000}"/>
    <cellStyle name="Normal 3 31 10" xfId="41646" xr:uid="{00000000-0005-0000-0000-00001CA20000}"/>
    <cellStyle name="Normal 3 31 10 2" xfId="41647" xr:uid="{00000000-0005-0000-0000-00001DA20000}"/>
    <cellStyle name="Normal 3 31 10 2 2" xfId="41648" xr:uid="{00000000-0005-0000-0000-00001EA20000}"/>
    <cellStyle name="Normal 3 31 10 2 2 2" xfId="41649" xr:uid="{00000000-0005-0000-0000-00001FA20000}"/>
    <cellStyle name="Normal 3 31 10 2 2 3" xfId="41650" xr:uid="{00000000-0005-0000-0000-000020A20000}"/>
    <cellStyle name="Normal 3 31 10 2 3" xfId="41651" xr:uid="{00000000-0005-0000-0000-000021A20000}"/>
    <cellStyle name="Normal 3 31 10 2 4" xfId="41652" xr:uid="{00000000-0005-0000-0000-000022A20000}"/>
    <cellStyle name="Normal 3 31 10 3" xfId="41653" xr:uid="{00000000-0005-0000-0000-000023A20000}"/>
    <cellStyle name="Normal 3 31 10 3 2" xfId="41654" xr:uid="{00000000-0005-0000-0000-000024A20000}"/>
    <cellStyle name="Normal 3 31 10 3 3" xfId="41655" xr:uid="{00000000-0005-0000-0000-000025A20000}"/>
    <cellStyle name="Normal 3 31 10 4" xfId="41656" xr:uid="{00000000-0005-0000-0000-000026A20000}"/>
    <cellStyle name="Normal 3 31 11" xfId="41657" xr:uid="{00000000-0005-0000-0000-000027A20000}"/>
    <cellStyle name="Normal 3 31 11 2" xfId="41658" xr:uid="{00000000-0005-0000-0000-000028A20000}"/>
    <cellStyle name="Normal 3 31 11 2 2" xfId="41659" xr:uid="{00000000-0005-0000-0000-000029A20000}"/>
    <cellStyle name="Normal 3 31 11 2 2 2" xfId="41660" xr:uid="{00000000-0005-0000-0000-00002AA20000}"/>
    <cellStyle name="Normal 3 31 11 2 2 3" xfId="41661" xr:uid="{00000000-0005-0000-0000-00002BA20000}"/>
    <cellStyle name="Normal 3 31 11 2 3" xfId="41662" xr:uid="{00000000-0005-0000-0000-00002CA20000}"/>
    <cellStyle name="Normal 3 31 11 2 4" xfId="41663" xr:uid="{00000000-0005-0000-0000-00002DA20000}"/>
    <cellStyle name="Normal 3 31 11 3" xfId="41664" xr:uid="{00000000-0005-0000-0000-00002EA20000}"/>
    <cellStyle name="Normal 3 31 11 3 2" xfId="41665" xr:uid="{00000000-0005-0000-0000-00002FA20000}"/>
    <cellStyle name="Normal 3 31 11 3 3" xfId="41666" xr:uid="{00000000-0005-0000-0000-000030A20000}"/>
    <cellStyle name="Normal 3 31 11 4" xfId="41667" xr:uid="{00000000-0005-0000-0000-000031A20000}"/>
    <cellStyle name="Normal 3 31 12" xfId="41668" xr:uid="{00000000-0005-0000-0000-000032A20000}"/>
    <cellStyle name="Normal 3 31 12 2" xfId="41669" xr:uid="{00000000-0005-0000-0000-000033A20000}"/>
    <cellStyle name="Normal 3 31 12 2 2" xfId="41670" xr:uid="{00000000-0005-0000-0000-000034A20000}"/>
    <cellStyle name="Normal 3 31 12 2 2 2" xfId="41671" xr:uid="{00000000-0005-0000-0000-000035A20000}"/>
    <cellStyle name="Normal 3 31 12 2 2 3" xfId="41672" xr:uid="{00000000-0005-0000-0000-000036A20000}"/>
    <cellStyle name="Normal 3 31 12 2 3" xfId="41673" xr:uid="{00000000-0005-0000-0000-000037A20000}"/>
    <cellStyle name="Normal 3 31 12 2 4" xfId="41674" xr:uid="{00000000-0005-0000-0000-000038A20000}"/>
    <cellStyle name="Normal 3 31 12 3" xfId="41675" xr:uid="{00000000-0005-0000-0000-000039A20000}"/>
    <cellStyle name="Normal 3 31 12 3 2" xfId="41676" xr:uid="{00000000-0005-0000-0000-00003AA20000}"/>
    <cellStyle name="Normal 3 31 12 3 3" xfId="41677" xr:uid="{00000000-0005-0000-0000-00003BA20000}"/>
    <cellStyle name="Normal 3 31 12 4" xfId="41678" xr:uid="{00000000-0005-0000-0000-00003CA20000}"/>
    <cellStyle name="Normal 3 31 13" xfId="41679" xr:uid="{00000000-0005-0000-0000-00003DA20000}"/>
    <cellStyle name="Normal 3 31 13 2" xfId="41680" xr:uid="{00000000-0005-0000-0000-00003EA20000}"/>
    <cellStyle name="Normal 3 31 13 2 2" xfId="41681" xr:uid="{00000000-0005-0000-0000-00003FA20000}"/>
    <cellStyle name="Normal 3 31 13 2 2 2" xfId="41682" xr:uid="{00000000-0005-0000-0000-000040A20000}"/>
    <cellStyle name="Normal 3 31 13 2 2 3" xfId="41683" xr:uid="{00000000-0005-0000-0000-000041A20000}"/>
    <cellStyle name="Normal 3 31 13 2 3" xfId="41684" xr:uid="{00000000-0005-0000-0000-000042A20000}"/>
    <cellStyle name="Normal 3 31 13 2 4" xfId="41685" xr:uid="{00000000-0005-0000-0000-000043A20000}"/>
    <cellStyle name="Normal 3 31 13 3" xfId="41686" xr:uid="{00000000-0005-0000-0000-000044A20000}"/>
    <cellStyle name="Normal 3 31 13 3 2" xfId="41687" xr:uid="{00000000-0005-0000-0000-000045A20000}"/>
    <cellStyle name="Normal 3 31 13 3 3" xfId="41688" xr:uid="{00000000-0005-0000-0000-000046A20000}"/>
    <cellStyle name="Normal 3 31 13 4" xfId="41689" xr:uid="{00000000-0005-0000-0000-000047A20000}"/>
    <cellStyle name="Normal 3 31 14" xfId="41690" xr:uid="{00000000-0005-0000-0000-000048A20000}"/>
    <cellStyle name="Normal 3 31 14 2" xfId="41691" xr:uid="{00000000-0005-0000-0000-000049A20000}"/>
    <cellStyle name="Normal 3 31 14 2 2" xfId="41692" xr:uid="{00000000-0005-0000-0000-00004AA20000}"/>
    <cellStyle name="Normal 3 31 14 2 2 2" xfId="41693" xr:uid="{00000000-0005-0000-0000-00004BA20000}"/>
    <cellStyle name="Normal 3 31 14 2 2 3" xfId="41694" xr:uid="{00000000-0005-0000-0000-00004CA20000}"/>
    <cellStyle name="Normal 3 31 14 2 3" xfId="41695" xr:uid="{00000000-0005-0000-0000-00004DA20000}"/>
    <cellStyle name="Normal 3 31 14 2 4" xfId="41696" xr:uid="{00000000-0005-0000-0000-00004EA20000}"/>
    <cellStyle name="Normal 3 31 14 3" xfId="41697" xr:uid="{00000000-0005-0000-0000-00004FA20000}"/>
    <cellStyle name="Normal 3 31 14 3 2" xfId="41698" xr:uid="{00000000-0005-0000-0000-000050A20000}"/>
    <cellStyle name="Normal 3 31 14 3 3" xfId="41699" xr:uid="{00000000-0005-0000-0000-000051A20000}"/>
    <cellStyle name="Normal 3 31 14 4" xfId="41700" xr:uid="{00000000-0005-0000-0000-000052A20000}"/>
    <cellStyle name="Normal 3 31 15" xfId="41701" xr:uid="{00000000-0005-0000-0000-000053A20000}"/>
    <cellStyle name="Normal 3 31 15 2" xfId="41702" xr:uid="{00000000-0005-0000-0000-000054A20000}"/>
    <cellStyle name="Normal 3 31 15 2 2" xfId="41703" xr:uid="{00000000-0005-0000-0000-000055A20000}"/>
    <cellStyle name="Normal 3 31 15 2 2 2" xfId="41704" xr:uid="{00000000-0005-0000-0000-000056A20000}"/>
    <cellStyle name="Normal 3 31 15 2 2 3" xfId="41705" xr:uid="{00000000-0005-0000-0000-000057A20000}"/>
    <cellStyle name="Normal 3 31 15 2 3" xfId="41706" xr:uid="{00000000-0005-0000-0000-000058A20000}"/>
    <cellStyle name="Normal 3 31 15 2 4" xfId="41707" xr:uid="{00000000-0005-0000-0000-000059A20000}"/>
    <cellStyle name="Normal 3 31 15 3" xfId="41708" xr:uid="{00000000-0005-0000-0000-00005AA20000}"/>
    <cellStyle name="Normal 3 31 15 3 2" xfId="41709" xr:uid="{00000000-0005-0000-0000-00005BA20000}"/>
    <cellStyle name="Normal 3 31 15 3 3" xfId="41710" xr:uid="{00000000-0005-0000-0000-00005CA20000}"/>
    <cellStyle name="Normal 3 31 15 4" xfId="41711" xr:uid="{00000000-0005-0000-0000-00005DA20000}"/>
    <cellStyle name="Normal 3 31 16" xfId="41712" xr:uid="{00000000-0005-0000-0000-00005EA20000}"/>
    <cellStyle name="Normal 3 31 16 2" xfId="41713" xr:uid="{00000000-0005-0000-0000-00005FA20000}"/>
    <cellStyle name="Normal 3 31 16 2 2" xfId="41714" xr:uid="{00000000-0005-0000-0000-000060A20000}"/>
    <cellStyle name="Normal 3 31 16 2 2 2" xfId="41715" xr:uid="{00000000-0005-0000-0000-000061A20000}"/>
    <cellStyle name="Normal 3 31 16 2 2 3" xfId="41716" xr:uid="{00000000-0005-0000-0000-000062A20000}"/>
    <cellStyle name="Normal 3 31 16 2 3" xfId="41717" xr:uid="{00000000-0005-0000-0000-000063A20000}"/>
    <cellStyle name="Normal 3 31 16 2 4" xfId="41718" xr:uid="{00000000-0005-0000-0000-000064A20000}"/>
    <cellStyle name="Normal 3 31 16 3" xfId="41719" xr:uid="{00000000-0005-0000-0000-000065A20000}"/>
    <cellStyle name="Normal 3 31 16 3 2" xfId="41720" xr:uid="{00000000-0005-0000-0000-000066A20000}"/>
    <cellStyle name="Normal 3 31 16 3 3" xfId="41721" xr:uid="{00000000-0005-0000-0000-000067A20000}"/>
    <cellStyle name="Normal 3 31 16 4" xfId="41722" xr:uid="{00000000-0005-0000-0000-000068A20000}"/>
    <cellStyle name="Normal 3 31 17" xfId="41723" xr:uid="{00000000-0005-0000-0000-000069A20000}"/>
    <cellStyle name="Normal 3 31 17 2" xfId="41724" xr:uid="{00000000-0005-0000-0000-00006AA20000}"/>
    <cellStyle name="Normal 3 31 17 2 2" xfId="41725" xr:uid="{00000000-0005-0000-0000-00006BA20000}"/>
    <cellStyle name="Normal 3 31 17 2 2 2" xfId="41726" xr:uid="{00000000-0005-0000-0000-00006CA20000}"/>
    <cellStyle name="Normal 3 31 17 2 2 3" xfId="41727" xr:uid="{00000000-0005-0000-0000-00006DA20000}"/>
    <cellStyle name="Normal 3 31 17 2 3" xfId="41728" xr:uid="{00000000-0005-0000-0000-00006EA20000}"/>
    <cellStyle name="Normal 3 31 17 2 4" xfId="41729" xr:uid="{00000000-0005-0000-0000-00006FA20000}"/>
    <cellStyle name="Normal 3 31 17 3" xfId="41730" xr:uid="{00000000-0005-0000-0000-000070A20000}"/>
    <cellStyle name="Normal 3 31 17 3 2" xfId="41731" xr:uid="{00000000-0005-0000-0000-000071A20000}"/>
    <cellStyle name="Normal 3 31 17 3 3" xfId="41732" xr:uid="{00000000-0005-0000-0000-000072A20000}"/>
    <cellStyle name="Normal 3 31 17 4" xfId="41733" xr:uid="{00000000-0005-0000-0000-000073A20000}"/>
    <cellStyle name="Normal 3 31 18" xfId="41734" xr:uid="{00000000-0005-0000-0000-000074A20000}"/>
    <cellStyle name="Normal 3 31 18 2" xfId="41735" xr:uid="{00000000-0005-0000-0000-000075A20000}"/>
    <cellStyle name="Normal 3 31 18 2 2" xfId="41736" xr:uid="{00000000-0005-0000-0000-000076A20000}"/>
    <cellStyle name="Normal 3 31 18 2 2 2" xfId="41737" xr:uid="{00000000-0005-0000-0000-000077A20000}"/>
    <cellStyle name="Normal 3 31 18 2 2 3" xfId="41738" xr:uid="{00000000-0005-0000-0000-000078A20000}"/>
    <cellStyle name="Normal 3 31 18 2 3" xfId="41739" xr:uid="{00000000-0005-0000-0000-000079A20000}"/>
    <cellStyle name="Normal 3 31 18 2 4" xfId="41740" xr:uid="{00000000-0005-0000-0000-00007AA20000}"/>
    <cellStyle name="Normal 3 31 18 3" xfId="41741" xr:uid="{00000000-0005-0000-0000-00007BA20000}"/>
    <cellStyle name="Normal 3 31 18 3 2" xfId="41742" xr:uid="{00000000-0005-0000-0000-00007CA20000}"/>
    <cellStyle name="Normal 3 31 18 3 3" xfId="41743" xr:uid="{00000000-0005-0000-0000-00007DA20000}"/>
    <cellStyle name="Normal 3 31 18 4" xfId="41744" xr:uid="{00000000-0005-0000-0000-00007EA20000}"/>
    <cellStyle name="Normal 3 31 19" xfId="41745" xr:uid="{00000000-0005-0000-0000-00007FA20000}"/>
    <cellStyle name="Normal 3 31 19 2" xfId="41746" xr:uid="{00000000-0005-0000-0000-000080A20000}"/>
    <cellStyle name="Normal 3 31 19 2 2" xfId="41747" xr:uid="{00000000-0005-0000-0000-000081A20000}"/>
    <cellStyle name="Normal 3 31 19 2 2 2" xfId="41748" xr:uid="{00000000-0005-0000-0000-000082A20000}"/>
    <cellStyle name="Normal 3 31 19 2 2 3" xfId="41749" xr:uid="{00000000-0005-0000-0000-000083A20000}"/>
    <cellStyle name="Normal 3 31 19 2 3" xfId="41750" xr:uid="{00000000-0005-0000-0000-000084A20000}"/>
    <cellStyle name="Normal 3 31 19 2 4" xfId="41751" xr:uid="{00000000-0005-0000-0000-000085A20000}"/>
    <cellStyle name="Normal 3 31 19 3" xfId="41752" xr:uid="{00000000-0005-0000-0000-000086A20000}"/>
    <cellStyle name="Normal 3 31 19 3 2" xfId="41753" xr:uid="{00000000-0005-0000-0000-000087A20000}"/>
    <cellStyle name="Normal 3 31 19 3 3" xfId="41754" xr:uid="{00000000-0005-0000-0000-000088A20000}"/>
    <cellStyle name="Normal 3 31 19 4" xfId="41755" xr:uid="{00000000-0005-0000-0000-000089A20000}"/>
    <cellStyle name="Normal 3 31 2" xfId="41756" xr:uid="{00000000-0005-0000-0000-00008AA20000}"/>
    <cellStyle name="Normal 3 31 2 2" xfId="41757" xr:uid="{00000000-0005-0000-0000-00008BA20000}"/>
    <cellStyle name="Normal 3 31 2 2 2" xfId="41758" xr:uid="{00000000-0005-0000-0000-00008CA20000}"/>
    <cellStyle name="Normal 3 31 2 2 2 2" xfId="41759" xr:uid="{00000000-0005-0000-0000-00008DA20000}"/>
    <cellStyle name="Normal 3 31 2 2 2 3" xfId="41760" xr:uid="{00000000-0005-0000-0000-00008EA20000}"/>
    <cellStyle name="Normal 3 31 2 2 3" xfId="41761" xr:uid="{00000000-0005-0000-0000-00008FA20000}"/>
    <cellStyle name="Normal 3 31 2 2 4" xfId="41762" xr:uid="{00000000-0005-0000-0000-000090A20000}"/>
    <cellStyle name="Normal 3 31 2 3" xfId="41763" xr:uid="{00000000-0005-0000-0000-000091A20000}"/>
    <cellStyle name="Normal 3 31 2 3 2" xfId="41764" xr:uid="{00000000-0005-0000-0000-000092A20000}"/>
    <cellStyle name="Normal 3 31 2 3 3" xfId="41765" xr:uid="{00000000-0005-0000-0000-000093A20000}"/>
    <cellStyle name="Normal 3 31 2 4" xfId="41766" xr:uid="{00000000-0005-0000-0000-000094A20000}"/>
    <cellStyle name="Normal 3 31 20" xfId="41767" xr:uid="{00000000-0005-0000-0000-000095A20000}"/>
    <cellStyle name="Normal 3 31 20 2" xfId="41768" xr:uid="{00000000-0005-0000-0000-000096A20000}"/>
    <cellStyle name="Normal 3 31 20 2 2" xfId="41769" xr:uid="{00000000-0005-0000-0000-000097A20000}"/>
    <cellStyle name="Normal 3 31 20 2 2 2" xfId="41770" xr:uid="{00000000-0005-0000-0000-000098A20000}"/>
    <cellStyle name="Normal 3 31 20 2 2 3" xfId="41771" xr:uid="{00000000-0005-0000-0000-000099A20000}"/>
    <cellStyle name="Normal 3 31 20 2 3" xfId="41772" xr:uid="{00000000-0005-0000-0000-00009AA20000}"/>
    <cellStyle name="Normal 3 31 20 2 4" xfId="41773" xr:uid="{00000000-0005-0000-0000-00009BA20000}"/>
    <cellStyle name="Normal 3 31 20 3" xfId="41774" xr:uid="{00000000-0005-0000-0000-00009CA20000}"/>
    <cellStyle name="Normal 3 31 20 3 2" xfId="41775" xr:uid="{00000000-0005-0000-0000-00009DA20000}"/>
    <cellStyle name="Normal 3 31 20 3 3" xfId="41776" xr:uid="{00000000-0005-0000-0000-00009EA20000}"/>
    <cellStyle name="Normal 3 31 20 4" xfId="41777" xr:uid="{00000000-0005-0000-0000-00009FA20000}"/>
    <cellStyle name="Normal 3 31 21" xfId="41778" xr:uid="{00000000-0005-0000-0000-0000A0A20000}"/>
    <cellStyle name="Normal 3 31 21 2" xfId="41779" xr:uid="{00000000-0005-0000-0000-0000A1A20000}"/>
    <cellStyle name="Normal 3 31 21 2 2" xfId="41780" xr:uid="{00000000-0005-0000-0000-0000A2A20000}"/>
    <cellStyle name="Normal 3 31 21 2 2 2" xfId="41781" xr:uid="{00000000-0005-0000-0000-0000A3A20000}"/>
    <cellStyle name="Normal 3 31 21 2 2 3" xfId="41782" xr:uid="{00000000-0005-0000-0000-0000A4A20000}"/>
    <cellStyle name="Normal 3 31 21 2 3" xfId="41783" xr:uid="{00000000-0005-0000-0000-0000A5A20000}"/>
    <cellStyle name="Normal 3 31 21 2 4" xfId="41784" xr:uid="{00000000-0005-0000-0000-0000A6A20000}"/>
    <cellStyle name="Normal 3 31 21 3" xfId="41785" xr:uid="{00000000-0005-0000-0000-0000A7A20000}"/>
    <cellStyle name="Normal 3 31 21 3 2" xfId="41786" xr:uid="{00000000-0005-0000-0000-0000A8A20000}"/>
    <cellStyle name="Normal 3 31 21 3 3" xfId="41787" xr:uid="{00000000-0005-0000-0000-0000A9A20000}"/>
    <cellStyle name="Normal 3 31 21 4" xfId="41788" xr:uid="{00000000-0005-0000-0000-0000AAA20000}"/>
    <cellStyle name="Normal 3 31 22" xfId="41789" xr:uid="{00000000-0005-0000-0000-0000ABA20000}"/>
    <cellStyle name="Normal 3 31 22 2" xfId="41790" xr:uid="{00000000-0005-0000-0000-0000ACA20000}"/>
    <cellStyle name="Normal 3 31 22 2 2" xfId="41791" xr:uid="{00000000-0005-0000-0000-0000ADA20000}"/>
    <cellStyle name="Normal 3 31 22 2 2 2" xfId="41792" xr:uid="{00000000-0005-0000-0000-0000AEA20000}"/>
    <cellStyle name="Normal 3 31 22 2 2 3" xfId="41793" xr:uid="{00000000-0005-0000-0000-0000AFA20000}"/>
    <cellStyle name="Normal 3 31 22 2 3" xfId="41794" xr:uid="{00000000-0005-0000-0000-0000B0A20000}"/>
    <cellStyle name="Normal 3 31 22 2 4" xfId="41795" xr:uid="{00000000-0005-0000-0000-0000B1A20000}"/>
    <cellStyle name="Normal 3 31 22 3" xfId="41796" xr:uid="{00000000-0005-0000-0000-0000B2A20000}"/>
    <cellStyle name="Normal 3 31 22 3 2" xfId="41797" xr:uid="{00000000-0005-0000-0000-0000B3A20000}"/>
    <cellStyle name="Normal 3 31 22 3 3" xfId="41798" xr:uid="{00000000-0005-0000-0000-0000B4A20000}"/>
    <cellStyle name="Normal 3 31 22 4" xfId="41799" xr:uid="{00000000-0005-0000-0000-0000B5A20000}"/>
    <cellStyle name="Normal 3 31 23" xfId="41800" xr:uid="{00000000-0005-0000-0000-0000B6A20000}"/>
    <cellStyle name="Normal 3 31 23 2" xfId="41801" xr:uid="{00000000-0005-0000-0000-0000B7A20000}"/>
    <cellStyle name="Normal 3 31 23 2 2" xfId="41802" xr:uid="{00000000-0005-0000-0000-0000B8A20000}"/>
    <cellStyle name="Normal 3 31 23 2 2 2" xfId="41803" xr:uid="{00000000-0005-0000-0000-0000B9A20000}"/>
    <cellStyle name="Normal 3 31 23 2 2 3" xfId="41804" xr:uid="{00000000-0005-0000-0000-0000BAA20000}"/>
    <cellStyle name="Normal 3 31 23 2 3" xfId="41805" xr:uid="{00000000-0005-0000-0000-0000BBA20000}"/>
    <cellStyle name="Normal 3 31 23 2 4" xfId="41806" xr:uid="{00000000-0005-0000-0000-0000BCA20000}"/>
    <cellStyle name="Normal 3 31 23 3" xfId="41807" xr:uid="{00000000-0005-0000-0000-0000BDA20000}"/>
    <cellStyle name="Normal 3 31 23 3 2" xfId="41808" xr:uid="{00000000-0005-0000-0000-0000BEA20000}"/>
    <cellStyle name="Normal 3 31 23 3 3" xfId="41809" xr:uid="{00000000-0005-0000-0000-0000BFA20000}"/>
    <cellStyle name="Normal 3 31 23 4" xfId="41810" xr:uid="{00000000-0005-0000-0000-0000C0A20000}"/>
    <cellStyle name="Normal 3 31 24" xfId="41811" xr:uid="{00000000-0005-0000-0000-0000C1A20000}"/>
    <cellStyle name="Normal 3 31 24 2" xfId="41812" xr:uid="{00000000-0005-0000-0000-0000C2A20000}"/>
    <cellStyle name="Normal 3 31 24 2 2" xfId="41813" xr:uid="{00000000-0005-0000-0000-0000C3A20000}"/>
    <cellStyle name="Normal 3 31 24 2 3" xfId="41814" xr:uid="{00000000-0005-0000-0000-0000C4A20000}"/>
    <cellStyle name="Normal 3 31 24 3" xfId="41815" xr:uid="{00000000-0005-0000-0000-0000C5A20000}"/>
    <cellStyle name="Normal 3 31 24 4" xfId="41816" xr:uid="{00000000-0005-0000-0000-0000C6A20000}"/>
    <cellStyle name="Normal 3 31 25" xfId="41817" xr:uid="{00000000-0005-0000-0000-0000C7A20000}"/>
    <cellStyle name="Normal 3 31 25 2" xfId="41818" xr:uid="{00000000-0005-0000-0000-0000C8A20000}"/>
    <cellStyle name="Normal 3 31 25 3" xfId="41819" xr:uid="{00000000-0005-0000-0000-0000C9A20000}"/>
    <cellStyle name="Normal 3 31 26" xfId="41820" xr:uid="{00000000-0005-0000-0000-0000CAA20000}"/>
    <cellStyle name="Normal 3 31 3" xfId="41821" xr:uid="{00000000-0005-0000-0000-0000CBA20000}"/>
    <cellStyle name="Normal 3 31 3 2" xfId="41822" xr:uid="{00000000-0005-0000-0000-0000CCA20000}"/>
    <cellStyle name="Normal 3 31 3 2 2" xfId="41823" xr:uid="{00000000-0005-0000-0000-0000CDA20000}"/>
    <cellStyle name="Normal 3 31 3 2 2 2" xfId="41824" xr:uid="{00000000-0005-0000-0000-0000CEA20000}"/>
    <cellStyle name="Normal 3 31 3 2 2 3" xfId="41825" xr:uid="{00000000-0005-0000-0000-0000CFA20000}"/>
    <cellStyle name="Normal 3 31 3 2 3" xfId="41826" xr:uid="{00000000-0005-0000-0000-0000D0A20000}"/>
    <cellStyle name="Normal 3 31 3 2 4" xfId="41827" xr:uid="{00000000-0005-0000-0000-0000D1A20000}"/>
    <cellStyle name="Normal 3 31 3 3" xfId="41828" xr:uid="{00000000-0005-0000-0000-0000D2A20000}"/>
    <cellStyle name="Normal 3 31 3 3 2" xfId="41829" xr:uid="{00000000-0005-0000-0000-0000D3A20000}"/>
    <cellStyle name="Normal 3 31 3 3 3" xfId="41830" xr:uid="{00000000-0005-0000-0000-0000D4A20000}"/>
    <cellStyle name="Normal 3 31 3 4" xfId="41831" xr:uid="{00000000-0005-0000-0000-0000D5A20000}"/>
    <cellStyle name="Normal 3 31 4" xfId="41832" xr:uid="{00000000-0005-0000-0000-0000D6A20000}"/>
    <cellStyle name="Normal 3 31 4 2" xfId="41833" xr:uid="{00000000-0005-0000-0000-0000D7A20000}"/>
    <cellStyle name="Normal 3 31 4 2 2" xfId="41834" xr:uid="{00000000-0005-0000-0000-0000D8A20000}"/>
    <cellStyle name="Normal 3 31 4 2 2 2" xfId="41835" xr:uid="{00000000-0005-0000-0000-0000D9A20000}"/>
    <cellStyle name="Normal 3 31 4 2 2 3" xfId="41836" xr:uid="{00000000-0005-0000-0000-0000DAA20000}"/>
    <cellStyle name="Normal 3 31 4 2 3" xfId="41837" xr:uid="{00000000-0005-0000-0000-0000DBA20000}"/>
    <cellStyle name="Normal 3 31 4 2 4" xfId="41838" xr:uid="{00000000-0005-0000-0000-0000DCA20000}"/>
    <cellStyle name="Normal 3 31 4 3" xfId="41839" xr:uid="{00000000-0005-0000-0000-0000DDA20000}"/>
    <cellStyle name="Normal 3 31 4 3 2" xfId="41840" xr:uid="{00000000-0005-0000-0000-0000DEA20000}"/>
    <cellStyle name="Normal 3 31 4 3 3" xfId="41841" xr:uid="{00000000-0005-0000-0000-0000DFA20000}"/>
    <cellStyle name="Normal 3 31 4 4" xfId="41842" xr:uid="{00000000-0005-0000-0000-0000E0A20000}"/>
    <cellStyle name="Normal 3 31 5" xfId="41843" xr:uid="{00000000-0005-0000-0000-0000E1A20000}"/>
    <cellStyle name="Normal 3 31 5 2" xfId="41844" xr:uid="{00000000-0005-0000-0000-0000E2A20000}"/>
    <cellStyle name="Normal 3 31 5 2 2" xfId="41845" xr:uid="{00000000-0005-0000-0000-0000E3A20000}"/>
    <cellStyle name="Normal 3 31 5 2 2 2" xfId="41846" xr:uid="{00000000-0005-0000-0000-0000E4A20000}"/>
    <cellStyle name="Normal 3 31 5 2 2 3" xfId="41847" xr:uid="{00000000-0005-0000-0000-0000E5A20000}"/>
    <cellStyle name="Normal 3 31 5 2 3" xfId="41848" xr:uid="{00000000-0005-0000-0000-0000E6A20000}"/>
    <cellStyle name="Normal 3 31 5 2 4" xfId="41849" xr:uid="{00000000-0005-0000-0000-0000E7A20000}"/>
    <cellStyle name="Normal 3 31 5 3" xfId="41850" xr:uid="{00000000-0005-0000-0000-0000E8A20000}"/>
    <cellStyle name="Normal 3 31 5 3 2" xfId="41851" xr:uid="{00000000-0005-0000-0000-0000E9A20000}"/>
    <cellStyle name="Normal 3 31 5 3 3" xfId="41852" xr:uid="{00000000-0005-0000-0000-0000EAA20000}"/>
    <cellStyle name="Normal 3 31 5 4" xfId="41853" xr:uid="{00000000-0005-0000-0000-0000EBA20000}"/>
    <cellStyle name="Normal 3 31 6" xfId="41854" xr:uid="{00000000-0005-0000-0000-0000ECA20000}"/>
    <cellStyle name="Normal 3 31 6 2" xfId="41855" xr:uid="{00000000-0005-0000-0000-0000EDA20000}"/>
    <cellStyle name="Normal 3 31 6 2 2" xfId="41856" xr:uid="{00000000-0005-0000-0000-0000EEA20000}"/>
    <cellStyle name="Normal 3 31 6 2 2 2" xfId="41857" xr:uid="{00000000-0005-0000-0000-0000EFA20000}"/>
    <cellStyle name="Normal 3 31 6 2 2 3" xfId="41858" xr:uid="{00000000-0005-0000-0000-0000F0A20000}"/>
    <cellStyle name="Normal 3 31 6 2 3" xfId="41859" xr:uid="{00000000-0005-0000-0000-0000F1A20000}"/>
    <cellStyle name="Normal 3 31 6 2 4" xfId="41860" xr:uid="{00000000-0005-0000-0000-0000F2A20000}"/>
    <cellStyle name="Normal 3 31 6 3" xfId="41861" xr:uid="{00000000-0005-0000-0000-0000F3A20000}"/>
    <cellStyle name="Normal 3 31 6 3 2" xfId="41862" xr:uid="{00000000-0005-0000-0000-0000F4A20000}"/>
    <cellStyle name="Normal 3 31 6 3 3" xfId="41863" xr:uid="{00000000-0005-0000-0000-0000F5A20000}"/>
    <cellStyle name="Normal 3 31 6 4" xfId="41864" xr:uid="{00000000-0005-0000-0000-0000F6A20000}"/>
    <cellStyle name="Normal 3 31 7" xfId="41865" xr:uid="{00000000-0005-0000-0000-0000F7A20000}"/>
    <cellStyle name="Normal 3 31 7 2" xfId="41866" xr:uid="{00000000-0005-0000-0000-0000F8A20000}"/>
    <cellStyle name="Normal 3 31 7 2 2" xfId="41867" xr:uid="{00000000-0005-0000-0000-0000F9A20000}"/>
    <cellStyle name="Normal 3 31 7 2 2 2" xfId="41868" xr:uid="{00000000-0005-0000-0000-0000FAA20000}"/>
    <cellStyle name="Normal 3 31 7 2 2 3" xfId="41869" xr:uid="{00000000-0005-0000-0000-0000FBA20000}"/>
    <cellStyle name="Normal 3 31 7 2 3" xfId="41870" xr:uid="{00000000-0005-0000-0000-0000FCA20000}"/>
    <cellStyle name="Normal 3 31 7 2 4" xfId="41871" xr:uid="{00000000-0005-0000-0000-0000FDA20000}"/>
    <cellStyle name="Normal 3 31 7 3" xfId="41872" xr:uid="{00000000-0005-0000-0000-0000FEA20000}"/>
    <cellStyle name="Normal 3 31 7 3 2" xfId="41873" xr:uid="{00000000-0005-0000-0000-0000FFA20000}"/>
    <cellStyle name="Normal 3 31 7 3 3" xfId="41874" xr:uid="{00000000-0005-0000-0000-000000A30000}"/>
    <cellStyle name="Normal 3 31 7 4" xfId="41875" xr:uid="{00000000-0005-0000-0000-000001A30000}"/>
    <cellStyle name="Normal 3 31 8" xfId="41876" xr:uid="{00000000-0005-0000-0000-000002A30000}"/>
    <cellStyle name="Normal 3 31 8 2" xfId="41877" xr:uid="{00000000-0005-0000-0000-000003A30000}"/>
    <cellStyle name="Normal 3 31 8 2 2" xfId="41878" xr:uid="{00000000-0005-0000-0000-000004A30000}"/>
    <cellStyle name="Normal 3 31 8 2 2 2" xfId="41879" xr:uid="{00000000-0005-0000-0000-000005A30000}"/>
    <cellStyle name="Normal 3 31 8 2 2 3" xfId="41880" xr:uid="{00000000-0005-0000-0000-000006A30000}"/>
    <cellStyle name="Normal 3 31 8 2 3" xfId="41881" xr:uid="{00000000-0005-0000-0000-000007A30000}"/>
    <cellStyle name="Normal 3 31 8 2 4" xfId="41882" xr:uid="{00000000-0005-0000-0000-000008A30000}"/>
    <cellStyle name="Normal 3 31 8 3" xfId="41883" xr:uid="{00000000-0005-0000-0000-000009A30000}"/>
    <cellStyle name="Normal 3 31 8 3 2" xfId="41884" xr:uid="{00000000-0005-0000-0000-00000AA30000}"/>
    <cellStyle name="Normal 3 31 8 3 3" xfId="41885" xr:uid="{00000000-0005-0000-0000-00000BA30000}"/>
    <cellStyle name="Normal 3 31 8 4" xfId="41886" xr:uid="{00000000-0005-0000-0000-00000CA30000}"/>
    <cellStyle name="Normal 3 31 9" xfId="41887" xr:uid="{00000000-0005-0000-0000-00000DA30000}"/>
    <cellStyle name="Normal 3 31 9 2" xfId="41888" xr:uid="{00000000-0005-0000-0000-00000EA30000}"/>
    <cellStyle name="Normal 3 31 9 2 2" xfId="41889" xr:uid="{00000000-0005-0000-0000-00000FA30000}"/>
    <cellStyle name="Normal 3 31 9 2 2 2" xfId="41890" xr:uid="{00000000-0005-0000-0000-000010A30000}"/>
    <cellStyle name="Normal 3 31 9 2 2 3" xfId="41891" xr:uid="{00000000-0005-0000-0000-000011A30000}"/>
    <cellStyle name="Normal 3 31 9 2 3" xfId="41892" xr:uid="{00000000-0005-0000-0000-000012A30000}"/>
    <cellStyle name="Normal 3 31 9 2 4" xfId="41893" xr:uid="{00000000-0005-0000-0000-000013A30000}"/>
    <cellStyle name="Normal 3 31 9 3" xfId="41894" xr:uid="{00000000-0005-0000-0000-000014A30000}"/>
    <cellStyle name="Normal 3 31 9 3 2" xfId="41895" xr:uid="{00000000-0005-0000-0000-000015A30000}"/>
    <cellStyle name="Normal 3 31 9 3 3" xfId="41896" xr:uid="{00000000-0005-0000-0000-000016A30000}"/>
    <cellStyle name="Normal 3 31 9 4" xfId="41897" xr:uid="{00000000-0005-0000-0000-000017A30000}"/>
    <cellStyle name="Normal 3 32" xfId="41898" xr:uid="{00000000-0005-0000-0000-000018A30000}"/>
    <cellStyle name="Normal 3 32 10" xfId="41899" xr:uid="{00000000-0005-0000-0000-000019A30000}"/>
    <cellStyle name="Normal 3 32 10 2" xfId="41900" xr:uid="{00000000-0005-0000-0000-00001AA30000}"/>
    <cellStyle name="Normal 3 32 10 2 2" xfId="41901" xr:uid="{00000000-0005-0000-0000-00001BA30000}"/>
    <cellStyle name="Normal 3 32 10 2 2 2" xfId="41902" xr:uid="{00000000-0005-0000-0000-00001CA30000}"/>
    <cellStyle name="Normal 3 32 10 2 2 3" xfId="41903" xr:uid="{00000000-0005-0000-0000-00001DA30000}"/>
    <cellStyle name="Normal 3 32 10 2 3" xfId="41904" xr:uid="{00000000-0005-0000-0000-00001EA30000}"/>
    <cellStyle name="Normal 3 32 10 2 4" xfId="41905" xr:uid="{00000000-0005-0000-0000-00001FA30000}"/>
    <cellStyle name="Normal 3 32 10 3" xfId="41906" xr:uid="{00000000-0005-0000-0000-000020A30000}"/>
    <cellStyle name="Normal 3 32 10 3 2" xfId="41907" xr:uid="{00000000-0005-0000-0000-000021A30000}"/>
    <cellStyle name="Normal 3 32 10 3 3" xfId="41908" xr:uid="{00000000-0005-0000-0000-000022A30000}"/>
    <cellStyle name="Normal 3 32 10 4" xfId="41909" xr:uid="{00000000-0005-0000-0000-000023A30000}"/>
    <cellStyle name="Normal 3 32 11" xfId="41910" xr:uid="{00000000-0005-0000-0000-000024A30000}"/>
    <cellStyle name="Normal 3 32 11 2" xfId="41911" xr:uid="{00000000-0005-0000-0000-000025A30000}"/>
    <cellStyle name="Normal 3 32 11 2 2" xfId="41912" xr:uid="{00000000-0005-0000-0000-000026A30000}"/>
    <cellStyle name="Normal 3 32 11 2 2 2" xfId="41913" xr:uid="{00000000-0005-0000-0000-000027A30000}"/>
    <cellStyle name="Normal 3 32 11 2 2 3" xfId="41914" xr:uid="{00000000-0005-0000-0000-000028A30000}"/>
    <cellStyle name="Normal 3 32 11 2 3" xfId="41915" xr:uid="{00000000-0005-0000-0000-000029A30000}"/>
    <cellStyle name="Normal 3 32 11 2 4" xfId="41916" xr:uid="{00000000-0005-0000-0000-00002AA30000}"/>
    <cellStyle name="Normal 3 32 11 3" xfId="41917" xr:uid="{00000000-0005-0000-0000-00002BA30000}"/>
    <cellStyle name="Normal 3 32 11 3 2" xfId="41918" xr:uid="{00000000-0005-0000-0000-00002CA30000}"/>
    <cellStyle name="Normal 3 32 11 3 3" xfId="41919" xr:uid="{00000000-0005-0000-0000-00002DA30000}"/>
    <cellStyle name="Normal 3 32 11 4" xfId="41920" xr:uid="{00000000-0005-0000-0000-00002EA30000}"/>
    <cellStyle name="Normal 3 32 12" xfId="41921" xr:uid="{00000000-0005-0000-0000-00002FA30000}"/>
    <cellStyle name="Normal 3 32 12 2" xfId="41922" xr:uid="{00000000-0005-0000-0000-000030A30000}"/>
    <cellStyle name="Normal 3 32 12 2 2" xfId="41923" xr:uid="{00000000-0005-0000-0000-000031A30000}"/>
    <cellStyle name="Normal 3 32 12 2 2 2" xfId="41924" xr:uid="{00000000-0005-0000-0000-000032A30000}"/>
    <cellStyle name="Normal 3 32 12 2 2 3" xfId="41925" xr:uid="{00000000-0005-0000-0000-000033A30000}"/>
    <cellStyle name="Normal 3 32 12 2 3" xfId="41926" xr:uid="{00000000-0005-0000-0000-000034A30000}"/>
    <cellStyle name="Normal 3 32 12 2 4" xfId="41927" xr:uid="{00000000-0005-0000-0000-000035A30000}"/>
    <cellStyle name="Normal 3 32 12 3" xfId="41928" xr:uid="{00000000-0005-0000-0000-000036A30000}"/>
    <cellStyle name="Normal 3 32 12 3 2" xfId="41929" xr:uid="{00000000-0005-0000-0000-000037A30000}"/>
    <cellStyle name="Normal 3 32 12 3 3" xfId="41930" xr:uid="{00000000-0005-0000-0000-000038A30000}"/>
    <cellStyle name="Normal 3 32 12 4" xfId="41931" xr:uid="{00000000-0005-0000-0000-000039A30000}"/>
    <cellStyle name="Normal 3 32 13" xfId="41932" xr:uid="{00000000-0005-0000-0000-00003AA30000}"/>
    <cellStyle name="Normal 3 32 13 2" xfId="41933" xr:uid="{00000000-0005-0000-0000-00003BA30000}"/>
    <cellStyle name="Normal 3 32 13 2 2" xfId="41934" xr:uid="{00000000-0005-0000-0000-00003CA30000}"/>
    <cellStyle name="Normal 3 32 13 2 2 2" xfId="41935" xr:uid="{00000000-0005-0000-0000-00003DA30000}"/>
    <cellStyle name="Normal 3 32 13 2 2 3" xfId="41936" xr:uid="{00000000-0005-0000-0000-00003EA30000}"/>
    <cellStyle name="Normal 3 32 13 2 3" xfId="41937" xr:uid="{00000000-0005-0000-0000-00003FA30000}"/>
    <cellStyle name="Normal 3 32 13 2 4" xfId="41938" xr:uid="{00000000-0005-0000-0000-000040A30000}"/>
    <cellStyle name="Normal 3 32 13 3" xfId="41939" xr:uid="{00000000-0005-0000-0000-000041A30000}"/>
    <cellStyle name="Normal 3 32 13 3 2" xfId="41940" xr:uid="{00000000-0005-0000-0000-000042A30000}"/>
    <cellStyle name="Normal 3 32 13 3 3" xfId="41941" xr:uid="{00000000-0005-0000-0000-000043A30000}"/>
    <cellStyle name="Normal 3 32 13 4" xfId="41942" xr:uid="{00000000-0005-0000-0000-000044A30000}"/>
    <cellStyle name="Normal 3 32 14" xfId="41943" xr:uid="{00000000-0005-0000-0000-000045A30000}"/>
    <cellStyle name="Normal 3 32 14 2" xfId="41944" xr:uid="{00000000-0005-0000-0000-000046A30000}"/>
    <cellStyle name="Normal 3 32 14 2 2" xfId="41945" xr:uid="{00000000-0005-0000-0000-000047A30000}"/>
    <cellStyle name="Normal 3 32 14 2 2 2" xfId="41946" xr:uid="{00000000-0005-0000-0000-000048A30000}"/>
    <cellStyle name="Normal 3 32 14 2 2 3" xfId="41947" xr:uid="{00000000-0005-0000-0000-000049A30000}"/>
    <cellStyle name="Normal 3 32 14 2 3" xfId="41948" xr:uid="{00000000-0005-0000-0000-00004AA30000}"/>
    <cellStyle name="Normal 3 32 14 2 4" xfId="41949" xr:uid="{00000000-0005-0000-0000-00004BA30000}"/>
    <cellStyle name="Normal 3 32 14 3" xfId="41950" xr:uid="{00000000-0005-0000-0000-00004CA30000}"/>
    <cellStyle name="Normal 3 32 14 3 2" xfId="41951" xr:uid="{00000000-0005-0000-0000-00004DA30000}"/>
    <cellStyle name="Normal 3 32 14 3 3" xfId="41952" xr:uid="{00000000-0005-0000-0000-00004EA30000}"/>
    <cellStyle name="Normal 3 32 14 4" xfId="41953" xr:uid="{00000000-0005-0000-0000-00004FA30000}"/>
    <cellStyle name="Normal 3 32 15" xfId="41954" xr:uid="{00000000-0005-0000-0000-000050A30000}"/>
    <cellStyle name="Normal 3 32 15 2" xfId="41955" xr:uid="{00000000-0005-0000-0000-000051A30000}"/>
    <cellStyle name="Normal 3 32 15 2 2" xfId="41956" xr:uid="{00000000-0005-0000-0000-000052A30000}"/>
    <cellStyle name="Normal 3 32 15 2 2 2" xfId="41957" xr:uid="{00000000-0005-0000-0000-000053A30000}"/>
    <cellStyle name="Normal 3 32 15 2 2 3" xfId="41958" xr:uid="{00000000-0005-0000-0000-000054A30000}"/>
    <cellStyle name="Normal 3 32 15 2 3" xfId="41959" xr:uid="{00000000-0005-0000-0000-000055A30000}"/>
    <cellStyle name="Normal 3 32 15 2 4" xfId="41960" xr:uid="{00000000-0005-0000-0000-000056A30000}"/>
    <cellStyle name="Normal 3 32 15 3" xfId="41961" xr:uid="{00000000-0005-0000-0000-000057A30000}"/>
    <cellStyle name="Normal 3 32 15 3 2" xfId="41962" xr:uid="{00000000-0005-0000-0000-000058A30000}"/>
    <cellStyle name="Normal 3 32 15 3 3" xfId="41963" xr:uid="{00000000-0005-0000-0000-000059A30000}"/>
    <cellStyle name="Normal 3 32 15 4" xfId="41964" xr:uid="{00000000-0005-0000-0000-00005AA30000}"/>
    <cellStyle name="Normal 3 32 16" xfId="41965" xr:uid="{00000000-0005-0000-0000-00005BA30000}"/>
    <cellStyle name="Normal 3 32 16 2" xfId="41966" xr:uid="{00000000-0005-0000-0000-00005CA30000}"/>
    <cellStyle name="Normal 3 32 16 2 2" xfId="41967" xr:uid="{00000000-0005-0000-0000-00005DA30000}"/>
    <cellStyle name="Normal 3 32 16 2 2 2" xfId="41968" xr:uid="{00000000-0005-0000-0000-00005EA30000}"/>
    <cellStyle name="Normal 3 32 16 2 2 3" xfId="41969" xr:uid="{00000000-0005-0000-0000-00005FA30000}"/>
    <cellStyle name="Normal 3 32 16 2 3" xfId="41970" xr:uid="{00000000-0005-0000-0000-000060A30000}"/>
    <cellStyle name="Normal 3 32 16 2 4" xfId="41971" xr:uid="{00000000-0005-0000-0000-000061A30000}"/>
    <cellStyle name="Normal 3 32 16 3" xfId="41972" xr:uid="{00000000-0005-0000-0000-000062A30000}"/>
    <cellStyle name="Normal 3 32 16 3 2" xfId="41973" xr:uid="{00000000-0005-0000-0000-000063A30000}"/>
    <cellStyle name="Normal 3 32 16 3 3" xfId="41974" xr:uid="{00000000-0005-0000-0000-000064A30000}"/>
    <cellStyle name="Normal 3 32 16 4" xfId="41975" xr:uid="{00000000-0005-0000-0000-000065A30000}"/>
    <cellStyle name="Normal 3 32 17" xfId="41976" xr:uid="{00000000-0005-0000-0000-000066A30000}"/>
    <cellStyle name="Normal 3 32 17 2" xfId="41977" xr:uid="{00000000-0005-0000-0000-000067A30000}"/>
    <cellStyle name="Normal 3 32 17 2 2" xfId="41978" xr:uid="{00000000-0005-0000-0000-000068A30000}"/>
    <cellStyle name="Normal 3 32 17 2 2 2" xfId="41979" xr:uid="{00000000-0005-0000-0000-000069A30000}"/>
    <cellStyle name="Normal 3 32 17 2 2 3" xfId="41980" xr:uid="{00000000-0005-0000-0000-00006AA30000}"/>
    <cellStyle name="Normal 3 32 17 2 3" xfId="41981" xr:uid="{00000000-0005-0000-0000-00006BA30000}"/>
    <cellStyle name="Normal 3 32 17 2 4" xfId="41982" xr:uid="{00000000-0005-0000-0000-00006CA30000}"/>
    <cellStyle name="Normal 3 32 17 3" xfId="41983" xr:uid="{00000000-0005-0000-0000-00006DA30000}"/>
    <cellStyle name="Normal 3 32 17 3 2" xfId="41984" xr:uid="{00000000-0005-0000-0000-00006EA30000}"/>
    <cellStyle name="Normal 3 32 17 3 3" xfId="41985" xr:uid="{00000000-0005-0000-0000-00006FA30000}"/>
    <cellStyle name="Normal 3 32 17 4" xfId="41986" xr:uid="{00000000-0005-0000-0000-000070A30000}"/>
    <cellStyle name="Normal 3 32 18" xfId="41987" xr:uid="{00000000-0005-0000-0000-000071A30000}"/>
    <cellStyle name="Normal 3 32 18 2" xfId="41988" xr:uid="{00000000-0005-0000-0000-000072A30000}"/>
    <cellStyle name="Normal 3 32 18 2 2" xfId="41989" xr:uid="{00000000-0005-0000-0000-000073A30000}"/>
    <cellStyle name="Normal 3 32 18 2 2 2" xfId="41990" xr:uid="{00000000-0005-0000-0000-000074A30000}"/>
    <cellStyle name="Normal 3 32 18 2 2 3" xfId="41991" xr:uid="{00000000-0005-0000-0000-000075A30000}"/>
    <cellStyle name="Normal 3 32 18 2 3" xfId="41992" xr:uid="{00000000-0005-0000-0000-000076A30000}"/>
    <cellStyle name="Normal 3 32 18 2 4" xfId="41993" xr:uid="{00000000-0005-0000-0000-000077A30000}"/>
    <cellStyle name="Normal 3 32 18 3" xfId="41994" xr:uid="{00000000-0005-0000-0000-000078A30000}"/>
    <cellStyle name="Normal 3 32 18 3 2" xfId="41995" xr:uid="{00000000-0005-0000-0000-000079A30000}"/>
    <cellStyle name="Normal 3 32 18 3 3" xfId="41996" xr:uid="{00000000-0005-0000-0000-00007AA30000}"/>
    <cellStyle name="Normal 3 32 18 4" xfId="41997" xr:uid="{00000000-0005-0000-0000-00007BA30000}"/>
    <cellStyle name="Normal 3 32 19" xfId="41998" xr:uid="{00000000-0005-0000-0000-00007CA30000}"/>
    <cellStyle name="Normal 3 32 19 2" xfId="41999" xr:uid="{00000000-0005-0000-0000-00007DA30000}"/>
    <cellStyle name="Normal 3 32 19 2 2" xfId="42000" xr:uid="{00000000-0005-0000-0000-00007EA30000}"/>
    <cellStyle name="Normal 3 32 19 2 2 2" xfId="42001" xr:uid="{00000000-0005-0000-0000-00007FA30000}"/>
    <cellStyle name="Normal 3 32 19 2 2 3" xfId="42002" xr:uid="{00000000-0005-0000-0000-000080A30000}"/>
    <cellStyle name="Normal 3 32 19 2 3" xfId="42003" xr:uid="{00000000-0005-0000-0000-000081A30000}"/>
    <cellStyle name="Normal 3 32 19 2 4" xfId="42004" xr:uid="{00000000-0005-0000-0000-000082A30000}"/>
    <cellStyle name="Normal 3 32 19 3" xfId="42005" xr:uid="{00000000-0005-0000-0000-000083A30000}"/>
    <cellStyle name="Normal 3 32 19 3 2" xfId="42006" xr:uid="{00000000-0005-0000-0000-000084A30000}"/>
    <cellStyle name="Normal 3 32 19 3 3" xfId="42007" xr:uid="{00000000-0005-0000-0000-000085A30000}"/>
    <cellStyle name="Normal 3 32 19 4" xfId="42008" xr:uid="{00000000-0005-0000-0000-000086A30000}"/>
    <cellStyle name="Normal 3 32 2" xfId="42009" xr:uid="{00000000-0005-0000-0000-000087A30000}"/>
    <cellStyle name="Normal 3 32 2 2" xfId="42010" xr:uid="{00000000-0005-0000-0000-000088A30000}"/>
    <cellStyle name="Normal 3 32 2 2 2" xfId="42011" xr:uid="{00000000-0005-0000-0000-000089A30000}"/>
    <cellStyle name="Normal 3 32 2 2 2 2" xfId="42012" xr:uid="{00000000-0005-0000-0000-00008AA30000}"/>
    <cellStyle name="Normal 3 32 2 2 2 3" xfId="42013" xr:uid="{00000000-0005-0000-0000-00008BA30000}"/>
    <cellStyle name="Normal 3 32 2 2 3" xfId="42014" xr:uid="{00000000-0005-0000-0000-00008CA30000}"/>
    <cellStyle name="Normal 3 32 2 2 4" xfId="42015" xr:uid="{00000000-0005-0000-0000-00008DA30000}"/>
    <cellStyle name="Normal 3 32 2 3" xfId="42016" xr:uid="{00000000-0005-0000-0000-00008EA30000}"/>
    <cellStyle name="Normal 3 32 2 3 2" xfId="42017" xr:uid="{00000000-0005-0000-0000-00008FA30000}"/>
    <cellStyle name="Normal 3 32 2 3 3" xfId="42018" xr:uid="{00000000-0005-0000-0000-000090A30000}"/>
    <cellStyle name="Normal 3 32 2 4" xfId="42019" xr:uid="{00000000-0005-0000-0000-000091A30000}"/>
    <cellStyle name="Normal 3 32 20" xfId="42020" xr:uid="{00000000-0005-0000-0000-000092A30000}"/>
    <cellStyle name="Normal 3 32 20 2" xfId="42021" xr:uid="{00000000-0005-0000-0000-000093A30000}"/>
    <cellStyle name="Normal 3 32 20 2 2" xfId="42022" xr:uid="{00000000-0005-0000-0000-000094A30000}"/>
    <cellStyle name="Normal 3 32 20 2 2 2" xfId="42023" xr:uid="{00000000-0005-0000-0000-000095A30000}"/>
    <cellStyle name="Normal 3 32 20 2 2 3" xfId="42024" xr:uid="{00000000-0005-0000-0000-000096A30000}"/>
    <cellStyle name="Normal 3 32 20 2 3" xfId="42025" xr:uid="{00000000-0005-0000-0000-000097A30000}"/>
    <cellStyle name="Normal 3 32 20 2 4" xfId="42026" xr:uid="{00000000-0005-0000-0000-000098A30000}"/>
    <cellStyle name="Normal 3 32 20 3" xfId="42027" xr:uid="{00000000-0005-0000-0000-000099A30000}"/>
    <cellStyle name="Normal 3 32 20 3 2" xfId="42028" xr:uid="{00000000-0005-0000-0000-00009AA30000}"/>
    <cellStyle name="Normal 3 32 20 3 3" xfId="42029" xr:uid="{00000000-0005-0000-0000-00009BA30000}"/>
    <cellStyle name="Normal 3 32 20 4" xfId="42030" xr:uid="{00000000-0005-0000-0000-00009CA30000}"/>
    <cellStyle name="Normal 3 32 21" xfId="42031" xr:uid="{00000000-0005-0000-0000-00009DA30000}"/>
    <cellStyle name="Normal 3 32 21 2" xfId="42032" xr:uid="{00000000-0005-0000-0000-00009EA30000}"/>
    <cellStyle name="Normal 3 32 21 2 2" xfId="42033" xr:uid="{00000000-0005-0000-0000-00009FA30000}"/>
    <cellStyle name="Normal 3 32 21 2 2 2" xfId="42034" xr:uid="{00000000-0005-0000-0000-0000A0A30000}"/>
    <cellStyle name="Normal 3 32 21 2 2 3" xfId="42035" xr:uid="{00000000-0005-0000-0000-0000A1A30000}"/>
    <cellStyle name="Normal 3 32 21 2 3" xfId="42036" xr:uid="{00000000-0005-0000-0000-0000A2A30000}"/>
    <cellStyle name="Normal 3 32 21 2 4" xfId="42037" xr:uid="{00000000-0005-0000-0000-0000A3A30000}"/>
    <cellStyle name="Normal 3 32 21 3" xfId="42038" xr:uid="{00000000-0005-0000-0000-0000A4A30000}"/>
    <cellStyle name="Normal 3 32 21 3 2" xfId="42039" xr:uid="{00000000-0005-0000-0000-0000A5A30000}"/>
    <cellStyle name="Normal 3 32 21 3 3" xfId="42040" xr:uid="{00000000-0005-0000-0000-0000A6A30000}"/>
    <cellStyle name="Normal 3 32 21 4" xfId="42041" xr:uid="{00000000-0005-0000-0000-0000A7A30000}"/>
    <cellStyle name="Normal 3 32 22" xfId="42042" xr:uid="{00000000-0005-0000-0000-0000A8A30000}"/>
    <cellStyle name="Normal 3 32 22 2" xfId="42043" xr:uid="{00000000-0005-0000-0000-0000A9A30000}"/>
    <cellStyle name="Normal 3 32 22 2 2" xfId="42044" xr:uid="{00000000-0005-0000-0000-0000AAA30000}"/>
    <cellStyle name="Normal 3 32 22 2 2 2" xfId="42045" xr:uid="{00000000-0005-0000-0000-0000ABA30000}"/>
    <cellStyle name="Normal 3 32 22 2 2 3" xfId="42046" xr:uid="{00000000-0005-0000-0000-0000ACA30000}"/>
    <cellStyle name="Normal 3 32 22 2 3" xfId="42047" xr:uid="{00000000-0005-0000-0000-0000ADA30000}"/>
    <cellStyle name="Normal 3 32 22 2 4" xfId="42048" xr:uid="{00000000-0005-0000-0000-0000AEA30000}"/>
    <cellStyle name="Normal 3 32 22 3" xfId="42049" xr:uid="{00000000-0005-0000-0000-0000AFA30000}"/>
    <cellStyle name="Normal 3 32 22 3 2" xfId="42050" xr:uid="{00000000-0005-0000-0000-0000B0A30000}"/>
    <cellStyle name="Normal 3 32 22 3 3" xfId="42051" xr:uid="{00000000-0005-0000-0000-0000B1A30000}"/>
    <cellStyle name="Normal 3 32 22 4" xfId="42052" xr:uid="{00000000-0005-0000-0000-0000B2A30000}"/>
    <cellStyle name="Normal 3 32 23" xfId="42053" xr:uid="{00000000-0005-0000-0000-0000B3A30000}"/>
    <cellStyle name="Normal 3 32 23 2" xfId="42054" xr:uid="{00000000-0005-0000-0000-0000B4A30000}"/>
    <cellStyle name="Normal 3 32 23 2 2" xfId="42055" xr:uid="{00000000-0005-0000-0000-0000B5A30000}"/>
    <cellStyle name="Normal 3 32 23 2 2 2" xfId="42056" xr:uid="{00000000-0005-0000-0000-0000B6A30000}"/>
    <cellStyle name="Normal 3 32 23 2 2 3" xfId="42057" xr:uid="{00000000-0005-0000-0000-0000B7A30000}"/>
    <cellStyle name="Normal 3 32 23 2 3" xfId="42058" xr:uid="{00000000-0005-0000-0000-0000B8A30000}"/>
    <cellStyle name="Normal 3 32 23 2 4" xfId="42059" xr:uid="{00000000-0005-0000-0000-0000B9A30000}"/>
    <cellStyle name="Normal 3 32 23 3" xfId="42060" xr:uid="{00000000-0005-0000-0000-0000BAA30000}"/>
    <cellStyle name="Normal 3 32 23 3 2" xfId="42061" xr:uid="{00000000-0005-0000-0000-0000BBA30000}"/>
    <cellStyle name="Normal 3 32 23 3 3" xfId="42062" xr:uid="{00000000-0005-0000-0000-0000BCA30000}"/>
    <cellStyle name="Normal 3 32 23 4" xfId="42063" xr:uid="{00000000-0005-0000-0000-0000BDA30000}"/>
    <cellStyle name="Normal 3 32 24" xfId="42064" xr:uid="{00000000-0005-0000-0000-0000BEA30000}"/>
    <cellStyle name="Normal 3 32 24 2" xfId="42065" xr:uid="{00000000-0005-0000-0000-0000BFA30000}"/>
    <cellStyle name="Normal 3 32 24 2 2" xfId="42066" xr:uid="{00000000-0005-0000-0000-0000C0A30000}"/>
    <cellStyle name="Normal 3 32 24 2 3" xfId="42067" xr:uid="{00000000-0005-0000-0000-0000C1A30000}"/>
    <cellStyle name="Normal 3 32 24 3" xfId="42068" xr:uid="{00000000-0005-0000-0000-0000C2A30000}"/>
    <cellStyle name="Normal 3 32 24 4" xfId="42069" xr:uid="{00000000-0005-0000-0000-0000C3A30000}"/>
    <cellStyle name="Normal 3 32 25" xfId="42070" xr:uid="{00000000-0005-0000-0000-0000C4A30000}"/>
    <cellStyle name="Normal 3 32 25 2" xfId="42071" xr:uid="{00000000-0005-0000-0000-0000C5A30000}"/>
    <cellStyle name="Normal 3 32 25 3" xfId="42072" xr:uid="{00000000-0005-0000-0000-0000C6A30000}"/>
    <cellStyle name="Normal 3 32 26" xfId="42073" xr:uid="{00000000-0005-0000-0000-0000C7A30000}"/>
    <cellStyle name="Normal 3 32 3" xfId="42074" xr:uid="{00000000-0005-0000-0000-0000C8A30000}"/>
    <cellStyle name="Normal 3 32 3 2" xfId="42075" xr:uid="{00000000-0005-0000-0000-0000C9A30000}"/>
    <cellStyle name="Normal 3 32 3 2 2" xfId="42076" xr:uid="{00000000-0005-0000-0000-0000CAA30000}"/>
    <cellStyle name="Normal 3 32 3 2 2 2" xfId="42077" xr:uid="{00000000-0005-0000-0000-0000CBA30000}"/>
    <cellStyle name="Normal 3 32 3 2 2 3" xfId="42078" xr:uid="{00000000-0005-0000-0000-0000CCA30000}"/>
    <cellStyle name="Normal 3 32 3 2 3" xfId="42079" xr:uid="{00000000-0005-0000-0000-0000CDA30000}"/>
    <cellStyle name="Normal 3 32 3 2 4" xfId="42080" xr:uid="{00000000-0005-0000-0000-0000CEA30000}"/>
    <cellStyle name="Normal 3 32 3 3" xfId="42081" xr:uid="{00000000-0005-0000-0000-0000CFA30000}"/>
    <cellStyle name="Normal 3 32 3 3 2" xfId="42082" xr:uid="{00000000-0005-0000-0000-0000D0A30000}"/>
    <cellStyle name="Normal 3 32 3 3 3" xfId="42083" xr:uid="{00000000-0005-0000-0000-0000D1A30000}"/>
    <cellStyle name="Normal 3 32 3 4" xfId="42084" xr:uid="{00000000-0005-0000-0000-0000D2A30000}"/>
    <cellStyle name="Normal 3 32 4" xfId="42085" xr:uid="{00000000-0005-0000-0000-0000D3A30000}"/>
    <cellStyle name="Normal 3 32 4 2" xfId="42086" xr:uid="{00000000-0005-0000-0000-0000D4A30000}"/>
    <cellStyle name="Normal 3 32 4 2 2" xfId="42087" xr:uid="{00000000-0005-0000-0000-0000D5A30000}"/>
    <cellStyle name="Normal 3 32 4 2 2 2" xfId="42088" xr:uid="{00000000-0005-0000-0000-0000D6A30000}"/>
    <cellStyle name="Normal 3 32 4 2 2 3" xfId="42089" xr:uid="{00000000-0005-0000-0000-0000D7A30000}"/>
    <cellStyle name="Normal 3 32 4 2 3" xfId="42090" xr:uid="{00000000-0005-0000-0000-0000D8A30000}"/>
    <cellStyle name="Normal 3 32 4 2 4" xfId="42091" xr:uid="{00000000-0005-0000-0000-0000D9A30000}"/>
    <cellStyle name="Normal 3 32 4 3" xfId="42092" xr:uid="{00000000-0005-0000-0000-0000DAA30000}"/>
    <cellStyle name="Normal 3 32 4 3 2" xfId="42093" xr:uid="{00000000-0005-0000-0000-0000DBA30000}"/>
    <cellStyle name="Normal 3 32 4 3 3" xfId="42094" xr:uid="{00000000-0005-0000-0000-0000DCA30000}"/>
    <cellStyle name="Normal 3 32 4 4" xfId="42095" xr:uid="{00000000-0005-0000-0000-0000DDA30000}"/>
    <cellStyle name="Normal 3 32 5" xfId="42096" xr:uid="{00000000-0005-0000-0000-0000DEA30000}"/>
    <cellStyle name="Normal 3 32 5 2" xfId="42097" xr:uid="{00000000-0005-0000-0000-0000DFA30000}"/>
    <cellStyle name="Normal 3 32 5 2 2" xfId="42098" xr:uid="{00000000-0005-0000-0000-0000E0A30000}"/>
    <cellStyle name="Normal 3 32 5 2 2 2" xfId="42099" xr:uid="{00000000-0005-0000-0000-0000E1A30000}"/>
    <cellStyle name="Normal 3 32 5 2 2 3" xfId="42100" xr:uid="{00000000-0005-0000-0000-0000E2A30000}"/>
    <cellStyle name="Normal 3 32 5 2 3" xfId="42101" xr:uid="{00000000-0005-0000-0000-0000E3A30000}"/>
    <cellStyle name="Normal 3 32 5 2 4" xfId="42102" xr:uid="{00000000-0005-0000-0000-0000E4A30000}"/>
    <cellStyle name="Normal 3 32 5 3" xfId="42103" xr:uid="{00000000-0005-0000-0000-0000E5A30000}"/>
    <cellStyle name="Normal 3 32 5 3 2" xfId="42104" xr:uid="{00000000-0005-0000-0000-0000E6A30000}"/>
    <cellStyle name="Normal 3 32 5 3 3" xfId="42105" xr:uid="{00000000-0005-0000-0000-0000E7A30000}"/>
    <cellStyle name="Normal 3 32 5 4" xfId="42106" xr:uid="{00000000-0005-0000-0000-0000E8A30000}"/>
    <cellStyle name="Normal 3 32 6" xfId="42107" xr:uid="{00000000-0005-0000-0000-0000E9A30000}"/>
    <cellStyle name="Normal 3 32 6 2" xfId="42108" xr:uid="{00000000-0005-0000-0000-0000EAA30000}"/>
    <cellStyle name="Normal 3 32 6 2 2" xfId="42109" xr:uid="{00000000-0005-0000-0000-0000EBA30000}"/>
    <cellStyle name="Normal 3 32 6 2 2 2" xfId="42110" xr:uid="{00000000-0005-0000-0000-0000ECA30000}"/>
    <cellStyle name="Normal 3 32 6 2 2 3" xfId="42111" xr:uid="{00000000-0005-0000-0000-0000EDA30000}"/>
    <cellStyle name="Normal 3 32 6 2 3" xfId="42112" xr:uid="{00000000-0005-0000-0000-0000EEA30000}"/>
    <cellStyle name="Normal 3 32 6 2 4" xfId="42113" xr:uid="{00000000-0005-0000-0000-0000EFA30000}"/>
    <cellStyle name="Normal 3 32 6 3" xfId="42114" xr:uid="{00000000-0005-0000-0000-0000F0A30000}"/>
    <cellStyle name="Normal 3 32 6 3 2" xfId="42115" xr:uid="{00000000-0005-0000-0000-0000F1A30000}"/>
    <cellStyle name="Normal 3 32 6 3 3" xfId="42116" xr:uid="{00000000-0005-0000-0000-0000F2A30000}"/>
    <cellStyle name="Normal 3 32 6 4" xfId="42117" xr:uid="{00000000-0005-0000-0000-0000F3A30000}"/>
    <cellStyle name="Normal 3 32 7" xfId="42118" xr:uid="{00000000-0005-0000-0000-0000F4A30000}"/>
    <cellStyle name="Normal 3 32 7 2" xfId="42119" xr:uid="{00000000-0005-0000-0000-0000F5A30000}"/>
    <cellStyle name="Normal 3 32 7 2 2" xfId="42120" xr:uid="{00000000-0005-0000-0000-0000F6A30000}"/>
    <cellStyle name="Normal 3 32 7 2 2 2" xfId="42121" xr:uid="{00000000-0005-0000-0000-0000F7A30000}"/>
    <cellStyle name="Normal 3 32 7 2 2 3" xfId="42122" xr:uid="{00000000-0005-0000-0000-0000F8A30000}"/>
    <cellStyle name="Normal 3 32 7 2 3" xfId="42123" xr:uid="{00000000-0005-0000-0000-0000F9A30000}"/>
    <cellStyle name="Normal 3 32 7 2 4" xfId="42124" xr:uid="{00000000-0005-0000-0000-0000FAA30000}"/>
    <cellStyle name="Normal 3 32 7 3" xfId="42125" xr:uid="{00000000-0005-0000-0000-0000FBA30000}"/>
    <cellStyle name="Normal 3 32 7 3 2" xfId="42126" xr:uid="{00000000-0005-0000-0000-0000FCA30000}"/>
    <cellStyle name="Normal 3 32 7 3 3" xfId="42127" xr:uid="{00000000-0005-0000-0000-0000FDA30000}"/>
    <cellStyle name="Normal 3 32 7 4" xfId="42128" xr:uid="{00000000-0005-0000-0000-0000FEA30000}"/>
    <cellStyle name="Normal 3 32 8" xfId="42129" xr:uid="{00000000-0005-0000-0000-0000FFA30000}"/>
    <cellStyle name="Normal 3 32 8 2" xfId="42130" xr:uid="{00000000-0005-0000-0000-000000A40000}"/>
    <cellStyle name="Normal 3 32 8 2 2" xfId="42131" xr:uid="{00000000-0005-0000-0000-000001A40000}"/>
    <cellStyle name="Normal 3 32 8 2 2 2" xfId="42132" xr:uid="{00000000-0005-0000-0000-000002A40000}"/>
    <cellStyle name="Normal 3 32 8 2 2 3" xfId="42133" xr:uid="{00000000-0005-0000-0000-000003A40000}"/>
    <cellStyle name="Normal 3 32 8 2 3" xfId="42134" xr:uid="{00000000-0005-0000-0000-000004A40000}"/>
    <cellStyle name="Normal 3 32 8 2 4" xfId="42135" xr:uid="{00000000-0005-0000-0000-000005A40000}"/>
    <cellStyle name="Normal 3 32 8 3" xfId="42136" xr:uid="{00000000-0005-0000-0000-000006A40000}"/>
    <cellStyle name="Normal 3 32 8 3 2" xfId="42137" xr:uid="{00000000-0005-0000-0000-000007A40000}"/>
    <cellStyle name="Normal 3 32 8 3 3" xfId="42138" xr:uid="{00000000-0005-0000-0000-000008A40000}"/>
    <cellStyle name="Normal 3 32 8 4" xfId="42139" xr:uid="{00000000-0005-0000-0000-000009A40000}"/>
    <cellStyle name="Normal 3 32 9" xfId="42140" xr:uid="{00000000-0005-0000-0000-00000AA40000}"/>
    <cellStyle name="Normal 3 32 9 2" xfId="42141" xr:uid="{00000000-0005-0000-0000-00000BA40000}"/>
    <cellStyle name="Normal 3 32 9 2 2" xfId="42142" xr:uid="{00000000-0005-0000-0000-00000CA40000}"/>
    <cellStyle name="Normal 3 32 9 2 2 2" xfId="42143" xr:uid="{00000000-0005-0000-0000-00000DA40000}"/>
    <cellStyle name="Normal 3 32 9 2 2 3" xfId="42144" xr:uid="{00000000-0005-0000-0000-00000EA40000}"/>
    <cellStyle name="Normal 3 32 9 2 3" xfId="42145" xr:uid="{00000000-0005-0000-0000-00000FA40000}"/>
    <cellStyle name="Normal 3 32 9 2 4" xfId="42146" xr:uid="{00000000-0005-0000-0000-000010A40000}"/>
    <cellStyle name="Normal 3 32 9 3" xfId="42147" xr:uid="{00000000-0005-0000-0000-000011A40000}"/>
    <cellStyle name="Normal 3 32 9 3 2" xfId="42148" xr:uid="{00000000-0005-0000-0000-000012A40000}"/>
    <cellStyle name="Normal 3 32 9 3 3" xfId="42149" xr:uid="{00000000-0005-0000-0000-000013A40000}"/>
    <cellStyle name="Normal 3 32 9 4" xfId="42150" xr:uid="{00000000-0005-0000-0000-000014A40000}"/>
    <cellStyle name="Normal 3 33" xfId="42151" xr:uid="{00000000-0005-0000-0000-000015A40000}"/>
    <cellStyle name="Normal 3 33 10" xfId="42152" xr:uid="{00000000-0005-0000-0000-000016A40000}"/>
    <cellStyle name="Normal 3 33 10 2" xfId="42153" xr:uid="{00000000-0005-0000-0000-000017A40000}"/>
    <cellStyle name="Normal 3 33 10 2 2" xfId="42154" xr:uid="{00000000-0005-0000-0000-000018A40000}"/>
    <cellStyle name="Normal 3 33 10 2 2 2" xfId="42155" xr:uid="{00000000-0005-0000-0000-000019A40000}"/>
    <cellStyle name="Normal 3 33 10 2 2 3" xfId="42156" xr:uid="{00000000-0005-0000-0000-00001AA40000}"/>
    <cellStyle name="Normal 3 33 10 2 3" xfId="42157" xr:uid="{00000000-0005-0000-0000-00001BA40000}"/>
    <cellStyle name="Normal 3 33 10 2 4" xfId="42158" xr:uid="{00000000-0005-0000-0000-00001CA40000}"/>
    <cellStyle name="Normal 3 33 10 3" xfId="42159" xr:uid="{00000000-0005-0000-0000-00001DA40000}"/>
    <cellStyle name="Normal 3 33 10 3 2" xfId="42160" xr:uid="{00000000-0005-0000-0000-00001EA40000}"/>
    <cellStyle name="Normal 3 33 10 3 3" xfId="42161" xr:uid="{00000000-0005-0000-0000-00001FA40000}"/>
    <cellStyle name="Normal 3 33 10 4" xfId="42162" xr:uid="{00000000-0005-0000-0000-000020A40000}"/>
    <cellStyle name="Normal 3 33 11" xfId="42163" xr:uid="{00000000-0005-0000-0000-000021A40000}"/>
    <cellStyle name="Normal 3 33 11 2" xfId="42164" xr:uid="{00000000-0005-0000-0000-000022A40000}"/>
    <cellStyle name="Normal 3 33 11 2 2" xfId="42165" xr:uid="{00000000-0005-0000-0000-000023A40000}"/>
    <cellStyle name="Normal 3 33 11 2 2 2" xfId="42166" xr:uid="{00000000-0005-0000-0000-000024A40000}"/>
    <cellStyle name="Normal 3 33 11 2 2 3" xfId="42167" xr:uid="{00000000-0005-0000-0000-000025A40000}"/>
    <cellStyle name="Normal 3 33 11 2 3" xfId="42168" xr:uid="{00000000-0005-0000-0000-000026A40000}"/>
    <cellStyle name="Normal 3 33 11 2 4" xfId="42169" xr:uid="{00000000-0005-0000-0000-000027A40000}"/>
    <cellStyle name="Normal 3 33 11 3" xfId="42170" xr:uid="{00000000-0005-0000-0000-000028A40000}"/>
    <cellStyle name="Normal 3 33 11 3 2" xfId="42171" xr:uid="{00000000-0005-0000-0000-000029A40000}"/>
    <cellStyle name="Normal 3 33 11 3 3" xfId="42172" xr:uid="{00000000-0005-0000-0000-00002AA40000}"/>
    <cellStyle name="Normal 3 33 11 4" xfId="42173" xr:uid="{00000000-0005-0000-0000-00002BA40000}"/>
    <cellStyle name="Normal 3 33 12" xfId="42174" xr:uid="{00000000-0005-0000-0000-00002CA40000}"/>
    <cellStyle name="Normal 3 33 12 2" xfId="42175" xr:uid="{00000000-0005-0000-0000-00002DA40000}"/>
    <cellStyle name="Normal 3 33 12 2 2" xfId="42176" xr:uid="{00000000-0005-0000-0000-00002EA40000}"/>
    <cellStyle name="Normal 3 33 12 2 2 2" xfId="42177" xr:uid="{00000000-0005-0000-0000-00002FA40000}"/>
    <cellStyle name="Normal 3 33 12 2 2 3" xfId="42178" xr:uid="{00000000-0005-0000-0000-000030A40000}"/>
    <cellStyle name="Normal 3 33 12 2 3" xfId="42179" xr:uid="{00000000-0005-0000-0000-000031A40000}"/>
    <cellStyle name="Normal 3 33 12 2 4" xfId="42180" xr:uid="{00000000-0005-0000-0000-000032A40000}"/>
    <cellStyle name="Normal 3 33 12 3" xfId="42181" xr:uid="{00000000-0005-0000-0000-000033A40000}"/>
    <cellStyle name="Normal 3 33 12 3 2" xfId="42182" xr:uid="{00000000-0005-0000-0000-000034A40000}"/>
    <cellStyle name="Normal 3 33 12 3 3" xfId="42183" xr:uid="{00000000-0005-0000-0000-000035A40000}"/>
    <cellStyle name="Normal 3 33 12 4" xfId="42184" xr:uid="{00000000-0005-0000-0000-000036A40000}"/>
    <cellStyle name="Normal 3 33 13" xfId="42185" xr:uid="{00000000-0005-0000-0000-000037A40000}"/>
    <cellStyle name="Normal 3 33 13 2" xfId="42186" xr:uid="{00000000-0005-0000-0000-000038A40000}"/>
    <cellStyle name="Normal 3 33 13 2 2" xfId="42187" xr:uid="{00000000-0005-0000-0000-000039A40000}"/>
    <cellStyle name="Normal 3 33 13 2 2 2" xfId="42188" xr:uid="{00000000-0005-0000-0000-00003AA40000}"/>
    <cellStyle name="Normal 3 33 13 2 2 3" xfId="42189" xr:uid="{00000000-0005-0000-0000-00003BA40000}"/>
    <cellStyle name="Normal 3 33 13 2 3" xfId="42190" xr:uid="{00000000-0005-0000-0000-00003CA40000}"/>
    <cellStyle name="Normal 3 33 13 2 4" xfId="42191" xr:uid="{00000000-0005-0000-0000-00003DA40000}"/>
    <cellStyle name="Normal 3 33 13 3" xfId="42192" xr:uid="{00000000-0005-0000-0000-00003EA40000}"/>
    <cellStyle name="Normal 3 33 13 3 2" xfId="42193" xr:uid="{00000000-0005-0000-0000-00003FA40000}"/>
    <cellStyle name="Normal 3 33 13 3 3" xfId="42194" xr:uid="{00000000-0005-0000-0000-000040A40000}"/>
    <cellStyle name="Normal 3 33 13 4" xfId="42195" xr:uid="{00000000-0005-0000-0000-000041A40000}"/>
    <cellStyle name="Normal 3 33 14" xfId="42196" xr:uid="{00000000-0005-0000-0000-000042A40000}"/>
    <cellStyle name="Normal 3 33 14 2" xfId="42197" xr:uid="{00000000-0005-0000-0000-000043A40000}"/>
    <cellStyle name="Normal 3 33 14 2 2" xfId="42198" xr:uid="{00000000-0005-0000-0000-000044A40000}"/>
    <cellStyle name="Normal 3 33 14 2 2 2" xfId="42199" xr:uid="{00000000-0005-0000-0000-000045A40000}"/>
    <cellStyle name="Normal 3 33 14 2 2 3" xfId="42200" xr:uid="{00000000-0005-0000-0000-000046A40000}"/>
    <cellStyle name="Normal 3 33 14 2 3" xfId="42201" xr:uid="{00000000-0005-0000-0000-000047A40000}"/>
    <cellStyle name="Normal 3 33 14 2 4" xfId="42202" xr:uid="{00000000-0005-0000-0000-000048A40000}"/>
    <cellStyle name="Normal 3 33 14 3" xfId="42203" xr:uid="{00000000-0005-0000-0000-000049A40000}"/>
    <cellStyle name="Normal 3 33 14 3 2" xfId="42204" xr:uid="{00000000-0005-0000-0000-00004AA40000}"/>
    <cellStyle name="Normal 3 33 14 3 3" xfId="42205" xr:uid="{00000000-0005-0000-0000-00004BA40000}"/>
    <cellStyle name="Normal 3 33 14 4" xfId="42206" xr:uid="{00000000-0005-0000-0000-00004CA40000}"/>
    <cellStyle name="Normal 3 33 15" xfId="42207" xr:uid="{00000000-0005-0000-0000-00004DA40000}"/>
    <cellStyle name="Normal 3 33 15 2" xfId="42208" xr:uid="{00000000-0005-0000-0000-00004EA40000}"/>
    <cellStyle name="Normal 3 33 15 2 2" xfId="42209" xr:uid="{00000000-0005-0000-0000-00004FA40000}"/>
    <cellStyle name="Normal 3 33 15 2 2 2" xfId="42210" xr:uid="{00000000-0005-0000-0000-000050A40000}"/>
    <cellStyle name="Normal 3 33 15 2 2 3" xfId="42211" xr:uid="{00000000-0005-0000-0000-000051A40000}"/>
    <cellStyle name="Normal 3 33 15 2 3" xfId="42212" xr:uid="{00000000-0005-0000-0000-000052A40000}"/>
    <cellStyle name="Normal 3 33 15 2 4" xfId="42213" xr:uid="{00000000-0005-0000-0000-000053A40000}"/>
    <cellStyle name="Normal 3 33 15 3" xfId="42214" xr:uid="{00000000-0005-0000-0000-000054A40000}"/>
    <cellStyle name="Normal 3 33 15 3 2" xfId="42215" xr:uid="{00000000-0005-0000-0000-000055A40000}"/>
    <cellStyle name="Normal 3 33 15 3 3" xfId="42216" xr:uid="{00000000-0005-0000-0000-000056A40000}"/>
    <cellStyle name="Normal 3 33 15 4" xfId="42217" xr:uid="{00000000-0005-0000-0000-000057A40000}"/>
    <cellStyle name="Normal 3 33 16" xfId="42218" xr:uid="{00000000-0005-0000-0000-000058A40000}"/>
    <cellStyle name="Normal 3 33 16 2" xfId="42219" xr:uid="{00000000-0005-0000-0000-000059A40000}"/>
    <cellStyle name="Normal 3 33 16 2 2" xfId="42220" xr:uid="{00000000-0005-0000-0000-00005AA40000}"/>
    <cellStyle name="Normal 3 33 16 2 2 2" xfId="42221" xr:uid="{00000000-0005-0000-0000-00005BA40000}"/>
    <cellStyle name="Normal 3 33 16 2 2 3" xfId="42222" xr:uid="{00000000-0005-0000-0000-00005CA40000}"/>
    <cellStyle name="Normal 3 33 16 2 3" xfId="42223" xr:uid="{00000000-0005-0000-0000-00005DA40000}"/>
    <cellStyle name="Normal 3 33 16 2 4" xfId="42224" xr:uid="{00000000-0005-0000-0000-00005EA40000}"/>
    <cellStyle name="Normal 3 33 16 3" xfId="42225" xr:uid="{00000000-0005-0000-0000-00005FA40000}"/>
    <cellStyle name="Normal 3 33 16 3 2" xfId="42226" xr:uid="{00000000-0005-0000-0000-000060A40000}"/>
    <cellStyle name="Normal 3 33 16 3 3" xfId="42227" xr:uid="{00000000-0005-0000-0000-000061A40000}"/>
    <cellStyle name="Normal 3 33 16 4" xfId="42228" xr:uid="{00000000-0005-0000-0000-000062A40000}"/>
    <cellStyle name="Normal 3 33 17" xfId="42229" xr:uid="{00000000-0005-0000-0000-000063A40000}"/>
    <cellStyle name="Normal 3 33 17 2" xfId="42230" xr:uid="{00000000-0005-0000-0000-000064A40000}"/>
    <cellStyle name="Normal 3 33 17 2 2" xfId="42231" xr:uid="{00000000-0005-0000-0000-000065A40000}"/>
    <cellStyle name="Normal 3 33 17 2 2 2" xfId="42232" xr:uid="{00000000-0005-0000-0000-000066A40000}"/>
    <cellStyle name="Normal 3 33 17 2 2 3" xfId="42233" xr:uid="{00000000-0005-0000-0000-000067A40000}"/>
    <cellStyle name="Normal 3 33 17 2 3" xfId="42234" xr:uid="{00000000-0005-0000-0000-000068A40000}"/>
    <cellStyle name="Normal 3 33 17 2 4" xfId="42235" xr:uid="{00000000-0005-0000-0000-000069A40000}"/>
    <cellStyle name="Normal 3 33 17 3" xfId="42236" xr:uid="{00000000-0005-0000-0000-00006AA40000}"/>
    <cellStyle name="Normal 3 33 17 3 2" xfId="42237" xr:uid="{00000000-0005-0000-0000-00006BA40000}"/>
    <cellStyle name="Normal 3 33 17 3 3" xfId="42238" xr:uid="{00000000-0005-0000-0000-00006CA40000}"/>
    <cellStyle name="Normal 3 33 17 4" xfId="42239" xr:uid="{00000000-0005-0000-0000-00006DA40000}"/>
    <cellStyle name="Normal 3 33 18" xfId="42240" xr:uid="{00000000-0005-0000-0000-00006EA40000}"/>
    <cellStyle name="Normal 3 33 18 2" xfId="42241" xr:uid="{00000000-0005-0000-0000-00006FA40000}"/>
    <cellStyle name="Normal 3 33 18 2 2" xfId="42242" xr:uid="{00000000-0005-0000-0000-000070A40000}"/>
    <cellStyle name="Normal 3 33 18 2 2 2" xfId="42243" xr:uid="{00000000-0005-0000-0000-000071A40000}"/>
    <cellStyle name="Normal 3 33 18 2 2 3" xfId="42244" xr:uid="{00000000-0005-0000-0000-000072A40000}"/>
    <cellStyle name="Normal 3 33 18 2 3" xfId="42245" xr:uid="{00000000-0005-0000-0000-000073A40000}"/>
    <cellStyle name="Normal 3 33 18 2 4" xfId="42246" xr:uid="{00000000-0005-0000-0000-000074A40000}"/>
    <cellStyle name="Normal 3 33 18 3" xfId="42247" xr:uid="{00000000-0005-0000-0000-000075A40000}"/>
    <cellStyle name="Normal 3 33 18 3 2" xfId="42248" xr:uid="{00000000-0005-0000-0000-000076A40000}"/>
    <cellStyle name="Normal 3 33 18 3 3" xfId="42249" xr:uid="{00000000-0005-0000-0000-000077A40000}"/>
    <cellStyle name="Normal 3 33 18 4" xfId="42250" xr:uid="{00000000-0005-0000-0000-000078A40000}"/>
    <cellStyle name="Normal 3 33 19" xfId="42251" xr:uid="{00000000-0005-0000-0000-000079A40000}"/>
    <cellStyle name="Normal 3 33 19 2" xfId="42252" xr:uid="{00000000-0005-0000-0000-00007AA40000}"/>
    <cellStyle name="Normal 3 33 19 2 2" xfId="42253" xr:uid="{00000000-0005-0000-0000-00007BA40000}"/>
    <cellStyle name="Normal 3 33 19 2 2 2" xfId="42254" xr:uid="{00000000-0005-0000-0000-00007CA40000}"/>
    <cellStyle name="Normal 3 33 19 2 2 3" xfId="42255" xr:uid="{00000000-0005-0000-0000-00007DA40000}"/>
    <cellStyle name="Normal 3 33 19 2 3" xfId="42256" xr:uid="{00000000-0005-0000-0000-00007EA40000}"/>
    <cellStyle name="Normal 3 33 19 2 4" xfId="42257" xr:uid="{00000000-0005-0000-0000-00007FA40000}"/>
    <cellStyle name="Normal 3 33 19 3" xfId="42258" xr:uid="{00000000-0005-0000-0000-000080A40000}"/>
    <cellStyle name="Normal 3 33 19 3 2" xfId="42259" xr:uid="{00000000-0005-0000-0000-000081A40000}"/>
    <cellStyle name="Normal 3 33 19 3 3" xfId="42260" xr:uid="{00000000-0005-0000-0000-000082A40000}"/>
    <cellStyle name="Normal 3 33 19 4" xfId="42261" xr:uid="{00000000-0005-0000-0000-000083A40000}"/>
    <cellStyle name="Normal 3 33 2" xfId="42262" xr:uid="{00000000-0005-0000-0000-000084A40000}"/>
    <cellStyle name="Normal 3 33 2 2" xfId="42263" xr:uid="{00000000-0005-0000-0000-000085A40000}"/>
    <cellStyle name="Normal 3 33 2 2 2" xfId="42264" xr:uid="{00000000-0005-0000-0000-000086A40000}"/>
    <cellStyle name="Normal 3 33 2 2 2 2" xfId="42265" xr:uid="{00000000-0005-0000-0000-000087A40000}"/>
    <cellStyle name="Normal 3 33 2 2 2 3" xfId="42266" xr:uid="{00000000-0005-0000-0000-000088A40000}"/>
    <cellStyle name="Normal 3 33 2 2 3" xfId="42267" xr:uid="{00000000-0005-0000-0000-000089A40000}"/>
    <cellStyle name="Normal 3 33 2 2 4" xfId="42268" xr:uid="{00000000-0005-0000-0000-00008AA40000}"/>
    <cellStyle name="Normal 3 33 2 3" xfId="42269" xr:uid="{00000000-0005-0000-0000-00008BA40000}"/>
    <cellStyle name="Normal 3 33 2 3 2" xfId="42270" xr:uid="{00000000-0005-0000-0000-00008CA40000}"/>
    <cellStyle name="Normal 3 33 2 3 3" xfId="42271" xr:uid="{00000000-0005-0000-0000-00008DA40000}"/>
    <cellStyle name="Normal 3 33 2 4" xfId="42272" xr:uid="{00000000-0005-0000-0000-00008EA40000}"/>
    <cellStyle name="Normal 3 33 20" xfId="42273" xr:uid="{00000000-0005-0000-0000-00008FA40000}"/>
    <cellStyle name="Normal 3 33 20 2" xfId="42274" xr:uid="{00000000-0005-0000-0000-000090A40000}"/>
    <cellStyle name="Normal 3 33 20 2 2" xfId="42275" xr:uid="{00000000-0005-0000-0000-000091A40000}"/>
    <cellStyle name="Normal 3 33 20 2 2 2" xfId="42276" xr:uid="{00000000-0005-0000-0000-000092A40000}"/>
    <cellStyle name="Normal 3 33 20 2 2 3" xfId="42277" xr:uid="{00000000-0005-0000-0000-000093A40000}"/>
    <cellStyle name="Normal 3 33 20 2 3" xfId="42278" xr:uid="{00000000-0005-0000-0000-000094A40000}"/>
    <cellStyle name="Normal 3 33 20 2 4" xfId="42279" xr:uid="{00000000-0005-0000-0000-000095A40000}"/>
    <cellStyle name="Normal 3 33 20 3" xfId="42280" xr:uid="{00000000-0005-0000-0000-000096A40000}"/>
    <cellStyle name="Normal 3 33 20 3 2" xfId="42281" xr:uid="{00000000-0005-0000-0000-000097A40000}"/>
    <cellStyle name="Normal 3 33 20 3 3" xfId="42282" xr:uid="{00000000-0005-0000-0000-000098A40000}"/>
    <cellStyle name="Normal 3 33 20 4" xfId="42283" xr:uid="{00000000-0005-0000-0000-000099A40000}"/>
    <cellStyle name="Normal 3 33 21" xfId="42284" xr:uid="{00000000-0005-0000-0000-00009AA40000}"/>
    <cellStyle name="Normal 3 33 21 2" xfId="42285" xr:uid="{00000000-0005-0000-0000-00009BA40000}"/>
    <cellStyle name="Normal 3 33 21 2 2" xfId="42286" xr:uid="{00000000-0005-0000-0000-00009CA40000}"/>
    <cellStyle name="Normal 3 33 21 2 2 2" xfId="42287" xr:uid="{00000000-0005-0000-0000-00009DA40000}"/>
    <cellStyle name="Normal 3 33 21 2 2 3" xfId="42288" xr:uid="{00000000-0005-0000-0000-00009EA40000}"/>
    <cellStyle name="Normal 3 33 21 2 3" xfId="42289" xr:uid="{00000000-0005-0000-0000-00009FA40000}"/>
    <cellStyle name="Normal 3 33 21 2 4" xfId="42290" xr:uid="{00000000-0005-0000-0000-0000A0A40000}"/>
    <cellStyle name="Normal 3 33 21 3" xfId="42291" xr:uid="{00000000-0005-0000-0000-0000A1A40000}"/>
    <cellStyle name="Normal 3 33 21 3 2" xfId="42292" xr:uid="{00000000-0005-0000-0000-0000A2A40000}"/>
    <cellStyle name="Normal 3 33 21 3 3" xfId="42293" xr:uid="{00000000-0005-0000-0000-0000A3A40000}"/>
    <cellStyle name="Normal 3 33 21 4" xfId="42294" xr:uid="{00000000-0005-0000-0000-0000A4A40000}"/>
    <cellStyle name="Normal 3 33 22" xfId="42295" xr:uid="{00000000-0005-0000-0000-0000A5A40000}"/>
    <cellStyle name="Normal 3 33 22 2" xfId="42296" xr:uid="{00000000-0005-0000-0000-0000A6A40000}"/>
    <cellStyle name="Normal 3 33 22 2 2" xfId="42297" xr:uid="{00000000-0005-0000-0000-0000A7A40000}"/>
    <cellStyle name="Normal 3 33 22 2 2 2" xfId="42298" xr:uid="{00000000-0005-0000-0000-0000A8A40000}"/>
    <cellStyle name="Normal 3 33 22 2 2 3" xfId="42299" xr:uid="{00000000-0005-0000-0000-0000A9A40000}"/>
    <cellStyle name="Normal 3 33 22 2 3" xfId="42300" xr:uid="{00000000-0005-0000-0000-0000AAA40000}"/>
    <cellStyle name="Normal 3 33 22 2 4" xfId="42301" xr:uid="{00000000-0005-0000-0000-0000ABA40000}"/>
    <cellStyle name="Normal 3 33 22 3" xfId="42302" xr:uid="{00000000-0005-0000-0000-0000ACA40000}"/>
    <cellStyle name="Normal 3 33 22 3 2" xfId="42303" xr:uid="{00000000-0005-0000-0000-0000ADA40000}"/>
    <cellStyle name="Normal 3 33 22 3 3" xfId="42304" xr:uid="{00000000-0005-0000-0000-0000AEA40000}"/>
    <cellStyle name="Normal 3 33 22 4" xfId="42305" xr:uid="{00000000-0005-0000-0000-0000AFA40000}"/>
    <cellStyle name="Normal 3 33 23" xfId="42306" xr:uid="{00000000-0005-0000-0000-0000B0A40000}"/>
    <cellStyle name="Normal 3 33 23 2" xfId="42307" xr:uid="{00000000-0005-0000-0000-0000B1A40000}"/>
    <cellStyle name="Normal 3 33 23 2 2" xfId="42308" xr:uid="{00000000-0005-0000-0000-0000B2A40000}"/>
    <cellStyle name="Normal 3 33 23 2 2 2" xfId="42309" xr:uid="{00000000-0005-0000-0000-0000B3A40000}"/>
    <cellStyle name="Normal 3 33 23 2 2 3" xfId="42310" xr:uid="{00000000-0005-0000-0000-0000B4A40000}"/>
    <cellStyle name="Normal 3 33 23 2 3" xfId="42311" xr:uid="{00000000-0005-0000-0000-0000B5A40000}"/>
    <cellStyle name="Normal 3 33 23 2 4" xfId="42312" xr:uid="{00000000-0005-0000-0000-0000B6A40000}"/>
    <cellStyle name="Normal 3 33 23 3" xfId="42313" xr:uid="{00000000-0005-0000-0000-0000B7A40000}"/>
    <cellStyle name="Normal 3 33 23 3 2" xfId="42314" xr:uid="{00000000-0005-0000-0000-0000B8A40000}"/>
    <cellStyle name="Normal 3 33 23 3 3" xfId="42315" xr:uid="{00000000-0005-0000-0000-0000B9A40000}"/>
    <cellStyle name="Normal 3 33 23 4" xfId="42316" xr:uid="{00000000-0005-0000-0000-0000BAA40000}"/>
    <cellStyle name="Normal 3 33 24" xfId="42317" xr:uid="{00000000-0005-0000-0000-0000BBA40000}"/>
    <cellStyle name="Normal 3 33 24 2" xfId="42318" xr:uid="{00000000-0005-0000-0000-0000BCA40000}"/>
    <cellStyle name="Normal 3 33 24 2 2" xfId="42319" xr:uid="{00000000-0005-0000-0000-0000BDA40000}"/>
    <cellStyle name="Normal 3 33 24 2 3" xfId="42320" xr:uid="{00000000-0005-0000-0000-0000BEA40000}"/>
    <cellStyle name="Normal 3 33 24 3" xfId="42321" xr:uid="{00000000-0005-0000-0000-0000BFA40000}"/>
    <cellStyle name="Normal 3 33 24 4" xfId="42322" xr:uid="{00000000-0005-0000-0000-0000C0A40000}"/>
    <cellStyle name="Normal 3 33 25" xfId="42323" xr:uid="{00000000-0005-0000-0000-0000C1A40000}"/>
    <cellStyle name="Normal 3 33 25 2" xfId="42324" xr:uid="{00000000-0005-0000-0000-0000C2A40000}"/>
    <cellStyle name="Normal 3 33 25 3" xfId="42325" xr:uid="{00000000-0005-0000-0000-0000C3A40000}"/>
    <cellStyle name="Normal 3 33 26" xfId="42326" xr:uid="{00000000-0005-0000-0000-0000C4A40000}"/>
    <cellStyle name="Normal 3 33 3" xfId="42327" xr:uid="{00000000-0005-0000-0000-0000C5A40000}"/>
    <cellStyle name="Normal 3 33 3 2" xfId="42328" xr:uid="{00000000-0005-0000-0000-0000C6A40000}"/>
    <cellStyle name="Normal 3 33 3 2 2" xfId="42329" xr:uid="{00000000-0005-0000-0000-0000C7A40000}"/>
    <cellStyle name="Normal 3 33 3 2 2 2" xfId="42330" xr:uid="{00000000-0005-0000-0000-0000C8A40000}"/>
    <cellStyle name="Normal 3 33 3 2 2 3" xfId="42331" xr:uid="{00000000-0005-0000-0000-0000C9A40000}"/>
    <cellStyle name="Normal 3 33 3 2 3" xfId="42332" xr:uid="{00000000-0005-0000-0000-0000CAA40000}"/>
    <cellStyle name="Normal 3 33 3 2 4" xfId="42333" xr:uid="{00000000-0005-0000-0000-0000CBA40000}"/>
    <cellStyle name="Normal 3 33 3 3" xfId="42334" xr:uid="{00000000-0005-0000-0000-0000CCA40000}"/>
    <cellStyle name="Normal 3 33 3 3 2" xfId="42335" xr:uid="{00000000-0005-0000-0000-0000CDA40000}"/>
    <cellStyle name="Normal 3 33 3 3 3" xfId="42336" xr:uid="{00000000-0005-0000-0000-0000CEA40000}"/>
    <cellStyle name="Normal 3 33 3 4" xfId="42337" xr:uid="{00000000-0005-0000-0000-0000CFA40000}"/>
    <cellStyle name="Normal 3 33 4" xfId="42338" xr:uid="{00000000-0005-0000-0000-0000D0A40000}"/>
    <cellStyle name="Normal 3 33 4 2" xfId="42339" xr:uid="{00000000-0005-0000-0000-0000D1A40000}"/>
    <cellStyle name="Normal 3 33 4 2 2" xfId="42340" xr:uid="{00000000-0005-0000-0000-0000D2A40000}"/>
    <cellStyle name="Normal 3 33 4 2 2 2" xfId="42341" xr:uid="{00000000-0005-0000-0000-0000D3A40000}"/>
    <cellStyle name="Normal 3 33 4 2 2 3" xfId="42342" xr:uid="{00000000-0005-0000-0000-0000D4A40000}"/>
    <cellStyle name="Normal 3 33 4 2 3" xfId="42343" xr:uid="{00000000-0005-0000-0000-0000D5A40000}"/>
    <cellStyle name="Normal 3 33 4 2 4" xfId="42344" xr:uid="{00000000-0005-0000-0000-0000D6A40000}"/>
    <cellStyle name="Normal 3 33 4 3" xfId="42345" xr:uid="{00000000-0005-0000-0000-0000D7A40000}"/>
    <cellStyle name="Normal 3 33 4 3 2" xfId="42346" xr:uid="{00000000-0005-0000-0000-0000D8A40000}"/>
    <cellStyle name="Normal 3 33 4 3 3" xfId="42347" xr:uid="{00000000-0005-0000-0000-0000D9A40000}"/>
    <cellStyle name="Normal 3 33 4 4" xfId="42348" xr:uid="{00000000-0005-0000-0000-0000DAA40000}"/>
    <cellStyle name="Normal 3 33 5" xfId="42349" xr:uid="{00000000-0005-0000-0000-0000DBA40000}"/>
    <cellStyle name="Normal 3 33 5 2" xfId="42350" xr:uid="{00000000-0005-0000-0000-0000DCA40000}"/>
    <cellStyle name="Normal 3 33 5 2 2" xfId="42351" xr:uid="{00000000-0005-0000-0000-0000DDA40000}"/>
    <cellStyle name="Normal 3 33 5 2 2 2" xfId="42352" xr:uid="{00000000-0005-0000-0000-0000DEA40000}"/>
    <cellStyle name="Normal 3 33 5 2 2 3" xfId="42353" xr:uid="{00000000-0005-0000-0000-0000DFA40000}"/>
    <cellStyle name="Normal 3 33 5 2 3" xfId="42354" xr:uid="{00000000-0005-0000-0000-0000E0A40000}"/>
    <cellStyle name="Normal 3 33 5 2 4" xfId="42355" xr:uid="{00000000-0005-0000-0000-0000E1A40000}"/>
    <cellStyle name="Normal 3 33 5 3" xfId="42356" xr:uid="{00000000-0005-0000-0000-0000E2A40000}"/>
    <cellStyle name="Normal 3 33 5 3 2" xfId="42357" xr:uid="{00000000-0005-0000-0000-0000E3A40000}"/>
    <cellStyle name="Normal 3 33 5 3 3" xfId="42358" xr:uid="{00000000-0005-0000-0000-0000E4A40000}"/>
    <cellStyle name="Normal 3 33 5 4" xfId="42359" xr:uid="{00000000-0005-0000-0000-0000E5A40000}"/>
    <cellStyle name="Normal 3 33 6" xfId="42360" xr:uid="{00000000-0005-0000-0000-0000E6A40000}"/>
    <cellStyle name="Normal 3 33 6 2" xfId="42361" xr:uid="{00000000-0005-0000-0000-0000E7A40000}"/>
    <cellStyle name="Normal 3 33 6 2 2" xfId="42362" xr:uid="{00000000-0005-0000-0000-0000E8A40000}"/>
    <cellStyle name="Normal 3 33 6 2 2 2" xfId="42363" xr:uid="{00000000-0005-0000-0000-0000E9A40000}"/>
    <cellStyle name="Normal 3 33 6 2 2 3" xfId="42364" xr:uid="{00000000-0005-0000-0000-0000EAA40000}"/>
    <cellStyle name="Normal 3 33 6 2 3" xfId="42365" xr:uid="{00000000-0005-0000-0000-0000EBA40000}"/>
    <cellStyle name="Normal 3 33 6 2 4" xfId="42366" xr:uid="{00000000-0005-0000-0000-0000ECA40000}"/>
    <cellStyle name="Normal 3 33 6 3" xfId="42367" xr:uid="{00000000-0005-0000-0000-0000EDA40000}"/>
    <cellStyle name="Normal 3 33 6 3 2" xfId="42368" xr:uid="{00000000-0005-0000-0000-0000EEA40000}"/>
    <cellStyle name="Normal 3 33 6 3 3" xfId="42369" xr:uid="{00000000-0005-0000-0000-0000EFA40000}"/>
    <cellStyle name="Normal 3 33 6 4" xfId="42370" xr:uid="{00000000-0005-0000-0000-0000F0A40000}"/>
    <cellStyle name="Normal 3 33 7" xfId="42371" xr:uid="{00000000-0005-0000-0000-0000F1A40000}"/>
    <cellStyle name="Normal 3 33 7 2" xfId="42372" xr:uid="{00000000-0005-0000-0000-0000F2A40000}"/>
    <cellStyle name="Normal 3 33 7 2 2" xfId="42373" xr:uid="{00000000-0005-0000-0000-0000F3A40000}"/>
    <cellStyle name="Normal 3 33 7 2 2 2" xfId="42374" xr:uid="{00000000-0005-0000-0000-0000F4A40000}"/>
    <cellStyle name="Normal 3 33 7 2 2 3" xfId="42375" xr:uid="{00000000-0005-0000-0000-0000F5A40000}"/>
    <cellStyle name="Normal 3 33 7 2 3" xfId="42376" xr:uid="{00000000-0005-0000-0000-0000F6A40000}"/>
    <cellStyle name="Normal 3 33 7 2 4" xfId="42377" xr:uid="{00000000-0005-0000-0000-0000F7A40000}"/>
    <cellStyle name="Normal 3 33 7 3" xfId="42378" xr:uid="{00000000-0005-0000-0000-0000F8A40000}"/>
    <cellStyle name="Normal 3 33 7 3 2" xfId="42379" xr:uid="{00000000-0005-0000-0000-0000F9A40000}"/>
    <cellStyle name="Normal 3 33 7 3 3" xfId="42380" xr:uid="{00000000-0005-0000-0000-0000FAA40000}"/>
    <cellStyle name="Normal 3 33 7 4" xfId="42381" xr:uid="{00000000-0005-0000-0000-0000FBA40000}"/>
    <cellStyle name="Normal 3 33 8" xfId="42382" xr:uid="{00000000-0005-0000-0000-0000FCA40000}"/>
    <cellStyle name="Normal 3 33 8 2" xfId="42383" xr:uid="{00000000-0005-0000-0000-0000FDA40000}"/>
    <cellStyle name="Normal 3 33 8 2 2" xfId="42384" xr:uid="{00000000-0005-0000-0000-0000FEA40000}"/>
    <cellStyle name="Normal 3 33 8 2 2 2" xfId="42385" xr:uid="{00000000-0005-0000-0000-0000FFA40000}"/>
    <cellStyle name="Normal 3 33 8 2 2 3" xfId="42386" xr:uid="{00000000-0005-0000-0000-000000A50000}"/>
    <cellStyle name="Normal 3 33 8 2 3" xfId="42387" xr:uid="{00000000-0005-0000-0000-000001A50000}"/>
    <cellStyle name="Normal 3 33 8 2 4" xfId="42388" xr:uid="{00000000-0005-0000-0000-000002A50000}"/>
    <cellStyle name="Normal 3 33 8 3" xfId="42389" xr:uid="{00000000-0005-0000-0000-000003A50000}"/>
    <cellStyle name="Normal 3 33 8 3 2" xfId="42390" xr:uid="{00000000-0005-0000-0000-000004A50000}"/>
    <cellStyle name="Normal 3 33 8 3 3" xfId="42391" xr:uid="{00000000-0005-0000-0000-000005A50000}"/>
    <cellStyle name="Normal 3 33 8 4" xfId="42392" xr:uid="{00000000-0005-0000-0000-000006A50000}"/>
    <cellStyle name="Normal 3 33 9" xfId="42393" xr:uid="{00000000-0005-0000-0000-000007A50000}"/>
    <cellStyle name="Normal 3 33 9 2" xfId="42394" xr:uid="{00000000-0005-0000-0000-000008A50000}"/>
    <cellStyle name="Normal 3 33 9 2 2" xfId="42395" xr:uid="{00000000-0005-0000-0000-000009A50000}"/>
    <cellStyle name="Normal 3 33 9 2 2 2" xfId="42396" xr:uid="{00000000-0005-0000-0000-00000AA50000}"/>
    <cellStyle name="Normal 3 33 9 2 2 3" xfId="42397" xr:uid="{00000000-0005-0000-0000-00000BA50000}"/>
    <cellStyle name="Normal 3 33 9 2 3" xfId="42398" xr:uid="{00000000-0005-0000-0000-00000CA50000}"/>
    <cellStyle name="Normal 3 33 9 2 4" xfId="42399" xr:uid="{00000000-0005-0000-0000-00000DA50000}"/>
    <cellStyle name="Normal 3 33 9 3" xfId="42400" xr:uid="{00000000-0005-0000-0000-00000EA50000}"/>
    <cellStyle name="Normal 3 33 9 3 2" xfId="42401" xr:uid="{00000000-0005-0000-0000-00000FA50000}"/>
    <cellStyle name="Normal 3 33 9 3 3" xfId="42402" xr:uid="{00000000-0005-0000-0000-000010A50000}"/>
    <cellStyle name="Normal 3 33 9 4" xfId="42403" xr:uid="{00000000-0005-0000-0000-000011A50000}"/>
    <cellStyle name="Normal 3 34" xfId="42404" xr:uid="{00000000-0005-0000-0000-000012A50000}"/>
    <cellStyle name="Normal 3 34 2" xfId="42405" xr:uid="{00000000-0005-0000-0000-000013A50000}"/>
    <cellStyle name="Normal 3 34 2 2" xfId="42406" xr:uid="{00000000-0005-0000-0000-000014A50000}"/>
    <cellStyle name="Normal 3 34 2 2 2" xfId="42407" xr:uid="{00000000-0005-0000-0000-000015A50000}"/>
    <cellStyle name="Normal 3 34 2 2 3" xfId="42408" xr:uid="{00000000-0005-0000-0000-000016A50000}"/>
    <cellStyle name="Normal 3 34 2 3" xfId="42409" xr:uid="{00000000-0005-0000-0000-000017A50000}"/>
    <cellStyle name="Normal 3 34 2 4" xfId="42410" xr:uid="{00000000-0005-0000-0000-000018A50000}"/>
    <cellStyle name="Normal 3 34 3" xfId="42411" xr:uid="{00000000-0005-0000-0000-000019A50000}"/>
    <cellStyle name="Normal 3 34 3 2" xfId="42412" xr:uid="{00000000-0005-0000-0000-00001AA50000}"/>
    <cellStyle name="Normal 3 34 3 3" xfId="42413" xr:uid="{00000000-0005-0000-0000-00001BA50000}"/>
    <cellStyle name="Normal 3 34 4" xfId="42414" xr:uid="{00000000-0005-0000-0000-00001CA50000}"/>
    <cellStyle name="Normal 3 35" xfId="42415" xr:uid="{00000000-0005-0000-0000-00001DA50000}"/>
    <cellStyle name="Normal 3 35 2" xfId="42416" xr:uid="{00000000-0005-0000-0000-00001EA50000}"/>
    <cellStyle name="Normal 3 35 2 2" xfId="42417" xr:uid="{00000000-0005-0000-0000-00001FA50000}"/>
    <cellStyle name="Normal 3 35 2 2 2" xfId="42418" xr:uid="{00000000-0005-0000-0000-000020A50000}"/>
    <cellStyle name="Normal 3 35 2 2 3" xfId="42419" xr:uid="{00000000-0005-0000-0000-000021A50000}"/>
    <cellStyle name="Normal 3 35 2 3" xfId="42420" xr:uid="{00000000-0005-0000-0000-000022A50000}"/>
    <cellStyle name="Normal 3 35 2 4" xfId="42421" xr:uid="{00000000-0005-0000-0000-000023A50000}"/>
    <cellStyle name="Normal 3 35 3" xfId="42422" xr:uid="{00000000-0005-0000-0000-000024A50000}"/>
    <cellStyle name="Normal 3 35 3 2" xfId="42423" xr:uid="{00000000-0005-0000-0000-000025A50000}"/>
    <cellStyle name="Normal 3 35 3 3" xfId="42424" xr:uid="{00000000-0005-0000-0000-000026A50000}"/>
    <cellStyle name="Normal 3 35 4" xfId="42425" xr:uid="{00000000-0005-0000-0000-000027A50000}"/>
    <cellStyle name="Normal 3 36" xfId="42426" xr:uid="{00000000-0005-0000-0000-000028A50000}"/>
    <cellStyle name="Normal 3 36 2" xfId="42427" xr:uid="{00000000-0005-0000-0000-000029A50000}"/>
    <cellStyle name="Normal 3 36 2 2" xfId="42428" xr:uid="{00000000-0005-0000-0000-00002AA50000}"/>
    <cellStyle name="Normal 3 36 2 2 2" xfId="42429" xr:uid="{00000000-0005-0000-0000-00002BA50000}"/>
    <cellStyle name="Normal 3 36 2 2 3" xfId="42430" xr:uid="{00000000-0005-0000-0000-00002CA50000}"/>
    <cellStyle name="Normal 3 36 2 3" xfId="42431" xr:uid="{00000000-0005-0000-0000-00002DA50000}"/>
    <cellStyle name="Normal 3 36 2 4" xfId="42432" xr:uid="{00000000-0005-0000-0000-00002EA50000}"/>
    <cellStyle name="Normal 3 36 3" xfId="42433" xr:uid="{00000000-0005-0000-0000-00002FA50000}"/>
    <cellStyle name="Normal 3 36 3 2" xfId="42434" xr:uid="{00000000-0005-0000-0000-000030A50000}"/>
    <cellStyle name="Normal 3 36 3 3" xfId="42435" xr:uid="{00000000-0005-0000-0000-000031A50000}"/>
    <cellStyle name="Normal 3 36 4" xfId="42436" xr:uid="{00000000-0005-0000-0000-000032A50000}"/>
    <cellStyle name="Normal 3 37" xfId="42437" xr:uid="{00000000-0005-0000-0000-000033A50000}"/>
    <cellStyle name="Normal 3 37 2" xfId="42438" xr:uid="{00000000-0005-0000-0000-000034A50000}"/>
    <cellStyle name="Normal 3 37 2 2" xfId="42439" xr:uid="{00000000-0005-0000-0000-000035A50000}"/>
    <cellStyle name="Normal 3 37 2 2 2" xfId="42440" xr:uid="{00000000-0005-0000-0000-000036A50000}"/>
    <cellStyle name="Normal 3 37 2 2 3" xfId="42441" xr:uid="{00000000-0005-0000-0000-000037A50000}"/>
    <cellStyle name="Normal 3 37 2 3" xfId="42442" xr:uid="{00000000-0005-0000-0000-000038A50000}"/>
    <cellStyle name="Normal 3 37 2 4" xfId="42443" xr:uid="{00000000-0005-0000-0000-000039A50000}"/>
    <cellStyle name="Normal 3 37 3" xfId="42444" xr:uid="{00000000-0005-0000-0000-00003AA50000}"/>
    <cellStyle name="Normal 3 37 3 2" xfId="42445" xr:uid="{00000000-0005-0000-0000-00003BA50000}"/>
    <cellStyle name="Normal 3 37 3 3" xfId="42446" xr:uid="{00000000-0005-0000-0000-00003CA50000}"/>
    <cellStyle name="Normal 3 37 4" xfId="42447" xr:uid="{00000000-0005-0000-0000-00003DA50000}"/>
    <cellStyle name="Normal 3 38" xfId="42448" xr:uid="{00000000-0005-0000-0000-00003EA50000}"/>
    <cellStyle name="Normal 3 38 2" xfId="42449" xr:uid="{00000000-0005-0000-0000-00003FA50000}"/>
    <cellStyle name="Normal 3 38 2 2" xfId="42450" xr:uid="{00000000-0005-0000-0000-000040A50000}"/>
    <cellStyle name="Normal 3 38 2 2 2" xfId="42451" xr:uid="{00000000-0005-0000-0000-000041A50000}"/>
    <cellStyle name="Normal 3 38 2 2 3" xfId="42452" xr:uid="{00000000-0005-0000-0000-000042A50000}"/>
    <cellStyle name="Normal 3 38 2 3" xfId="42453" xr:uid="{00000000-0005-0000-0000-000043A50000}"/>
    <cellStyle name="Normal 3 38 2 4" xfId="42454" xr:uid="{00000000-0005-0000-0000-000044A50000}"/>
    <cellStyle name="Normal 3 38 3" xfId="42455" xr:uid="{00000000-0005-0000-0000-000045A50000}"/>
    <cellStyle name="Normal 3 38 3 2" xfId="42456" xr:uid="{00000000-0005-0000-0000-000046A50000}"/>
    <cellStyle name="Normal 3 38 3 3" xfId="42457" xr:uid="{00000000-0005-0000-0000-000047A50000}"/>
    <cellStyle name="Normal 3 38 4" xfId="42458" xr:uid="{00000000-0005-0000-0000-000048A50000}"/>
    <cellStyle name="Normal 3 39" xfId="42459" xr:uid="{00000000-0005-0000-0000-000049A50000}"/>
    <cellStyle name="Normal 3 39 2" xfId="42460" xr:uid="{00000000-0005-0000-0000-00004AA50000}"/>
    <cellStyle name="Normal 3 39 2 2" xfId="42461" xr:uid="{00000000-0005-0000-0000-00004BA50000}"/>
    <cellStyle name="Normal 3 39 2 2 2" xfId="42462" xr:uid="{00000000-0005-0000-0000-00004CA50000}"/>
    <cellStyle name="Normal 3 39 2 2 3" xfId="42463" xr:uid="{00000000-0005-0000-0000-00004DA50000}"/>
    <cellStyle name="Normal 3 39 2 3" xfId="42464" xr:uid="{00000000-0005-0000-0000-00004EA50000}"/>
    <cellStyle name="Normal 3 39 2 4" xfId="42465" xr:uid="{00000000-0005-0000-0000-00004FA50000}"/>
    <cellStyle name="Normal 3 39 3" xfId="42466" xr:uid="{00000000-0005-0000-0000-000050A50000}"/>
    <cellStyle name="Normal 3 39 3 2" xfId="42467" xr:uid="{00000000-0005-0000-0000-000051A50000}"/>
    <cellStyle name="Normal 3 39 3 3" xfId="42468" xr:uid="{00000000-0005-0000-0000-000052A50000}"/>
    <cellStyle name="Normal 3 39 4" xfId="42469" xr:uid="{00000000-0005-0000-0000-000053A50000}"/>
    <cellStyle name="Normal 3 4" xfId="300" xr:uid="{00000000-0005-0000-0000-000054A50000}"/>
    <cellStyle name="Normal 3 4 10" xfId="42470" xr:uid="{00000000-0005-0000-0000-000055A50000}"/>
    <cellStyle name="Normal 3 4 10 2" xfId="42471" xr:uid="{00000000-0005-0000-0000-000056A50000}"/>
    <cellStyle name="Normal 3 4 10 2 2" xfId="42472" xr:uid="{00000000-0005-0000-0000-000057A50000}"/>
    <cellStyle name="Normal 3 4 10 2 2 2" xfId="42473" xr:uid="{00000000-0005-0000-0000-000058A50000}"/>
    <cellStyle name="Normal 3 4 10 2 2 3" xfId="42474" xr:uid="{00000000-0005-0000-0000-000059A50000}"/>
    <cellStyle name="Normal 3 4 10 2 3" xfId="42475" xr:uid="{00000000-0005-0000-0000-00005AA50000}"/>
    <cellStyle name="Normal 3 4 10 2 4" xfId="42476" xr:uid="{00000000-0005-0000-0000-00005BA50000}"/>
    <cellStyle name="Normal 3 4 10 3" xfId="42477" xr:uid="{00000000-0005-0000-0000-00005CA50000}"/>
    <cellStyle name="Normal 3 4 10 3 2" xfId="42478" xr:uid="{00000000-0005-0000-0000-00005DA50000}"/>
    <cellStyle name="Normal 3 4 10 3 3" xfId="42479" xr:uid="{00000000-0005-0000-0000-00005EA50000}"/>
    <cellStyle name="Normal 3 4 10 4" xfId="42480" xr:uid="{00000000-0005-0000-0000-00005FA50000}"/>
    <cellStyle name="Normal 3 4 11" xfId="42481" xr:uid="{00000000-0005-0000-0000-000060A50000}"/>
    <cellStyle name="Normal 3 4 11 2" xfId="42482" xr:uid="{00000000-0005-0000-0000-000061A50000}"/>
    <cellStyle name="Normal 3 4 11 2 2" xfId="42483" xr:uid="{00000000-0005-0000-0000-000062A50000}"/>
    <cellStyle name="Normal 3 4 11 2 2 2" xfId="42484" xr:uid="{00000000-0005-0000-0000-000063A50000}"/>
    <cellStyle name="Normal 3 4 11 2 2 3" xfId="42485" xr:uid="{00000000-0005-0000-0000-000064A50000}"/>
    <cellStyle name="Normal 3 4 11 2 3" xfId="42486" xr:uid="{00000000-0005-0000-0000-000065A50000}"/>
    <cellStyle name="Normal 3 4 11 2 4" xfId="42487" xr:uid="{00000000-0005-0000-0000-000066A50000}"/>
    <cellStyle name="Normal 3 4 11 3" xfId="42488" xr:uid="{00000000-0005-0000-0000-000067A50000}"/>
    <cellStyle name="Normal 3 4 11 3 2" xfId="42489" xr:uid="{00000000-0005-0000-0000-000068A50000}"/>
    <cellStyle name="Normal 3 4 11 3 3" xfId="42490" xr:uid="{00000000-0005-0000-0000-000069A50000}"/>
    <cellStyle name="Normal 3 4 11 4" xfId="42491" xr:uid="{00000000-0005-0000-0000-00006AA50000}"/>
    <cellStyle name="Normal 3 4 12" xfId="42492" xr:uid="{00000000-0005-0000-0000-00006BA50000}"/>
    <cellStyle name="Normal 3 4 12 2" xfId="42493" xr:uid="{00000000-0005-0000-0000-00006CA50000}"/>
    <cellStyle name="Normal 3 4 12 2 2" xfId="42494" xr:uid="{00000000-0005-0000-0000-00006DA50000}"/>
    <cellStyle name="Normal 3 4 12 2 2 2" xfId="42495" xr:uid="{00000000-0005-0000-0000-00006EA50000}"/>
    <cellStyle name="Normal 3 4 12 2 2 3" xfId="42496" xr:uid="{00000000-0005-0000-0000-00006FA50000}"/>
    <cellStyle name="Normal 3 4 12 2 3" xfId="42497" xr:uid="{00000000-0005-0000-0000-000070A50000}"/>
    <cellStyle name="Normal 3 4 12 2 4" xfId="42498" xr:uid="{00000000-0005-0000-0000-000071A50000}"/>
    <cellStyle name="Normal 3 4 12 3" xfId="42499" xr:uid="{00000000-0005-0000-0000-000072A50000}"/>
    <cellStyle name="Normal 3 4 12 3 2" xfId="42500" xr:uid="{00000000-0005-0000-0000-000073A50000}"/>
    <cellStyle name="Normal 3 4 12 3 3" xfId="42501" xr:uid="{00000000-0005-0000-0000-000074A50000}"/>
    <cellStyle name="Normal 3 4 12 4" xfId="42502" xr:uid="{00000000-0005-0000-0000-000075A50000}"/>
    <cellStyle name="Normal 3 4 13" xfId="42503" xr:uid="{00000000-0005-0000-0000-000076A50000}"/>
    <cellStyle name="Normal 3 4 13 2" xfId="42504" xr:uid="{00000000-0005-0000-0000-000077A50000}"/>
    <cellStyle name="Normal 3 4 13 2 2" xfId="42505" xr:uid="{00000000-0005-0000-0000-000078A50000}"/>
    <cellStyle name="Normal 3 4 13 2 2 2" xfId="42506" xr:uid="{00000000-0005-0000-0000-000079A50000}"/>
    <cellStyle name="Normal 3 4 13 2 2 3" xfId="42507" xr:uid="{00000000-0005-0000-0000-00007AA50000}"/>
    <cellStyle name="Normal 3 4 13 2 3" xfId="42508" xr:uid="{00000000-0005-0000-0000-00007BA50000}"/>
    <cellStyle name="Normal 3 4 13 2 4" xfId="42509" xr:uid="{00000000-0005-0000-0000-00007CA50000}"/>
    <cellStyle name="Normal 3 4 13 3" xfId="42510" xr:uid="{00000000-0005-0000-0000-00007DA50000}"/>
    <cellStyle name="Normal 3 4 13 3 2" xfId="42511" xr:uid="{00000000-0005-0000-0000-00007EA50000}"/>
    <cellStyle name="Normal 3 4 13 3 3" xfId="42512" xr:uid="{00000000-0005-0000-0000-00007FA50000}"/>
    <cellStyle name="Normal 3 4 13 4" xfId="42513" xr:uid="{00000000-0005-0000-0000-000080A50000}"/>
    <cellStyle name="Normal 3 4 14" xfId="42514" xr:uid="{00000000-0005-0000-0000-000081A50000}"/>
    <cellStyle name="Normal 3 4 14 2" xfId="42515" xr:uid="{00000000-0005-0000-0000-000082A50000}"/>
    <cellStyle name="Normal 3 4 14 2 2" xfId="42516" xr:uid="{00000000-0005-0000-0000-000083A50000}"/>
    <cellStyle name="Normal 3 4 14 2 2 2" xfId="42517" xr:uid="{00000000-0005-0000-0000-000084A50000}"/>
    <cellStyle name="Normal 3 4 14 2 2 3" xfId="42518" xr:uid="{00000000-0005-0000-0000-000085A50000}"/>
    <cellStyle name="Normal 3 4 14 2 3" xfId="42519" xr:uid="{00000000-0005-0000-0000-000086A50000}"/>
    <cellStyle name="Normal 3 4 14 2 4" xfId="42520" xr:uid="{00000000-0005-0000-0000-000087A50000}"/>
    <cellStyle name="Normal 3 4 14 3" xfId="42521" xr:uid="{00000000-0005-0000-0000-000088A50000}"/>
    <cellStyle name="Normal 3 4 14 3 2" xfId="42522" xr:uid="{00000000-0005-0000-0000-000089A50000}"/>
    <cellStyle name="Normal 3 4 14 3 3" xfId="42523" xr:uid="{00000000-0005-0000-0000-00008AA50000}"/>
    <cellStyle name="Normal 3 4 14 4" xfId="42524" xr:uid="{00000000-0005-0000-0000-00008BA50000}"/>
    <cellStyle name="Normal 3 4 15" xfId="42525" xr:uid="{00000000-0005-0000-0000-00008CA50000}"/>
    <cellStyle name="Normal 3 4 15 2" xfId="42526" xr:uid="{00000000-0005-0000-0000-00008DA50000}"/>
    <cellStyle name="Normal 3 4 15 2 2" xfId="42527" xr:uid="{00000000-0005-0000-0000-00008EA50000}"/>
    <cellStyle name="Normal 3 4 15 2 2 2" xfId="42528" xr:uid="{00000000-0005-0000-0000-00008FA50000}"/>
    <cellStyle name="Normal 3 4 15 2 2 3" xfId="42529" xr:uid="{00000000-0005-0000-0000-000090A50000}"/>
    <cellStyle name="Normal 3 4 15 2 3" xfId="42530" xr:uid="{00000000-0005-0000-0000-000091A50000}"/>
    <cellStyle name="Normal 3 4 15 2 4" xfId="42531" xr:uid="{00000000-0005-0000-0000-000092A50000}"/>
    <cellStyle name="Normal 3 4 15 3" xfId="42532" xr:uid="{00000000-0005-0000-0000-000093A50000}"/>
    <cellStyle name="Normal 3 4 15 3 2" xfId="42533" xr:uid="{00000000-0005-0000-0000-000094A50000}"/>
    <cellStyle name="Normal 3 4 15 3 3" xfId="42534" xr:uid="{00000000-0005-0000-0000-000095A50000}"/>
    <cellStyle name="Normal 3 4 15 4" xfId="42535" xr:uid="{00000000-0005-0000-0000-000096A50000}"/>
    <cellStyle name="Normal 3 4 16" xfId="42536" xr:uid="{00000000-0005-0000-0000-000097A50000}"/>
    <cellStyle name="Normal 3 4 16 2" xfId="42537" xr:uid="{00000000-0005-0000-0000-000098A50000}"/>
    <cellStyle name="Normal 3 4 16 2 2" xfId="42538" xr:uid="{00000000-0005-0000-0000-000099A50000}"/>
    <cellStyle name="Normal 3 4 16 2 2 2" xfId="42539" xr:uid="{00000000-0005-0000-0000-00009AA50000}"/>
    <cellStyle name="Normal 3 4 16 2 2 3" xfId="42540" xr:uid="{00000000-0005-0000-0000-00009BA50000}"/>
    <cellStyle name="Normal 3 4 16 2 3" xfId="42541" xr:uid="{00000000-0005-0000-0000-00009CA50000}"/>
    <cellStyle name="Normal 3 4 16 2 4" xfId="42542" xr:uid="{00000000-0005-0000-0000-00009DA50000}"/>
    <cellStyle name="Normal 3 4 16 3" xfId="42543" xr:uid="{00000000-0005-0000-0000-00009EA50000}"/>
    <cellStyle name="Normal 3 4 16 3 2" xfId="42544" xr:uid="{00000000-0005-0000-0000-00009FA50000}"/>
    <cellStyle name="Normal 3 4 16 3 3" xfId="42545" xr:uid="{00000000-0005-0000-0000-0000A0A50000}"/>
    <cellStyle name="Normal 3 4 16 4" xfId="42546" xr:uid="{00000000-0005-0000-0000-0000A1A50000}"/>
    <cellStyle name="Normal 3 4 17" xfId="42547" xr:uid="{00000000-0005-0000-0000-0000A2A50000}"/>
    <cellStyle name="Normal 3 4 17 2" xfId="42548" xr:uid="{00000000-0005-0000-0000-0000A3A50000}"/>
    <cellStyle name="Normal 3 4 17 2 2" xfId="42549" xr:uid="{00000000-0005-0000-0000-0000A4A50000}"/>
    <cellStyle name="Normal 3 4 17 2 2 2" xfId="42550" xr:uid="{00000000-0005-0000-0000-0000A5A50000}"/>
    <cellStyle name="Normal 3 4 17 2 2 3" xfId="42551" xr:uid="{00000000-0005-0000-0000-0000A6A50000}"/>
    <cellStyle name="Normal 3 4 17 2 3" xfId="42552" xr:uid="{00000000-0005-0000-0000-0000A7A50000}"/>
    <cellStyle name="Normal 3 4 17 2 4" xfId="42553" xr:uid="{00000000-0005-0000-0000-0000A8A50000}"/>
    <cellStyle name="Normal 3 4 17 3" xfId="42554" xr:uid="{00000000-0005-0000-0000-0000A9A50000}"/>
    <cellStyle name="Normal 3 4 17 3 2" xfId="42555" xr:uid="{00000000-0005-0000-0000-0000AAA50000}"/>
    <cellStyle name="Normal 3 4 17 3 3" xfId="42556" xr:uid="{00000000-0005-0000-0000-0000ABA50000}"/>
    <cellStyle name="Normal 3 4 17 4" xfId="42557" xr:uid="{00000000-0005-0000-0000-0000ACA50000}"/>
    <cellStyle name="Normal 3 4 18" xfId="42558" xr:uid="{00000000-0005-0000-0000-0000ADA50000}"/>
    <cellStyle name="Normal 3 4 18 2" xfId="42559" xr:uid="{00000000-0005-0000-0000-0000AEA50000}"/>
    <cellStyle name="Normal 3 4 18 2 2" xfId="42560" xr:uid="{00000000-0005-0000-0000-0000AFA50000}"/>
    <cellStyle name="Normal 3 4 18 2 2 2" xfId="42561" xr:uid="{00000000-0005-0000-0000-0000B0A50000}"/>
    <cellStyle name="Normal 3 4 18 2 2 3" xfId="42562" xr:uid="{00000000-0005-0000-0000-0000B1A50000}"/>
    <cellStyle name="Normal 3 4 18 2 3" xfId="42563" xr:uid="{00000000-0005-0000-0000-0000B2A50000}"/>
    <cellStyle name="Normal 3 4 18 2 4" xfId="42564" xr:uid="{00000000-0005-0000-0000-0000B3A50000}"/>
    <cellStyle name="Normal 3 4 18 3" xfId="42565" xr:uid="{00000000-0005-0000-0000-0000B4A50000}"/>
    <cellStyle name="Normal 3 4 18 3 2" xfId="42566" xr:uid="{00000000-0005-0000-0000-0000B5A50000}"/>
    <cellStyle name="Normal 3 4 18 3 3" xfId="42567" xr:uid="{00000000-0005-0000-0000-0000B6A50000}"/>
    <cellStyle name="Normal 3 4 18 4" xfId="42568" xr:uid="{00000000-0005-0000-0000-0000B7A50000}"/>
    <cellStyle name="Normal 3 4 19" xfId="42569" xr:uid="{00000000-0005-0000-0000-0000B8A50000}"/>
    <cellStyle name="Normal 3 4 19 2" xfId="42570" xr:uid="{00000000-0005-0000-0000-0000B9A50000}"/>
    <cellStyle name="Normal 3 4 19 2 2" xfId="42571" xr:uid="{00000000-0005-0000-0000-0000BAA50000}"/>
    <cellStyle name="Normal 3 4 19 2 2 2" xfId="42572" xr:uid="{00000000-0005-0000-0000-0000BBA50000}"/>
    <cellStyle name="Normal 3 4 19 2 2 3" xfId="42573" xr:uid="{00000000-0005-0000-0000-0000BCA50000}"/>
    <cellStyle name="Normal 3 4 19 2 3" xfId="42574" xr:uid="{00000000-0005-0000-0000-0000BDA50000}"/>
    <cellStyle name="Normal 3 4 19 2 4" xfId="42575" xr:uid="{00000000-0005-0000-0000-0000BEA50000}"/>
    <cellStyle name="Normal 3 4 19 3" xfId="42576" xr:uid="{00000000-0005-0000-0000-0000BFA50000}"/>
    <cellStyle name="Normal 3 4 19 3 2" xfId="42577" xr:uid="{00000000-0005-0000-0000-0000C0A50000}"/>
    <cellStyle name="Normal 3 4 19 3 3" xfId="42578" xr:uid="{00000000-0005-0000-0000-0000C1A50000}"/>
    <cellStyle name="Normal 3 4 19 4" xfId="42579" xr:uid="{00000000-0005-0000-0000-0000C2A50000}"/>
    <cellStyle name="Normal 3 4 2" xfId="42580" xr:uid="{00000000-0005-0000-0000-0000C3A50000}"/>
    <cellStyle name="Normal 3 4 2 2" xfId="42581" xr:uid="{00000000-0005-0000-0000-0000C4A50000}"/>
    <cellStyle name="Normal 3 4 2 2 2" xfId="42582" xr:uid="{00000000-0005-0000-0000-0000C5A50000}"/>
    <cellStyle name="Normal 3 4 2 2 2 2" xfId="42583" xr:uid="{00000000-0005-0000-0000-0000C6A50000}"/>
    <cellStyle name="Normal 3 4 2 2 2 3" xfId="42584" xr:uid="{00000000-0005-0000-0000-0000C7A50000}"/>
    <cellStyle name="Normal 3 4 2 2 3" xfId="42585" xr:uid="{00000000-0005-0000-0000-0000C8A50000}"/>
    <cellStyle name="Normal 3 4 2 2 4" xfId="42586" xr:uid="{00000000-0005-0000-0000-0000C9A50000}"/>
    <cellStyle name="Normal 3 4 2 3" xfId="42587" xr:uid="{00000000-0005-0000-0000-0000CAA50000}"/>
    <cellStyle name="Normal 3 4 2 3 2" xfId="42588" xr:uid="{00000000-0005-0000-0000-0000CBA50000}"/>
    <cellStyle name="Normal 3 4 2 3 3" xfId="42589" xr:uid="{00000000-0005-0000-0000-0000CCA50000}"/>
    <cellStyle name="Normal 3 4 2 4" xfId="42590" xr:uid="{00000000-0005-0000-0000-0000CDA50000}"/>
    <cellStyle name="Normal 3 4 2 5" xfId="42591" xr:uid="{00000000-0005-0000-0000-0000CEA50000}"/>
    <cellStyle name="Normal 3 4 20" xfId="42592" xr:uid="{00000000-0005-0000-0000-0000CFA50000}"/>
    <cellStyle name="Normal 3 4 20 2" xfId="42593" xr:uid="{00000000-0005-0000-0000-0000D0A50000}"/>
    <cellStyle name="Normal 3 4 20 2 2" xfId="42594" xr:uid="{00000000-0005-0000-0000-0000D1A50000}"/>
    <cellStyle name="Normal 3 4 20 2 2 2" xfId="42595" xr:uid="{00000000-0005-0000-0000-0000D2A50000}"/>
    <cellStyle name="Normal 3 4 20 2 2 3" xfId="42596" xr:uid="{00000000-0005-0000-0000-0000D3A50000}"/>
    <cellStyle name="Normal 3 4 20 2 3" xfId="42597" xr:uid="{00000000-0005-0000-0000-0000D4A50000}"/>
    <cellStyle name="Normal 3 4 20 2 4" xfId="42598" xr:uid="{00000000-0005-0000-0000-0000D5A50000}"/>
    <cellStyle name="Normal 3 4 20 3" xfId="42599" xr:uid="{00000000-0005-0000-0000-0000D6A50000}"/>
    <cellStyle name="Normal 3 4 20 3 2" xfId="42600" xr:uid="{00000000-0005-0000-0000-0000D7A50000}"/>
    <cellStyle name="Normal 3 4 20 3 3" xfId="42601" xr:uid="{00000000-0005-0000-0000-0000D8A50000}"/>
    <cellStyle name="Normal 3 4 20 4" xfId="42602" xr:uid="{00000000-0005-0000-0000-0000D9A50000}"/>
    <cellStyle name="Normal 3 4 21" xfId="42603" xr:uid="{00000000-0005-0000-0000-0000DAA50000}"/>
    <cellStyle name="Normal 3 4 21 2" xfId="42604" xr:uid="{00000000-0005-0000-0000-0000DBA50000}"/>
    <cellStyle name="Normal 3 4 21 2 2" xfId="42605" xr:uid="{00000000-0005-0000-0000-0000DCA50000}"/>
    <cellStyle name="Normal 3 4 21 2 2 2" xfId="42606" xr:uid="{00000000-0005-0000-0000-0000DDA50000}"/>
    <cellStyle name="Normal 3 4 21 2 2 3" xfId="42607" xr:uid="{00000000-0005-0000-0000-0000DEA50000}"/>
    <cellStyle name="Normal 3 4 21 2 3" xfId="42608" xr:uid="{00000000-0005-0000-0000-0000DFA50000}"/>
    <cellStyle name="Normal 3 4 21 2 4" xfId="42609" xr:uid="{00000000-0005-0000-0000-0000E0A50000}"/>
    <cellStyle name="Normal 3 4 21 3" xfId="42610" xr:uid="{00000000-0005-0000-0000-0000E1A50000}"/>
    <cellStyle name="Normal 3 4 21 3 2" xfId="42611" xr:uid="{00000000-0005-0000-0000-0000E2A50000}"/>
    <cellStyle name="Normal 3 4 21 3 3" xfId="42612" xr:uid="{00000000-0005-0000-0000-0000E3A50000}"/>
    <cellStyle name="Normal 3 4 21 4" xfId="42613" xr:uid="{00000000-0005-0000-0000-0000E4A50000}"/>
    <cellStyle name="Normal 3 4 22" xfId="42614" xr:uid="{00000000-0005-0000-0000-0000E5A50000}"/>
    <cellStyle name="Normal 3 4 22 2" xfId="42615" xr:uid="{00000000-0005-0000-0000-0000E6A50000}"/>
    <cellStyle name="Normal 3 4 22 2 2" xfId="42616" xr:uid="{00000000-0005-0000-0000-0000E7A50000}"/>
    <cellStyle name="Normal 3 4 22 2 2 2" xfId="42617" xr:uid="{00000000-0005-0000-0000-0000E8A50000}"/>
    <cellStyle name="Normal 3 4 22 2 2 3" xfId="42618" xr:uid="{00000000-0005-0000-0000-0000E9A50000}"/>
    <cellStyle name="Normal 3 4 22 2 3" xfId="42619" xr:uid="{00000000-0005-0000-0000-0000EAA50000}"/>
    <cellStyle name="Normal 3 4 22 2 4" xfId="42620" xr:uid="{00000000-0005-0000-0000-0000EBA50000}"/>
    <cellStyle name="Normal 3 4 22 3" xfId="42621" xr:uid="{00000000-0005-0000-0000-0000ECA50000}"/>
    <cellStyle name="Normal 3 4 22 3 2" xfId="42622" xr:uid="{00000000-0005-0000-0000-0000EDA50000}"/>
    <cellStyle name="Normal 3 4 22 3 3" xfId="42623" xr:uid="{00000000-0005-0000-0000-0000EEA50000}"/>
    <cellStyle name="Normal 3 4 22 4" xfId="42624" xr:uid="{00000000-0005-0000-0000-0000EFA50000}"/>
    <cellStyle name="Normal 3 4 23" xfId="42625" xr:uid="{00000000-0005-0000-0000-0000F0A50000}"/>
    <cellStyle name="Normal 3 4 23 2" xfId="42626" xr:uid="{00000000-0005-0000-0000-0000F1A50000}"/>
    <cellStyle name="Normal 3 4 23 2 2" xfId="42627" xr:uid="{00000000-0005-0000-0000-0000F2A50000}"/>
    <cellStyle name="Normal 3 4 23 2 2 2" xfId="42628" xr:uid="{00000000-0005-0000-0000-0000F3A50000}"/>
    <cellStyle name="Normal 3 4 23 2 2 3" xfId="42629" xr:uid="{00000000-0005-0000-0000-0000F4A50000}"/>
    <cellStyle name="Normal 3 4 23 2 3" xfId="42630" xr:uid="{00000000-0005-0000-0000-0000F5A50000}"/>
    <cellStyle name="Normal 3 4 23 2 4" xfId="42631" xr:uid="{00000000-0005-0000-0000-0000F6A50000}"/>
    <cellStyle name="Normal 3 4 23 3" xfId="42632" xr:uid="{00000000-0005-0000-0000-0000F7A50000}"/>
    <cellStyle name="Normal 3 4 23 3 2" xfId="42633" xr:uid="{00000000-0005-0000-0000-0000F8A50000}"/>
    <cellStyle name="Normal 3 4 23 3 3" xfId="42634" xr:uid="{00000000-0005-0000-0000-0000F9A50000}"/>
    <cellStyle name="Normal 3 4 23 4" xfId="42635" xr:uid="{00000000-0005-0000-0000-0000FAA50000}"/>
    <cellStyle name="Normal 3 4 24" xfId="42636" xr:uid="{00000000-0005-0000-0000-0000FBA50000}"/>
    <cellStyle name="Normal 3 4 24 2" xfId="42637" xr:uid="{00000000-0005-0000-0000-0000FCA50000}"/>
    <cellStyle name="Normal 3 4 24 2 2" xfId="42638" xr:uid="{00000000-0005-0000-0000-0000FDA50000}"/>
    <cellStyle name="Normal 3 4 24 2 3" xfId="42639" xr:uid="{00000000-0005-0000-0000-0000FEA50000}"/>
    <cellStyle name="Normal 3 4 24 3" xfId="42640" xr:uid="{00000000-0005-0000-0000-0000FFA50000}"/>
    <cellStyle name="Normal 3 4 24 4" xfId="42641" xr:uid="{00000000-0005-0000-0000-000000A60000}"/>
    <cellStyle name="Normal 3 4 25" xfId="42642" xr:uid="{00000000-0005-0000-0000-000001A60000}"/>
    <cellStyle name="Normal 3 4 25 2" xfId="42643" xr:uid="{00000000-0005-0000-0000-000002A60000}"/>
    <cellStyle name="Normal 3 4 25 3" xfId="42644" xr:uid="{00000000-0005-0000-0000-000003A60000}"/>
    <cellStyle name="Normal 3 4 26" xfId="42645" xr:uid="{00000000-0005-0000-0000-000004A60000}"/>
    <cellStyle name="Normal 3 4 27" xfId="42646" xr:uid="{00000000-0005-0000-0000-000005A60000}"/>
    <cellStyle name="Normal 3 4 3" xfId="42647" xr:uid="{00000000-0005-0000-0000-000006A60000}"/>
    <cellStyle name="Normal 3 4 3 2" xfId="42648" xr:uid="{00000000-0005-0000-0000-000007A60000}"/>
    <cellStyle name="Normal 3 4 3 2 2" xfId="42649" xr:uid="{00000000-0005-0000-0000-000008A60000}"/>
    <cellStyle name="Normal 3 4 3 2 2 2" xfId="42650" xr:uid="{00000000-0005-0000-0000-000009A60000}"/>
    <cellStyle name="Normal 3 4 3 2 2 3" xfId="42651" xr:uid="{00000000-0005-0000-0000-00000AA60000}"/>
    <cellStyle name="Normal 3 4 3 2 3" xfId="42652" xr:uid="{00000000-0005-0000-0000-00000BA60000}"/>
    <cellStyle name="Normal 3 4 3 2 4" xfId="42653" xr:uid="{00000000-0005-0000-0000-00000CA60000}"/>
    <cellStyle name="Normal 3 4 3 3" xfId="42654" xr:uid="{00000000-0005-0000-0000-00000DA60000}"/>
    <cellStyle name="Normal 3 4 3 3 2" xfId="42655" xr:uid="{00000000-0005-0000-0000-00000EA60000}"/>
    <cellStyle name="Normal 3 4 3 3 3" xfId="42656" xr:uid="{00000000-0005-0000-0000-00000FA60000}"/>
    <cellStyle name="Normal 3 4 3 4" xfId="42657" xr:uid="{00000000-0005-0000-0000-000010A60000}"/>
    <cellStyle name="Normal 3 4 3 5" xfId="42658" xr:uid="{00000000-0005-0000-0000-000011A60000}"/>
    <cellStyle name="Normal 3 4 4" xfId="42659" xr:uid="{00000000-0005-0000-0000-000012A60000}"/>
    <cellStyle name="Normal 3 4 4 2" xfId="42660" xr:uid="{00000000-0005-0000-0000-000013A60000}"/>
    <cellStyle name="Normal 3 4 4 2 2" xfId="42661" xr:uid="{00000000-0005-0000-0000-000014A60000}"/>
    <cellStyle name="Normal 3 4 4 2 2 2" xfId="42662" xr:uid="{00000000-0005-0000-0000-000015A60000}"/>
    <cellStyle name="Normal 3 4 4 2 2 3" xfId="42663" xr:uid="{00000000-0005-0000-0000-000016A60000}"/>
    <cellStyle name="Normal 3 4 4 2 3" xfId="42664" xr:uid="{00000000-0005-0000-0000-000017A60000}"/>
    <cellStyle name="Normal 3 4 4 2 4" xfId="42665" xr:uid="{00000000-0005-0000-0000-000018A60000}"/>
    <cellStyle name="Normal 3 4 4 3" xfId="42666" xr:uid="{00000000-0005-0000-0000-000019A60000}"/>
    <cellStyle name="Normal 3 4 4 3 2" xfId="42667" xr:uid="{00000000-0005-0000-0000-00001AA60000}"/>
    <cellStyle name="Normal 3 4 4 3 3" xfId="42668" xr:uid="{00000000-0005-0000-0000-00001BA60000}"/>
    <cellStyle name="Normal 3 4 4 4" xfId="42669" xr:uid="{00000000-0005-0000-0000-00001CA60000}"/>
    <cellStyle name="Normal 3 4 5" xfId="42670" xr:uid="{00000000-0005-0000-0000-00001DA60000}"/>
    <cellStyle name="Normal 3 4 5 2" xfId="42671" xr:uid="{00000000-0005-0000-0000-00001EA60000}"/>
    <cellStyle name="Normal 3 4 5 2 2" xfId="42672" xr:uid="{00000000-0005-0000-0000-00001FA60000}"/>
    <cellStyle name="Normal 3 4 5 2 2 2" xfId="42673" xr:uid="{00000000-0005-0000-0000-000020A60000}"/>
    <cellStyle name="Normal 3 4 5 2 2 3" xfId="42674" xr:uid="{00000000-0005-0000-0000-000021A60000}"/>
    <cellStyle name="Normal 3 4 5 2 3" xfId="42675" xr:uid="{00000000-0005-0000-0000-000022A60000}"/>
    <cellStyle name="Normal 3 4 5 2 4" xfId="42676" xr:uid="{00000000-0005-0000-0000-000023A60000}"/>
    <cellStyle name="Normal 3 4 5 3" xfId="42677" xr:uid="{00000000-0005-0000-0000-000024A60000}"/>
    <cellStyle name="Normal 3 4 5 3 2" xfId="42678" xr:uid="{00000000-0005-0000-0000-000025A60000}"/>
    <cellStyle name="Normal 3 4 5 3 3" xfId="42679" xr:uid="{00000000-0005-0000-0000-000026A60000}"/>
    <cellStyle name="Normal 3 4 5 4" xfId="42680" xr:uid="{00000000-0005-0000-0000-000027A60000}"/>
    <cellStyle name="Normal 3 4 6" xfId="42681" xr:uid="{00000000-0005-0000-0000-000028A60000}"/>
    <cellStyle name="Normal 3 4 6 2" xfId="42682" xr:uid="{00000000-0005-0000-0000-000029A60000}"/>
    <cellStyle name="Normal 3 4 6 2 2" xfId="42683" xr:uid="{00000000-0005-0000-0000-00002AA60000}"/>
    <cellStyle name="Normal 3 4 6 2 2 2" xfId="42684" xr:uid="{00000000-0005-0000-0000-00002BA60000}"/>
    <cellStyle name="Normal 3 4 6 2 2 3" xfId="42685" xr:uid="{00000000-0005-0000-0000-00002CA60000}"/>
    <cellStyle name="Normal 3 4 6 2 3" xfId="42686" xr:uid="{00000000-0005-0000-0000-00002DA60000}"/>
    <cellStyle name="Normal 3 4 6 2 4" xfId="42687" xr:uid="{00000000-0005-0000-0000-00002EA60000}"/>
    <cellStyle name="Normal 3 4 6 3" xfId="42688" xr:uid="{00000000-0005-0000-0000-00002FA60000}"/>
    <cellStyle name="Normal 3 4 6 3 2" xfId="42689" xr:uid="{00000000-0005-0000-0000-000030A60000}"/>
    <cellStyle name="Normal 3 4 6 3 3" xfId="42690" xr:uid="{00000000-0005-0000-0000-000031A60000}"/>
    <cellStyle name="Normal 3 4 6 4" xfId="42691" xr:uid="{00000000-0005-0000-0000-000032A60000}"/>
    <cellStyle name="Normal 3 4 7" xfId="42692" xr:uid="{00000000-0005-0000-0000-000033A60000}"/>
    <cellStyle name="Normal 3 4 7 2" xfId="42693" xr:uid="{00000000-0005-0000-0000-000034A60000}"/>
    <cellStyle name="Normal 3 4 7 2 2" xfId="42694" xr:uid="{00000000-0005-0000-0000-000035A60000}"/>
    <cellStyle name="Normal 3 4 7 2 2 2" xfId="42695" xr:uid="{00000000-0005-0000-0000-000036A60000}"/>
    <cellStyle name="Normal 3 4 7 2 2 3" xfId="42696" xr:uid="{00000000-0005-0000-0000-000037A60000}"/>
    <cellStyle name="Normal 3 4 7 2 3" xfId="42697" xr:uid="{00000000-0005-0000-0000-000038A60000}"/>
    <cellStyle name="Normal 3 4 7 2 4" xfId="42698" xr:uid="{00000000-0005-0000-0000-000039A60000}"/>
    <cellStyle name="Normal 3 4 7 3" xfId="42699" xr:uid="{00000000-0005-0000-0000-00003AA60000}"/>
    <cellStyle name="Normal 3 4 7 3 2" xfId="42700" xr:uid="{00000000-0005-0000-0000-00003BA60000}"/>
    <cellStyle name="Normal 3 4 7 3 3" xfId="42701" xr:uid="{00000000-0005-0000-0000-00003CA60000}"/>
    <cellStyle name="Normal 3 4 7 4" xfId="42702" xr:uid="{00000000-0005-0000-0000-00003DA60000}"/>
    <cellStyle name="Normal 3 4 8" xfId="42703" xr:uid="{00000000-0005-0000-0000-00003EA60000}"/>
    <cellStyle name="Normal 3 4 8 2" xfId="42704" xr:uid="{00000000-0005-0000-0000-00003FA60000}"/>
    <cellStyle name="Normal 3 4 8 2 2" xfId="42705" xr:uid="{00000000-0005-0000-0000-000040A60000}"/>
    <cellStyle name="Normal 3 4 8 2 2 2" xfId="42706" xr:uid="{00000000-0005-0000-0000-000041A60000}"/>
    <cellStyle name="Normal 3 4 8 2 2 3" xfId="42707" xr:uid="{00000000-0005-0000-0000-000042A60000}"/>
    <cellStyle name="Normal 3 4 8 2 3" xfId="42708" xr:uid="{00000000-0005-0000-0000-000043A60000}"/>
    <cellStyle name="Normal 3 4 8 2 4" xfId="42709" xr:uid="{00000000-0005-0000-0000-000044A60000}"/>
    <cellStyle name="Normal 3 4 8 3" xfId="42710" xr:uid="{00000000-0005-0000-0000-000045A60000}"/>
    <cellStyle name="Normal 3 4 8 3 2" xfId="42711" xr:uid="{00000000-0005-0000-0000-000046A60000}"/>
    <cellStyle name="Normal 3 4 8 3 3" xfId="42712" xr:uid="{00000000-0005-0000-0000-000047A60000}"/>
    <cellStyle name="Normal 3 4 8 4" xfId="42713" xr:uid="{00000000-0005-0000-0000-000048A60000}"/>
    <cellStyle name="Normal 3 4 9" xfId="42714" xr:uid="{00000000-0005-0000-0000-000049A60000}"/>
    <cellStyle name="Normal 3 4 9 2" xfId="42715" xr:uid="{00000000-0005-0000-0000-00004AA60000}"/>
    <cellStyle name="Normal 3 4 9 2 2" xfId="42716" xr:uid="{00000000-0005-0000-0000-00004BA60000}"/>
    <cellStyle name="Normal 3 4 9 2 2 2" xfId="42717" xr:uid="{00000000-0005-0000-0000-00004CA60000}"/>
    <cellStyle name="Normal 3 4 9 2 2 3" xfId="42718" xr:uid="{00000000-0005-0000-0000-00004DA60000}"/>
    <cellStyle name="Normal 3 4 9 2 3" xfId="42719" xr:uid="{00000000-0005-0000-0000-00004EA60000}"/>
    <cellStyle name="Normal 3 4 9 2 4" xfId="42720" xr:uid="{00000000-0005-0000-0000-00004FA60000}"/>
    <cellStyle name="Normal 3 4 9 3" xfId="42721" xr:uid="{00000000-0005-0000-0000-000050A60000}"/>
    <cellStyle name="Normal 3 4 9 3 2" xfId="42722" xr:uid="{00000000-0005-0000-0000-000051A60000}"/>
    <cellStyle name="Normal 3 4 9 3 3" xfId="42723" xr:uid="{00000000-0005-0000-0000-000052A60000}"/>
    <cellStyle name="Normal 3 4 9 4" xfId="42724" xr:uid="{00000000-0005-0000-0000-000053A60000}"/>
    <cellStyle name="Normal 3 40" xfId="42725" xr:uid="{00000000-0005-0000-0000-000054A60000}"/>
    <cellStyle name="Normal 3 40 2" xfId="42726" xr:uid="{00000000-0005-0000-0000-000055A60000}"/>
    <cellStyle name="Normal 3 40 2 2" xfId="42727" xr:uid="{00000000-0005-0000-0000-000056A60000}"/>
    <cellStyle name="Normal 3 40 2 2 2" xfId="42728" xr:uid="{00000000-0005-0000-0000-000057A60000}"/>
    <cellStyle name="Normal 3 40 2 2 3" xfId="42729" xr:uid="{00000000-0005-0000-0000-000058A60000}"/>
    <cellStyle name="Normal 3 40 2 3" xfId="42730" xr:uid="{00000000-0005-0000-0000-000059A60000}"/>
    <cellStyle name="Normal 3 40 2 4" xfId="42731" xr:uid="{00000000-0005-0000-0000-00005AA60000}"/>
    <cellStyle name="Normal 3 40 3" xfId="42732" xr:uid="{00000000-0005-0000-0000-00005BA60000}"/>
    <cellStyle name="Normal 3 40 3 2" xfId="42733" xr:uid="{00000000-0005-0000-0000-00005CA60000}"/>
    <cellStyle name="Normal 3 40 3 3" xfId="42734" xr:uid="{00000000-0005-0000-0000-00005DA60000}"/>
    <cellStyle name="Normal 3 40 4" xfId="42735" xr:uid="{00000000-0005-0000-0000-00005EA60000}"/>
    <cellStyle name="Normal 3 41" xfId="42736" xr:uid="{00000000-0005-0000-0000-00005FA60000}"/>
    <cellStyle name="Normal 3 41 2" xfId="42737" xr:uid="{00000000-0005-0000-0000-000060A60000}"/>
    <cellStyle name="Normal 3 41 2 2" xfId="42738" xr:uid="{00000000-0005-0000-0000-000061A60000}"/>
    <cellStyle name="Normal 3 41 2 2 2" xfId="42739" xr:uid="{00000000-0005-0000-0000-000062A60000}"/>
    <cellStyle name="Normal 3 41 2 2 3" xfId="42740" xr:uid="{00000000-0005-0000-0000-000063A60000}"/>
    <cellStyle name="Normal 3 41 2 3" xfId="42741" xr:uid="{00000000-0005-0000-0000-000064A60000}"/>
    <cellStyle name="Normal 3 41 2 4" xfId="42742" xr:uid="{00000000-0005-0000-0000-000065A60000}"/>
    <cellStyle name="Normal 3 41 3" xfId="42743" xr:uid="{00000000-0005-0000-0000-000066A60000}"/>
    <cellStyle name="Normal 3 41 3 2" xfId="42744" xr:uid="{00000000-0005-0000-0000-000067A60000}"/>
    <cellStyle name="Normal 3 41 3 3" xfId="42745" xr:uid="{00000000-0005-0000-0000-000068A60000}"/>
    <cellStyle name="Normal 3 41 4" xfId="42746" xr:uid="{00000000-0005-0000-0000-000069A60000}"/>
    <cellStyle name="Normal 3 42" xfId="42747" xr:uid="{00000000-0005-0000-0000-00006AA60000}"/>
    <cellStyle name="Normal 3 42 2" xfId="42748" xr:uid="{00000000-0005-0000-0000-00006BA60000}"/>
    <cellStyle name="Normal 3 42 2 2" xfId="42749" xr:uid="{00000000-0005-0000-0000-00006CA60000}"/>
    <cellStyle name="Normal 3 42 2 2 2" xfId="42750" xr:uid="{00000000-0005-0000-0000-00006DA60000}"/>
    <cellStyle name="Normal 3 42 2 2 3" xfId="42751" xr:uid="{00000000-0005-0000-0000-00006EA60000}"/>
    <cellStyle name="Normal 3 42 2 3" xfId="42752" xr:uid="{00000000-0005-0000-0000-00006FA60000}"/>
    <cellStyle name="Normal 3 42 2 4" xfId="42753" xr:uid="{00000000-0005-0000-0000-000070A60000}"/>
    <cellStyle name="Normal 3 42 3" xfId="42754" xr:uid="{00000000-0005-0000-0000-000071A60000}"/>
    <cellStyle name="Normal 3 42 3 2" xfId="42755" xr:uid="{00000000-0005-0000-0000-000072A60000}"/>
    <cellStyle name="Normal 3 42 3 3" xfId="42756" xr:uid="{00000000-0005-0000-0000-000073A60000}"/>
    <cellStyle name="Normal 3 42 4" xfId="42757" xr:uid="{00000000-0005-0000-0000-000074A60000}"/>
    <cellStyle name="Normal 3 43" xfId="42758" xr:uid="{00000000-0005-0000-0000-000075A60000}"/>
    <cellStyle name="Normal 3 43 2" xfId="42759" xr:uid="{00000000-0005-0000-0000-000076A60000}"/>
    <cellStyle name="Normal 3 43 2 2" xfId="42760" xr:uid="{00000000-0005-0000-0000-000077A60000}"/>
    <cellStyle name="Normal 3 43 2 2 2" xfId="42761" xr:uid="{00000000-0005-0000-0000-000078A60000}"/>
    <cellStyle name="Normal 3 43 2 2 3" xfId="42762" xr:uid="{00000000-0005-0000-0000-000079A60000}"/>
    <cellStyle name="Normal 3 43 2 3" xfId="42763" xr:uid="{00000000-0005-0000-0000-00007AA60000}"/>
    <cellStyle name="Normal 3 43 2 4" xfId="42764" xr:uid="{00000000-0005-0000-0000-00007BA60000}"/>
    <cellStyle name="Normal 3 43 3" xfId="42765" xr:uid="{00000000-0005-0000-0000-00007CA60000}"/>
    <cellStyle name="Normal 3 43 3 2" xfId="42766" xr:uid="{00000000-0005-0000-0000-00007DA60000}"/>
    <cellStyle name="Normal 3 43 3 3" xfId="42767" xr:uid="{00000000-0005-0000-0000-00007EA60000}"/>
    <cellStyle name="Normal 3 43 4" xfId="42768" xr:uid="{00000000-0005-0000-0000-00007FA60000}"/>
    <cellStyle name="Normal 3 44" xfId="42769" xr:uid="{00000000-0005-0000-0000-000080A60000}"/>
    <cellStyle name="Normal 3 44 2" xfId="42770" xr:uid="{00000000-0005-0000-0000-000081A60000}"/>
    <cellStyle name="Normal 3 44 2 2" xfId="42771" xr:uid="{00000000-0005-0000-0000-000082A60000}"/>
    <cellStyle name="Normal 3 44 2 2 2" xfId="42772" xr:uid="{00000000-0005-0000-0000-000083A60000}"/>
    <cellStyle name="Normal 3 44 2 2 3" xfId="42773" xr:uid="{00000000-0005-0000-0000-000084A60000}"/>
    <cellStyle name="Normal 3 44 2 3" xfId="42774" xr:uid="{00000000-0005-0000-0000-000085A60000}"/>
    <cellStyle name="Normal 3 44 2 4" xfId="42775" xr:uid="{00000000-0005-0000-0000-000086A60000}"/>
    <cellStyle name="Normal 3 44 3" xfId="42776" xr:uid="{00000000-0005-0000-0000-000087A60000}"/>
    <cellStyle name="Normal 3 44 3 2" xfId="42777" xr:uid="{00000000-0005-0000-0000-000088A60000}"/>
    <cellStyle name="Normal 3 44 3 3" xfId="42778" xr:uid="{00000000-0005-0000-0000-000089A60000}"/>
    <cellStyle name="Normal 3 44 4" xfId="42779" xr:uid="{00000000-0005-0000-0000-00008AA60000}"/>
    <cellStyle name="Normal 3 45" xfId="42780" xr:uid="{00000000-0005-0000-0000-00008BA60000}"/>
    <cellStyle name="Normal 3 45 2" xfId="42781" xr:uid="{00000000-0005-0000-0000-00008CA60000}"/>
    <cellStyle name="Normal 3 45 2 2" xfId="42782" xr:uid="{00000000-0005-0000-0000-00008DA60000}"/>
    <cellStyle name="Normal 3 45 2 2 2" xfId="42783" xr:uid="{00000000-0005-0000-0000-00008EA60000}"/>
    <cellStyle name="Normal 3 45 2 2 3" xfId="42784" xr:uid="{00000000-0005-0000-0000-00008FA60000}"/>
    <cellStyle name="Normal 3 45 2 3" xfId="42785" xr:uid="{00000000-0005-0000-0000-000090A60000}"/>
    <cellStyle name="Normal 3 45 2 4" xfId="42786" xr:uid="{00000000-0005-0000-0000-000091A60000}"/>
    <cellStyle name="Normal 3 45 3" xfId="42787" xr:uid="{00000000-0005-0000-0000-000092A60000}"/>
    <cellStyle name="Normal 3 45 3 2" xfId="42788" xr:uid="{00000000-0005-0000-0000-000093A60000}"/>
    <cellStyle name="Normal 3 45 3 3" xfId="42789" xr:uid="{00000000-0005-0000-0000-000094A60000}"/>
    <cellStyle name="Normal 3 45 4" xfId="42790" xr:uid="{00000000-0005-0000-0000-000095A60000}"/>
    <cellStyle name="Normal 3 46" xfId="42791" xr:uid="{00000000-0005-0000-0000-000096A60000}"/>
    <cellStyle name="Normal 3 46 2" xfId="42792" xr:uid="{00000000-0005-0000-0000-000097A60000}"/>
    <cellStyle name="Normal 3 46 2 2" xfId="42793" xr:uid="{00000000-0005-0000-0000-000098A60000}"/>
    <cellStyle name="Normal 3 46 2 2 2" xfId="42794" xr:uid="{00000000-0005-0000-0000-000099A60000}"/>
    <cellStyle name="Normal 3 46 2 2 3" xfId="42795" xr:uid="{00000000-0005-0000-0000-00009AA60000}"/>
    <cellStyle name="Normal 3 46 2 3" xfId="42796" xr:uid="{00000000-0005-0000-0000-00009BA60000}"/>
    <cellStyle name="Normal 3 46 2 4" xfId="42797" xr:uid="{00000000-0005-0000-0000-00009CA60000}"/>
    <cellStyle name="Normal 3 46 3" xfId="42798" xr:uid="{00000000-0005-0000-0000-00009DA60000}"/>
    <cellStyle name="Normal 3 46 3 2" xfId="42799" xr:uid="{00000000-0005-0000-0000-00009EA60000}"/>
    <cellStyle name="Normal 3 46 3 3" xfId="42800" xr:uid="{00000000-0005-0000-0000-00009FA60000}"/>
    <cellStyle name="Normal 3 46 4" xfId="42801" xr:uid="{00000000-0005-0000-0000-0000A0A60000}"/>
    <cellStyle name="Normal 3 47" xfId="42802" xr:uid="{00000000-0005-0000-0000-0000A1A60000}"/>
    <cellStyle name="Normal 3 47 2" xfId="42803" xr:uid="{00000000-0005-0000-0000-0000A2A60000}"/>
    <cellStyle name="Normal 3 47 2 2" xfId="42804" xr:uid="{00000000-0005-0000-0000-0000A3A60000}"/>
    <cellStyle name="Normal 3 47 2 2 2" xfId="42805" xr:uid="{00000000-0005-0000-0000-0000A4A60000}"/>
    <cellStyle name="Normal 3 47 2 2 3" xfId="42806" xr:uid="{00000000-0005-0000-0000-0000A5A60000}"/>
    <cellStyle name="Normal 3 47 2 3" xfId="42807" xr:uid="{00000000-0005-0000-0000-0000A6A60000}"/>
    <cellStyle name="Normal 3 47 2 4" xfId="42808" xr:uid="{00000000-0005-0000-0000-0000A7A60000}"/>
    <cellStyle name="Normal 3 47 3" xfId="42809" xr:uid="{00000000-0005-0000-0000-0000A8A60000}"/>
    <cellStyle name="Normal 3 47 3 2" xfId="42810" xr:uid="{00000000-0005-0000-0000-0000A9A60000}"/>
    <cellStyle name="Normal 3 47 3 3" xfId="42811" xr:uid="{00000000-0005-0000-0000-0000AAA60000}"/>
    <cellStyle name="Normal 3 47 4" xfId="42812" xr:uid="{00000000-0005-0000-0000-0000ABA60000}"/>
    <cellStyle name="Normal 3 48" xfId="42813" xr:uid="{00000000-0005-0000-0000-0000ACA60000}"/>
    <cellStyle name="Normal 3 48 2" xfId="42814" xr:uid="{00000000-0005-0000-0000-0000ADA60000}"/>
    <cellStyle name="Normal 3 48 2 2" xfId="42815" xr:uid="{00000000-0005-0000-0000-0000AEA60000}"/>
    <cellStyle name="Normal 3 48 2 2 2" xfId="42816" xr:uid="{00000000-0005-0000-0000-0000AFA60000}"/>
    <cellStyle name="Normal 3 48 2 2 3" xfId="42817" xr:uid="{00000000-0005-0000-0000-0000B0A60000}"/>
    <cellStyle name="Normal 3 48 2 3" xfId="42818" xr:uid="{00000000-0005-0000-0000-0000B1A60000}"/>
    <cellStyle name="Normal 3 48 2 4" xfId="42819" xr:uid="{00000000-0005-0000-0000-0000B2A60000}"/>
    <cellStyle name="Normal 3 48 3" xfId="42820" xr:uid="{00000000-0005-0000-0000-0000B3A60000}"/>
    <cellStyle name="Normal 3 48 3 2" xfId="42821" xr:uid="{00000000-0005-0000-0000-0000B4A60000}"/>
    <cellStyle name="Normal 3 48 3 3" xfId="42822" xr:uid="{00000000-0005-0000-0000-0000B5A60000}"/>
    <cellStyle name="Normal 3 48 4" xfId="42823" xr:uid="{00000000-0005-0000-0000-0000B6A60000}"/>
    <cellStyle name="Normal 3 49" xfId="42824" xr:uid="{00000000-0005-0000-0000-0000B7A60000}"/>
    <cellStyle name="Normal 3 49 2" xfId="42825" xr:uid="{00000000-0005-0000-0000-0000B8A60000}"/>
    <cellStyle name="Normal 3 49 2 2" xfId="42826" xr:uid="{00000000-0005-0000-0000-0000B9A60000}"/>
    <cellStyle name="Normal 3 49 2 2 2" xfId="42827" xr:uid="{00000000-0005-0000-0000-0000BAA60000}"/>
    <cellStyle name="Normal 3 49 2 2 3" xfId="42828" xr:uid="{00000000-0005-0000-0000-0000BBA60000}"/>
    <cellStyle name="Normal 3 49 2 3" xfId="42829" xr:uid="{00000000-0005-0000-0000-0000BCA60000}"/>
    <cellStyle name="Normal 3 49 2 4" xfId="42830" xr:uid="{00000000-0005-0000-0000-0000BDA60000}"/>
    <cellStyle name="Normal 3 49 3" xfId="42831" xr:uid="{00000000-0005-0000-0000-0000BEA60000}"/>
    <cellStyle name="Normal 3 49 3 2" xfId="42832" xr:uid="{00000000-0005-0000-0000-0000BFA60000}"/>
    <cellStyle name="Normal 3 49 3 3" xfId="42833" xr:uid="{00000000-0005-0000-0000-0000C0A60000}"/>
    <cellStyle name="Normal 3 49 4" xfId="42834" xr:uid="{00000000-0005-0000-0000-0000C1A60000}"/>
    <cellStyle name="Normal 3 5" xfId="42835" xr:uid="{00000000-0005-0000-0000-0000C2A60000}"/>
    <cellStyle name="Normal 3 5 10" xfId="42836" xr:uid="{00000000-0005-0000-0000-0000C3A60000}"/>
    <cellStyle name="Normal 3 5 10 2" xfId="42837" xr:uid="{00000000-0005-0000-0000-0000C4A60000}"/>
    <cellStyle name="Normal 3 5 10 2 2" xfId="42838" xr:uid="{00000000-0005-0000-0000-0000C5A60000}"/>
    <cellStyle name="Normal 3 5 10 2 2 2" xfId="42839" xr:uid="{00000000-0005-0000-0000-0000C6A60000}"/>
    <cellStyle name="Normal 3 5 10 2 2 3" xfId="42840" xr:uid="{00000000-0005-0000-0000-0000C7A60000}"/>
    <cellStyle name="Normal 3 5 10 2 3" xfId="42841" xr:uid="{00000000-0005-0000-0000-0000C8A60000}"/>
    <cellStyle name="Normal 3 5 10 2 4" xfId="42842" xr:uid="{00000000-0005-0000-0000-0000C9A60000}"/>
    <cellStyle name="Normal 3 5 10 3" xfId="42843" xr:uid="{00000000-0005-0000-0000-0000CAA60000}"/>
    <cellStyle name="Normal 3 5 10 3 2" xfId="42844" xr:uid="{00000000-0005-0000-0000-0000CBA60000}"/>
    <cellStyle name="Normal 3 5 10 3 3" xfId="42845" xr:uid="{00000000-0005-0000-0000-0000CCA60000}"/>
    <cellStyle name="Normal 3 5 10 4" xfId="42846" xr:uid="{00000000-0005-0000-0000-0000CDA60000}"/>
    <cellStyle name="Normal 3 5 11" xfId="42847" xr:uid="{00000000-0005-0000-0000-0000CEA60000}"/>
    <cellStyle name="Normal 3 5 11 2" xfId="42848" xr:uid="{00000000-0005-0000-0000-0000CFA60000}"/>
    <cellStyle name="Normal 3 5 11 2 2" xfId="42849" xr:uid="{00000000-0005-0000-0000-0000D0A60000}"/>
    <cellStyle name="Normal 3 5 11 2 2 2" xfId="42850" xr:uid="{00000000-0005-0000-0000-0000D1A60000}"/>
    <cellStyle name="Normal 3 5 11 2 2 3" xfId="42851" xr:uid="{00000000-0005-0000-0000-0000D2A60000}"/>
    <cellStyle name="Normal 3 5 11 2 3" xfId="42852" xr:uid="{00000000-0005-0000-0000-0000D3A60000}"/>
    <cellStyle name="Normal 3 5 11 2 4" xfId="42853" xr:uid="{00000000-0005-0000-0000-0000D4A60000}"/>
    <cellStyle name="Normal 3 5 11 3" xfId="42854" xr:uid="{00000000-0005-0000-0000-0000D5A60000}"/>
    <cellStyle name="Normal 3 5 11 3 2" xfId="42855" xr:uid="{00000000-0005-0000-0000-0000D6A60000}"/>
    <cellStyle name="Normal 3 5 11 3 3" xfId="42856" xr:uid="{00000000-0005-0000-0000-0000D7A60000}"/>
    <cellStyle name="Normal 3 5 11 4" xfId="42857" xr:uid="{00000000-0005-0000-0000-0000D8A60000}"/>
    <cellStyle name="Normal 3 5 12" xfId="42858" xr:uid="{00000000-0005-0000-0000-0000D9A60000}"/>
    <cellStyle name="Normal 3 5 12 2" xfId="42859" xr:uid="{00000000-0005-0000-0000-0000DAA60000}"/>
    <cellStyle name="Normal 3 5 12 2 2" xfId="42860" xr:uid="{00000000-0005-0000-0000-0000DBA60000}"/>
    <cellStyle name="Normal 3 5 12 2 2 2" xfId="42861" xr:uid="{00000000-0005-0000-0000-0000DCA60000}"/>
    <cellStyle name="Normal 3 5 12 2 2 3" xfId="42862" xr:uid="{00000000-0005-0000-0000-0000DDA60000}"/>
    <cellStyle name="Normal 3 5 12 2 3" xfId="42863" xr:uid="{00000000-0005-0000-0000-0000DEA60000}"/>
    <cellStyle name="Normal 3 5 12 2 4" xfId="42864" xr:uid="{00000000-0005-0000-0000-0000DFA60000}"/>
    <cellStyle name="Normal 3 5 12 3" xfId="42865" xr:uid="{00000000-0005-0000-0000-0000E0A60000}"/>
    <cellStyle name="Normal 3 5 12 3 2" xfId="42866" xr:uid="{00000000-0005-0000-0000-0000E1A60000}"/>
    <cellStyle name="Normal 3 5 12 3 3" xfId="42867" xr:uid="{00000000-0005-0000-0000-0000E2A60000}"/>
    <cellStyle name="Normal 3 5 12 4" xfId="42868" xr:uid="{00000000-0005-0000-0000-0000E3A60000}"/>
    <cellStyle name="Normal 3 5 13" xfId="42869" xr:uid="{00000000-0005-0000-0000-0000E4A60000}"/>
    <cellStyle name="Normal 3 5 13 2" xfId="42870" xr:uid="{00000000-0005-0000-0000-0000E5A60000}"/>
    <cellStyle name="Normal 3 5 13 2 2" xfId="42871" xr:uid="{00000000-0005-0000-0000-0000E6A60000}"/>
    <cellStyle name="Normal 3 5 13 2 2 2" xfId="42872" xr:uid="{00000000-0005-0000-0000-0000E7A60000}"/>
    <cellStyle name="Normal 3 5 13 2 2 3" xfId="42873" xr:uid="{00000000-0005-0000-0000-0000E8A60000}"/>
    <cellStyle name="Normal 3 5 13 2 3" xfId="42874" xr:uid="{00000000-0005-0000-0000-0000E9A60000}"/>
    <cellStyle name="Normal 3 5 13 2 4" xfId="42875" xr:uid="{00000000-0005-0000-0000-0000EAA60000}"/>
    <cellStyle name="Normal 3 5 13 3" xfId="42876" xr:uid="{00000000-0005-0000-0000-0000EBA60000}"/>
    <cellStyle name="Normal 3 5 13 3 2" xfId="42877" xr:uid="{00000000-0005-0000-0000-0000ECA60000}"/>
    <cellStyle name="Normal 3 5 13 3 3" xfId="42878" xr:uid="{00000000-0005-0000-0000-0000EDA60000}"/>
    <cellStyle name="Normal 3 5 13 4" xfId="42879" xr:uid="{00000000-0005-0000-0000-0000EEA60000}"/>
    <cellStyle name="Normal 3 5 14" xfId="42880" xr:uid="{00000000-0005-0000-0000-0000EFA60000}"/>
    <cellStyle name="Normal 3 5 14 2" xfId="42881" xr:uid="{00000000-0005-0000-0000-0000F0A60000}"/>
    <cellStyle name="Normal 3 5 14 2 2" xfId="42882" xr:uid="{00000000-0005-0000-0000-0000F1A60000}"/>
    <cellStyle name="Normal 3 5 14 2 2 2" xfId="42883" xr:uid="{00000000-0005-0000-0000-0000F2A60000}"/>
    <cellStyle name="Normal 3 5 14 2 2 3" xfId="42884" xr:uid="{00000000-0005-0000-0000-0000F3A60000}"/>
    <cellStyle name="Normal 3 5 14 2 3" xfId="42885" xr:uid="{00000000-0005-0000-0000-0000F4A60000}"/>
    <cellStyle name="Normal 3 5 14 2 4" xfId="42886" xr:uid="{00000000-0005-0000-0000-0000F5A60000}"/>
    <cellStyle name="Normal 3 5 14 3" xfId="42887" xr:uid="{00000000-0005-0000-0000-0000F6A60000}"/>
    <cellStyle name="Normal 3 5 14 3 2" xfId="42888" xr:uid="{00000000-0005-0000-0000-0000F7A60000}"/>
    <cellStyle name="Normal 3 5 14 3 3" xfId="42889" xr:uid="{00000000-0005-0000-0000-0000F8A60000}"/>
    <cellStyle name="Normal 3 5 14 4" xfId="42890" xr:uid="{00000000-0005-0000-0000-0000F9A60000}"/>
    <cellStyle name="Normal 3 5 15" xfId="42891" xr:uid="{00000000-0005-0000-0000-0000FAA60000}"/>
    <cellStyle name="Normal 3 5 15 2" xfId="42892" xr:uid="{00000000-0005-0000-0000-0000FBA60000}"/>
    <cellStyle name="Normal 3 5 15 2 2" xfId="42893" xr:uid="{00000000-0005-0000-0000-0000FCA60000}"/>
    <cellStyle name="Normal 3 5 15 2 2 2" xfId="42894" xr:uid="{00000000-0005-0000-0000-0000FDA60000}"/>
    <cellStyle name="Normal 3 5 15 2 2 3" xfId="42895" xr:uid="{00000000-0005-0000-0000-0000FEA60000}"/>
    <cellStyle name="Normal 3 5 15 2 3" xfId="42896" xr:uid="{00000000-0005-0000-0000-0000FFA60000}"/>
    <cellStyle name="Normal 3 5 15 2 4" xfId="42897" xr:uid="{00000000-0005-0000-0000-000000A70000}"/>
    <cellStyle name="Normal 3 5 15 3" xfId="42898" xr:uid="{00000000-0005-0000-0000-000001A70000}"/>
    <cellStyle name="Normal 3 5 15 3 2" xfId="42899" xr:uid="{00000000-0005-0000-0000-000002A70000}"/>
    <cellStyle name="Normal 3 5 15 3 3" xfId="42900" xr:uid="{00000000-0005-0000-0000-000003A70000}"/>
    <cellStyle name="Normal 3 5 15 4" xfId="42901" xr:uid="{00000000-0005-0000-0000-000004A70000}"/>
    <cellStyle name="Normal 3 5 16" xfId="42902" xr:uid="{00000000-0005-0000-0000-000005A70000}"/>
    <cellStyle name="Normal 3 5 16 2" xfId="42903" xr:uid="{00000000-0005-0000-0000-000006A70000}"/>
    <cellStyle name="Normal 3 5 16 2 2" xfId="42904" xr:uid="{00000000-0005-0000-0000-000007A70000}"/>
    <cellStyle name="Normal 3 5 16 2 2 2" xfId="42905" xr:uid="{00000000-0005-0000-0000-000008A70000}"/>
    <cellStyle name="Normal 3 5 16 2 2 3" xfId="42906" xr:uid="{00000000-0005-0000-0000-000009A70000}"/>
    <cellStyle name="Normal 3 5 16 2 3" xfId="42907" xr:uid="{00000000-0005-0000-0000-00000AA70000}"/>
    <cellStyle name="Normal 3 5 16 2 4" xfId="42908" xr:uid="{00000000-0005-0000-0000-00000BA70000}"/>
    <cellStyle name="Normal 3 5 16 3" xfId="42909" xr:uid="{00000000-0005-0000-0000-00000CA70000}"/>
    <cellStyle name="Normal 3 5 16 3 2" xfId="42910" xr:uid="{00000000-0005-0000-0000-00000DA70000}"/>
    <cellStyle name="Normal 3 5 16 3 3" xfId="42911" xr:uid="{00000000-0005-0000-0000-00000EA70000}"/>
    <cellStyle name="Normal 3 5 16 4" xfId="42912" xr:uid="{00000000-0005-0000-0000-00000FA70000}"/>
    <cellStyle name="Normal 3 5 17" xfId="42913" xr:uid="{00000000-0005-0000-0000-000010A70000}"/>
    <cellStyle name="Normal 3 5 17 2" xfId="42914" xr:uid="{00000000-0005-0000-0000-000011A70000}"/>
    <cellStyle name="Normal 3 5 17 2 2" xfId="42915" xr:uid="{00000000-0005-0000-0000-000012A70000}"/>
    <cellStyle name="Normal 3 5 17 2 2 2" xfId="42916" xr:uid="{00000000-0005-0000-0000-000013A70000}"/>
    <cellStyle name="Normal 3 5 17 2 2 3" xfId="42917" xr:uid="{00000000-0005-0000-0000-000014A70000}"/>
    <cellStyle name="Normal 3 5 17 2 3" xfId="42918" xr:uid="{00000000-0005-0000-0000-000015A70000}"/>
    <cellStyle name="Normal 3 5 17 2 4" xfId="42919" xr:uid="{00000000-0005-0000-0000-000016A70000}"/>
    <cellStyle name="Normal 3 5 17 3" xfId="42920" xr:uid="{00000000-0005-0000-0000-000017A70000}"/>
    <cellStyle name="Normal 3 5 17 3 2" xfId="42921" xr:uid="{00000000-0005-0000-0000-000018A70000}"/>
    <cellStyle name="Normal 3 5 17 3 3" xfId="42922" xr:uid="{00000000-0005-0000-0000-000019A70000}"/>
    <cellStyle name="Normal 3 5 17 4" xfId="42923" xr:uid="{00000000-0005-0000-0000-00001AA70000}"/>
    <cellStyle name="Normal 3 5 18" xfId="42924" xr:uid="{00000000-0005-0000-0000-00001BA70000}"/>
    <cellStyle name="Normal 3 5 18 2" xfId="42925" xr:uid="{00000000-0005-0000-0000-00001CA70000}"/>
    <cellStyle name="Normal 3 5 18 2 2" xfId="42926" xr:uid="{00000000-0005-0000-0000-00001DA70000}"/>
    <cellStyle name="Normal 3 5 18 2 2 2" xfId="42927" xr:uid="{00000000-0005-0000-0000-00001EA70000}"/>
    <cellStyle name="Normal 3 5 18 2 2 3" xfId="42928" xr:uid="{00000000-0005-0000-0000-00001FA70000}"/>
    <cellStyle name="Normal 3 5 18 2 3" xfId="42929" xr:uid="{00000000-0005-0000-0000-000020A70000}"/>
    <cellStyle name="Normal 3 5 18 2 4" xfId="42930" xr:uid="{00000000-0005-0000-0000-000021A70000}"/>
    <cellStyle name="Normal 3 5 18 3" xfId="42931" xr:uid="{00000000-0005-0000-0000-000022A70000}"/>
    <cellStyle name="Normal 3 5 18 3 2" xfId="42932" xr:uid="{00000000-0005-0000-0000-000023A70000}"/>
    <cellStyle name="Normal 3 5 18 3 3" xfId="42933" xr:uid="{00000000-0005-0000-0000-000024A70000}"/>
    <cellStyle name="Normal 3 5 18 4" xfId="42934" xr:uid="{00000000-0005-0000-0000-000025A70000}"/>
    <cellStyle name="Normal 3 5 19" xfId="42935" xr:uid="{00000000-0005-0000-0000-000026A70000}"/>
    <cellStyle name="Normal 3 5 19 2" xfId="42936" xr:uid="{00000000-0005-0000-0000-000027A70000}"/>
    <cellStyle name="Normal 3 5 19 2 2" xfId="42937" xr:uid="{00000000-0005-0000-0000-000028A70000}"/>
    <cellStyle name="Normal 3 5 19 2 2 2" xfId="42938" xr:uid="{00000000-0005-0000-0000-000029A70000}"/>
    <cellStyle name="Normal 3 5 19 2 2 3" xfId="42939" xr:uid="{00000000-0005-0000-0000-00002AA70000}"/>
    <cellStyle name="Normal 3 5 19 2 3" xfId="42940" xr:uid="{00000000-0005-0000-0000-00002BA70000}"/>
    <cellStyle name="Normal 3 5 19 2 4" xfId="42941" xr:uid="{00000000-0005-0000-0000-00002CA70000}"/>
    <cellStyle name="Normal 3 5 19 3" xfId="42942" xr:uid="{00000000-0005-0000-0000-00002DA70000}"/>
    <cellStyle name="Normal 3 5 19 3 2" xfId="42943" xr:uid="{00000000-0005-0000-0000-00002EA70000}"/>
    <cellStyle name="Normal 3 5 19 3 3" xfId="42944" xr:uid="{00000000-0005-0000-0000-00002FA70000}"/>
    <cellStyle name="Normal 3 5 19 4" xfId="42945" xr:uid="{00000000-0005-0000-0000-000030A70000}"/>
    <cellStyle name="Normal 3 5 2" xfId="42946" xr:uid="{00000000-0005-0000-0000-000031A70000}"/>
    <cellStyle name="Normal 3 5 2 2" xfId="42947" xr:uid="{00000000-0005-0000-0000-000032A70000}"/>
    <cellStyle name="Normal 3 5 2 2 2" xfId="42948" xr:uid="{00000000-0005-0000-0000-000033A70000}"/>
    <cellStyle name="Normal 3 5 2 2 2 2" xfId="42949" xr:uid="{00000000-0005-0000-0000-000034A70000}"/>
    <cellStyle name="Normal 3 5 2 2 2 3" xfId="42950" xr:uid="{00000000-0005-0000-0000-000035A70000}"/>
    <cellStyle name="Normal 3 5 2 2 3" xfId="42951" xr:uid="{00000000-0005-0000-0000-000036A70000}"/>
    <cellStyle name="Normal 3 5 2 2 4" xfId="42952" xr:uid="{00000000-0005-0000-0000-000037A70000}"/>
    <cellStyle name="Normal 3 5 2 3" xfId="42953" xr:uid="{00000000-0005-0000-0000-000038A70000}"/>
    <cellStyle name="Normal 3 5 2 3 2" xfId="42954" xr:uid="{00000000-0005-0000-0000-000039A70000}"/>
    <cellStyle name="Normal 3 5 2 3 3" xfId="42955" xr:uid="{00000000-0005-0000-0000-00003AA70000}"/>
    <cellStyle name="Normal 3 5 2 4" xfId="42956" xr:uid="{00000000-0005-0000-0000-00003BA70000}"/>
    <cellStyle name="Normal 3 5 2 5" xfId="42957" xr:uid="{00000000-0005-0000-0000-00003CA70000}"/>
    <cellStyle name="Normal 3 5 20" xfId="42958" xr:uid="{00000000-0005-0000-0000-00003DA70000}"/>
    <cellStyle name="Normal 3 5 20 2" xfId="42959" xr:uid="{00000000-0005-0000-0000-00003EA70000}"/>
    <cellStyle name="Normal 3 5 20 2 2" xfId="42960" xr:uid="{00000000-0005-0000-0000-00003FA70000}"/>
    <cellStyle name="Normal 3 5 20 2 2 2" xfId="42961" xr:uid="{00000000-0005-0000-0000-000040A70000}"/>
    <cellStyle name="Normal 3 5 20 2 2 3" xfId="42962" xr:uid="{00000000-0005-0000-0000-000041A70000}"/>
    <cellStyle name="Normal 3 5 20 2 3" xfId="42963" xr:uid="{00000000-0005-0000-0000-000042A70000}"/>
    <cellStyle name="Normal 3 5 20 2 4" xfId="42964" xr:uid="{00000000-0005-0000-0000-000043A70000}"/>
    <cellStyle name="Normal 3 5 20 3" xfId="42965" xr:uid="{00000000-0005-0000-0000-000044A70000}"/>
    <cellStyle name="Normal 3 5 20 3 2" xfId="42966" xr:uid="{00000000-0005-0000-0000-000045A70000}"/>
    <cellStyle name="Normal 3 5 20 3 3" xfId="42967" xr:uid="{00000000-0005-0000-0000-000046A70000}"/>
    <cellStyle name="Normal 3 5 20 4" xfId="42968" xr:uid="{00000000-0005-0000-0000-000047A70000}"/>
    <cellStyle name="Normal 3 5 21" xfId="42969" xr:uid="{00000000-0005-0000-0000-000048A70000}"/>
    <cellStyle name="Normal 3 5 21 2" xfId="42970" xr:uid="{00000000-0005-0000-0000-000049A70000}"/>
    <cellStyle name="Normal 3 5 21 2 2" xfId="42971" xr:uid="{00000000-0005-0000-0000-00004AA70000}"/>
    <cellStyle name="Normal 3 5 21 2 2 2" xfId="42972" xr:uid="{00000000-0005-0000-0000-00004BA70000}"/>
    <cellStyle name="Normal 3 5 21 2 2 3" xfId="42973" xr:uid="{00000000-0005-0000-0000-00004CA70000}"/>
    <cellStyle name="Normal 3 5 21 2 3" xfId="42974" xr:uid="{00000000-0005-0000-0000-00004DA70000}"/>
    <cellStyle name="Normal 3 5 21 2 4" xfId="42975" xr:uid="{00000000-0005-0000-0000-00004EA70000}"/>
    <cellStyle name="Normal 3 5 21 3" xfId="42976" xr:uid="{00000000-0005-0000-0000-00004FA70000}"/>
    <cellStyle name="Normal 3 5 21 3 2" xfId="42977" xr:uid="{00000000-0005-0000-0000-000050A70000}"/>
    <cellStyle name="Normal 3 5 21 3 3" xfId="42978" xr:uid="{00000000-0005-0000-0000-000051A70000}"/>
    <cellStyle name="Normal 3 5 21 4" xfId="42979" xr:uid="{00000000-0005-0000-0000-000052A70000}"/>
    <cellStyle name="Normal 3 5 22" xfId="42980" xr:uid="{00000000-0005-0000-0000-000053A70000}"/>
    <cellStyle name="Normal 3 5 22 2" xfId="42981" xr:uid="{00000000-0005-0000-0000-000054A70000}"/>
    <cellStyle name="Normal 3 5 22 2 2" xfId="42982" xr:uid="{00000000-0005-0000-0000-000055A70000}"/>
    <cellStyle name="Normal 3 5 22 2 2 2" xfId="42983" xr:uid="{00000000-0005-0000-0000-000056A70000}"/>
    <cellStyle name="Normal 3 5 22 2 2 3" xfId="42984" xr:uid="{00000000-0005-0000-0000-000057A70000}"/>
    <cellStyle name="Normal 3 5 22 2 3" xfId="42985" xr:uid="{00000000-0005-0000-0000-000058A70000}"/>
    <cellStyle name="Normal 3 5 22 2 4" xfId="42986" xr:uid="{00000000-0005-0000-0000-000059A70000}"/>
    <cellStyle name="Normal 3 5 22 3" xfId="42987" xr:uid="{00000000-0005-0000-0000-00005AA70000}"/>
    <cellStyle name="Normal 3 5 22 3 2" xfId="42988" xr:uid="{00000000-0005-0000-0000-00005BA70000}"/>
    <cellStyle name="Normal 3 5 22 3 3" xfId="42989" xr:uid="{00000000-0005-0000-0000-00005CA70000}"/>
    <cellStyle name="Normal 3 5 22 4" xfId="42990" xr:uid="{00000000-0005-0000-0000-00005DA70000}"/>
    <cellStyle name="Normal 3 5 23" xfId="42991" xr:uid="{00000000-0005-0000-0000-00005EA70000}"/>
    <cellStyle name="Normal 3 5 23 2" xfId="42992" xr:uid="{00000000-0005-0000-0000-00005FA70000}"/>
    <cellStyle name="Normal 3 5 23 2 2" xfId="42993" xr:uid="{00000000-0005-0000-0000-000060A70000}"/>
    <cellStyle name="Normal 3 5 23 2 2 2" xfId="42994" xr:uid="{00000000-0005-0000-0000-000061A70000}"/>
    <cellStyle name="Normal 3 5 23 2 2 3" xfId="42995" xr:uid="{00000000-0005-0000-0000-000062A70000}"/>
    <cellStyle name="Normal 3 5 23 2 3" xfId="42996" xr:uid="{00000000-0005-0000-0000-000063A70000}"/>
    <cellStyle name="Normal 3 5 23 2 4" xfId="42997" xr:uid="{00000000-0005-0000-0000-000064A70000}"/>
    <cellStyle name="Normal 3 5 23 3" xfId="42998" xr:uid="{00000000-0005-0000-0000-000065A70000}"/>
    <cellStyle name="Normal 3 5 23 3 2" xfId="42999" xr:uid="{00000000-0005-0000-0000-000066A70000}"/>
    <cellStyle name="Normal 3 5 23 3 3" xfId="43000" xr:uid="{00000000-0005-0000-0000-000067A70000}"/>
    <cellStyle name="Normal 3 5 23 4" xfId="43001" xr:uid="{00000000-0005-0000-0000-000068A70000}"/>
    <cellStyle name="Normal 3 5 24" xfId="43002" xr:uid="{00000000-0005-0000-0000-000069A70000}"/>
    <cellStyle name="Normal 3 5 24 2" xfId="43003" xr:uid="{00000000-0005-0000-0000-00006AA70000}"/>
    <cellStyle name="Normal 3 5 24 2 2" xfId="43004" xr:uid="{00000000-0005-0000-0000-00006BA70000}"/>
    <cellStyle name="Normal 3 5 24 2 3" xfId="43005" xr:uid="{00000000-0005-0000-0000-00006CA70000}"/>
    <cellStyle name="Normal 3 5 24 3" xfId="43006" xr:uid="{00000000-0005-0000-0000-00006DA70000}"/>
    <cellStyle name="Normal 3 5 24 4" xfId="43007" xr:uid="{00000000-0005-0000-0000-00006EA70000}"/>
    <cellStyle name="Normal 3 5 25" xfId="43008" xr:uid="{00000000-0005-0000-0000-00006FA70000}"/>
    <cellStyle name="Normal 3 5 25 2" xfId="43009" xr:uid="{00000000-0005-0000-0000-000070A70000}"/>
    <cellStyle name="Normal 3 5 25 3" xfId="43010" xr:uid="{00000000-0005-0000-0000-000071A70000}"/>
    <cellStyle name="Normal 3 5 26" xfId="43011" xr:uid="{00000000-0005-0000-0000-000072A70000}"/>
    <cellStyle name="Normal 3 5 27" xfId="43012" xr:uid="{00000000-0005-0000-0000-000073A70000}"/>
    <cellStyle name="Normal 3 5 3" xfId="43013" xr:uid="{00000000-0005-0000-0000-000074A70000}"/>
    <cellStyle name="Normal 3 5 3 2" xfId="43014" xr:uid="{00000000-0005-0000-0000-000075A70000}"/>
    <cellStyle name="Normal 3 5 3 2 2" xfId="43015" xr:uid="{00000000-0005-0000-0000-000076A70000}"/>
    <cellStyle name="Normal 3 5 3 2 2 2" xfId="43016" xr:uid="{00000000-0005-0000-0000-000077A70000}"/>
    <cellStyle name="Normal 3 5 3 2 2 3" xfId="43017" xr:uid="{00000000-0005-0000-0000-000078A70000}"/>
    <cellStyle name="Normal 3 5 3 2 3" xfId="43018" xr:uid="{00000000-0005-0000-0000-000079A70000}"/>
    <cellStyle name="Normal 3 5 3 2 4" xfId="43019" xr:uid="{00000000-0005-0000-0000-00007AA70000}"/>
    <cellStyle name="Normal 3 5 3 3" xfId="43020" xr:uid="{00000000-0005-0000-0000-00007BA70000}"/>
    <cellStyle name="Normal 3 5 3 3 2" xfId="43021" xr:uid="{00000000-0005-0000-0000-00007CA70000}"/>
    <cellStyle name="Normal 3 5 3 3 3" xfId="43022" xr:uid="{00000000-0005-0000-0000-00007DA70000}"/>
    <cellStyle name="Normal 3 5 3 4" xfId="43023" xr:uid="{00000000-0005-0000-0000-00007EA70000}"/>
    <cellStyle name="Normal 3 5 3 5" xfId="43024" xr:uid="{00000000-0005-0000-0000-00007FA70000}"/>
    <cellStyle name="Normal 3 5 4" xfId="43025" xr:uid="{00000000-0005-0000-0000-000080A70000}"/>
    <cellStyle name="Normal 3 5 4 2" xfId="43026" xr:uid="{00000000-0005-0000-0000-000081A70000}"/>
    <cellStyle name="Normal 3 5 4 2 2" xfId="43027" xr:uid="{00000000-0005-0000-0000-000082A70000}"/>
    <cellStyle name="Normal 3 5 4 2 2 2" xfId="43028" xr:uid="{00000000-0005-0000-0000-000083A70000}"/>
    <cellStyle name="Normal 3 5 4 2 2 3" xfId="43029" xr:uid="{00000000-0005-0000-0000-000084A70000}"/>
    <cellStyle name="Normal 3 5 4 2 3" xfId="43030" xr:uid="{00000000-0005-0000-0000-000085A70000}"/>
    <cellStyle name="Normal 3 5 4 2 4" xfId="43031" xr:uid="{00000000-0005-0000-0000-000086A70000}"/>
    <cellStyle name="Normal 3 5 4 3" xfId="43032" xr:uid="{00000000-0005-0000-0000-000087A70000}"/>
    <cellStyle name="Normal 3 5 4 3 2" xfId="43033" xr:uid="{00000000-0005-0000-0000-000088A70000}"/>
    <cellStyle name="Normal 3 5 4 3 3" xfId="43034" xr:uid="{00000000-0005-0000-0000-000089A70000}"/>
    <cellStyle name="Normal 3 5 4 4" xfId="43035" xr:uid="{00000000-0005-0000-0000-00008AA70000}"/>
    <cellStyle name="Normal 3 5 5" xfId="43036" xr:uid="{00000000-0005-0000-0000-00008BA70000}"/>
    <cellStyle name="Normal 3 5 5 2" xfId="43037" xr:uid="{00000000-0005-0000-0000-00008CA70000}"/>
    <cellStyle name="Normal 3 5 5 2 2" xfId="43038" xr:uid="{00000000-0005-0000-0000-00008DA70000}"/>
    <cellStyle name="Normal 3 5 5 2 2 2" xfId="43039" xr:uid="{00000000-0005-0000-0000-00008EA70000}"/>
    <cellStyle name="Normal 3 5 5 2 2 3" xfId="43040" xr:uid="{00000000-0005-0000-0000-00008FA70000}"/>
    <cellStyle name="Normal 3 5 5 2 3" xfId="43041" xr:uid="{00000000-0005-0000-0000-000090A70000}"/>
    <cellStyle name="Normal 3 5 5 2 4" xfId="43042" xr:uid="{00000000-0005-0000-0000-000091A70000}"/>
    <cellStyle name="Normal 3 5 5 3" xfId="43043" xr:uid="{00000000-0005-0000-0000-000092A70000}"/>
    <cellStyle name="Normal 3 5 5 3 2" xfId="43044" xr:uid="{00000000-0005-0000-0000-000093A70000}"/>
    <cellStyle name="Normal 3 5 5 3 3" xfId="43045" xr:uid="{00000000-0005-0000-0000-000094A70000}"/>
    <cellStyle name="Normal 3 5 5 4" xfId="43046" xr:uid="{00000000-0005-0000-0000-000095A70000}"/>
    <cellStyle name="Normal 3 5 6" xfId="43047" xr:uid="{00000000-0005-0000-0000-000096A70000}"/>
    <cellStyle name="Normal 3 5 6 2" xfId="43048" xr:uid="{00000000-0005-0000-0000-000097A70000}"/>
    <cellStyle name="Normal 3 5 6 2 2" xfId="43049" xr:uid="{00000000-0005-0000-0000-000098A70000}"/>
    <cellStyle name="Normal 3 5 6 2 2 2" xfId="43050" xr:uid="{00000000-0005-0000-0000-000099A70000}"/>
    <cellStyle name="Normal 3 5 6 2 2 3" xfId="43051" xr:uid="{00000000-0005-0000-0000-00009AA70000}"/>
    <cellStyle name="Normal 3 5 6 2 3" xfId="43052" xr:uid="{00000000-0005-0000-0000-00009BA70000}"/>
    <cellStyle name="Normal 3 5 6 2 4" xfId="43053" xr:uid="{00000000-0005-0000-0000-00009CA70000}"/>
    <cellStyle name="Normal 3 5 6 3" xfId="43054" xr:uid="{00000000-0005-0000-0000-00009DA70000}"/>
    <cellStyle name="Normal 3 5 6 3 2" xfId="43055" xr:uid="{00000000-0005-0000-0000-00009EA70000}"/>
    <cellStyle name="Normal 3 5 6 3 3" xfId="43056" xr:uid="{00000000-0005-0000-0000-00009FA70000}"/>
    <cellStyle name="Normal 3 5 6 4" xfId="43057" xr:uid="{00000000-0005-0000-0000-0000A0A70000}"/>
    <cellStyle name="Normal 3 5 7" xfId="43058" xr:uid="{00000000-0005-0000-0000-0000A1A70000}"/>
    <cellStyle name="Normal 3 5 7 2" xfId="43059" xr:uid="{00000000-0005-0000-0000-0000A2A70000}"/>
    <cellStyle name="Normal 3 5 7 2 2" xfId="43060" xr:uid="{00000000-0005-0000-0000-0000A3A70000}"/>
    <cellStyle name="Normal 3 5 7 2 2 2" xfId="43061" xr:uid="{00000000-0005-0000-0000-0000A4A70000}"/>
    <cellStyle name="Normal 3 5 7 2 2 3" xfId="43062" xr:uid="{00000000-0005-0000-0000-0000A5A70000}"/>
    <cellStyle name="Normal 3 5 7 2 3" xfId="43063" xr:uid="{00000000-0005-0000-0000-0000A6A70000}"/>
    <cellStyle name="Normal 3 5 7 2 4" xfId="43064" xr:uid="{00000000-0005-0000-0000-0000A7A70000}"/>
    <cellStyle name="Normal 3 5 7 3" xfId="43065" xr:uid="{00000000-0005-0000-0000-0000A8A70000}"/>
    <cellStyle name="Normal 3 5 7 3 2" xfId="43066" xr:uid="{00000000-0005-0000-0000-0000A9A70000}"/>
    <cellStyle name="Normal 3 5 7 3 3" xfId="43067" xr:uid="{00000000-0005-0000-0000-0000AAA70000}"/>
    <cellStyle name="Normal 3 5 7 4" xfId="43068" xr:uid="{00000000-0005-0000-0000-0000ABA70000}"/>
    <cellStyle name="Normal 3 5 8" xfId="43069" xr:uid="{00000000-0005-0000-0000-0000ACA70000}"/>
    <cellStyle name="Normal 3 5 8 2" xfId="43070" xr:uid="{00000000-0005-0000-0000-0000ADA70000}"/>
    <cellStyle name="Normal 3 5 8 2 2" xfId="43071" xr:uid="{00000000-0005-0000-0000-0000AEA70000}"/>
    <cellStyle name="Normal 3 5 8 2 2 2" xfId="43072" xr:uid="{00000000-0005-0000-0000-0000AFA70000}"/>
    <cellStyle name="Normal 3 5 8 2 2 3" xfId="43073" xr:uid="{00000000-0005-0000-0000-0000B0A70000}"/>
    <cellStyle name="Normal 3 5 8 2 3" xfId="43074" xr:uid="{00000000-0005-0000-0000-0000B1A70000}"/>
    <cellStyle name="Normal 3 5 8 2 4" xfId="43075" xr:uid="{00000000-0005-0000-0000-0000B2A70000}"/>
    <cellStyle name="Normal 3 5 8 3" xfId="43076" xr:uid="{00000000-0005-0000-0000-0000B3A70000}"/>
    <cellStyle name="Normal 3 5 8 3 2" xfId="43077" xr:uid="{00000000-0005-0000-0000-0000B4A70000}"/>
    <cellStyle name="Normal 3 5 8 3 3" xfId="43078" xr:uid="{00000000-0005-0000-0000-0000B5A70000}"/>
    <cellStyle name="Normal 3 5 8 4" xfId="43079" xr:uid="{00000000-0005-0000-0000-0000B6A70000}"/>
    <cellStyle name="Normal 3 5 9" xfId="43080" xr:uid="{00000000-0005-0000-0000-0000B7A70000}"/>
    <cellStyle name="Normal 3 5 9 2" xfId="43081" xr:uid="{00000000-0005-0000-0000-0000B8A70000}"/>
    <cellStyle name="Normal 3 5 9 2 2" xfId="43082" xr:uid="{00000000-0005-0000-0000-0000B9A70000}"/>
    <cellStyle name="Normal 3 5 9 2 2 2" xfId="43083" xr:uid="{00000000-0005-0000-0000-0000BAA70000}"/>
    <cellStyle name="Normal 3 5 9 2 2 3" xfId="43084" xr:uid="{00000000-0005-0000-0000-0000BBA70000}"/>
    <cellStyle name="Normal 3 5 9 2 3" xfId="43085" xr:uid="{00000000-0005-0000-0000-0000BCA70000}"/>
    <cellStyle name="Normal 3 5 9 2 4" xfId="43086" xr:uid="{00000000-0005-0000-0000-0000BDA70000}"/>
    <cellStyle name="Normal 3 5 9 3" xfId="43087" xr:uid="{00000000-0005-0000-0000-0000BEA70000}"/>
    <cellStyle name="Normal 3 5 9 3 2" xfId="43088" xr:uid="{00000000-0005-0000-0000-0000BFA70000}"/>
    <cellStyle name="Normal 3 5 9 3 3" xfId="43089" xr:uid="{00000000-0005-0000-0000-0000C0A70000}"/>
    <cellStyle name="Normal 3 5 9 4" xfId="43090" xr:uid="{00000000-0005-0000-0000-0000C1A70000}"/>
    <cellStyle name="Normal 3 50" xfId="43091" xr:uid="{00000000-0005-0000-0000-0000C2A70000}"/>
    <cellStyle name="Normal 3 50 2" xfId="43092" xr:uid="{00000000-0005-0000-0000-0000C3A70000}"/>
    <cellStyle name="Normal 3 50 2 2" xfId="43093" xr:uid="{00000000-0005-0000-0000-0000C4A70000}"/>
    <cellStyle name="Normal 3 50 2 2 2" xfId="43094" xr:uid="{00000000-0005-0000-0000-0000C5A70000}"/>
    <cellStyle name="Normal 3 50 2 2 3" xfId="43095" xr:uid="{00000000-0005-0000-0000-0000C6A70000}"/>
    <cellStyle name="Normal 3 50 2 3" xfId="43096" xr:uid="{00000000-0005-0000-0000-0000C7A70000}"/>
    <cellStyle name="Normal 3 50 2 4" xfId="43097" xr:uid="{00000000-0005-0000-0000-0000C8A70000}"/>
    <cellStyle name="Normal 3 50 3" xfId="43098" xr:uid="{00000000-0005-0000-0000-0000C9A70000}"/>
    <cellStyle name="Normal 3 50 3 2" xfId="43099" xr:uid="{00000000-0005-0000-0000-0000CAA70000}"/>
    <cellStyle name="Normal 3 50 3 3" xfId="43100" xr:uid="{00000000-0005-0000-0000-0000CBA70000}"/>
    <cellStyle name="Normal 3 50 4" xfId="43101" xr:uid="{00000000-0005-0000-0000-0000CCA70000}"/>
    <cellStyle name="Normal 3 51" xfId="43102" xr:uid="{00000000-0005-0000-0000-0000CDA70000}"/>
    <cellStyle name="Normal 3 51 2" xfId="43103" xr:uid="{00000000-0005-0000-0000-0000CEA70000}"/>
    <cellStyle name="Normal 3 51 2 2" xfId="43104" xr:uid="{00000000-0005-0000-0000-0000CFA70000}"/>
    <cellStyle name="Normal 3 51 2 2 2" xfId="43105" xr:uid="{00000000-0005-0000-0000-0000D0A70000}"/>
    <cellStyle name="Normal 3 51 2 2 3" xfId="43106" xr:uid="{00000000-0005-0000-0000-0000D1A70000}"/>
    <cellStyle name="Normal 3 51 2 3" xfId="43107" xr:uid="{00000000-0005-0000-0000-0000D2A70000}"/>
    <cellStyle name="Normal 3 51 2 4" xfId="43108" xr:uid="{00000000-0005-0000-0000-0000D3A70000}"/>
    <cellStyle name="Normal 3 51 3" xfId="43109" xr:uid="{00000000-0005-0000-0000-0000D4A70000}"/>
    <cellStyle name="Normal 3 51 3 2" xfId="43110" xr:uid="{00000000-0005-0000-0000-0000D5A70000}"/>
    <cellStyle name="Normal 3 51 3 3" xfId="43111" xr:uid="{00000000-0005-0000-0000-0000D6A70000}"/>
    <cellStyle name="Normal 3 51 4" xfId="43112" xr:uid="{00000000-0005-0000-0000-0000D7A70000}"/>
    <cellStyle name="Normal 3 52" xfId="43113" xr:uid="{00000000-0005-0000-0000-0000D8A70000}"/>
    <cellStyle name="Normal 3 52 2" xfId="43114" xr:uid="{00000000-0005-0000-0000-0000D9A70000}"/>
    <cellStyle name="Normal 3 52 2 2" xfId="43115" xr:uid="{00000000-0005-0000-0000-0000DAA70000}"/>
    <cellStyle name="Normal 3 52 2 2 2" xfId="43116" xr:uid="{00000000-0005-0000-0000-0000DBA70000}"/>
    <cellStyle name="Normal 3 52 2 2 3" xfId="43117" xr:uid="{00000000-0005-0000-0000-0000DCA70000}"/>
    <cellStyle name="Normal 3 52 2 3" xfId="43118" xr:uid="{00000000-0005-0000-0000-0000DDA70000}"/>
    <cellStyle name="Normal 3 52 2 4" xfId="43119" xr:uid="{00000000-0005-0000-0000-0000DEA70000}"/>
    <cellStyle name="Normal 3 52 3" xfId="43120" xr:uid="{00000000-0005-0000-0000-0000DFA70000}"/>
    <cellStyle name="Normal 3 52 3 2" xfId="43121" xr:uid="{00000000-0005-0000-0000-0000E0A70000}"/>
    <cellStyle name="Normal 3 52 3 3" xfId="43122" xr:uid="{00000000-0005-0000-0000-0000E1A70000}"/>
    <cellStyle name="Normal 3 52 4" xfId="43123" xr:uid="{00000000-0005-0000-0000-0000E2A70000}"/>
    <cellStyle name="Normal 3 53" xfId="43124" xr:uid="{00000000-0005-0000-0000-0000E3A70000}"/>
    <cellStyle name="Normal 3 53 2" xfId="43125" xr:uid="{00000000-0005-0000-0000-0000E4A70000}"/>
    <cellStyle name="Normal 3 53 2 2" xfId="43126" xr:uid="{00000000-0005-0000-0000-0000E5A70000}"/>
    <cellStyle name="Normal 3 53 2 2 2" xfId="43127" xr:uid="{00000000-0005-0000-0000-0000E6A70000}"/>
    <cellStyle name="Normal 3 53 2 2 3" xfId="43128" xr:uid="{00000000-0005-0000-0000-0000E7A70000}"/>
    <cellStyle name="Normal 3 53 2 3" xfId="43129" xr:uid="{00000000-0005-0000-0000-0000E8A70000}"/>
    <cellStyle name="Normal 3 53 2 4" xfId="43130" xr:uid="{00000000-0005-0000-0000-0000E9A70000}"/>
    <cellStyle name="Normal 3 53 3" xfId="43131" xr:uid="{00000000-0005-0000-0000-0000EAA70000}"/>
    <cellStyle name="Normal 3 53 3 2" xfId="43132" xr:uid="{00000000-0005-0000-0000-0000EBA70000}"/>
    <cellStyle name="Normal 3 53 3 3" xfId="43133" xr:uid="{00000000-0005-0000-0000-0000ECA70000}"/>
    <cellStyle name="Normal 3 53 4" xfId="43134" xr:uid="{00000000-0005-0000-0000-0000EDA70000}"/>
    <cellStyle name="Normal 3 54" xfId="43135" xr:uid="{00000000-0005-0000-0000-0000EEA70000}"/>
    <cellStyle name="Normal 3 54 2" xfId="43136" xr:uid="{00000000-0005-0000-0000-0000EFA70000}"/>
    <cellStyle name="Normal 3 54 2 2" xfId="43137" xr:uid="{00000000-0005-0000-0000-0000F0A70000}"/>
    <cellStyle name="Normal 3 54 2 2 2" xfId="43138" xr:uid="{00000000-0005-0000-0000-0000F1A70000}"/>
    <cellStyle name="Normal 3 54 2 2 3" xfId="43139" xr:uid="{00000000-0005-0000-0000-0000F2A70000}"/>
    <cellStyle name="Normal 3 54 2 3" xfId="43140" xr:uid="{00000000-0005-0000-0000-0000F3A70000}"/>
    <cellStyle name="Normal 3 54 2 4" xfId="43141" xr:uid="{00000000-0005-0000-0000-0000F4A70000}"/>
    <cellStyle name="Normal 3 54 3" xfId="43142" xr:uid="{00000000-0005-0000-0000-0000F5A70000}"/>
    <cellStyle name="Normal 3 54 3 2" xfId="43143" xr:uid="{00000000-0005-0000-0000-0000F6A70000}"/>
    <cellStyle name="Normal 3 54 3 3" xfId="43144" xr:uid="{00000000-0005-0000-0000-0000F7A70000}"/>
    <cellStyle name="Normal 3 54 4" xfId="43145" xr:uid="{00000000-0005-0000-0000-0000F8A70000}"/>
    <cellStyle name="Normal 3 55" xfId="43146" xr:uid="{00000000-0005-0000-0000-0000F9A70000}"/>
    <cellStyle name="Normal 3 55 2" xfId="43147" xr:uid="{00000000-0005-0000-0000-0000FAA70000}"/>
    <cellStyle name="Normal 3 55 2 2" xfId="43148" xr:uid="{00000000-0005-0000-0000-0000FBA70000}"/>
    <cellStyle name="Normal 3 55 2 2 2" xfId="43149" xr:uid="{00000000-0005-0000-0000-0000FCA70000}"/>
    <cellStyle name="Normal 3 55 2 2 3" xfId="43150" xr:uid="{00000000-0005-0000-0000-0000FDA70000}"/>
    <cellStyle name="Normal 3 55 2 3" xfId="43151" xr:uid="{00000000-0005-0000-0000-0000FEA70000}"/>
    <cellStyle name="Normal 3 55 2 4" xfId="43152" xr:uid="{00000000-0005-0000-0000-0000FFA70000}"/>
    <cellStyle name="Normal 3 55 3" xfId="43153" xr:uid="{00000000-0005-0000-0000-000000A80000}"/>
    <cellStyle name="Normal 3 55 3 2" xfId="43154" xr:uid="{00000000-0005-0000-0000-000001A80000}"/>
    <cellStyle name="Normal 3 55 3 3" xfId="43155" xr:uid="{00000000-0005-0000-0000-000002A80000}"/>
    <cellStyle name="Normal 3 55 4" xfId="43156" xr:uid="{00000000-0005-0000-0000-000003A80000}"/>
    <cellStyle name="Normal 3 56" xfId="43157" xr:uid="{00000000-0005-0000-0000-000004A80000}"/>
    <cellStyle name="Normal 3 56 2" xfId="43158" xr:uid="{00000000-0005-0000-0000-000005A80000}"/>
    <cellStyle name="Normal 3 56 2 2" xfId="43159" xr:uid="{00000000-0005-0000-0000-000006A80000}"/>
    <cellStyle name="Normal 3 56 2 2 2" xfId="43160" xr:uid="{00000000-0005-0000-0000-000007A80000}"/>
    <cellStyle name="Normal 3 56 2 2 3" xfId="43161" xr:uid="{00000000-0005-0000-0000-000008A80000}"/>
    <cellStyle name="Normal 3 56 2 3" xfId="43162" xr:uid="{00000000-0005-0000-0000-000009A80000}"/>
    <cellStyle name="Normal 3 56 2 4" xfId="43163" xr:uid="{00000000-0005-0000-0000-00000AA80000}"/>
    <cellStyle name="Normal 3 56 3" xfId="43164" xr:uid="{00000000-0005-0000-0000-00000BA80000}"/>
    <cellStyle name="Normal 3 56 3 2" xfId="43165" xr:uid="{00000000-0005-0000-0000-00000CA80000}"/>
    <cellStyle name="Normal 3 56 3 3" xfId="43166" xr:uid="{00000000-0005-0000-0000-00000DA80000}"/>
    <cellStyle name="Normal 3 56 4" xfId="43167" xr:uid="{00000000-0005-0000-0000-00000EA80000}"/>
    <cellStyle name="Normal 3 57" xfId="43168" xr:uid="{00000000-0005-0000-0000-00000FA80000}"/>
    <cellStyle name="Normal 3 57 2" xfId="43169" xr:uid="{00000000-0005-0000-0000-000010A80000}"/>
    <cellStyle name="Normal 3 57 2 2" xfId="43170" xr:uid="{00000000-0005-0000-0000-000011A80000}"/>
    <cellStyle name="Normal 3 57 2 2 2" xfId="43171" xr:uid="{00000000-0005-0000-0000-000012A80000}"/>
    <cellStyle name="Normal 3 57 2 2 3" xfId="43172" xr:uid="{00000000-0005-0000-0000-000013A80000}"/>
    <cellStyle name="Normal 3 57 2 3" xfId="43173" xr:uid="{00000000-0005-0000-0000-000014A80000}"/>
    <cellStyle name="Normal 3 57 2 4" xfId="43174" xr:uid="{00000000-0005-0000-0000-000015A80000}"/>
    <cellStyle name="Normal 3 57 3" xfId="43175" xr:uid="{00000000-0005-0000-0000-000016A80000}"/>
    <cellStyle name="Normal 3 57 3 2" xfId="43176" xr:uid="{00000000-0005-0000-0000-000017A80000}"/>
    <cellStyle name="Normal 3 57 3 3" xfId="43177" xr:uid="{00000000-0005-0000-0000-000018A80000}"/>
    <cellStyle name="Normal 3 57 4" xfId="43178" xr:uid="{00000000-0005-0000-0000-000019A80000}"/>
    <cellStyle name="Normal 3 58" xfId="43179" xr:uid="{00000000-0005-0000-0000-00001AA80000}"/>
    <cellStyle name="Normal 3 58 2" xfId="43180" xr:uid="{00000000-0005-0000-0000-00001BA80000}"/>
    <cellStyle name="Normal 3 58 2 2" xfId="43181" xr:uid="{00000000-0005-0000-0000-00001CA80000}"/>
    <cellStyle name="Normal 3 58 2 2 2" xfId="43182" xr:uid="{00000000-0005-0000-0000-00001DA80000}"/>
    <cellStyle name="Normal 3 58 2 2 3" xfId="43183" xr:uid="{00000000-0005-0000-0000-00001EA80000}"/>
    <cellStyle name="Normal 3 58 2 3" xfId="43184" xr:uid="{00000000-0005-0000-0000-00001FA80000}"/>
    <cellStyle name="Normal 3 58 2 4" xfId="43185" xr:uid="{00000000-0005-0000-0000-000020A80000}"/>
    <cellStyle name="Normal 3 58 3" xfId="43186" xr:uid="{00000000-0005-0000-0000-000021A80000}"/>
    <cellStyle name="Normal 3 58 3 2" xfId="43187" xr:uid="{00000000-0005-0000-0000-000022A80000}"/>
    <cellStyle name="Normal 3 58 3 3" xfId="43188" xr:uid="{00000000-0005-0000-0000-000023A80000}"/>
    <cellStyle name="Normal 3 58 4" xfId="43189" xr:uid="{00000000-0005-0000-0000-000024A80000}"/>
    <cellStyle name="Normal 3 59" xfId="43190" xr:uid="{00000000-0005-0000-0000-000025A80000}"/>
    <cellStyle name="Normal 3 59 2" xfId="43191" xr:uid="{00000000-0005-0000-0000-000026A80000}"/>
    <cellStyle name="Normal 3 59 2 2" xfId="43192" xr:uid="{00000000-0005-0000-0000-000027A80000}"/>
    <cellStyle name="Normal 3 59 2 2 2" xfId="43193" xr:uid="{00000000-0005-0000-0000-000028A80000}"/>
    <cellStyle name="Normal 3 59 2 2 3" xfId="43194" xr:uid="{00000000-0005-0000-0000-000029A80000}"/>
    <cellStyle name="Normal 3 59 2 3" xfId="43195" xr:uid="{00000000-0005-0000-0000-00002AA80000}"/>
    <cellStyle name="Normal 3 59 2 4" xfId="43196" xr:uid="{00000000-0005-0000-0000-00002BA80000}"/>
    <cellStyle name="Normal 3 59 3" xfId="43197" xr:uid="{00000000-0005-0000-0000-00002CA80000}"/>
    <cellStyle name="Normal 3 59 3 2" xfId="43198" xr:uid="{00000000-0005-0000-0000-00002DA80000}"/>
    <cellStyle name="Normal 3 59 3 3" xfId="43199" xr:uid="{00000000-0005-0000-0000-00002EA80000}"/>
    <cellStyle name="Normal 3 59 4" xfId="43200" xr:uid="{00000000-0005-0000-0000-00002FA80000}"/>
    <cellStyle name="Normal 3 6" xfId="43201" xr:uid="{00000000-0005-0000-0000-000030A80000}"/>
    <cellStyle name="Normal 3 6 10" xfId="43202" xr:uid="{00000000-0005-0000-0000-000031A80000}"/>
    <cellStyle name="Normal 3 6 10 2" xfId="43203" xr:uid="{00000000-0005-0000-0000-000032A80000}"/>
    <cellStyle name="Normal 3 6 10 2 2" xfId="43204" xr:uid="{00000000-0005-0000-0000-000033A80000}"/>
    <cellStyle name="Normal 3 6 10 2 2 2" xfId="43205" xr:uid="{00000000-0005-0000-0000-000034A80000}"/>
    <cellStyle name="Normal 3 6 10 2 2 3" xfId="43206" xr:uid="{00000000-0005-0000-0000-000035A80000}"/>
    <cellStyle name="Normal 3 6 10 2 3" xfId="43207" xr:uid="{00000000-0005-0000-0000-000036A80000}"/>
    <cellStyle name="Normal 3 6 10 2 4" xfId="43208" xr:uid="{00000000-0005-0000-0000-000037A80000}"/>
    <cellStyle name="Normal 3 6 10 3" xfId="43209" xr:uid="{00000000-0005-0000-0000-000038A80000}"/>
    <cellStyle name="Normal 3 6 10 3 2" xfId="43210" xr:uid="{00000000-0005-0000-0000-000039A80000}"/>
    <cellStyle name="Normal 3 6 10 3 3" xfId="43211" xr:uid="{00000000-0005-0000-0000-00003AA80000}"/>
    <cellStyle name="Normal 3 6 10 4" xfId="43212" xr:uid="{00000000-0005-0000-0000-00003BA80000}"/>
    <cellStyle name="Normal 3 6 11" xfId="43213" xr:uid="{00000000-0005-0000-0000-00003CA80000}"/>
    <cellStyle name="Normal 3 6 11 2" xfId="43214" xr:uid="{00000000-0005-0000-0000-00003DA80000}"/>
    <cellStyle name="Normal 3 6 11 2 2" xfId="43215" xr:uid="{00000000-0005-0000-0000-00003EA80000}"/>
    <cellStyle name="Normal 3 6 11 2 2 2" xfId="43216" xr:uid="{00000000-0005-0000-0000-00003FA80000}"/>
    <cellStyle name="Normal 3 6 11 2 2 3" xfId="43217" xr:uid="{00000000-0005-0000-0000-000040A80000}"/>
    <cellStyle name="Normal 3 6 11 2 3" xfId="43218" xr:uid="{00000000-0005-0000-0000-000041A80000}"/>
    <cellStyle name="Normal 3 6 11 2 4" xfId="43219" xr:uid="{00000000-0005-0000-0000-000042A80000}"/>
    <cellStyle name="Normal 3 6 11 3" xfId="43220" xr:uid="{00000000-0005-0000-0000-000043A80000}"/>
    <cellStyle name="Normal 3 6 11 3 2" xfId="43221" xr:uid="{00000000-0005-0000-0000-000044A80000}"/>
    <cellStyle name="Normal 3 6 11 3 3" xfId="43222" xr:uid="{00000000-0005-0000-0000-000045A80000}"/>
    <cellStyle name="Normal 3 6 11 4" xfId="43223" xr:uid="{00000000-0005-0000-0000-000046A80000}"/>
    <cellStyle name="Normal 3 6 12" xfId="43224" xr:uid="{00000000-0005-0000-0000-000047A80000}"/>
    <cellStyle name="Normal 3 6 12 2" xfId="43225" xr:uid="{00000000-0005-0000-0000-000048A80000}"/>
    <cellStyle name="Normal 3 6 12 2 2" xfId="43226" xr:uid="{00000000-0005-0000-0000-000049A80000}"/>
    <cellStyle name="Normal 3 6 12 2 2 2" xfId="43227" xr:uid="{00000000-0005-0000-0000-00004AA80000}"/>
    <cellStyle name="Normal 3 6 12 2 2 3" xfId="43228" xr:uid="{00000000-0005-0000-0000-00004BA80000}"/>
    <cellStyle name="Normal 3 6 12 2 3" xfId="43229" xr:uid="{00000000-0005-0000-0000-00004CA80000}"/>
    <cellStyle name="Normal 3 6 12 2 4" xfId="43230" xr:uid="{00000000-0005-0000-0000-00004DA80000}"/>
    <cellStyle name="Normal 3 6 12 3" xfId="43231" xr:uid="{00000000-0005-0000-0000-00004EA80000}"/>
    <cellStyle name="Normal 3 6 12 3 2" xfId="43232" xr:uid="{00000000-0005-0000-0000-00004FA80000}"/>
    <cellStyle name="Normal 3 6 12 3 3" xfId="43233" xr:uid="{00000000-0005-0000-0000-000050A80000}"/>
    <cellStyle name="Normal 3 6 12 4" xfId="43234" xr:uid="{00000000-0005-0000-0000-000051A80000}"/>
    <cellStyle name="Normal 3 6 13" xfId="43235" xr:uid="{00000000-0005-0000-0000-000052A80000}"/>
    <cellStyle name="Normal 3 6 13 2" xfId="43236" xr:uid="{00000000-0005-0000-0000-000053A80000}"/>
    <cellStyle name="Normal 3 6 13 2 2" xfId="43237" xr:uid="{00000000-0005-0000-0000-000054A80000}"/>
    <cellStyle name="Normal 3 6 13 2 2 2" xfId="43238" xr:uid="{00000000-0005-0000-0000-000055A80000}"/>
    <cellStyle name="Normal 3 6 13 2 2 3" xfId="43239" xr:uid="{00000000-0005-0000-0000-000056A80000}"/>
    <cellStyle name="Normal 3 6 13 2 3" xfId="43240" xr:uid="{00000000-0005-0000-0000-000057A80000}"/>
    <cellStyle name="Normal 3 6 13 2 4" xfId="43241" xr:uid="{00000000-0005-0000-0000-000058A80000}"/>
    <cellStyle name="Normal 3 6 13 3" xfId="43242" xr:uid="{00000000-0005-0000-0000-000059A80000}"/>
    <cellStyle name="Normal 3 6 13 3 2" xfId="43243" xr:uid="{00000000-0005-0000-0000-00005AA80000}"/>
    <cellStyle name="Normal 3 6 13 3 3" xfId="43244" xr:uid="{00000000-0005-0000-0000-00005BA80000}"/>
    <cellStyle name="Normal 3 6 13 4" xfId="43245" xr:uid="{00000000-0005-0000-0000-00005CA80000}"/>
    <cellStyle name="Normal 3 6 14" xfId="43246" xr:uid="{00000000-0005-0000-0000-00005DA80000}"/>
    <cellStyle name="Normal 3 6 14 2" xfId="43247" xr:uid="{00000000-0005-0000-0000-00005EA80000}"/>
    <cellStyle name="Normal 3 6 14 2 2" xfId="43248" xr:uid="{00000000-0005-0000-0000-00005FA80000}"/>
    <cellStyle name="Normal 3 6 14 2 2 2" xfId="43249" xr:uid="{00000000-0005-0000-0000-000060A80000}"/>
    <cellStyle name="Normal 3 6 14 2 2 3" xfId="43250" xr:uid="{00000000-0005-0000-0000-000061A80000}"/>
    <cellStyle name="Normal 3 6 14 2 3" xfId="43251" xr:uid="{00000000-0005-0000-0000-000062A80000}"/>
    <cellStyle name="Normal 3 6 14 2 4" xfId="43252" xr:uid="{00000000-0005-0000-0000-000063A80000}"/>
    <cellStyle name="Normal 3 6 14 3" xfId="43253" xr:uid="{00000000-0005-0000-0000-000064A80000}"/>
    <cellStyle name="Normal 3 6 14 3 2" xfId="43254" xr:uid="{00000000-0005-0000-0000-000065A80000}"/>
    <cellStyle name="Normal 3 6 14 3 3" xfId="43255" xr:uid="{00000000-0005-0000-0000-000066A80000}"/>
    <cellStyle name="Normal 3 6 14 4" xfId="43256" xr:uid="{00000000-0005-0000-0000-000067A80000}"/>
    <cellStyle name="Normal 3 6 15" xfId="43257" xr:uid="{00000000-0005-0000-0000-000068A80000}"/>
    <cellStyle name="Normal 3 6 15 2" xfId="43258" xr:uid="{00000000-0005-0000-0000-000069A80000}"/>
    <cellStyle name="Normal 3 6 15 2 2" xfId="43259" xr:uid="{00000000-0005-0000-0000-00006AA80000}"/>
    <cellStyle name="Normal 3 6 15 2 2 2" xfId="43260" xr:uid="{00000000-0005-0000-0000-00006BA80000}"/>
    <cellStyle name="Normal 3 6 15 2 2 3" xfId="43261" xr:uid="{00000000-0005-0000-0000-00006CA80000}"/>
    <cellStyle name="Normal 3 6 15 2 3" xfId="43262" xr:uid="{00000000-0005-0000-0000-00006DA80000}"/>
    <cellStyle name="Normal 3 6 15 2 4" xfId="43263" xr:uid="{00000000-0005-0000-0000-00006EA80000}"/>
    <cellStyle name="Normal 3 6 15 3" xfId="43264" xr:uid="{00000000-0005-0000-0000-00006FA80000}"/>
    <cellStyle name="Normal 3 6 15 3 2" xfId="43265" xr:uid="{00000000-0005-0000-0000-000070A80000}"/>
    <cellStyle name="Normal 3 6 15 3 3" xfId="43266" xr:uid="{00000000-0005-0000-0000-000071A80000}"/>
    <cellStyle name="Normal 3 6 15 4" xfId="43267" xr:uid="{00000000-0005-0000-0000-000072A80000}"/>
    <cellStyle name="Normal 3 6 16" xfId="43268" xr:uid="{00000000-0005-0000-0000-000073A80000}"/>
    <cellStyle name="Normal 3 6 16 2" xfId="43269" xr:uid="{00000000-0005-0000-0000-000074A80000}"/>
    <cellStyle name="Normal 3 6 16 2 2" xfId="43270" xr:uid="{00000000-0005-0000-0000-000075A80000}"/>
    <cellStyle name="Normal 3 6 16 2 2 2" xfId="43271" xr:uid="{00000000-0005-0000-0000-000076A80000}"/>
    <cellStyle name="Normal 3 6 16 2 2 3" xfId="43272" xr:uid="{00000000-0005-0000-0000-000077A80000}"/>
    <cellStyle name="Normal 3 6 16 2 3" xfId="43273" xr:uid="{00000000-0005-0000-0000-000078A80000}"/>
    <cellStyle name="Normal 3 6 16 2 4" xfId="43274" xr:uid="{00000000-0005-0000-0000-000079A80000}"/>
    <cellStyle name="Normal 3 6 16 3" xfId="43275" xr:uid="{00000000-0005-0000-0000-00007AA80000}"/>
    <cellStyle name="Normal 3 6 16 3 2" xfId="43276" xr:uid="{00000000-0005-0000-0000-00007BA80000}"/>
    <cellStyle name="Normal 3 6 16 3 3" xfId="43277" xr:uid="{00000000-0005-0000-0000-00007CA80000}"/>
    <cellStyle name="Normal 3 6 16 4" xfId="43278" xr:uid="{00000000-0005-0000-0000-00007DA80000}"/>
    <cellStyle name="Normal 3 6 17" xfId="43279" xr:uid="{00000000-0005-0000-0000-00007EA80000}"/>
    <cellStyle name="Normal 3 6 17 2" xfId="43280" xr:uid="{00000000-0005-0000-0000-00007FA80000}"/>
    <cellStyle name="Normal 3 6 17 2 2" xfId="43281" xr:uid="{00000000-0005-0000-0000-000080A80000}"/>
    <cellStyle name="Normal 3 6 17 2 2 2" xfId="43282" xr:uid="{00000000-0005-0000-0000-000081A80000}"/>
    <cellStyle name="Normal 3 6 17 2 2 3" xfId="43283" xr:uid="{00000000-0005-0000-0000-000082A80000}"/>
    <cellStyle name="Normal 3 6 17 2 3" xfId="43284" xr:uid="{00000000-0005-0000-0000-000083A80000}"/>
    <cellStyle name="Normal 3 6 17 2 4" xfId="43285" xr:uid="{00000000-0005-0000-0000-000084A80000}"/>
    <cellStyle name="Normal 3 6 17 3" xfId="43286" xr:uid="{00000000-0005-0000-0000-000085A80000}"/>
    <cellStyle name="Normal 3 6 17 3 2" xfId="43287" xr:uid="{00000000-0005-0000-0000-000086A80000}"/>
    <cellStyle name="Normal 3 6 17 3 3" xfId="43288" xr:uid="{00000000-0005-0000-0000-000087A80000}"/>
    <cellStyle name="Normal 3 6 17 4" xfId="43289" xr:uid="{00000000-0005-0000-0000-000088A80000}"/>
    <cellStyle name="Normal 3 6 18" xfId="43290" xr:uid="{00000000-0005-0000-0000-000089A80000}"/>
    <cellStyle name="Normal 3 6 18 2" xfId="43291" xr:uid="{00000000-0005-0000-0000-00008AA80000}"/>
    <cellStyle name="Normal 3 6 18 2 2" xfId="43292" xr:uid="{00000000-0005-0000-0000-00008BA80000}"/>
    <cellStyle name="Normal 3 6 18 2 2 2" xfId="43293" xr:uid="{00000000-0005-0000-0000-00008CA80000}"/>
    <cellStyle name="Normal 3 6 18 2 2 3" xfId="43294" xr:uid="{00000000-0005-0000-0000-00008DA80000}"/>
    <cellStyle name="Normal 3 6 18 2 3" xfId="43295" xr:uid="{00000000-0005-0000-0000-00008EA80000}"/>
    <cellStyle name="Normal 3 6 18 2 4" xfId="43296" xr:uid="{00000000-0005-0000-0000-00008FA80000}"/>
    <cellStyle name="Normal 3 6 18 3" xfId="43297" xr:uid="{00000000-0005-0000-0000-000090A80000}"/>
    <cellStyle name="Normal 3 6 18 3 2" xfId="43298" xr:uid="{00000000-0005-0000-0000-000091A80000}"/>
    <cellStyle name="Normal 3 6 18 3 3" xfId="43299" xr:uid="{00000000-0005-0000-0000-000092A80000}"/>
    <cellStyle name="Normal 3 6 18 4" xfId="43300" xr:uid="{00000000-0005-0000-0000-000093A80000}"/>
    <cellStyle name="Normal 3 6 19" xfId="43301" xr:uid="{00000000-0005-0000-0000-000094A80000}"/>
    <cellStyle name="Normal 3 6 19 2" xfId="43302" xr:uid="{00000000-0005-0000-0000-000095A80000}"/>
    <cellStyle name="Normal 3 6 19 2 2" xfId="43303" xr:uid="{00000000-0005-0000-0000-000096A80000}"/>
    <cellStyle name="Normal 3 6 19 2 2 2" xfId="43304" xr:uid="{00000000-0005-0000-0000-000097A80000}"/>
    <cellStyle name="Normal 3 6 19 2 2 3" xfId="43305" xr:uid="{00000000-0005-0000-0000-000098A80000}"/>
    <cellStyle name="Normal 3 6 19 2 3" xfId="43306" xr:uid="{00000000-0005-0000-0000-000099A80000}"/>
    <cellStyle name="Normal 3 6 19 2 4" xfId="43307" xr:uid="{00000000-0005-0000-0000-00009AA80000}"/>
    <cellStyle name="Normal 3 6 19 3" xfId="43308" xr:uid="{00000000-0005-0000-0000-00009BA80000}"/>
    <cellStyle name="Normal 3 6 19 3 2" xfId="43309" xr:uid="{00000000-0005-0000-0000-00009CA80000}"/>
    <cellStyle name="Normal 3 6 19 3 3" xfId="43310" xr:uid="{00000000-0005-0000-0000-00009DA80000}"/>
    <cellStyle name="Normal 3 6 19 4" xfId="43311" xr:uid="{00000000-0005-0000-0000-00009EA80000}"/>
    <cellStyle name="Normal 3 6 2" xfId="43312" xr:uid="{00000000-0005-0000-0000-00009FA80000}"/>
    <cellStyle name="Normal 3 6 2 2" xfId="43313" xr:uid="{00000000-0005-0000-0000-0000A0A80000}"/>
    <cellStyle name="Normal 3 6 2 2 2" xfId="43314" xr:uid="{00000000-0005-0000-0000-0000A1A80000}"/>
    <cellStyle name="Normal 3 6 2 2 2 2" xfId="43315" xr:uid="{00000000-0005-0000-0000-0000A2A80000}"/>
    <cellStyle name="Normal 3 6 2 2 2 3" xfId="43316" xr:uid="{00000000-0005-0000-0000-0000A3A80000}"/>
    <cellStyle name="Normal 3 6 2 2 3" xfId="43317" xr:uid="{00000000-0005-0000-0000-0000A4A80000}"/>
    <cellStyle name="Normal 3 6 2 2 4" xfId="43318" xr:uid="{00000000-0005-0000-0000-0000A5A80000}"/>
    <cellStyle name="Normal 3 6 2 3" xfId="43319" xr:uid="{00000000-0005-0000-0000-0000A6A80000}"/>
    <cellStyle name="Normal 3 6 2 3 2" xfId="43320" xr:uid="{00000000-0005-0000-0000-0000A7A80000}"/>
    <cellStyle name="Normal 3 6 2 3 3" xfId="43321" xr:uid="{00000000-0005-0000-0000-0000A8A80000}"/>
    <cellStyle name="Normal 3 6 2 4" xfId="43322" xr:uid="{00000000-0005-0000-0000-0000A9A80000}"/>
    <cellStyle name="Normal 3 6 2 5" xfId="43323" xr:uid="{00000000-0005-0000-0000-0000AAA80000}"/>
    <cellStyle name="Normal 3 6 20" xfId="43324" xr:uid="{00000000-0005-0000-0000-0000ABA80000}"/>
    <cellStyle name="Normal 3 6 20 2" xfId="43325" xr:uid="{00000000-0005-0000-0000-0000ACA80000}"/>
    <cellStyle name="Normal 3 6 20 2 2" xfId="43326" xr:uid="{00000000-0005-0000-0000-0000ADA80000}"/>
    <cellStyle name="Normal 3 6 20 2 2 2" xfId="43327" xr:uid="{00000000-0005-0000-0000-0000AEA80000}"/>
    <cellStyle name="Normal 3 6 20 2 2 3" xfId="43328" xr:uid="{00000000-0005-0000-0000-0000AFA80000}"/>
    <cellStyle name="Normal 3 6 20 2 3" xfId="43329" xr:uid="{00000000-0005-0000-0000-0000B0A80000}"/>
    <cellStyle name="Normal 3 6 20 2 4" xfId="43330" xr:uid="{00000000-0005-0000-0000-0000B1A80000}"/>
    <cellStyle name="Normal 3 6 20 3" xfId="43331" xr:uid="{00000000-0005-0000-0000-0000B2A80000}"/>
    <cellStyle name="Normal 3 6 20 3 2" xfId="43332" xr:uid="{00000000-0005-0000-0000-0000B3A80000}"/>
    <cellStyle name="Normal 3 6 20 3 3" xfId="43333" xr:uid="{00000000-0005-0000-0000-0000B4A80000}"/>
    <cellStyle name="Normal 3 6 20 4" xfId="43334" xr:uid="{00000000-0005-0000-0000-0000B5A80000}"/>
    <cellStyle name="Normal 3 6 21" xfId="43335" xr:uid="{00000000-0005-0000-0000-0000B6A80000}"/>
    <cellStyle name="Normal 3 6 21 2" xfId="43336" xr:uid="{00000000-0005-0000-0000-0000B7A80000}"/>
    <cellStyle name="Normal 3 6 21 2 2" xfId="43337" xr:uid="{00000000-0005-0000-0000-0000B8A80000}"/>
    <cellStyle name="Normal 3 6 21 2 2 2" xfId="43338" xr:uid="{00000000-0005-0000-0000-0000B9A80000}"/>
    <cellStyle name="Normal 3 6 21 2 2 3" xfId="43339" xr:uid="{00000000-0005-0000-0000-0000BAA80000}"/>
    <cellStyle name="Normal 3 6 21 2 3" xfId="43340" xr:uid="{00000000-0005-0000-0000-0000BBA80000}"/>
    <cellStyle name="Normal 3 6 21 2 4" xfId="43341" xr:uid="{00000000-0005-0000-0000-0000BCA80000}"/>
    <cellStyle name="Normal 3 6 21 3" xfId="43342" xr:uid="{00000000-0005-0000-0000-0000BDA80000}"/>
    <cellStyle name="Normal 3 6 21 3 2" xfId="43343" xr:uid="{00000000-0005-0000-0000-0000BEA80000}"/>
    <cellStyle name="Normal 3 6 21 3 3" xfId="43344" xr:uid="{00000000-0005-0000-0000-0000BFA80000}"/>
    <cellStyle name="Normal 3 6 21 4" xfId="43345" xr:uid="{00000000-0005-0000-0000-0000C0A80000}"/>
    <cellStyle name="Normal 3 6 22" xfId="43346" xr:uid="{00000000-0005-0000-0000-0000C1A80000}"/>
    <cellStyle name="Normal 3 6 22 2" xfId="43347" xr:uid="{00000000-0005-0000-0000-0000C2A80000}"/>
    <cellStyle name="Normal 3 6 22 2 2" xfId="43348" xr:uid="{00000000-0005-0000-0000-0000C3A80000}"/>
    <cellStyle name="Normal 3 6 22 2 2 2" xfId="43349" xr:uid="{00000000-0005-0000-0000-0000C4A80000}"/>
    <cellStyle name="Normal 3 6 22 2 2 3" xfId="43350" xr:uid="{00000000-0005-0000-0000-0000C5A80000}"/>
    <cellStyle name="Normal 3 6 22 2 3" xfId="43351" xr:uid="{00000000-0005-0000-0000-0000C6A80000}"/>
    <cellStyle name="Normal 3 6 22 2 4" xfId="43352" xr:uid="{00000000-0005-0000-0000-0000C7A80000}"/>
    <cellStyle name="Normal 3 6 22 3" xfId="43353" xr:uid="{00000000-0005-0000-0000-0000C8A80000}"/>
    <cellStyle name="Normal 3 6 22 3 2" xfId="43354" xr:uid="{00000000-0005-0000-0000-0000C9A80000}"/>
    <cellStyle name="Normal 3 6 22 3 3" xfId="43355" xr:uid="{00000000-0005-0000-0000-0000CAA80000}"/>
    <cellStyle name="Normal 3 6 22 4" xfId="43356" xr:uid="{00000000-0005-0000-0000-0000CBA80000}"/>
    <cellStyle name="Normal 3 6 23" xfId="43357" xr:uid="{00000000-0005-0000-0000-0000CCA80000}"/>
    <cellStyle name="Normal 3 6 23 2" xfId="43358" xr:uid="{00000000-0005-0000-0000-0000CDA80000}"/>
    <cellStyle name="Normal 3 6 23 2 2" xfId="43359" xr:uid="{00000000-0005-0000-0000-0000CEA80000}"/>
    <cellStyle name="Normal 3 6 23 2 2 2" xfId="43360" xr:uid="{00000000-0005-0000-0000-0000CFA80000}"/>
    <cellStyle name="Normal 3 6 23 2 2 3" xfId="43361" xr:uid="{00000000-0005-0000-0000-0000D0A80000}"/>
    <cellStyle name="Normal 3 6 23 2 3" xfId="43362" xr:uid="{00000000-0005-0000-0000-0000D1A80000}"/>
    <cellStyle name="Normal 3 6 23 2 4" xfId="43363" xr:uid="{00000000-0005-0000-0000-0000D2A80000}"/>
    <cellStyle name="Normal 3 6 23 3" xfId="43364" xr:uid="{00000000-0005-0000-0000-0000D3A80000}"/>
    <cellStyle name="Normal 3 6 23 3 2" xfId="43365" xr:uid="{00000000-0005-0000-0000-0000D4A80000}"/>
    <cellStyle name="Normal 3 6 23 3 3" xfId="43366" xr:uid="{00000000-0005-0000-0000-0000D5A80000}"/>
    <cellStyle name="Normal 3 6 23 4" xfId="43367" xr:uid="{00000000-0005-0000-0000-0000D6A80000}"/>
    <cellStyle name="Normal 3 6 24" xfId="43368" xr:uid="{00000000-0005-0000-0000-0000D7A80000}"/>
    <cellStyle name="Normal 3 6 24 2" xfId="43369" xr:uid="{00000000-0005-0000-0000-0000D8A80000}"/>
    <cellStyle name="Normal 3 6 24 2 2" xfId="43370" xr:uid="{00000000-0005-0000-0000-0000D9A80000}"/>
    <cellStyle name="Normal 3 6 24 2 3" xfId="43371" xr:uid="{00000000-0005-0000-0000-0000DAA80000}"/>
    <cellStyle name="Normal 3 6 24 3" xfId="43372" xr:uid="{00000000-0005-0000-0000-0000DBA80000}"/>
    <cellStyle name="Normal 3 6 24 4" xfId="43373" xr:uid="{00000000-0005-0000-0000-0000DCA80000}"/>
    <cellStyle name="Normal 3 6 25" xfId="43374" xr:uid="{00000000-0005-0000-0000-0000DDA80000}"/>
    <cellStyle name="Normal 3 6 25 2" xfId="43375" xr:uid="{00000000-0005-0000-0000-0000DEA80000}"/>
    <cellStyle name="Normal 3 6 25 3" xfId="43376" xr:uid="{00000000-0005-0000-0000-0000DFA80000}"/>
    <cellStyle name="Normal 3 6 26" xfId="43377" xr:uid="{00000000-0005-0000-0000-0000E0A80000}"/>
    <cellStyle name="Normal 3 6 27" xfId="43378" xr:uid="{00000000-0005-0000-0000-0000E1A80000}"/>
    <cellStyle name="Normal 3 6 3" xfId="43379" xr:uid="{00000000-0005-0000-0000-0000E2A80000}"/>
    <cellStyle name="Normal 3 6 3 2" xfId="43380" xr:uid="{00000000-0005-0000-0000-0000E3A80000}"/>
    <cellStyle name="Normal 3 6 3 2 2" xfId="43381" xr:uid="{00000000-0005-0000-0000-0000E4A80000}"/>
    <cellStyle name="Normal 3 6 3 2 2 2" xfId="43382" xr:uid="{00000000-0005-0000-0000-0000E5A80000}"/>
    <cellStyle name="Normal 3 6 3 2 2 3" xfId="43383" xr:uid="{00000000-0005-0000-0000-0000E6A80000}"/>
    <cellStyle name="Normal 3 6 3 2 3" xfId="43384" xr:uid="{00000000-0005-0000-0000-0000E7A80000}"/>
    <cellStyle name="Normal 3 6 3 2 4" xfId="43385" xr:uid="{00000000-0005-0000-0000-0000E8A80000}"/>
    <cellStyle name="Normal 3 6 3 3" xfId="43386" xr:uid="{00000000-0005-0000-0000-0000E9A80000}"/>
    <cellStyle name="Normal 3 6 3 3 2" xfId="43387" xr:uid="{00000000-0005-0000-0000-0000EAA80000}"/>
    <cellStyle name="Normal 3 6 3 3 3" xfId="43388" xr:uid="{00000000-0005-0000-0000-0000EBA80000}"/>
    <cellStyle name="Normal 3 6 3 4" xfId="43389" xr:uid="{00000000-0005-0000-0000-0000ECA80000}"/>
    <cellStyle name="Normal 3 6 4" xfId="43390" xr:uid="{00000000-0005-0000-0000-0000EDA80000}"/>
    <cellStyle name="Normal 3 6 4 2" xfId="43391" xr:uid="{00000000-0005-0000-0000-0000EEA80000}"/>
    <cellStyle name="Normal 3 6 4 2 2" xfId="43392" xr:uid="{00000000-0005-0000-0000-0000EFA80000}"/>
    <cellStyle name="Normal 3 6 4 2 2 2" xfId="43393" xr:uid="{00000000-0005-0000-0000-0000F0A80000}"/>
    <cellStyle name="Normal 3 6 4 2 2 3" xfId="43394" xr:uid="{00000000-0005-0000-0000-0000F1A80000}"/>
    <cellStyle name="Normal 3 6 4 2 3" xfId="43395" xr:uid="{00000000-0005-0000-0000-0000F2A80000}"/>
    <cellStyle name="Normal 3 6 4 2 4" xfId="43396" xr:uid="{00000000-0005-0000-0000-0000F3A80000}"/>
    <cellStyle name="Normal 3 6 4 3" xfId="43397" xr:uid="{00000000-0005-0000-0000-0000F4A80000}"/>
    <cellStyle name="Normal 3 6 4 3 2" xfId="43398" xr:uid="{00000000-0005-0000-0000-0000F5A80000}"/>
    <cellStyle name="Normal 3 6 4 3 3" xfId="43399" xr:uid="{00000000-0005-0000-0000-0000F6A80000}"/>
    <cellStyle name="Normal 3 6 4 4" xfId="43400" xr:uid="{00000000-0005-0000-0000-0000F7A80000}"/>
    <cellStyle name="Normal 3 6 5" xfId="43401" xr:uid="{00000000-0005-0000-0000-0000F8A80000}"/>
    <cellStyle name="Normal 3 6 5 2" xfId="43402" xr:uid="{00000000-0005-0000-0000-0000F9A80000}"/>
    <cellStyle name="Normal 3 6 5 2 2" xfId="43403" xr:uid="{00000000-0005-0000-0000-0000FAA80000}"/>
    <cellStyle name="Normal 3 6 5 2 2 2" xfId="43404" xr:uid="{00000000-0005-0000-0000-0000FBA80000}"/>
    <cellStyle name="Normal 3 6 5 2 2 3" xfId="43405" xr:uid="{00000000-0005-0000-0000-0000FCA80000}"/>
    <cellStyle name="Normal 3 6 5 2 3" xfId="43406" xr:uid="{00000000-0005-0000-0000-0000FDA80000}"/>
    <cellStyle name="Normal 3 6 5 2 4" xfId="43407" xr:uid="{00000000-0005-0000-0000-0000FEA80000}"/>
    <cellStyle name="Normal 3 6 5 3" xfId="43408" xr:uid="{00000000-0005-0000-0000-0000FFA80000}"/>
    <cellStyle name="Normal 3 6 5 3 2" xfId="43409" xr:uid="{00000000-0005-0000-0000-000000A90000}"/>
    <cellStyle name="Normal 3 6 5 3 3" xfId="43410" xr:uid="{00000000-0005-0000-0000-000001A90000}"/>
    <cellStyle name="Normal 3 6 5 4" xfId="43411" xr:uid="{00000000-0005-0000-0000-000002A90000}"/>
    <cellStyle name="Normal 3 6 6" xfId="43412" xr:uid="{00000000-0005-0000-0000-000003A90000}"/>
    <cellStyle name="Normal 3 6 6 2" xfId="43413" xr:uid="{00000000-0005-0000-0000-000004A90000}"/>
    <cellStyle name="Normal 3 6 6 2 2" xfId="43414" xr:uid="{00000000-0005-0000-0000-000005A90000}"/>
    <cellStyle name="Normal 3 6 6 2 2 2" xfId="43415" xr:uid="{00000000-0005-0000-0000-000006A90000}"/>
    <cellStyle name="Normal 3 6 6 2 2 3" xfId="43416" xr:uid="{00000000-0005-0000-0000-000007A90000}"/>
    <cellStyle name="Normal 3 6 6 2 3" xfId="43417" xr:uid="{00000000-0005-0000-0000-000008A90000}"/>
    <cellStyle name="Normal 3 6 6 2 4" xfId="43418" xr:uid="{00000000-0005-0000-0000-000009A90000}"/>
    <cellStyle name="Normal 3 6 6 3" xfId="43419" xr:uid="{00000000-0005-0000-0000-00000AA90000}"/>
    <cellStyle name="Normal 3 6 6 3 2" xfId="43420" xr:uid="{00000000-0005-0000-0000-00000BA90000}"/>
    <cellStyle name="Normal 3 6 6 3 3" xfId="43421" xr:uid="{00000000-0005-0000-0000-00000CA90000}"/>
    <cellStyle name="Normal 3 6 6 4" xfId="43422" xr:uid="{00000000-0005-0000-0000-00000DA90000}"/>
    <cellStyle name="Normal 3 6 7" xfId="43423" xr:uid="{00000000-0005-0000-0000-00000EA90000}"/>
    <cellStyle name="Normal 3 6 7 2" xfId="43424" xr:uid="{00000000-0005-0000-0000-00000FA90000}"/>
    <cellStyle name="Normal 3 6 7 2 2" xfId="43425" xr:uid="{00000000-0005-0000-0000-000010A90000}"/>
    <cellStyle name="Normal 3 6 7 2 2 2" xfId="43426" xr:uid="{00000000-0005-0000-0000-000011A90000}"/>
    <cellStyle name="Normal 3 6 7 2 2 3" xfId="43427" xr:uid="{00000000-0005-0000-0000-000012A90000}"/>
    <cellStyle name="Normal 3 6 7 2 3" xfId="43428" xr:uid="{00000000-0005-0000-0000-000013A90000}"/>
    <cellStyle name="Normal 3 6 7 2 4" xfId="43429" xr:uid="{00000000-0005-0000-0000-000014A90000}"/>
    <cellStyle name="Normal 3 6 7 3" xfId="43430" xr:uid="{00000000-0005-0000-0000-000015A90000}"/>
    <cellStyle name="Normal 3 6 7 3 2" xfId="43431" xr:uid="{00000000-0005-0000-0000-000016A90000}"/>
    <cellStyle name="Normal 3 6 7 3 3" xfId="43432" xr:uid="{00000000-0005-0000-0000-000017A90000}"/>
    <cellStyle name="Normal 3 6 7 4" xfId="43433" xr:uid="{00000000-0005-0000-0000-000018A90000}"/>
    <cellStyle name="Normal 3 6 8" xfId="43434" xr:uid="{00000000-0005-0000-0000-000019A90000}"/>
    <cellStyle name="Normal 3 6 8 2" xfId="43435" xr:uid="{00000000-0005-0000-0000-00001AA90000}"/>
    <cellStyle name="Normal 3 6 8 2 2" xfId="43436" xr:uid="{00000000-0005-0000-0000-00001BA90000}"/>
    <cellStyle name="Normal 3 6 8 2 2 2" xfId="43437" xr:uid="{00000000-0005-0000-0000-00001CA90000}"/>
    <cellStyle name="Normal 3 6 8 2 2 3" xfId="43438" xr:uid="{00000000-0005-0000-0000-00001DA90000}"/>
    <cellStyle name="Normal 3 6 8 2 3" xfId="43439" xr:uid="{00000000-0005-0000-0000-00001EA90000}"/>
    <cellStyle name="Normal 3 6 8 2 4" xfId="43440" xr:uid="{00000000-0005-0000-0000-00001FA90000}"/>
    <cellStyle name="Normal 3 6 8 3" xfId="43441" xr:uid="{00000000-0005-0000-0000-000020A90000}"/>
    <cellStyle name="Normal 3 6 8 3 2" xfId="43442" xr:uid="{00000000-0005-0000-0000-000021A90000}"/>
    <cellStyle name="Normal 3 6 8 3 3" xfId="43443" xr:uid="{00000000-0005-0000-0000-000022A90000}"/>
    <cellStyle name="Normal 3 6 8 4" xfId="43444" xr:uid="{00000000-0005-0000-0000-000023A90000}"/>
    <cellStyle name="Normal 3 6 9" xfId="43445" xr:uid="{00000000-0005-0000-0000-000024A90000}"/>
    <cellStyle name="Normal 3 6 9 2" xfId="43446" xr:uid="{00000000-0005-0000-0000-000025A90000}"/>
    <cellStyle name="Normal 3 6 9 2 2" xfId="43447" xr:uid="{00000000-0005-0000-0000-000026A90000}"/>
    <cellStyle name="Normal 3 6 9 2 2 2" xfId="43448" xr:uid="{00000000-0005-0000-0000-000027A90000}"/>
    <cellStyle name="Normal 3 6 9 2 2 3" xfId="43449" xr:uid="{00000000-0005-0000-0000-000028A90000}"/>
    <cellStyle name="Normal 3 6 9 2 3" xfId="43450" xr:uid="{00000000-0005-0000-0000-000029A90000}"/>
    <cellStyle name="Normal 3 6 9 2 4" xfId="43451" xr:uid="{00000000-0005-0000-0000-00002AA90000}"/>
    <cellStyle name="Normal 3 6 9 3" xfId="43452" xr:uid="{00000000-0005-0000-0000-00002BA90000}"/>
    <cellStyle name="Normal 3 6 9 3 2" xfId="43453" xr:uid="{00000000-0005-0000-0000-00002CA90000}"/>
    <cellStyle name="Normal 3 6 9 3 3" xfId="43454" xr:uid="{00000000-0005-0000-0000-00002DA90000}"/>
    <cellStyle name="Normal 3 6 9 4" xfId="43455" xr:uid="{00000000-0005-0000-0000-00002EA90000}"/>
    <cellStyle name="Normal 3 60" xfId="43456" xr:uid="{00000000-0005-0000-0000-00002FA90000}"/>
    <cellStyle name="Normal 3 60 2" xfId="43457" xr:uid="{00000000-0005-0000-0000-000030A90000}"/>
    <cellStyle name="Normal 3 60 2 2" xfId="43458" xr:uid="{00000000-0005-0000-0000-000031A90000}"/>
    <cellStyle name="Normal 3 60 2 2 2" xfId="43459" xr:uid="{00000000-0005-0000-0000-000032A90000}"/>
    <cellStyle name="Normal 3 60 2 2 3" xfId="43460" xr:uid="{00000000-0005-0000-0000-000033A90000}"/>
    <cellStyle name="Normal 3 60 2 3" xfId="43461" xr:uid="{00000000-0005-0000-0000-000034A90000}"/>
    <cellStyle name="Normal 3 60 2 4" xfId="43462" xr:uid="{00000000-0005-0000-0000-000035A90000}"/>
    <cellStyle name="Normal 3 60 3" xfId="43463" xr:uid="{00000000-0005-0000-0000-000036A90000}"/>
    <cellStyle name="Normal 3 60 3 2" xfId="43464" xr:uid="{00000000-0005-0000-0000-000037A90000}"/>
    <cellStyle name="Normal 3 60 3 3" xfId="43465" xr:uid="{00000000-0005-0000-0000-000038A90000}"/>
    <cellStyle name="Normal 3 60 4" xfId="43466" xr:uid="{00000000-0005-0000-0000-000039A90000}"/>
    <cellStyle name="Normal 3 61" xfId="43467" xr:uid="{00000000-0005-0000-0000-00003AA90000}"/>
    <cellStyle name="Normal 3 61 2" xfId="43468" xr:uid="{00000000-0005-0000-0000-00003BA90000}"/>
    <cellStyle name="Normal 3 61 2 2" xfId="43469" xr:uid="{00000000-0005-0000-0000-00003CA90000}"/>
    <cellStyle name="Normal 3 61 2 2 2" xfId="43470" xr:uid="{00000000-0005-0000-0000-00003DA90000}"/>
    <cellStyle name="Normal 3 61 2 2 3" xfId="43471" xr:uid="{00000000-0005-0000-0000-00003EA90000}"/>
    <cellStyle name="Normal 3 61 2 3" xfId="43472" xr:uid="{00000000-0005-0000-0000-00003FA90000}"/>
    <cellStyle name="Normal 3 61 2 4" xfId="43473" xr:uid="{00000000-0005-0000-0000-000040A90000}"/>
    <cellStyle name="Normal 3 61 3" xfId="43474" xr:uid="{00000000-0005-0000-0000-000041A90000}"/>
    <cellStyle name="Normal 3 61 3 2" xfId="43475" xr:uid="{00000000-0005-0000-0000-000042A90000}"/>
    <cellStyle name="Normal 3 61 3 3" xfId="43476" xr:uid="{00000000-0005-0000-0000-000043A90000}"/>
    <cellStyle name="Normal 3 61 4" xfId="43477" xr:uid="{00000000-0005-0000-0000-000044A90000}"/>
    <cellStyle name="Normal 3 62" xfId="43478" xr:uid="{00000000-0005-0000-0000-000045A90000}"/>
    <cellStyle name="Normal 3 62 2" xfId="43479" xr:uid="{00000000-0005-0000-0000-000046A90000}"/>
    <cellStyle name="Normal 3 62 2 2" xfId="43480" xr:uid="{00000000-0005-0000-0000-000047A90000}"/>
    <cellStyle name="Normal 3 62 2 2 2" xfId="43481" xr:uid="{00000000-0005-0000-0000-000048A90000}"/>
    <cellStyle name="Normal 3 62 2 2 3" xfId="43482" xr:uid="{00000000-0005-0000-0000-000049A90000}"/>
    <cellStyle name="Normal 3 62 2 3" xfId="43483" xr:uid="{00000000-0005-0000-0000-00004AA90000}"/>
    <cellStyle name="Normal 3 62 2 4" xfId="43484" xr:uid="{00000000-0005-0000-0000-00004BA90000}"/>
    <cellStyle name="Normal 3 62 3" xfId="43485" xr:uid="{00000000-0005-0000-0000-00004CA90000}"/>
    <cellStyle name="Normal 3 62 3 2" xfId="43486" xr:uid="{00000000-0005-0000-0000-00004DA90000}"/>
    <cellStyle name="Normal 3 62 3 3" xfId="43487" xr:uid="{00000000-0005-0000-0000-00004EA90000}"/>
    <cellStyle name="Normal 3 62 4" xfId="43488" xr:uid="{00000000-0005-0000-0000-00004FA90000}"/>
    <cellStyle name="Normal 3 63" xfId="43489" xr:uid="{00000000-0005-0000-0000-000050A90000}"/>
    <cellStyle name="Normal 3 63 2" xfId="43490" xr:uid="{00000000-0005-0000-0000-000051A90000}"/>
    <cellStyle name="Normal 3 63 2 2" xfId="43491" xr:uid="{00000000-0005-0000-0000-000052A90000}"/>
    <cellStyle name="Normal 3 63 2 2 2" xfId="43492" xr:uid="{00000000-0005-0000-0000-000053A90000}"/>
    <cellStyle name="Normal 3 63 2 2 3" xfId="43493" xr:uid="{00000000-0005-0000-0000-000054A90000}"/>
    <cellStyle name="Normal 3 63 2 3" xfId="43494" xr:uid="{00000000-0005-0000-0000-000055A90000}"/>
    <cellStyle name="Normal 3 63 2 4" xfId="43495" xr:uid="{00000000-0005-0000-0000-000056A90000}"/>
    <cellStyle name="Normal 3 63 3" xfId="43496" xr:uid="{00000000-0005-0000-0000-000057A90000}"/>
    <cellStyle name="Normal 3 63 3 2" xfId="43497" xr:uid="{00000000-0005-0000-0000-000058A90000}"/>
    <cellStyle name="Normal 3 63 3 3" xfId="43498" xr:uid="{00000000-0005-0000-0000-000059A90000}"/>
    <cellStyle name="Normal 3 63 4" xfId="43499" xr:uid="{00000000-0005-0000-0000-00005AA90000}"/>
    <cellStyle name="Normal 3 64" xfId="43500" xr:uid="{00000000-0005-0000-0000-00005BA90000}"/>
    <cellStyle name="Normal 3 64 2" xfId="43501" xr:uid="{00000000-0005-0000-0000-00005CA90000}"/>
    <cellStyle name="Normal 3 64 2 2" xfId="43502" xr:uid="{00000000-0005-0000-0000-00005DA90000}"/>
    <cellStyle name="Normal 3 64 2 2 2" xfId="43503" xr:uid="{00000000-0005-0000-0000-00005EA90000}"/>
    <cellStyle name="Normal 3 64 2 2 3" xfId="43504" xr:uid="{00000000-0005-0000-0000-00005FA90000}"/>
    <cellStyle name="Normal 3 64 2 3" xfId="43505" xr:uid="{00000000-0005-0000-0000-000060A90000}"/>
    <cellStyle name="Normal 3 64 2 4" xfId="43506" xr:uid="{00000000-0005-0000-0000-000061A90000}"/>
    <cellStyle name="Normal 3 64 3" xfId="43507" xr:uid="{00000000-0005-0000-0000-000062A90000}"/>
    <cellStyle name="Normal 3 64 3 2" xfId="43508" xr:uid="{00000000-0005-0000-0000-000063A90000}"/>
    <cellStyle name="Normal 3 64 3 3" xfId="43509" xr:uid="{00000000-0005-0000-0000-000064A90000}"/>
    <cellStyle name="Normal 3 64 4" xfId="43510" xr:uid="{00000000-0005-0000-0000-000065A90000}"/>
    <cellStyle name="Normal 3 65" xfId="43511" xr:uid="{00000000-0005-0000-0000-000066A90000}"/>
    <cellStyle name="Normal 3 65 2" xfId="43512" xr:uid="{00000000-0005-0000-0000-000067A90000}"/>
    <cellStyle name="Normal 3 65 2 2" xfId="43513" xr:uid="{00000000-0005-0000-0000-000068A90000}"/>
    <cellStyle name="Normal 3 65 2 2 2" xfId="43514" xr:uid="{00000000-0005-0000-0000-000069A90000}"/>
    <cellStyle name="Normal 3 65 2 2 3" xfId="43515" xr:uid="{00000000-0005-0000-0000-00006AA90000}"/>
    <cellStyle name="Normal 3 65 2 3" xfId="43516" xr:uid="{00000000-0005-0000-0000-00006BA90000}"/>
    <cellStyle name="Normal 3 65 2 4" xfId="43517" xr:uid="{00000000-0005-0000-0000-00006CA90000}"/>
    <cellStyle name="Normal 3 65 3" xfId="43518" xr:uid="{00000000-0005-0000-0000-00006DA90000}"/>
    <cellStyle name="Normal 3 65 3 2" xfId="43519" xr:uid="{00000000-0005-0000-0000-00006EA90000}"/>
    <cellStyle name="Normal 3 65 3 3" xfId="43520" xr:uid="{00000000-0005-0000-0000-00006FA90000}"/>
    <cellStyle name="Normal 3 65 4" xfId="43521" xr:uid="{00000000-0005-0000-0000-000070A90000}"/>
    <cellStyle name="Normal 3 66" xfId="43522" xr:uid="{00000000-0005-0000-0000-000071A90000}"/>
    <cellStyle name="Normal 3 66 2" xfId="43523" xr:uid="{00000000-0005-0000-0000-000072A90000}"/>
    <cellStyle name="Normal 3 66 2 2" xfId="43524" xr:uid="{00000000-0005-0000-0000-000073A90000}"/>
    <cellStyle name="Normal 3 66 2 3" xfId="43525" xr:uid="{00000000-0005-0000-0000-000074A90000}"/>
    <cellStyle name="Normal 3 66 2 4" xfId="43526" xr:uid="{00000000-0005-0000-0000-000075A90000}"/>
    <cellStyle name="Normal 3 66 3" xfId="43527" xr:uid="{00000000-0005-0000-0000-000076A90000}"/>
    <cellStyle name="Normal 3 66 4" xfId="43528" xr:uid="{00000000-0005-0000-0000-000077A90000}"/>
    <cellStyle name="Normal 3 66 5" xfId="43529" xr:uid="{00000000-0005-0000-0000-000078A90000}"/>
    <cellStyle name="Normal 3 66 6" xfId="43530" xr:uid="{00000000-0005-0000-0000-000079A90000}"/>
    <cellStyle name="Normal 3 67" xfId="43531" xr:uid="{00000000-0005-0000-0000-00007AA90000}"/>
    <cellStyle name="Normal 3 67 2" xfId="43532" xr:uid="{00000000-0005-0000-0000-00007BA90000}"/>
    <cellStyle name="Normal 3 67 2 2" xfId="43533" xr:uid="{00000000-0005-0000-0000-00007CA90000}"/>
    <cellStyle name="Normal 3 67 2 2 2" xfId="43534" xr:uid="{00000000-0005-0000-0000-00007DA90000}"/>
    <cellStyle name="Normal 3 67 2 2 2 2" xfId="43535" xr:uid="{00000000-0005-0000-0000-00007EA90000}"/>
    <cellStyle name="Normal 3 67 2 2 3" xfId="43536" xr:uid="{00000000-0005-0000-0000-00007FA90000}"/>
    <cellStyle name="Normal 3 67 2 3" xfId="43537" xr:uid="{00000000-0005-0000-0000-000080A90000}"/>
    <cellStyle name="Normal 3 67 2 3 2" xfId="43538" xr:uid="{00000000-0005-0000-0000-000081A90000}"/>
    <cellStyle name="Normal 3 67 2 4" xfId="43539" xr:uid="{00000000-0005-0000-0000-000082A90000}"/>
    <cellStyle name="Normal 3 67 2 5" xfId="43540" xr:uid="{00000000-0005-0000-0000-000083A90000}"/>
    <cellStyle name="Normal 3 67 3" xfId="43541" xr:uid="{00000000-0005-0000-0000-000084A90000}"/>
    <cellStyle name="Normal 3 67 3 2" xfId="43542" xr:uid="{00000000-0005-0000-0000-000085A90000}"/>
    <cellStyle name="Normal 3 67 3 3" xfId="43543" xr:uid="{00000000-0005-0000-0000-000086A90000}"/>
    <cellStyle name="Normal 3 67 3 3 2" xfId="43544" xr:uid="{00000000-0005-0000-0000-000087A90000}"/>
    <cellStyle name="Normal 3 67 3 4" xfId="43545" xr:uid="{00000000-0005-0000-0000-000088A90000}"/>
    <cellStyle name="Normal 3 67 4" xfId="43546" xr:uid="{00000000-0005-0000-0000-000089A90000}"/>
    <cellStyle name="Normal 3 67 4 2" xfId="43547" xr:uid="{00000000-0005-0000-0000-00008AA90000}"/>
    <cellStyle name="Normal 3 67 4 2 2" xfId="43548" xr:uid="{00000000-0005-0000-0000-00008BA90000}"/>
    <cellStyle name="Normal 3 67 4 3" xfId="43549" xr:uid="{00000000-0005-0000-0000-00008CA90000}"/>
    <cellStyle name="Normal 3 67 5" xfId="43550" xr:uid="{00000000-0005-0000-0000-00008DA90000}"/>
    <cellStyle name="Normal 3 68" xfId="43551" xr:uid="{00000000-0005-0000-0000-00008EA90000}"/>
    <cellStyle name="Normal 3 68 2" xfId="43552" xr:uid="{00000000-0005-0000-0000-00008FA90000}"/>
    <cellStyle name="Normal 3 68 2 2" xfId="43553" xr:uid="{00000000-0005-0000-0000-000090A90000}"/>
    <cellStyle name="Normal 3 68 3" xfId="43554" xr:uid="{00000000-0005-0000-0000-000091A90000}"/>
    <cellStyle name="Normal 3 69" xfId="43555" xr:uid="{00000000-0005-0000-0000-000092A90000}"/>
    <cellStyle name="Normal 3 69 2" xfId="43556" xr:uid="{00000000-0005-0000-0000-000093A90000}"/>
    <cellStyle name="Normal 3 69 2 2" xfId="43557" xr:uid="{00000000-0005-0000-0000-000094A90000}"/>
    <cellStyle name="Normal 3 69 2 3" xfId="43558" xr:uid="{00000000-0005-0000-0000-000095A90000}"/>
    <cellStyle name="Normal 3 69 3" xfId="43559" xr:uid="{00000000-0005-0000-0000-000096A90000}"/>
    <cellStyle name="Normal 3 69 4" xfId="43560" xr:uid="{00000000-0005-0000-0000-000097A90000}"/>
    <cellStyle name="Normal 3 7" xfId="43561" xr:uid="{00000000-0005-0000-0000-000098A90000}"/>
    <cellStyle name="Normal 3 7 10" xfId="43562" xr:uid="{00000000-0005-0000-0000-000099A90000}"/>
    <cellStyle name="Normal 3 7 10 2" xfId="43563" xr:uid="{00000000-0005-0000-0000-00009AA90000}"/>
    <cellStyle name="Normal 3 7 10 2 2" xfId="43564" xr:uid="{00000000-0005-0000-0000-00009BA90000}"/>
    <cellStyle name="Normal 3 7 10 2 2 2" xfId="43565" xr:uid="{00000000-0005-0000-0000-00009CA90000}"/>
    <cellStyle name="Normal 3 7 10 2 2 3" xfId="43566" xr:uid="{00000000-0005-0000-0000-00009DA90000}"/>
    <cellStyle name="Normal 3 7 10 2 3" xfId="43567" xr:uid="{00000000-0005-0000-0000-00009EA90000}"/>
    <cellStyle name="Normal 3 7 10 2 4" xfId="43568" xr:uid="{00000000-0005-0000-0000-00009FA90000}"/>
    <cellStyle name="Normal 3 7 10 3" xfId="43569" xr:uid="{00000000-0005-0000-0000-0000A0A90000}"/>
    <cellStyle name="Normal 3 7 10 3 2" xfId="43570" xr:uid="{00000000-0005-0000-0000-0000A1A90000}"/>
    <cellStyle name="Normal 3 7 10 3 3" xfId="43571" xr:uid="{00000000-0005-0000-0000-0000A2A90000}"/>
    <cellStyle name="Normal 3 7 10 4" xfId="43572" xr:uid="{00000000-0005-0000-0000-0000A3A90000}"/>
    <cellStyle name="Normal 3 7 11" xfId="43573" xr:uid="{00000000-0005-0000-0000-0000A4A90000}"/>
    <cellStyle name="Normal 3 7 11 2" xfId="43574" xr:uid="{00000000-0005-0000-0000-0000A5A90000}"/>
    <cellStyle name="Normal 3 7 11 2 2" xfId="43575" xr:uid="{00000000-0005-0000-0000-0000A6A90000}"/>
    <cellStyle name="Normal 3 7 11 2 2 2" xfId="43576" xr:uid="{00000000-0005-0000-0000-0000A7A90000}"/>
    <cellStyle name="Normal 3 7 11 2 2 3" xfId="43577" xr:uid="{00000000-0005-0000-0000-0000A8A90000}"/>
    <cellStyle name="Normal 3 7 11 2 3" xfId="43578" xr:uid="{00000000-0005-0000-0000-0000A9A90000}"/>
    <cellStyle name="Normal 3 7 11 2 4" xfId="43579" xr:uid="{00000000-0005-0000-0000-0000AAA90000}"/>
    <cellStyle name="Normal 3 7 11 3" xfId="43580" xr:uid="{00000000-0005-0000-0000-0000ABA90000}"/>
    <cellStyle name="Normal 3 7 11 3 2" xfId="43581" xr:uid="{00000000-0005-0000-0000-0000ACA90000}"/>
    <cellStyle name="Normal 3 7 11 3 3" xfId="43582" xr:uid="{00000000-0005-0000-0000-0000ADA90000}"/>
    <cellStyle name="Normal 3 7 11 4" xfId="43583" xr:uid="{00000000-0005-0000-0000-0000AEA90000}"/>
    <cellStyle name="Normal 3 7 12" xfId="43584" xr:uid="{00000000-0005-0000-0000-0000AFA90000}"/>
    <cellStyle name="Normal 3 7 12 2" xfId="43585" xr:uid="{00000000-0005-0000-0000-0000B0A90000}"/>
    <cellStyle name="Normal 3 7 12 2 2" xfId="43586" xr:uid="{00000000-0005-0000-0000-0000B1A90000}"/>
    <cellStyle name="Normal 3 7 12 2 2 2" xfId="43587" xr:uid="{00000000-0005-0000-0000-0000B2A90000}"/>
    <cellStyle name="Normal 3 7 12 2 2 3" xfId="43588" xr:uid="{00000000-0005-0000-0000-0000B3A90000}"/>
    <cellStyle name="Normal 3 7 12 2 3" xfId="43589" xr:uid="{00000000-0005-0000-0000-0000B4A90000}"/>
    <cellStyle name="Normal 3 7 12 2 4" xfId="43590" xr:uid="{00000000-0005-0000-0000-0000B5A90000}"/>
    <cellStyle name="Normal 3 7 12 3" xfId="43591" xr:uid="{00000000-0005-0000-0000-0000B6A90000}"/>
    <cellStyle name="Normal 3 7 12 3 2" xfId="43592" xr:uid="{00000000-0005-0000-0000-0000B7A90000}"/>
    <cellStyle name="Normal 3 7 12 3 3" xfId="43593" xr:uid="{00000000-0005-0000-0000-0000B8A90000}"/>
    <cellStyle name="Normal 3 7 12 4" xfId="43594" xr:uid="{00000000-0005-0000-0000-0000B9A90000}"/>
    <cellStyle name="Normal 3 7 13" xfId="43595" xr:uid="{00000000-0005-0000-0000-0000BAA90000}"/>
    <cellStyle name="Normal 3 7 13 2" xfId="43596" xr:uid="{00000000-0005-0000-0000-0000BBA90000}"/>
    <cellStyle name="Normal 3 7 13 2 2" xfId="43597" xr:uid="{00000000-0005-0000-0000-0000BCA90000}"/>
    <cellStyle name="Normal 3 7 13 2 2 2" xfId="43598" xr:uid="{00000000-0005-0000-0000-0000BDA90000}"/>
    <cellStyle name="Normal 3 7 13 2 2 3" xfId="43599" xr:uid="{00000000-0005-0000-0000-0000BEA90000}"/>
    <cellStyle name="Normal 3 7 13 2 3" xfId="43600" xr:uid="{00000000-0005-0000-0000-0000BFA90000}"/>
    <cellStyle name="Normal 3 7 13 2 4" xfId="43601" xr:uid="{00000000-0005-0000-0000-0000C0A90000}"/>
    <cellStyle name="Normal 3 7 13 3" xfId="43602" xr:uid="{00000000-0005-0000-0000-0000C1A90000}"/>
    <cellStyle name="Normal 3 7 13 3 2" xfId="43603" xr:uid="{00000000-0005-0000-0000-0000C2A90000}"/>
    <cellStyle name="Normal 3 7 13 3 3" xfId="43604" xr:uid="{00000000-0005-0000-0000-0000C3A90000}"/>
    <cellStyle name="Normal 3 7 13 4" xfId="43605" xr:uid="{00000000-0005-0000-0000-0000C4A90000}"/>
    <cellStyle name="Normal 3 7 14" xfId="43606" xr:uid="{00000000-0005-0000-0000-0000C5A90000}"/>
    <cellStyle name="Normal 3 7 14 2" xfId="43607" xr:uid="{00000000-0005-0000-0000-0000C6A90000}"/>
    <cellStyle name="Normal 3 7 14 2 2" xfId="43608" xr:uid="{00000000-0005-0000-0000-0000C7A90000}"/>
    <cellStyle name="Normal 3 7 14 2 2 2" xfId="43609" xr:uid="{00000000-0005-0000-0000-0000C8A90000}"/>
    <cellStyle name="Normal 3 7 14 2 2 3" xfId="43610" xr:uid="{00000000-0005-0000-0000-0000C9A90000}"/>
    <cellStyle name="Normal 3 7 14 2 3" xfId="43611" xr:uid="{00000000-0005-0000-0000-0000CAA90000}"/>
    <cellStyle name="Normal 3 7 14 2 4" xfId="43612" xr:uid="{00000000-0005-0000-0000-0000CBA90000}"/>
    <cellStyle name="Normal 3 7 14 3" xfId="43613" xr:uid="{00000000-0005-0000-0000-0000CCA90000}"/>
    <cellStyle name="Normal 3 7 14 3 2" xfId="43614" xr:uid="{00000000-0005-0000-0000-0000CDA90000}"/>
    <cellStyle name="Normal 3 7 14 3 3" xfId="43615" xr:uid="{00000000-0005-0000-0000-0000CEA90000}"/>
    <cellStyle name="Normal 3 7 14 4" xfId="43616" xr:uid="{00000000-0005-0000-0000-0000CFA90000}"/>
    <cellStyle name="Normal 3 7 15" xfId="43617" xr:uid="{00000000-0005-0000-0000-0000D0A90000}"/>
    <cellStyle name="Normal 3 7 15 2" xfId="43618" xr:uid="{00000000-0005-0000-0000-0000D1A90000}"/>
    <cellStyle name="Normal 3 7 15 2 2" xfId="43619" xr:uid="{00000000-0005-0000-0000-0000D2A90000}"/>
    <cellStyle name="Normal 3 7 15 2 2 2" xfId="43620" xr:uid="{00000000-0005-0000-0000-0000D3A90000}"/>
    <cellStyle name="Normal 3 7 15 2 2 3" xfId="43621" xr:uid="{00000000-0005-0000-0000-0000D4A90000}"/>
    <cellStyle name="Normal 3 7 15 2 3" xfId="43622" xr:uid="{00000000-0005-0000-0000-0000D5A90000}"/>
    <cellStyle name="Normal 3 7 15 2 4" xfId="43623" xr:uid="{00000000-0005-0000-0000-0000D6A90000}"/>
    <cellStyle name="Normal 3 7 15 3" xfId="43624" xr:uid="{00000000-0005-0000-0000-0000D7A90000}"/>
    <cellStyle name="Normal 3 7 15 3 2" xfId="43625" xr:uid="{00000000-0005-0000-0000-0000D8A90000}"/>
    <cellStyle name="Normal 3 7 15 3 3" xfId="43626" xr:uid="{00000000-0005-0000-0000-0000D9A90000}"/>
    <cellStyle name="Normal 3 7 15 4" xfId="43627" xr:uid="{00000000-0005-0000-0000-0000DAA90000}"/>
    <cellStyle name="Normal 3 7 16" xfId="43628" xr:uid="{00000000-0005-0000-0000-0000DBA90000}"/>
    <cellStyle name="Normal 3 7 16 2" xfId="43629" xr:uid="{00000000-0005-0000-0000-0000DCA90000}"/>
    <cellStyle name="Normal 3 7 16 2 2" xfId="43630" xr:uid="{00000000-0005-0000-0000-0000DDA90000}"/>
    <cellStyle name="Normal 3 7 16 2 2 2" xfId="43631" xr:uid="{00000000-0005-0000-0000-0000DEA90000}"/>
    <cellStyle name="Normal 3 7 16 2 2 3" xfId="43632" xr:uid="{00000000-0005-0000-0000-0000DFA90000}"/>
    <cellStyle name="Normal 3 7 16 2 3" xfId="43633" xr:uid="{00000000-0005-0000-0000-0000E0A90000}"/>
    <cellStyle name="Normal 3 7 16 2 4" xfId="43634" xr:uid="{00000000-0005-0000-0000-0000E1A90000}"/>
    <cellStyle name="Normal 3 7 16 3" xfId="43635" xr:uid="{00000000-0005-0000-0000-0000E2A90000}"/>
    <cellStyle name="Normal 3 7 16 3 2" xfId="43636" xr:uid="{00000000-0005-0000-0000-0000E3A90000}"/>
    <cellStyle name="Normal 3 7 16 3 3" xfId="43637" xr:uid="{00000000-0005-0000-0000-0000E4A90000}"/>
    <cellStyle name="Normal 3 7 16 4" xfId="43638" xr:uid="{00000000-0005-0000-0000-0000E5A90000}"/>
    <cellStyle name="Normal 3 7 17" xfId="43639" xr:uid="{00000000-0005-0000-0000-0000E6A90000}"/>
    <cellStyle name="Normal 3 7 17 2" xfId="43640" xr:uid="{00000000-0005-0000-0000-0000E7A90000}"/>
    <cellStyle name="Normal 3 7 17 2 2" xfId="43641" xr:uid="{00000000-0005-0000-0000-0000E8A90000}"/>
    <cellStyle name="Normal 3 7 17 2 2 2" xfId="43642" xr:uid="{00000000-0005-0000-0000-0000E9A90000}"/>
    <cellStyle name="Normal 3 7 17 2 2 3" xfId="43643" xr:uid="{00000000-0005-0000-0000-0000EAA90000}"/>
    <cellStyle name="Normal 3 7 17 2 3" xfId="43644" xr:uid="{00000000-0005-0000-0000-0000EBA90000}"/>
    <cellStyle name="Normal 3 7 17 2 4" xfId="43645" xr:uid="{00000000-0005-0000-0000-0000ECA90000}"/>
    <cellStyle name="Normal 3 7 17 3" xfId="43646" xr:uid="{00000000-0005-0000-0000-0000EDA90000}"/>
    <cellStyle name="Normal 3 7 17 3 2" xfId="43647" xr:uid="{00000000-0005-0000-0000-0000EEA90000}"/>
    <cellStyle name="Normal 3 7 17 3 3" xfId="43648" xr:uid="{00000000-0005-0000-0000-0000EFA90000}"/>
    <cellStyle name="Normal 3 7 17 4" xfId="43649" xr:uid="{00000000-0005-0000-0000-0000F0A90000}"/>
    <cellStyle name="Normal 3 7 18" xfId="43650" xr:uid="{00000000-0005-0000-0000-0000F1A90000}"/>
    <cellStyle name="Normal 3 7 18 2" xfId="43651" xr:uid="{00000000-0005-0000-0000-0000F2A90000}"/>
    <cellStyle name="Normal 3 7 18 2 2" xfId="43652" xr:uid="{00000000-0005-0000-0000-0000F3A90000}"/>
    <cellStyle name="Normal 3 7 18 2 2 2" xfId="43653" xr:uid="{00000000-0005-0000-0000-0000F4A90000}"/>
    <cellStyle name="Normal 3 7 18 2 2 3" xfId="43654" xr:uid="{00000000-0005-0000-0000-0000F5A90000}"/>
    <cellStyle name="Normal 3 7 18 2 3" xfId="43655" xr:uid="{00000000-0005-0000-0000-0000F6A90000}"/>
    <cellStyle name="Normal 3 7 18 2 4" xfId="43656" xr:uid="{00000000-0005-0000-0000-0000F7A90000}"/>
    <cellStyle name="Normal 3 7 18 3" xfId="43657" xr:uid="{00000000-0005-0000-0000-0000F8A90000}"/>
    <cellStyle name="Normal 3 7 18 3 2" xfId="43658" xr:uid="{00000000-0005-0000-0000-0000F9A90000}"/>
    <cellStyle name="Normal 3 7 18 3 3" xfId="43659" xr:uid="{00000000-0005-0000-0000-0000FAA90000}"/>
    <cellStyle name="Normal 3 7 18 4" xfId="43660" xr:uid="{00000000-0005-0000-0000-0000FBA90000}"/>
    <cellStyle name="Normal 3 7 19" xfId="43661" xr:uid="{00000000-0005-0000-0000-0000FCA90000}"/>
    <cellStyle name="Normal 3 7 19 2" xfId="43662" xr:uid="{00000000-0005-0000-0000-0000FDA90000}"/>
    <cellStyle name="Normal 3 7 19 2 2" xfId="43663" xr:uid="{00000000-0005-0000-0000-0000FEA90000}"/>
    <cellStyle name="Normal 3 7 19 2 2 2" xfId="43664" xr:uid="{00000000-0005-0000-0000-0000FFA90000}"/>
    <cellStyle name="Normal 3 7 19 2 2 3" xfId="43665" xr:uid="{00000000-0005-0000-0000-000000AA0000}"/>
    <cellStyle name="Normal 3 7 19 2 3" xfId="43666" xr:uid="{00000000-0005-0000-0000-000001AA0000}"/>
    <cellStyle name="Normal 3 7 19 2 4" xfId="43667" xr:uid="{00000000-0005-0000-0000-000002AA0000}"/>
    <cellStyle name="Normal 3 7 19 3" xfId="43668" xr:uid="{00000000-0005-0000-0000-000003AA0000}"/>
    <cellStyle name="Normal 3 7 19 3 2" xfId="43669" xr:uid="{00000000-0005-0000-0000-000004AA0000}"/>
    <cellStyle name="Normal 3 7 19 3 3" xfId="43670" xr:uid="{00000000-0005-0000-0000-000005AA0000}"/>
    <cellStyle name="Normal 3 7 19 4" xfId="43671" xr:uid="{00000000-0005-0000-0000-000006AA0000}"/>
    <cellStyle name="Normal 3 7 2" xfId="43672" xr:uid="{00000000-0005-0000-0000-000007AA0000}"/>
    <cellStyle name="Normal 3 7 2 2" xfId="43673" xr:uid="{00000000-0005-0000-0000-000008AA0000}"/>
    <cellStyle name="Normal 3 7 2 2 2" xfId="43674" xr:uid="{00000000-0005-0000-0000-000009AA0000}"/>
    <cellStyle name="Normal 3 7 2 2 2 2" xfId="43675" xr:uid="{00000000-0005-0000-0000-00000AAA0000}"/>
    <cellStyle name="Normal 3 7 2 2 2 3" xfId="43676" xr:uid="{00000000-0005-0000-0000-00000BAA0000}"/>
    <cellStyle name="Normal 3 7 2 2 3" xfId="43677" xr:uid="{00000000-0005-0000-0000-00000CAA0000}"/>
    <cellStyle name="Normal 3 7 2 2 4" xfId="43678" xr:uid="{00000000-0005-0000-0000-00000DAA0000}"/>
    <cellStyle name="Normal 3 7 2 3" xfId="43679" xr:uid="{00000000-0005-0000-0000-00000EAA0000}"/>
    <cellStyle name="Normal 3 7 2 3 2" xfId="43680" xr:uid="{00000000-0005-0000-0000-00000FAA0000}"/>
    <cellStyle name="Normal 3 7 2 3 3" xfId="43681" xr:uid="{00000000-0005-0000-0000-000010AA0000}"/>
    <cellStyle name="Normal 3 7 2 4" xfId="43682" xr:uid="{00000000-0005-0000-0000-000011AA0000}"/>
    <cellStyle name="Normal 3 7 2 5" xfId="43683" xr:uid="{00000000-0005-0000-0000-000012AA0000}"/>
    <cellStyle name="Normal 3 7 20" xfId="43684" xr:uid="{00000000-0005-0000-0000-000013AA0000}"/>
    <cellStyle name="Normal 3 7 20 2" xfId="43685" xr:uid="{00000000-0005-0000-0000-000014AA0000}"/>
    <cellStyle name="Normal 3 7 20 2 2" xfId="43686" xr:uid="{00000000-0005-0000-0000-000015AA0000}"/>
    <cellStyle name="Normal 3 7 20 2 2 2" xfId="43687" xr:uid="{00000000-0005-0000-0000-000016AA0000}"/>
    <cellStyle name="Normal 3 7 20 2 2 3" xfId="43688" xr:uid="{00000000-0005-0000-0000-000017AA0000}"/>
    <cellStyle name="Normal 3 7 20 2 3" xfId="43689" xr:uid="{00000000-0005-0000-0000-000018AA0000}"/>
    <cellStyle name="Normal 3 7 20 2 4" xfId="43690" xr:uid="{00000000-0005-0000-0000-000019AA0000}"/>
    <cellStyle name="Normal 3 7 20 3" xfId="43691" xr:uid="{00000000-0005-0000-0000-00001AAA0000}"/>
    <cellStyle name="Normal 3 7 20 3 2" xfId="43692" xr:uid="{00000000-0005-0000-0000-00001BAA0000}"/>
    <cellStyle name="Normal 3 7 20 3 3" xfId="43693" xr:uid="{00000000-0005-0000-0000-00001CAA0000}"/>
    <cellStyle name="Normal 3 7 20 4" xfId="43694" xr:uid="{00000000-0005-0000-0000-00001DAA0000}"/>
    <cellStyle name="Normal 3 7 21" xfId="43695" xr:uid="{00000000-0005-0000-0000-00001EAA0000}"/>
    <cellStyle name="Normal 3 7 21 2" xfId="43696" xr:uid="{00000000-0005-0000-0000-00001FAA0000}"/>
    <cellStyle name="Normal 3 7 21 2 2" xfId="43697" xr:uid="{00000000-0005-0000-0000-000020AA0000}"/>
    <cellStyle name="Normal 3 7 21 2 2 2" xfId="43698" xr:uid="{00000000-0005-0000-0000-000021AA0000}"/>
    <cellStyle name="Normal 3 7 21 2 2 3" xfId="43699" xr:uid="{00000000-0005-0000-0000-000022AA0000}"/>
    <cellStyle name="Normal 3 7 21 2 3" xfId="43700" xr:uid="{00000000-0005-0000-0000-000023AA0000}"/>
    <cellStyle name="Normal 3 7 21 2 4" xfId="43701" xr:uid="{00000000-0005-0000-0000-000024AA0000}"/>
    <cellStyle name="Normal 3 7 21 3" xfId="43702" xr:uid="{00000000-0005-0000-0000-000025AA0000}"/>
    <cellStyle name="Normal 3 7 21 3 2" xfId="43703" xr:uid="{00000000-0005-0000-0000-000026AA0000}"/>
    <cellStyle name="Normal 3 7 21 3 3" xfId="43704" xr:uid="{00000000-0005-0000-0000-000027AA0000}"/>
    <cellStyle name="Normal 3 7 21 4" xfId="43705" xr:uid="{00000000-0005-0000-0000-000028AA0000}"/>
    <cellStyle name="Normal 3 7 22" xfId="43706" xr:uid="{00000000-0005-0000-0000-000029AA0000}"/>
    <cellStyle name="Normal 3 7 22 2" xfId="43707" xr:uid="{00000000-0005-0000-0000-00002AAA0000}"/>
    <cellStyle name="Normal 3 7 22 2 2" xfId="43708" xr:uid="{00000000-0005-0000-0000-00002BAA0000}"/>
    <cellStyle name="Normal 3 7 22 2 2 2" xfId="43709" xr:uid="{00000000-0005-0000-0000-00002CAA0000}"/>
    <cellStyle name="Normal 3 7 22 2 2 3" xfId="43710" xr:uid="{00000000-0005-0000-0000-00002DAA0000}"/>
    <cellStyle name="Normal 3 7 22 2 3" xfId="43711" xr:uid="{00000000-0005-0000-0000-00002EAA0000}"/>
    <cellStyle name="Normal 3 7 22 2 4" xfId="43712" xr:uid="{00000000-0005-0000-0000-00002FAA0000}"/>
    <cellStyle name="Normal 3 7 22 3" xfId="43713" xr:uid="{00000000-0005-0000-0000-000030AA0000}"/>
    <cellStyle name="Normal 3 7 22 3 2" xfId="43714" xr:uid="{00000000-0005-0000-0000-000031AA0000}"/>
    <cellStyle name="Normal 3 7 22 3 3" xfId="43715" xr:uid="{00000000-0005-0000-0000-000032AA0000}"/>
    <cellStyle name="Normal 3 7 22 4" xfId="43716" xr:uid="{00000000-0005-0000-0000-000033AA0000}"/>
    <cellStyle name="Normal 3 7 23" xfId="43717" xr:uid="{00000000-0005-0000-0000-000034AA0000}"/>
    <cellStyle name="Normal 3 7 23 2" xfId="43718" xr:uid="{00000000-0005-0000-0000-000035AA0000}"/>
    <cellStyle name="Normal 3 7 23 2 2" xfId="43719" xr:uid="{00000000-0005-0000-0000-000036AA0000}"/>
    <cellStyle name="Normal 3 7 23 2 2 2" xfId="43720" xr:uid="{00000000-0005-0000-0000-000037AA0000}"/>
    <cellStyle name="Normal 3 7 23 2 2 3" xfId="43721" xr:uid="{00000000-0005-0000-0000-000038AA0000}"/>
    <cellStyle name="Normal 3 7 23 2 3" xfId="43722" xr:uid="{00000000-0005-0000-0000-000039AA0000}"/>
    <cellStyle name="Normal 3 7 23 2 4" xfId="43723" xr:uid="{00000000-0005-0000-0000-00003AAA0000}"/>
    <cellStyle name="Normal 3 7 23 3" xfId="43724" xr:uid="{00000000-0005-0000-0000-00003BAA0000}"/>
    <cellStyle name="Normal 3 7 23 3 2" xfId="43725" xr:uid="{00000000-0005-0000-0000-00003CAA0000}"/>
    <cellStyle name="Normal 3 7 23 3 3" xfId="43726" xr:uid="{00000000-0005-0000-0000-00003DAA0000}"/>
    <cellStyle name="Normal 3 7 23 4" xfId="43727" xr:uid="{00000000-0005-0000-0000-00003EAA0000}"/>
    <cellStyle name="Normal 3 7 24" xfId="43728" xr:uid="{00000000-0005-0000-0000-00003FAA0000}"/>
    <cellStyle name="Normal 3 7 24 2" xfId="43729" xr:uid="{00000000-0005-0000-0000-000040AA0000}"/>
    <cellStyle name="Normal 3 7 24 2 2" xfId="43730" xr:uid="{00000000-0005-0000-0000-000041AA0000}"/>
    <cellStyle name="Normal 3 7 24 2 3" xfId="43731" xr:uid="{00000000-0005-0000-0000-000042AA0000}"/>
    <cellStyle name="Normal 3 7 24 3" xfId="43732" xr:uid="{00000000-0005-0000-0000-000043AA0000}"/>
    <cellStyle name="Normal 3 7 24 4" xfId="43733" xr:uid="{00000000-0005-0000-0000-000044AA0000}"/>
    <cellStyle name="Normal 3 7 25" xfId="43734" xr:uid="{00000000-0005-0000-0000-000045AA0000}"/>
    <cellStyle name="Normal 3 7 25 2" xfId="43735" xr:uid="{00000000-0005-0000-0000-000046AA0000}"/>
    <cellStyle name="Normal 3 7 25 3" xfId="43736" xr:uid="{00000000-0005-0000-0000-000047AA0000}"/>
    <cellStyle name="Normal 3 7 26" xfId="43737" xr:uid="{00000000-0005-0000-0000-000048AA0000}"/>
    <cellStyle name="Normal 3 7 27" xfId="43738" xr:uid="{00000000-0005-0000-0000-000049AA0000}"/>
    <cellStyle name="Normal 3 7 3" xfId="43739" xr:uid="{00000000-0005-0000-0000-00004AAA0000}"/>
    <cellStyle name="Normal 3 7 3 2" xfId="43740" xr:uid="{00000000-0005-0000-0000-00004BAA0000}"/>
    <cellStyle name="Normal 3 7 3 2 2" xfId="43741" xr:uid="{00000000-0005-0000-0000-00004CAA0000}"/>
    <cellStyle name="Normal 3 7 3 2 2 2" xfId="43742" xr:uid="{00000000-0005-0000-0000-00004DAA0000}"/>
    <cellStyle name="Normal 3 7 3 2 2 3" xfId="43743" xr:uid="{00000000-0005-0000-0000-00004EAA0000}"/>
    <cellStyle name="Normal 3 7 3 2 3" xfId="43744" xr:uid="{00000000-0005-0000-0000-00004FAA0000}"/>
    <cellStyle name="Normal 3 7 3 2 4" xfId="43745" xr:uid="{00000000-0005-0000-0000-000050AA0000}"/>
    <cellStyle name="Normal 3 7 3 3" xfId="43746" xr:uid="{00000000-0005-0000-0000-000051AA0000}"/>
    <cellStyle name="Normal 3 7 3 3 2" xfId="43747" xr:uid="{00000000-0005-0000-0000-000052AA0000}"/>
    <cellStyle name="Normal 3 7 3 3 3" xfId="43748" xr:uid="{00000000-0005-0000-0000-000053AA0000}"/>
    <cellStyle name="Normal 3 7 3 4" xfId="43749" xr:uid="{00000000-0005-0000-0000-000054AA0000}"/>
    <cellStyle name="Normal 3 7 4" xfId="43750" xr:uid="{00000000-0005-0000-0000-000055AA0000}"/>
    <cellStyle name="Normal 3 7 4 2" xfId="43751" xr:uid="{00000000-0005-0000-0000-000056AA0000}"/>
    <cellStyle name="Normal 3 7 4 2 2" xfId="43752" xr:uid="{00000000-0005-0000-0000-000057AA0000}"/>
    <cellStyle name="Normal 3 7 4 2 2 2" xfId="43753" xr:uid="{00000000-0005-0000-0000-000058AA0000}"/>
    <cellStyle name="Normal 3 7 4 2 2 3" xfId="43754" xr:uid="{00000000-0005-0000-0000-000059AA0000}"/>
    <cellStyle name="Normal 3 7 4 2 3" xfId="43755" xr:uid="{00000000-0005-0000-0000-00005AAA0000}"/>
    <cellStyle name="Normal 3 7 4 2 4" xfId="43756" xr:uid="{00000000-0005-0000-0000-00005BAA0000}"/>
    <cellStyle name="Normal 3 7 4 3" xfId="43757" xr:uid="{00000000-0005-0000-0000-00005CAA0000}"/>
    <cellStyle name="Normal 3 7 4 3 2" xfId="43758" xr:uid="{00000000-0005-0000-0000-00005DAA0000}"/>
    <cellStyle name="Normal 3 7 4 3 3" xfId="43759" xr:uid="{00000000-0005-0000-0000-00005EAA0000}"/>
    <cellStyle name="Normal 3 7 4 4" xfId="43760" xr:uid="{00000000-0005-0000-0000-00005FAA0000}"/>
    <cellStyle name="Normal 3 7 5" xfId="43761" xr:uid="{00000000-0005-0000-0000-000060AA0000}"/>
    <cellStyle name="Normal 3 7 5 2" xfId="43762" xr:uid="{00000000-0005-0000-0000-000061AA0000}"/>
    <cellStyle name="Normal 3 7 5 2 2" xfId="43763" xr:uid="{00000000-0005-0000-0000-000062AA0000}"/>
    <cellStyle name="Normal 3 7 5 2 2 2" xfId="43764" xr:uid="{00000000-0005-0000-0000-000063AA0000}"/>
    <cellStyle name="Normal 3 7 5 2 2 3" xfId="43765" xr:uid="{00000000-0005-0000-0000-000064AA0000}"/>
    <cellStyle name="Normal 3 7 5 2 3" xfId="43766" xr:uid="{00000000-0005-0000-0000-000065AA0000}"/>
    <cellStyle name="Normal 3 7 5 2 4" xfId="43767" xr:uid="{00000000-0005-0000-0000-000066AA0000}"/>
    <cellStyle name="Normal 3 7 5 3" xfId="43768" xr:uid="{00000000-0005-0000-0000-000067AA0000}"/>
    <cellStyle name="Normal 3 7 5 3 2" xfId="43769" xr:uid="{00000000-0005-0000-0000-000068AA0000}"/>
    <cellStyle name="Normal 3 7 5 3 3" xfId="43770" xr:uid="{00000000-0005-0000-0000-000069AA0000}"/>
    <cellStyle name="Normal 3 7 5 4" xfId="43771" xr:uid="{00000000-0005-0000-0000-00006AAA0000}"/>
    <cellStyle name="Normal 3 7 6" xfId="43772" xr:uid="{00000000-0005-0000-0000-00006BAA0000}"/>
    <cellStyle name="Normal 3 7 6 2" xfId="43773" xr:uid="{00000000-0005-0000-0000-00006CAA0000}"/>
    <cellStyle name="Normal 3 7 6 2 2" xfId="43774" xr:uid="{00000000-0005-0000-0000-00006DAA0000}"/>
    <cellStyle name="Normal 3 7 6 2 2 2" xfId="43775" xr:uid="{00000000-0005-0000-0000-00006EAA0000}"/>
    <cellStyle name="Normal 3 7 6 2 2 3" xfId="43776" xr:uid="{00000000-0005-0000-0000-00006FAA0000}"/>
    <cellStyle name="Normal 3 7 6 2 3" xfId="43777" xr:uid="{00000000-0005-0000-0000-000070AA0000}"/>
    <cellStyle name="Normal 3 7 6 2 4" xfId="43778" xr:uid="{00000000-0005-0000-0000-000071AA0000}"/>
    <cellStyle name="Normal 3 7 6 3" xfId="43779" xr:uid="{00000000-0005-0000-0000-000072AA0000}"/>
    <cellStyle name="Normal 3 7 6 3 2" xfId="43780" xr:uid="{00000000-0005-0000-0000-000073AA0000}"/>
    <cellStyle name="Normal 3 7 6 3 3" xfId="43781" xr:uid="{00000000-0005-0000-0000-000074AA0000}"/>
    <cellStyle name="Normal 3 7 6 4" xfId="43782" xr:uid="{00000000-0005-0000-0000-000075AA0000}"/>
    <cellStyle name="Normal 3 7 7" xfId="43783" xr:uid="{00000000-0005-0000-0000-000076AA0000}"/>
    <cellStyle name="Normal 3 7 7 2" xfId="43784" xr:uid="{00000000-0005-0000-0000-000077AA0000}"/>
    <cellStyle name="Normal 3 7 7 2 2" xfId="43785" xr:uid="{00000000-0005-0000-0000-000078AA0000}"/>
    <cellStyle name="Normal 3 7 7 2 2 2" xfId="43786" xr:uid="{00000000-0005-0000-0000-000079AA0000}"/>
    <cellStyle name="Normal 3 7 7 2 2 3" xfId="43787" xr:uid="{00000000-0005-0000-0000-00007AAA0000}"/>
    <cellStyle name="Normal 3 7 7 2 3" xfId="43788" xr:uid="{00000000-0005-0000-0000-00007BAA0000}"/>
    <cellStyle name="Normal 3 7 7 2 4" xfId="43789" xr:uid="{00000000-0005-0000-0000-00007CAA0000}"/>
    <cellStyle name="Normal 3 7 7 3" xfId="43790" xr:uid="{00000000-0005-0000-0000-00007DAA0000}"/>
    <cellStyle name="Normal 3 7 7 3 2" xfId="43791" xr:uid="{00000000-0005-0000-0000-00007EAA0000}"/>
    <cellStyle name="Normal 3 7 7 3 3" xfId="43792" xr:uid="{00000000-0005-0000-0000-00007FAA0000}"/>
    <cellStyle name="Normal 3 7 7 4" xfId="43793" xr:uid="{00000000-0005-0000-0000-000080AA0000}"/>
    <cellStyle name="Normal 3 7 8" xfId="43794" xr:uid="{00000000-0005-0000-0000-000081AA0000}"/>
    <cellStyle name="Normal 3 7 8 2" xfId="43795" xr:uid="{00000000-0005-0000-0000-000082AA0000}"/>
    <cellStyle name="Normal 3 7 8 2 2" xfId="43796" xr:uid="{00000000-0005-0000-0000-000083AA0000}"/>
    <cellStyle name="Normal 3 7 8 2 2 2" xfId="43797" xr:uid="{00000000-0005-0000-0000-000084AA0000}"/>
    <cellStyle name="Normal 3 7 8 2 2 3" xfId="43798" xr:uid="{00000000-0005-0000-0000-000085AA0000}"/>
    <cellStyle name="Normal 3 7 8 2 3" xfId="43799" xr:uid="{00000000-0005-0000-0000-000086AA0000}"/>
    <cellStyle name="Normal 3 7 8 2 4" xfId="43800" xr:uid="{00000000-0005-0000-0000-000087AA0000}"/>
    <cellStyle name="Normal 3 7 8 3" xfId="43801" xr:uid="{00000000-0005-0000-0000-000088AA0000}"/>
    <cellStyle name="Normal 3 7 8 3 2" xfId="43802" xr:uid="{00000000-0005-0000-0000-000089AA0000}"/>
    <cellStyle name="Normal 3 7 8 3 3" xfId="43803" xr:uid="{00000000-0005-0000-0000-00008AAA0000}"/>
    <cellStyle name="Normal 3 7 8 4" xfId="43804" xr:uid="{00000000-0005-0000-0000-00008BAA0000}"/>
    <cellStyle name="Normal 3 7 9" xfId="43805" xr:uid="{00000000-0005-0000-0000-00008CAA0000}"/>
    <cellStyle name="Normal 3 7 9 2" xfId="43806" xr:uid="{00000000-0005-0000-0000-00008DAA0000}"/>
    <cellStyle name="Normal 3 7 9 2 2" xfId="43807" xr:uid="{00000000-0005-0000-0000-00008EAA0000}"/>
    <cellStyle name="Normal 3 7 9 2 2 2" xfId="43808" xr:uid="{00000000-0005-0000-0000-00008FAA0000}"/>
    <cellStyle name="Normal 3 7 9 2 2 3" xfId="43809" xr:uid="{00000000-0005-0000-0000-000090AA0000}"/>
    <cellStyle name="Normal 3 7 9 2 3" xfId="43810" xr:uid="{00000000-0005-0000-0000-000091AA0000}"/>
    <cellStyle name="Normal 3 7 9 2 4" xfId="43811" xr:uid="{00000000-0005-0000-0000-000092AA0000}"/>
    <cellStyle name="Normal 3 7 9 3" xfId="43812" xr:uid="{00000000-0005-0000-0000-000093AA0000}"/>
    <cellStyle name="Normal 3 7 9 3 2" xfId="43813" xr:uid="{00000000-0005-0000-0000-000094AA0000}"/>
    <cellStyle name="Normal 3 7 9 3 3" xfId="43814" xr:uid="{00000000-0005-0000-0000-000095AA0000}"/>
    <cellStyle name="Normal 3 7 9 4" xfId="43815" xr:uid="{00000000-0005-0000-0000-000096AA0000}"/>
    <cellStyle name="Normal 3 70" xfId="43816" xr:uid="{00000000-0005-0000-0000-000097AA0000}"/>
    <cellStyle name="Normal 3 70 2" xfId="43817" xr:uid="{00000000-0005-0000-0000-000098AA0000}"/>
    <cellStyle name="Normal 3 70 2 2" xfId="43818" xr:uid="{00000000-0005-0000-0000-000099AA0000}"/>
    <cellStyle name="Normal 3 70 2 3" xfId="43819" xr:uid="{00000000-0005-0000-0000-00009AAA0000}"/>
    <cellStyle name="Normal 3 70 3" xfId="43820" xr:uid="{00000000-0005-0000-0000-00009BAA0000}"/>
    <cellStyle name="Normal 3 70 4" xfId="43821" xr:uid="{00000000-0005-0000-0000-00009CAA0000}"/>
    <cellStyle name="Normal 3 71" xfId="43822" xr:uid="{00000000-0005-0000-0000-00009DAA0000}"/>
    <cellStyle name="Normal 3 71 2" xfId="43823" xr:uid="{00000000-0005-0000-0000-00009EAA0000}"/>
    <cellStyle name="Normal 3 71 2 2" xfId="43824" xr:uid="{00000000-0005-0000-0000-00009FAA0000}"/>
    <cellStyle name="Normal 3 71 2 3" xfId="43825" xr:uid="{00000000-0005-0000-0000-0000A0AA0000}"/>
    <cellStyle name="Normal 3 71 3" xfId="43826" xr:uid="{00000000-0005-0000-0000-0000A1AA0000}"/>
    <cellStyle name="Normal 3 71 4" xfId="43827" xr:uid="{00000000-0005-0000-0000-0000A2AA0000}"/>
    <cellStyle name="Normal 3 72" xfId="43828" xr:uid="{00000000-0005-0000-0000-0000A3AA0000}"/>
    <cellStyle name="Normal 3 72 2" xfId="43829" xr:uid="{00000000-0005-0000-0000-0000A4AA0000}"/>
    <cellStyle name="Normal 3 72 2 2" xfId="43830" xr:uid="{00000000-0005-0000-0000-0000A5AA0000}"/>
    <cellStyle name="Normal 3 72 2 3" xfId="43831" xr:uid="{00000000-0005-0000-0000-0000A6AA0000}"/>
    <cellStyle name="Normal 3 72 3" xfId="43832" xr:uid="{00000000-0005-0000-0000-0000A7AA0000}"/>
    <cellStyle name="Normal 3 72 4" xfId="43833" xr:uid="{00000000-0005-0000-0000-0000A8AA0000}"/>
    <cellStyle name="Normal 3 73" xfId="43834" xr:uid="{00000000-0005-0000-0000-0000A9AA0000}"/>
    <cellStyle name="Normal 3 73 2" xfId="43835" xr:uid="{00000000-0005-0000-0000-0000AAAA0000}"/>
    <cellStyle name="Normal 3 73 2 2" xfId="43836" xr:uid="{00000000-0005-0000-0000-0000ABAA0000}"/>
    <cellStyle name="Normal 3 73 2 3" xfId="43837" xr:uid="{00000000-0005-0000-0000-0000ACAA0000}"/>
    <cellStyle name="Normal 3 73 3" xfId="43838" xr:uid="{00000000-0005-0000-0000-0000ADAA0000}"/>
    <cellStyle name="Normal 3 73 4" xfId="43839" xr:uid="{00000000-0005-0000-0000-0000AEAA0000}"/>
    <cellStyle name="Normal 3 74" xfId="43840" xr:uid="{00000000-0005-0000-0000-0000AFAA0000}"/>
    <cellStyle name="Normal 3 74 2" xfId="43841" xr:uid="{00000000-0005-0000-0000-0000B0AA0000}"/>
    <cellStyle name="Normal 3 74 2 2" xfId="43842" xr:uid="{00000000-0005-0000-0000-0000B1AA0000}"/>
    <cellStyle name="Normal 3 74 2 3" xfId="43843" xr:uid="{00000000-0005-0000-0000-0000B2AA0000}"/>
    <cellStyle name="Normal 3 74 3" xfId="43844" xr:uid="{00000000-0005-0000-0000-0000B3AA0000}"/>
    <cellStyle name="Normal 3 74 4" xfId="43845" xr:uid="{00000000-0005-0000-0000-0000B4AA0000}"/>
    <cellStyle name="Normal 3 75" xfId="43846" xr:uid="{00000000-0005-0000-0000-0000B5AA0000}"/>
    <cellStyle name="Normal 3 75 2" xfId="43847" xr:uid="{00000000-0005-0000-0000-0000B6AA0000}"/>
    <cellStyle name="Normal 3 75 2 2" xfId="43848" xr:uid="{00000000-0005-0000-0000-0000B7AA0000}"/>
    <cellStyle name="Normal 3 75 2 3" xfId="43849" xr:uid="{00000000-0005-0000-0000-0000B8AA0000}"/>
    <cellStyle name="Normal 3 75 3" xfId="43850" xr:uid="{00000000-0005-0000-0000-0000B9AA0000}"/>
    <cellStyle name="Normal 3 75 4" xfId="43851" xr:uid="{00000000-0005-0000-0000-0000BAAA0000}"/>
    <cellStyle name="Normal 3 76" xfId="43852" xr:uid="{00000000-0005-0000-0000-0000BBAA0000}"/>
    <cellStyle name="Normal 3 76 2" xfId="43853" xr:uid="{00000000-0005-0000-0000-0000BCAA0000}"/>
    <cellStyle name="Normal 3 76 2 2" xfId="43854" xr:uid="{00000000-0005-0000-0000-0000BDAA0000}"/>
    <cellStyle name="Normal 3 76 2 3" xfId="43855" xr:uid="{00000000-0005-0000-0000-0000BEAA0000}"/>
    <cellStyle name="Normal 3 76 3" xfId="43856" xr:uid="{00000000-0005-0000-0000-0000BFAA0000}"/>
    <cellStyle name="Normal 3 76 4" xfId="43857" xr:uid="{00000000-0005-0000-0000-0000C0AA0000}"/>
    <cellStyle name="Normal 3 77" xfId="43858" xr:uid="{00000000-0005-0000-0000-0000C1AA0000}"/>
    <cellStyle name="Normal 3 77 2" xfId="43859" xr:uid="{00000000-0005-0000-0000-0000C2AA0000}"/>
    <cellStyle name="Normal 3 77 2 2" xfId="43860" xr:uid="{00000000-0005-0000-0000-0000C3AA0000}"/>
    <cellStyle name="Normal 3 77 2 3" xfId="43861" xr:uid="{00000000-0005-0000-0000-0000C4AA0000}"/>
    <cellStyle name="Normal 3 77 3" xfId="43862" xr:uid="{00000000-0005-0000-0000-0000C5AA0000}"/>
    <cellStyle name="Normal 3 77 4" xfId="43863" xr:uid="{00000000-0005-0000-0000-0000C6AA0000}"/>
    <cellStyle name="Normal 3 78" xfId="43864" xr:uid="{00000000-0005-0000-0000-0000C7AA0000}"/>
    <cellStyle name="Normal 3 78 2" xfId="43865" xr:uid="{00000000-0005-0000-0000-0000C8AA0000}"/>
    <cellStyle name="Normal 3 78 2 2" xfId="43866" xr:uid="{00000000-0005-0000-0000-0000C9AA0000}"/>
    <cellStyle name="Normal 3 78 2 3" xfId="43867" xr:uid="{00000000-0005-0000-0000-0000CAAA0000}"/>
    <cellStyle name="Normal 3 78 3" xfId="43868" xr:uid="{00000000-0005-0000-0000-0000CBAA0000}"/>
    <cellStyle name="Normal 3 78 4" xfId="43869" xr:uid="{00000000-0005-0000-0000-0000CCAA0000}"/>
    <cellStyle name="Normal 3 79" xfId="43870" xr:uid="{00000000-0005-0000-0000-0000CDAA0000}"/>
    <cellStyle name="Normal 3 79 2" xfId="43871" xr:uid="{00000000-0005-0000-0000-0000CEAA0000}"/>
    <cellStyle name="Normal 3 79 2 2" xfId="43872" xr:uid="{00000000-0005-0000-0000-0000CFAA0000}"/>
    <cellStyle name="Normal 3 79 2 3" xfId="43873" xr:uid="{00000000-0005-0000-0000-0000D0AA0000}"/>
    <cellStyle name="Normal 3 79 3" xfId="43874" xr:uid="{00000000-0005-0000-0000-0000D1AA0000}"/>
    <cellStyle name="Normal 3 79 4" xfId="43875" xr:uid="{00000000-0005-0000-0000-0000D2AA0000}"/>
    <cellStyle name="Normal 3 8" xfId="43876" xr:uid="{00000000-0005-0000-0000-0000D3AA0000}"/>
    <cellStyle name="Normal 3 8 10" xfId="43877" xr:uid="{00000000-0005-0000-0000-0000D4AA0000}"/>
    <cellStyle name="Normal 3 8 10 2" xfId="43878" xr:uid="{00000000-0005-0000-0000-0000D5AA0000}"/>
    <cellStyle name="Normal 3 8 10 2 2" xfId="43879" xr:uid="{00000000-0005-0000-0000-0000D6AA0000}"/>
    <cellStyle name="Normal 3 8 10 2 2 2" xfId="43880" xr:uid="{00000000-0005-0000-0000-0000D7AA0000}"/>
    <cellStyle name="Normal 3 8 10 2 2 3" xfId="43881" xr:uid="{00000000-0005-0000-0000-0000D8AA0000}"/>
    <cellStyle name="Normal 3 8 10 2 3" xfId="43882" xr:uid="{00000000-0005-0000-0000-0000D9AA0000}"/>
    <cellStyle name="Normal 3 8 10 2 4" xfId="43883" xr:uid="{00000000-0005-0000-0000-0000DAAA0000}"/>
    <cellStyle name="Normal 3 8 10 3" xfId="43884" xr:uid="{00000000-0005-0000-0000-0000DBAA0000}"/>
    <cellStyle name="Normal 3 8 10 3 2" xfId="43885" xr:uid="{00000000-0005-0000-0000-0000DCAA0000}"/>
    <cellStyle name="Normal 3 8 10 3 3" xfId="43886" xr:uid="{00000000-0005-0000-0000-0000DDAA0000}"/>
    <cellStyle name="Normal 3 8 10 4" xfId="43887" xr:uid="{00000000-0005-0000-0000-0000DEAA0000}"/>
    <cellStyle name="Normal 3 8 11" xfId="43888" xr:uid="{00000000-0005-0000-0000-0000DFAA0000}"/>
    <cellStyle name="Normal 3 8 11 2" xfId="43889" xr:uid="{00000000-0005-0000-0000-0000E0AA0000}"/>
    <cellStyle name="Normal 3 8 11 2 2" xfId="43890" xr:uid="{00000000-0005-0000-0000-0000E1AA0000}"/>
    <cellStyle name="Normal 3 8 11 2 2 2" xfId="43891" xr:uid="{00000000-0005-0000-0000-0000E2AA0000}"/>
    <cellStyle name="Normal 3 8 11 2 2 3" xfId="43892" xr:uid="{00000000-0005-0000-0000-0000E3AA0000}"/>
    <cellStyle name="Normal 3 8 11 2 3" xfId="43893" xr:uid="{00000000-0005-0000-0000-0000E4AA0000}"/>
    <cellStyle name="Normal 3 8 11 2 4" xfId="43894" xr:uid="{00000000-0005-0000-0000-0000E5AA0000}"/>
    <cellStyle name="Normal 3 8 11 3" xfId="43895" xr:uid="{00000000-0005-0000-0000-0000E6AA0000}"/>
    <cellStyle name="Normal 3 8 11 3 2" xfId="43896" xr:uid="{00000000-0005-0000-0000-0000E7AA0000}"/>
    <cellStyle name="Normal 3 8 11 3 3" xfId="43897" xr:uid="{00000000-0005-0000-0000-0000E8AA0000}"/>
    <cellStyle name="Normal 3 8 11 4" xfId="43898" xr:uid="{00000000-0005-0000-0000-0000E9AA0000}"/>
    <cellStyle name="Normal 3 8 12" xfId="43899" xr:uid="{00000000-0005-0000-0000-0000EAAA0000}"/>
    <cellStyle name="Normal 3 8 12 2" xfId="43900" xr:uid="{00000000-0005-0000-0000-0000EBAA0000}"/>
    <cellStyle name="Normal 3 8 12 2 2" xfId="43901" xr:uid="{00000000-0005-0000-0000-0000ECAA0000}"/>
    <cellStyle name="Normal 3 8 12 2 2 2" xfId="43902" xr:uid="{00000000-0005-0000-0000-0000EDAA0000}"/>
    <cellStyle name="Normal 3 8 12 2 2 3" xfId="43903" xr:uid="{00000000-0005-0000-0000-0000EEAA0000}"/>
    <cellStyle name="Normal 3 8 12 2 3" xfId="43904" xr:uid="{00000000-0005-0000-0000-0000EFAA0000}"/>
    <cellStyle name="Normal 3 8 12 2 4" xfId="43905" xr:uid="{00000000-0005-0000-0000-0000F0AA0000}"/>
    <cellStyle name="Normal 3 8 12 3" xfId="43906" xr:uid="{00000000-0005-0000-0000-0000F1AA0000}"/>
    <cellStyle name="Normal 3 8 12 3 2" xfId="43907" xr:uid="{00000000-0005-0000-0000-0000F2AA0000}"/>
    <cellStyle name="Normal 3 8 12 3 3" xfId="43908" xr:uid="{00000000-0005-0000-0000-0000F3AA0000}"/>
    <cellStyle name="Normal 3 8 12 4" xfId="43909" xr:uid="{00000000-0005-0000-0000-0000F4AA0000}"/>
    <cellStyle name="Normal 3 8 13" xfId="43910" xr:uid="{00000000-0005-0000-0000-0000F5AA0000}"/>
    <cellStyle name="Normal 3 8 13 2" xfId="43911" xr:uid="{00000000-0005-0000-0000-0000F6AA0000}"/>
    <cellStyle name="Normal 3 8 13 2 2" xfId="43912" xr:uid="{00000000-0005-0000-0000-0000F7AA0000}"/>
    <cellStyle name="Normal 3 8 13 2 2 2" xfId="43913" xr:uid="{00000000-0005-0000-0000-0000F8AA0000}"/>
    <cellStyle name="Normal 3 8 13 2 2 3" xfId="43914" xr:uid="{00000000-0005-0000-0000-0000F9AA0000}"/>
    <cellStyle name="Normal 3 8 13 2 3" xfId="43915" xr:uid="{00000000-0005-0000-0000-0000FAAA0000}"/>
    <cellStyle name="Normal 3 8 13 2 4" xfId="43916" xr:uid="{00000000-0005-0000-0000-0000FBAA0000}"/>
    <cellStyle name="Normal 3 8 13 3" xfId="43917" xr:uid="{00000000-0005-0000-0000-0000FCAA0000}"/>
    <cellStyle name="Normal 3 8 13 3 2" xfId="43918" xr:uid="{00000000-0005-0000-0000-0000FDAA0000}"/>
    <cellStyle name="Normal 3 8 13 3 3" xfId="43919" xr:uid="{00000000-0005-0000-0000-0000FEAA0000}"/>
    <cellStyle name="Normal 3 8 13 4" xfId="43920" xr:uid="{00000000-0005-0000-0000-0000FFAA0000}"/>
    <cellStyle name="Normal 3 8 14" xfId="43921" xr:uid="{00000000-0005-0000-0000-000000AB0000}"/>
    <cellStyle name="Normal 3 8 14 2" xfId="43922" xr:uid="{00000000-0005-0000-0000-000001AB0000}"/>
    <cellStyle name="Normal 3 8 14 2 2" xfId="43923" xr:uid="{00000000-0005-0000-0000-000002AB0000}"/>
    <cellStyle name="Normal 3 8 14 2 2 2" xfId="43924" xr:uid="{00000000-0005-0000-0000-000003AB0000}"/>
    <cellStyle name="Normal 3 8 14 2 2 3" xfId="43925" xr:uid="{00000000-0005-0000-0000-000004AB0000}"/>
    <cellStyle name="Normal 3 8 14 2 3" xfId="43926" xr:uid="{00000000-0005-0000-0000-000005AB0000}"/>
    <cellStyle name="Normal 3 8 14 2 4" xfId="43927" xr:uid="{00000000-0005-0000-0000-000006AB0000}"/>
    <cellStyle name="Normal 3 8 14 3" xfId="43928" xr:uid="{00000000-0005-0000-0000-000007AB0000}"/>
    <cellStyle name="Normal 3 8 14 3 2" xfId="43929" xr:uid="{00000000-0005-0000-0000-000008AB0000}"/>
    <cellStyle name="Normal 3 8 14 3 3" xfId="43930" xr:uid="{00000000-0005-0000-0000-000009AB0000}"/>
    <cellStyle name="Normal 3 8 14 4" xfId="43931" xr:uid="{00000000-0005-0000-0000-00000AAB0000}"/>
    <cellStyle name="Normal 3 8 15" xfId="43932" xr:uid="{00000000-0005-0000-0000-00000BAB0000}"/>
    <cellStyle name="Normal 3 8 15 2" xfId="43933" xr:uid="{00000000-0005-0000-0000-00000CAB0000}"/>
    <cellStyle name="Normal 3 8 15 2 2" xfId="43934" xr:uid="{00000000-0005-0000-0000-00000DAB0000}"/>
    <cellStyle name="Normal 3 8 15 2 2 2" xfId="43935" xr:uid="{00000000-0005-0000-0000-00000EAB0000}"/>
    <cellStyle name="Normal 3 8 15 2 2 3" xfId="43936" xr:uid="{00000000-0005-0000-0000-00000FAB0000}"/>
    <cellStyle name="Normal 3 8 15 2 3" xfId="43937" xr:uid="{00000000-0005-0000-0000-000010AB0000}"/>
    <cellStyle name="Normal 3 8 15 2 4" xfId="43938" xr:uid="{00000000-0005-0000-0000-000011AB0000}"/>
    <cellStyle name="Normal 3 8 15 3" xfId="43939" xr:uid="{00000000-0005-0000-0000-000012AB0000}"/>
    <cellStyle name="Normal 3 8 15 3 2" xfId="43940" xr:uid="{00000000-0005-0000-0000-000013AB0000}"/>
    <cellStyle name="Normal 3 8 15 3 3" xfId="43941" xr:uid="{00000000-0005-0000-0000-000014AB0000}"/>
    <cellStyle name="Normal 3 8 15 4" xfId="43942" xr:uid="{00000000-0005-0000-0000-000015AB0000}"/>
    <cellStyle name="Normal 3 8 16" xfId="43943" xr:uid="{00000000-0005-0000-0000-000016AB0000}"/>
    <cellStyle name="Normal 3 8 16 2" xfId="43944" xr:uid="{00000000-0005-0000-0000-000017AB0000}"/>
    <cellStyle name="Normal 3 8 16 2 2" xfId="43945" xr:uid="{00000000-0005-0000-0000-000018AB0000}"/>
    <cellStyle name="Normal 3 8 16 2 2 2" xfId="43946" xr:uid="{00000000-0005-0000-0000-000019AB0000}"/>
    <cellStyle name="Normal 3 8 16 2 2 3" xfId="43947" xr:uid="{00000000-0005-0000-0000-00001AAB0000}"/>
    <cellStyle name="Normal 3 8 16 2 3" xfId="43948" xr:uid="{00000000-0005-0000-0000-00001BAB0000}"/>
    <cellStyle name="Normal 3 8 16 2 4" xfId="43949" xr:uid="{00000000-0005-0000-0000-00001CAB0000}"/>
    <cellStyle name="Normal 3 8 16 3" xfId="43950" xr:uid="{00000000-0005-0000-0000-00001DAB0000}"/>
    <cellStyle name="Normal 3 8 16 3 2" xfId="43951" xr:uid="{00000000-0005-0000-0000-00001EAB0000}"/>
    <cellStyle name="Normal 3 8 16 3 3" xfId="43952" xr:uid="{00000000-0005-0000-0000-00001FAB0000}"/>
    <cellStyle name="Normal 3 8 16 4" xfId="43953" xr:uid="{00000000-0005-0000-0000-000020AB0000}"/>
    <cellStyle name="Normal 3 8 17" xfId="43954" xr:uid="{00000000-0005-0000-0000-000021AB0000}"/>
    <cellStyle name="Normal 3 8 17 2" xfId="43955" xr:uid="{00000000-0005-0000-0000-000022AB0000}"/>
    <cellStyle name="Normal 3 8 17 2 2" xfId="43956" xr:uid="{00000000-0005-0000-0000-000023AB0000}"/>
    <cellStyle name="Normal 3 8 17 2 2 2" xfId="43957" xr:uid="{00000000-0005-0000-0000-000024AB0000}"/>
    <cellStyle name="Normal 3 8 17 2 2 3" xfId="43958" xr:uid="{00000000-0005-0000-0000-000025AB0000}"/>
    <cellStyle name="Normal 3 8 17 2 3" xfId="43959" xr:uid="{00000000-0005-0000-0000-000026AB0000}"/>
    <cellStyle name="Normal 3 8 17 2 4" xfId="43960" xr:uid="{00000000-0005-0000-0000-000027AB0000}"/>
    <cellStyle name="Normal 3 8 17 3" xfId="43961" xr:uid="{00000000-0005-0000-0000-000028AB0000}"/>
    <cellStyle name="Normal 3 8 17 3 2" xfId="43962" xr:uid="{00000000-0005-0000-0000-000029AB0000}"/>
    <cellStyle name="Normal 3 8 17 3 3" xfId="43963" xr:uid="{00000000-0005-0000-0000-00002AAB0000}"/>
    <cellStyle name="Normal 3 8 17 4" xfId="43964" xr:uid="{00000000-0005-0000-0000-00002BAB0000}"/>
    <cellStyle name="Normal 3 8 18" xfId="43965" xr:uid="{00000000-0005-0000-0000-00002CAB0000}"/>
    <cellStyle name="Normal 3 8 18 2" xfId="43966" xr:uid="{00000000-0005-0000-0000-00002DAB0000}"/>
    <cellStyle name="Normal 3 8 18 2 2" xfId="43967" xr:uid="{00000000-0005-0000-0000-00002EAB0000}"/>
    <cellStyle name="Normal 3 8 18 2 2 2" xfId="43968" xr:uid="{00000000-0005-0000-0000-00002FAB0000}"/>
    <cellStyle name="Normal 3 8 18 2 2 3" xfId="43969" xr:uid="{00000000-0005-0000-0000-000030AB0000}"/>
    <cellStyle name="Normal 3 8 18 2 3" xfId="43970" xr:uid="{00000000-0005-0000-0000-000031AB0000}"/>
    <cellStyle name="Normal 3 8 18 2 4" xfId="43971" xr:uid="{00000000-0005-0000-0000-000032AB0000}"/>
    <cellStyle name="Normal 3 8 18 3" xfId="43972" xr:uid="{00000000-0005-0000-0000-000033AB0000}"/>
    <cellStyle name="Normal 3 8 18 3 2" xfId="43973" xr:uid="{00000000-0005-0000-0000-000034AB0000}"/>
    <cellStyle name="Normal 3 8 18 3 3" xfId="43974" xr:uid="{00000000-0005-0000-0000-000035AB0000}"/>
    <cellStyle name="Normal 3 8 18 4" xfId="43975" xr:uid="{00000000-0005-0000-0000-000036AB0000}"/>
    <cellStyle name="Normal 3 8 19" xfId="43976" xr:uid="{00000000-0005-0000-0000-000037AB0000}"/>
    <cellStyle name="Normal 3 8 19 2" xfId="43977" xr:uid="{00000000-0005-0000-0000-000038AB0000}"/>
    <cellStyle name="Normal 3 8 19 2 2" xfId="43978" xr:uid="{00000000-0005-0000-0000-000039AB0000}"/>
    <cellStyle name="Normal 3 8 19 2 2 2" xfId="43979" xr:uid="{00000000-0005-0000-0000-00003AAB0000}"/>
    <cellStyle name="Normal 3 8 19 2 2 3" xfId="43980" xr:uid="{00000000-0005-0000-0000-00003BAB0000}"/>
    <cellStyle name="Normal 3 8 19 2 3" xfId="43981" xr:uid="{00000000-0005-0000-0000-00003CAB0000}"/>
    <cellStyle name="Normal 3 8 19 2 4" xfId="43982" xr:uid="{00000000-0005-0000-0000-00003DAB0000}"/>
    <cellStyle name="Normal 3 8 19 3" xfId="43983" xr:uid="{00000000-0005-0000-0000-00003EAB0000}"/>
    <cellStyle name="Normal 3 8 19 3 2" xfId="43984" xr:uid="{00000000-0005-0000-0000-00003FAB0000}"/>
    <cellStyle name="Normal 3 8 19 3 3" xfId="43985" xr:uid="{00000000-0005-0000-0000-000040AB0000}"/>
    <cellStyle name="Normal 3 8 19 4" xfId="43986" xr:uid="{00000000-0005-0000-0000-000041AB0000}"/>
    <cellStyle name="Normal 3 8 2" xfId="43987" xr:uid="{00000000-0005-0000-0000-000042AB0000}"/>
    <cellStyle name="Normal 3 8 2 2" xfId="43988" xr:uid="{00000000-0005-0000-0000-000043AB0000}"/>
    <cellStyle name="Normal 3 8 2 2 2" xfId="43989" xr:uid="{00000000-0005-0000-0000-000044AB0000}"/>
    <cellStyle name="Normal 3 8 2 2 2 2" xfId="43990" xr:uid="{00000000-0005-0000-0000-000045AB0000}"/>
    <cellStyle name="Normal 3 8 2 2 2 3" xfId="43991" xr:uid="{00000000-0005-0000-0000-000046AB0000}"/>
    <cellStyle name="Normal 3 8 2 2 3" xfId="43992" xr:uid="{00000000-0005-0000-0000-000047AB0000}"/>
    <cellStyle name="Normal 3 8 2 2 4" xfId="43993" xr:uid="{00000000-0005-0000-0000-000048AB0000}"/>
    <cellStyle name="Normal 3 8 2 3" xfId="43994" xr:uid="{00000000-0005-0000-0000-000049AB0000}"/>
    <cellStyle name="Normal 3 8 2 3 2" xfId="43995" xr:uid="{00000000-0005-0000-0000-00004AAB0000}"/>
    <cellStyle name="Normal 3 8 2 3 3" xfId="43996" xr:uid="{00000000-0005-0000-0000-00004BAB0000}"/>
    <cellStyle name="Normal 3 8 2 4" xfId="43997" xr:uid="{00000000-0005-0000-0000-00004CAB0000}"/>
    <cellStyle name="Normal 3 8 2 5" xfId="43998" xr:uid="{00000000-0005-0000-0000-00004DAB0000}"/>
    <cellStyle name="Normal 3 8 20" xfId="43999" xr:uid="{00000000-0005-0000-0000-00004EAB0000}"/>
    <cellStyle name="Normal 3 8 20 2" xfId="44000" xr:uid="{00000000-0005-0000-0000-00004FAB0000}"/>
    <cellStyle name="Normal 3 8 20 2 2" xfId="44001" xr:uid="{00000000-0005-0000-0000-000050AB0000}"/>
    <cellStyle name="Normal 3 8 20 2 2 2" xfId="44002" xr:uid="{00000000-0005-0000-0000-000051AB0000}"/>
    <cellStyle name="Normal 3 8 20 2 2 3" xfId="44003" xr:uid="{00000000-0005-0000-0000-000052AB0000}"/>
    <cellStyle name="Normal 3 8 20 2 3" xfId="44004" xr:uid="{00000000-0005-0000-0000-000053AB0000}"/>
    <cellStyle name="Normal 3 8 20 2 4" xfId="44005" xr:uid="{00000000-0005-0000-0000-000054AB0000}"/>
    <cellStyle name="Normal 3 8 20 3" xfId="44006" xr:uid="{00000000-0005-0000-0000-000055AB0000}"/>
    <cellStyle name="Normal 3 8 20 3 2" xfId="44007" xr:uid="{00000000-0005-0000-0000-000056AB0000}"/>
    <cellStyle name="Normal 3 8 20 3 3" xfId="44008" xr:uid="{00000000-0005-0000-0000-000057AB0000}"/>
    <cellStyle name="Normal 3 8 20 4" xfId="44009" xr:uid="{00000000-0005-0000-0000-000058AB0000}"/>
    <cellStyle name="Normal 3 8 21" xfId="44010" xr:uid="{00000000-0005-0000-0000-000059AB0000}"/>
    <cellStyle name="Normal 3 8 21 2" xfId="44011" xr:uid="{00000000-0005-0000-0000-00005AAB0000}"/>
    <cellStyle name="Normal 3 8 21 2 2" xfId="44012" xr:uid="{00000000-0005-0000-0000-00005BAB0000}"/>
    <cellStyle name="Normal 3 8 21 2 2 2" xfId="44013" xr:uid="{00000000-0005-0000-0000-00005CAB0000}"/>
    <cellStyle name="Normal 3 8 21 2 2 3" xfId="44014" xr:uid="{00000000-0005-0000-0000-00005DAB0000}"/>
    <cellStyle name="Normal 3 8 21 2 3" xfId="44015" xr:uid="{00000000-0005-0000-0000-00005EAB0000}"/>
    <cellStyle name="Normal 3 8 21 2 4" xfId="44016" xr:uid="{00000000-0005-0000-0000-00005FAB0000}"/>
    <cellStyle name="Normal 3 8 21 3" xfId="44017" xr:uid="{00000000-0005-0000-0000-000060AB0000}"/>
    <cellStyle name="Normal 3 8 21 3 2" xfId="44018" xr:uid="{00000000-0005-0000-0000-000061AB0000}"/>
    <cellStyle name="Normal 3 8 21 3 3" xfId="44019" xr:uid="{00000000-0005-0000-0000-000062AB0000}"/>
    <cellStyle name="Normal 3 8 21 4" xfId="44020" xr:uid="{00000000-0005-0000-0000-000063AB0000}"/>
    <cellStyle name="Normal 3 8 22" xfId="44021" xr:uid="{00000000-0005-0000-0000-000064AB0000}"/>
    <cellStyle name="Normal 3 8 22 2" xfId="44022" xr:uid="{00000000-0005-0000-0000-000065AB0000}"/>
    <cellStyle name="Normal 3 8 22 2 2" xfId="44023" xr:uid="{00000000-0005-0000-0000-000066AB0000}"/>
    <cellStyle name="Normal 3 8 22 2 2 2" xfId="44024" xr:uid="{00000000-0005-0000-0000-000067AB0000}"/>
    <cellStyle name="Normal 3 8 22 2 2 3" xfId="44025" xr:uid="{00000000-0005-0000-0000-000068AB0000}"/>
    <cellStyle name="Normal 3 8 22 2 3" xfId="44026" xr:uid="{00000000-0005-0000-0000-000069AB0000}"/>
    <cellStyle name="Normal 3 8 22 2 4" xfId="44027" xr:uid="{00000000-0005-0000-0000-00006AAB0000}"/>
    <cellStyle name="Normal 3 8 22 3" xfId="44028" xr:uid="{00000000-0005-0000-0000-00006BAB0000}"/>
    <cellStyle name="Normal 3 8 22 3 2" xfId="44029" xr:uid="{00000000-0005-0000-0000-00006CAB0000}"/>
    <cellStyle name="Normal 3 8 22 3 3" xfId="44030" xr:uid="{00000000-0005-0000-0000-00006DAB0000}"/>
    <cellStyle name="Normal 3 8 22 4" xfId="44031" xr:uid="{00000000-0005-0000-0000-00006EAB0000}"/>
    <cellStyle name="Normal 3 8 23" xfId="44032" xr:uid="{00000000-0005-0000-0000-00006FAB0000}"/>
    <cellStyle name="Normal 3 8 23 2" xfId="44033" xr:uid="{00000000-0005-0000-0000-000070AB0000}"/>
    <cellStyle name="Normal 3 8 23 2 2" xfId="44034" xr:uid="{00000000-0005-0000-0000-000071AB0000}"/>
    <cellStyle name="Normal 3 8 23 2 2 2" xfId="44035" xr:uid="{00000000-0005-0000-0000-000072AB0000}"/>
    <cellStyle name="Normal 3 8 23 2 2 3" xfId="44036" xr:uid="{00000000-0005-0000-0000-000073AB0000}"/>
    <cellStyle name="Normal 3 8 23 2 3" xfId="44037" xr:uid="{00000000-0005-0000-0000-000074AB0000}"/>
    <cellStyle name="Normal 3 8 23 2 4" xfId="44038" xr:uid="{00000000-0005-0000-0000-000075AB0000}"/>
    <cellStyle name="Normal 3 8 23 3" xfId="44039" xr:uid="{00000000-0005-0000-0000-000076AB0000}"/>
    <cellStyle name="Normal 3 8 23 3 2" xfId="44040" xr:uid="{00000000-0005-0000-0000-000077AB0000}"/>
    <cellStyle name="Normal 3 8 23 3 3" xfId="44041" xr:uid="{00000000-0005-0000-0000-000078AB0000}"/>
    <cellStyle name="Normal 3 8 23 4" xfId="44042" xr:uid="{00000000-0005-0000-0000-000079AB0000}"/>
    <cellStyle name="Normal 3 8 24" xfId="44043" xr:uid="{00000000-0005-0000-0000-00007AAB0000}"/>
    <cellStyle name="Normal 3 8 24 2" xfId="44044" xr:uid="{00000000-0005-0000-0000-00007BAB0000}"/>
    <cellStyle name="Normal 3 8 24 2 2" xfId="44045" xr:uid="{00000000-0005-0000-0000-00007CAB0000}"/>
    <cellStyle name="Normal 3 8 24 2 3" xfId="44046" xr:uid="{00000000-0005-0000-0000-00007DAB0000}"/>
    <cellStyle name="Normal 3 8 24 3" xfId="44047" xr:uid="{00000000-0005-0000-0000-00007EAB0000}"/>
    <cellStyle name="Normal 3 8 24 4" xfId="44048" xr:uid="{00000000-0005-0000-0000-00007FAB0000}"/>
    <cellStyle name="Normal 3 8 25" xfId="44049" xr:uid="{00000000-0005-0000-0000-000080AB0000}"/>
    <cellStyle name="Normal 3 8 25 2" xfId="44050" xr:uid="{00000000-0005-0000-0000-000081AB0000}"/>
    <cellStyle name="Normal 3 8 25 3" xfId="44051" xr:uid="{00000000-0005-0000-0000-000082AB0000}"/>
    <cellStyle name="Normal 3 8 26" xfId="44052" xr:uid="{00000000-0005-0000-0000-000083AB0000}"/>
    <cellStyle name="Normal 3 8 27" xfId="44053" xr:uid="{00000000-0005-0000-0000-000084AB0000}"/>
    <cellStyle name="Normal 3 8 3" xfId="44054" xr:uid="{00000000-0005-0000-0000-000085AB0000}"/>
    <cellStyle name="Normal 3 8 3 2" xfId="44055" xr:uid="{00000000-0005-0000-0000-000086AB0000}"/>
    <cellStyle name="Normal 3 8 3 2 2" xfId="44056" xr:uid="{00000000-0005-0000-0000-000087AB0000}"/>
    <cellStyle name="Normal 3 8 3 2 2 2" xfId="44057" xr:uid="{00000000-0005-0000-0000-000088AB0000}"/>
    <cellStyle name="Normal 3 8 3 2 2 3" xfId="44058" xr:uid="{00000000-0005-0000-0000-000089AB0000}"/>
    <cellStyle name="Normal 3 8 3 2 3" xfId="44059" xr:uid="{00000000-0005-0000-0000-00008AAB0000}"/>
    <cellStyle name="Normal 3 8 3 2 4" xfId="44060" xr:uid="{00000000-0005-0000-0000-00008BAB0000}"/>
    <cellStyle name="Normal 3 8 3 3" xfId="44061" xr:uid="{00000000-0005-0000-0000-00008CAB0000}"/>
    <cellStyle name="Normal 3 8 3 3 2" xfId="44062" xr:uid="{00000000-0005-0000-0000-00008DAB0000}"/>
    <cellStyle name="Normal 3 8 3 3 3" xfId="44063" xr:uid="{00000000-0005-0000-0000-00008EAB0000}"/>
    <cellStyle name="Normal 3 8 3 4" xfId="44064" xr:uid="{00000000-0005-0000-0000-00008FAB0000}"/>
    <cellStyle name="Normal 3 8 4" xfId="44065" xr:uid="{00000000-0005-0000-0000-000090AB0000}"/>
    <cellStyle name="Normal 3 8 4 2" xfId="44066" xr:uid="{00000000-0005-0000-0000-000091AB0000}"/>
    <cellStyle name="Normal 3 8 4 2 2" xfId="44067" xr:uid="{00000000-0005-0000-0000-000092AB0000}"/>
    <cellStyle name="Normal 3 8 4 2 2 2" xfId="44068" xr:uid="{00000000-0005-0000-0000-000093AB0000}"/>
    <cellStyle name="Normal 3 8 4 2 2 3" xfId="44069" xr:uid="{00000000-0005-0000-0000-000094AB0000}"/>
    <cellStyle name="Normal 3 8 4 2 3" xfId="44070" xr:uid="{00000000-0005-0000-0000-000095AB0000}"/>
    <cellStyle name="Normal 3 8 4 2 4" xfId="44071" xr:uid="{00000000-0005-0000-0000-000096AB0000}"/>
    <cellStyle name="Normal 3 8 4 3" xfId="44072" xr:uid="{00000000-0005-0000-0000-000097AB0000}"/>
    <cellStyle name="Normal 3 8 4 3 2" xfId="44073" xr:uid="{00000000-0005-0000-0000-000098AB0000}"/>
    <cellStyle name="Normal 3 8 4 3 3" xfId="44074" xr:uid="{00000000-0005-0000-0000-000099AB0000}"/>
    <cellStyle name="Normal 3 8 4 4" xfId="44075" xr:uid="{00000000-0005-0000-0000-00009AAB0000}"/>
    <cellStyle name="Normal 3 8 5" xfId="44076" xr:uid="{00000000-0005-0000-0000-00009BAB0000}"/>
    <cellStyle name="Normal 3 8 5 2" xfId="44077" xr:uid="{00000000-0005-0000-0000-00009CAB0000}"/>
    <cellStyle name="Normal 3 8 5 2 2" xfId="44078" xr:uid="{00000000-0005-0000-0000-00009DAB0000}"/>
    <cellStyle name="Normal 3 8 5 2 2 2" xfId="44079" xr:uid="{00000000-0005-0000-0000-00009EAB0000}"/>
    <cellStyle name="Normal 3 8 5 2 2 3" xfId="44080" xr:uid="{00000000-0005-0000-0000-00009FAB0000}"/>
    <cellStyle name="Normal 3 8 5 2 3" xfId="44081" xr:uid="{00000000-0005-0000-0000-0000A0AB0000}"/>
    <cellStyle name="Normal 3 8 5 2 4" xfId="44082" xr:uid="{00000000-0005-0000-0000-0000A1AB0000}"/>
    <cellStyle name="Normal 3 8 5 3" xfId="44083" xr:uid="{00000000-0005-0000-0000-0000A2AB0000}"/>
    <cellStyle name="Normal 3 8 5 3 2" xfId="44084" xr:uid="{00000000-0005-0000-0000-0000A3AB0000}"/>
    <cellStyle name="Normal 3 8 5 3 3" xfId="44085" xr:uid="{00000000-0005-0000-0000-0000A4AB0000}"/>
    <cellStyle name="Normal 3 8 5 4" xfId="44086" xr:uid="{00000000-0005-0000-0000-0000A5AB0000}"/>
    <cellStyle name="Normal 3 8 6" xfId="44087" xr:uid="{00000000-0005-0000-0000-0000A6AB0000}"/>
    <cellStyle name="Normal 3 8 6 2" xfId="44088" xr:uid="{00000000-0005-0000-0000-0000A7AB0000}"/>
    <cellStyle name="Normal 3 8 6 2 2" xfId="44089" xr:uid="{00000000-0005-0000-0000-0000A8AB0000}"/>
    <cellStyle name="Normal 3 8 6 2 2 2" xfId="44090" xr:uid="{00000000-0005-0000-0000-0000A9AB0000}"/>
    <cellStyle name="Normal 3 8 6 2 2 3" xfId="44091" xr:uid="{00000000-0005-0000-0000-0000AAAB0000}"/>
    <cellStyle name="Normal 3 8 6 2 3" xfId="44092" xr:uid="{00000000-0005-0000-0000-0000ABAB0000}"/>
    <cellStyle name="Normal 3 8 6 2 4" xfId="44093" xr:uid="{00000000-0005-0000-0000-0000ACAB0000}"/>
    <cellStyle name="Normal 3 8 6 3" xfId="44094" xr:uid="{00000000-0005-0000-0000-0000ADAB0000}"/>
    <cellStyle name="Normal 3 8 6 3 2" xfId="44095" xr:uid="{00000000-0005-0000-0000-0000AEAB0000}"/>
    <cellStyle name="Normal 3 8 6 3 3" xfId="44096" xr:uid="{00000000-0005-0000-0000-0000AFAB0000}"/>
    <cellStyle name="Normal 3 8 6 4" xfId="44097" xr:uid="{00000000-0005-0000-0000-0000B0AB0000}"/>
    <cellStyle name="Normal 3 8 7" xfId="44098" xr:uid="{00000000-0005-0000-0000-0000B1AB0000}"/>
    <cellStyle name="Normal 3 8 7 2" xfId="44099" xr:uid="{00000000-0005-0000-0000-0000B2AB0000}"/>
    <cellStyle name="Normal 3 8 7 2 2" xfId="44100" xr:uid="{00000000-0005-0000-0000-0000B3AB0000}"/>
    <cellStyle name="Normal 3 8 7 2 2 2" xfId="44101" xr:uid="{00000000-0005-0000-0000-0000B4AB0000}"/>
    <cellStyle name="Normal 3 8 7 2 2 3" xfId="44102" xr:uid="{00000000-0005-0000-0000-0000B5AB0000}"/>
    <cellStyle name="Normal 3 8 7 2 3" xfId="44103" xr:uid="{00000000-0005-0000-0000-0000B6AB0000}"/>
    <cellStyle name="Normal 3 8 7 2 4" xfId="44104" xr:uid="{00000000-0005-0000-0000-0000B7AB0000}"/>
    <cellStyle name="Normal 3 8 7 3" xfId="44105" xr:uid="{00000000-0005-0000-0000-0000B8AB0000}"/>
    <cellStyle name="Normal 3 8 7 3 2" xfId="44106" xr:uid="{00000000-0005-0000-0000-0000B9AB0000}"/>
    <cellStyle name="Normal 3 8 7 3 3" xfId="44107" xr:uid="{00000000-0005-0000-0000-0000BAAB0000}"/>
    <cellStyle name="Normal 3 8 7 4" xfId="44108" xr:uid="{00000000-0005-0000-0000-0000BBAB0000}"/>
    <cellStyle name="Normal 3 8 8" xfId="44109" xr:uid="{00000000-0005-0000-0000-0000BCAB0000}"/>
    <cellStyle name="Normal 3 8 8 2" xfId="44110" xr:uid="{00000000-0005-0000-0000-0000BDAB0000}"/>
    <cellStyle name="Normal 3 8 8 2 2" xfId="44111" xr:uid="{00000000-0005-0000-0000-0000BEAB0000}"/>
    <cellStyle name="Normal 3 8 8 2 2 2" xfId="44112" xr:uid="{00000000-0005-0000-0000-0000BFAB0000}"/>
    <cellStyle name="Normal 3 8 8 2 2 3" xfId="44113" xr:uid="{00000000-0005-0000-0000-0000C0AB0000}"/>
    <cellStyle name="Normal 3 8 8 2 3" xfId="44114" xr:uid="{00000000-0005-0000-0000-0000C1AB0000}"/>
    <cellStyle name="Normal 3 8 8 2 4" xfId="44115" xr:uid="{00000000-0005-0000-0000-0000C2AB0000}"/>
    <cellStyle name="Normal 3 8 8 3" xfId="44116" xr:uid="{00000000-0005-0000-0000-0000C3AB0000}"/>
    <cellStyle name="Normal 3 8 8 3 2" xfId="44117" xr:uid="{00000000-0005-0000-0000-0000C4AB0000}"/>
    <cellStyle name="Normal 3 8 8 3 3" xfId="44118" xr:uid="{00000000-0005-0000-0000-0000C5AB0000}"/>
    <cellStyle name="Normal 3 8 8 4" xfId="44119" xr:uid="{00000000-0005-0000-0000-0000C6AB0000}"/>
    <cellStyle name="Normal 3 8 9" xfId="44120" xr:uid="{00000000-0005-0000-0000-0000C7AB0000}"/>
    <cellStyle name="Normal 3 8 9 2" xfId="44121" xr:uid="{00000000-0005-0000-0000-0000C8AB0000}"/>
    <cellStyle name="Normal 3 8 9 2 2" xfId="44122" xr:uid="{00000000-0005-0000-0000-0000C9AB0000}"/>
    <cellStyle name="Normal 3 8 9 2 2 2" xfId="44123" xr:uid="{00000000-0005-0000-0000-0000CAAB0000}"/>
    <cellStyle name="Normal 3 8 9 2 2 3" xfId="44124" xr:uid="{00000000-0005-0000-0000-0000CBAB0000}"/>
    <cellStyle name="Normal 3 8 9 2 3" xfId="44125" xr:uid="{00000000-0005-0000-0000-0000CCAB0000}"/>
    <cellStyle name="Normal 3 8 9 2 4" xfId="44126" xr:uid="{00000000-0005-0000-0000-0000CDAB0000}"/>
    <cellStyle name="Normal 3 8 9 3" xfId="44127" xr:uid="{00000000-0005-0000-0000-0000CEAB0000}"/>
    <cellStyle name="Normal 3 8 9 3 2" xfId="44128" xr:uid="{00000000-0005-0000-0000-0000CFAB0000}"/>
    <cellStyle name="Normal 3 8 9 3 3" xfId="44129" xr:uid="{00000000-0005-0000-0000-0000D0AB0000}"/>
    <cellStyle name="Normal 3 8 9 4" xfId="44130" xr:uid="{00000000-0005-0000-0000-0000D1AB0000}"/>
    <cellStyle name="Normal 3 80" xfId="44131" xr:uid="{00000000-0005-0000-0000-0000D2AB0000}"/>
    <cellStyle name="Normal 3 80 2" xfId="44132" xr:uid="{00000000-0005-0000-0000-0000D3AB0000}"/>
    <cellStyle name="Normal 3 80 2 2" xfId="44133" xr:uid="{00000000-0005-0000-0000-0000D4AB0000}"/>
    <cellStyle name="Normal 3 80 2 3" xfId="44134" xr:uid="{00000000-0005-0000-0000-0000D5AB0000}"/>
    <cellStyle name="Normal 3 80 3" xfId="44135" xr:uid="{00000000-0005-0000-0000-0000D6AB0000}"/>
    <cellStyle name="Normal 3 80 4" xfId="44136" xr:uid="{00000000-0005-0000-0000-0000D7AB0000}"/>
    <cellStyle name="Normal 3 81" xfId="44137" xr:uid="{00000000-0005-0000-0000-0000D8AB0000}"/>
    <cellStyle name="Normal 3 81 2" xfId="44138" xr:uid="{00000000-0005-0000-0000-0000D9AB0000}"/>
    <cellStyle name="Normal 3 81 2 2" xfId="44139" xr:uid="{00000000-0005-0000-0000-0000DAAB0000}"/>
    <cellStyle name="Normal 3 81 2 3" xfId="44140" xr:uid="{00000000-0005-0000-0000-0000DBAB0000}"/>
    <cellStyle name="Normal 3 81 3" xfId="44141" xr:uid="{00000000-0005-0000-0000-0000DCAB0000}"/>
    <cellStyle name="Normal 3 81 4" xfId="44142" xr:uid="{00000000-0005-0000-0000-0000DDAB0000}"/>
    <cellStyle name="Normal 3 82" xfId="44143" xr:uid="{00000000-0005-0000-0000-0000DEAB0000}"/>
    <cellStyle name="Normal 3 82 2" xfId="44144" xr:uid="{00000000-0005-0000-0000-0000DFAB0000}"/>
    <cellStyle name="Normal 3 82 2 2" xfId="44145" xr:uid="{00000000-0005-0000-0000-0000E0AB0000}"/>
    <cellStyle name="Normal 3 82 2 3" xfId="44146" xr:uid="{00000000-0005-0000-0000-0000E1AB0000}"/>
    <cellStyle name="Normal 3 82 3" xfId="44147" xr:uid="{00000000-0005-0000-0000-0000E2AB0000}"/>
    <cellStyle name="Normal 3 82 4" xfId="44148" xr:uid="{00000000-0005-0000-0000-0000E3AB0000}"/>
    <cellStyle name="Normal 3 83" xfId="44149" xr:uid="{00000000-0005-0000-0000-0000E4AB0000}"/>
    <cellStyle name="Normal 3 83 2" xfId="44150" xr:uid="{00000000-0005-0000-0000-0000E5AB0000}"/>
    <cellStyle name="Normal 3 83 2 2" xfId="44151" xr:uid="{00000000-0005-0000-0000-0000E6AB0000}"/>
    <cellStyle name="Normal 3 83 2 3" xfId="44152" xr:uid="{00000000-0005-0000-0000-0000E7AB0000}"/>
    <cellStyle name="Normal 3 83 3" xfId="44153" xr:uid="{00000000-0005-0000-0000-0000E8AB0000}"/>
    <cellStyle name="Normal 3 83 4" xfId="44154" xr:uid="{00000000-0005-0000-0000-0000E9AB0000}"/>
    <cellStyle name="Normal 3 84" xfId="44155" xr:uid="{00000000-0005-0000-0000-0000EAAB0000}"/>
    <cellStyle name="Normal 3 84 2" xfId="44156" xr:uid="{00000000-0005-0000-0000-0000EBAB0000}"/>
    <cellStyle name="Normal 3 84 2 2" xfId="44157" xr:uid="{00000000-0005-0000-0000-0000ECAB0000}"/>
    <cellStyle name="Normal 3 84 2 3" xfId="44158" xr:uid="{00000000-0005-0000-0000-0000EDAB0000}"/>
    <cellStyle name="Normal 3 84 3" xfId="44159" xr:uid="{00000000-0005-0000-0000-0000EEAB0000}"/>
    <cellStyle name="Normal 3 84 4" xfId="44160" xr:uid="{00000000-0005-0000-0000-0000EFAB0000}"/>
    <cellStyle name="Normal 3 85" xfId="44161" xr:uid="{00000000-0005-0000-0000-0000F0AB0000}"/>
    <cellStyle name="Normal 3 85 2" xfId="44162" xr:uid="{00000000-0005-0000-0000-0000F1AB0000}"/>
    <cellStyle name="Normal 3 85 2 2" xfId="44163" xr:uid="{00000000-0005-0000-0000-0000F2AB0000}"/>
    <cellStyle name="Normal 3 85 2 3" xfId="44164" xr:uid="{00000000-0005-0000-0000-0000F3AB0000}"/>
    <cellStyle name="Normal 3 85 3" xfId="44165" xr:uid="{00000000-0005-0000-0000-0000F4AB0000}"/>
    <cellStyle name="Normal 3 85 4" xfId="44166" xr:uid="{00000000-0005-0000-0000-0000F5AB0000}"/>
    <cellStyle name="Normal 3 86" xfId="44167" xr:uid="{00000000-0005-0000-0000-0000F6AB0000}"/>
    <cellStyle name="Normal 3 86 2" xfId="44168" xr:uid="{00000000-0005-0000-0000-0000F7AB0000}"/>
    <cellStyle name="Normal 3 86 2 2" xfId="44169" xr:uid="{00000000-0005-0000-0000-0000F8AB0000}"/>
    <cellStyle name="Normal 3 86 2 3" xfId="44170" xr:uid="{00000000-0005-0000-0000-0000F9AB0000}"/>
    <cellStyle name="Normal 3 86 3" xfId="44171" xr:uid="{00000000-0005-0000-0000-0000FAAB0000}"/>
    <cellStyle name="Normal 3 86 4" xfId="44172" xr:uid="{00000000-0005-0000-0000-0000FBAB0000}"/>
    <cellStyle name="Normal 3 87" xfId="44173" xr:uid="{00000000-0005-0000-0000-0000FCAB0000}"/>
    <cellStyle name="Normal 3 87 2" xfId="44174" xr:uid="{00000000-0005-0000-0000-0000FDAB0000}"/>
    <cellStyle name="Normal 3 87 2 2" xfId="44175" xr:uid="{00000000-0005-0000-0000-0000FEAB0000}"/>
    <cellStyle name="Normal 3 87 2 3" xfId="44176" xr:uid="{00000000-0005-0000-0000-0000FFAB0000}"/>
    <cellStyle name="Normal 3 87 3" xfId="44177" xr:uid="{00000000-0005-0000-0000-000000AC0000}"/>
    <cellStyle name="Normal 3 87 4" xfId="44178" xr:uid="{00000000-0005-0000-0000-000001AC0000}"/>
    <cellStyle name="Normal 3 88" xfId="44179" xr:uid="{00000000-0005-0000-0000-000002AC0000}"/>
    <cellStyle name="Normal 3 88 2" xfId="44180" xr:uid="{00000000-0005-0000-0000-000003AC0000}"/>
    <cellStyle name="Normal 3 88 2 2" xfId="44181" xr:uid="{00000000-0005-0000-0000-000004AC0000}"/>
    <cellStyle name="Normal 3 88 2 3" xfId="44182" xr:uid="{00000000-0005-0000-0000-000005AC0000}"/>
    <cellStyle name="Normal 3 88 3" xfId="44183" xr:uid="{00000000-0005-0000-0000-000006AC0000}"/>
    <cellStyle name="Normal 3 88 4" xfId="44184" xr:uid="{00000000-0005-0000-0000-000007AC0000}"/>
    <cellStyle name="Normal 3 89" xfId="44185" xr:uid="{00000000-0005-0000-0000-000008AC0000}"/>
    <cellStyle name="Normal 3 89 2" xfId="44186" xr:uid="{00000000-0005-0000-0000-000009AC0000}"/>
    <cellStyle name="Normal 3 89 2 2" xfId="44187" xr:uid="{00000000-0005-0000-0000-00000AAC0000}"/>
    <cellStyle name="Normal 3 89 2 3" xfId="44188" xr:uid="{00000000-0005-0000-0000-00000BAC0000}"/>
    <cellStyle name="Normal 3 89 3" xfId="44189" xr:uid="{00000000-0005-0000-0000-00000CAC0000}"/>
    <cellStyle name="Normal 3 89 4" xfId="44190" xr:uid="{00000000-0005-0000-0000-00000DAC0000}"/>
    <cellStyle name="Normal 3 9" xfId="44191" xr:uid="{00000000-0005-0000-0000-00000EAC0000}"/>
    <cellStyle name="Normal 3 9 10" xfId="44192" xr:uid="{00000000-0005-0000-0000-00000FAC0000}"/>
    <cellStyle name="Normal 3 9 10 2" xfId="44193" xr:uid="{00000000-0005-0000-0000-000010AC0000}"/>
    <cellStyle name="Normal 3 9 10 2 2" xfId="44194" xr:uid="{00000000-0005-0000-0000-000011AC0000}"/>
    <cellStyle name="Normal 3 9 10 2 2 2" xfId="44195" xr:uid="{00000000-0005-0000-0000-000012AC0000}"/>
    <cellStyle name="Normal 3 9 10 2 2 3" xfId="44196" xr:uid="{00000000-0005-0000-0000-000013AC0000}"/>
    <cellStyle name="Normal 3 9 10 2 3" xfId="44197" xr:uid="{00000000-0005-0000-0000-000014AC0000}"/>
    <cellStyle name="Normal 3 9 10 2 4" xfId="44198" xr:uid="{00000000-0005-0000-0000-000015AC0000}"/>
    <cellStyle name="Normal 3 9 10 3" xfId="44199" xr:uid="{00000000-0005-0000-0000-000016AC0000}"/>
    <cellStyle name="Normal 3 9 10 3 2" xfId="44200" xr:uid="{00000000-0005-0000-0000-000017AC0000}"/>
    <cellStyle name="Normal 3 9 10 3 3" xfId="44201" xr:uid="{00000000-0005-0000-0000-000018AC0000}"/>
    <cellStyle name="Normal 3 9 10 4" xfId="44202" xr:uid="{00000000-0005-0000-0000-000019AC0000}"/>
    <cellStyle name="Normal 3 9 11" xfId="44203" xr:uid="{00000000-0005-0000-0000-00001AAC0000}"/>
    <cellStyle name="Normal 3 9 11 2" xfId="44204" xr:uid="{00000000-0005-0000-0000-00001BAC0000}"/>
    <cellStyle name="Normal 3 9 11 2 2" xfId="44205" xr:uid="{00000000-0005-0000-0000-00001CAC0000}"/>
    <cellStyle name="Normal 3 9 11 2 2 2" xfId="44206" xr:uid="{00000000-0005-0000-0000-00001DAC0000}"/>
    <cellStyle name="Normal 3 9 11 2 2 3" xfId="44207" xr:uid="{00000000-0005-0000-0000-00001EAC0000}"/>
    <cellStyle name="Normal 3 9 11 2 3" xfId="44208" xr:uid="{00000000-0005-0000-0000-00001FAC0000}"/>
    <cellStyle name="Normal 3 9 11 2 4" xfId="44209" xr:uid="{00000000-0005-0000-0000-000020AC0000}"/>
    <cellStyle name="Normal 3 9 11 3" xfId="44210" xr:uid="{00000000-0005-0000-0000-000021AC0000}"/>
    <cellStyle name="Normal 3 9 11 3 2" xfId="44211" xr:uid="{00000000-0005-0000-0000-000022AC0000}"/>
    <cellStyle name="Normal 3 9 11 3 3" xfId="44212" xr:uid="{00000000-0005-0000-0000-000023AC0000}"/>
    <cellStyle name="Normal 3 9 11 4" xfId="44213" xr:uid="{00000000-0005-0000-0000-000024AC0000}"/>
    <cellStyle name="Normal 3 9 12" xfId="44214" xr:uid="{00000000-0005-0000-0000-000025AC0000}"/>
    <cellStyle name="Normal 3 9 12 2" xfId="44215" xr:uid="{00000000-0005-0000-0000-000026AC0000}"/>
    <cellStyle name="Normal 3 9 12 2 2" xfId="44216" xr:uid="{00000000-0005-0000-0000-000027AC0000}"/>
    <cellStyle name="Normal 3 9 12 2 2 2" xfId="44217" xr:uid="{00000000-0005-0000-0000-000028AC0000}"/>
    <cellStyle name="Normal 3 9 12 2 2 3" xfId="44218" xr:uid="{00000000-0005-0000-0000-000029AC0000}"/>
    <cellStyle name="Normal 3 9 12 2 3" xfId="44219" xr:uid="{00000000-0005-0000-0000-00002AAC0000}"/>
    <cellStyle name="Normal 3 9 12 2 4" xfId="44220" xr:uid="{00000000-0005-0000-0000-00002BAC0000}"/>
    <cellStyle name="Normal 3 9 12 3" xfId="44221" xr:uid="{00000000-0005-0000-0000-00002CAC0000}"/>
    <cellStyle name="Normal 3 9 12 3 2" xfId="44222" xr:uid="{00000000-0005-0000-0000-00002DAC0000}"/>
    <cellStyle name="Normal 3 9 12 3 3" xfId="44223" xr:uid="{00000000-0005-0000-0000-00002EAC0000}"/>
    <cellStyle name="Normal 3 9 12 4" xfId="44224" xr:uid="{00000000-0005-0000-0000-00002FAC0000}"/>
    <cellStyle name="Normal 3 9 13" xfId="44225" xr:uid="{00000000-0005-0000-0000-000030AC0000}"/>
    <cellStyle name="Normal 3 9 13 2" xfId="44226" xr:uid="{00000000-0005-0000-0000-000031AC0000}"/>
    <cellStyle name="Normal 3 9 13 2 2" xfId="44227" xr:uid="{00000000-0005-0000-0000-000032AC0000}"/>
    <cellStyle name="Normal 3 9 13 2 2 2" xfId="44228" xr:uid="{00000000-0005-0000-0000-000033AC0000}"/>
    <cellStyle name="Normal 3 9 13 2 2 3" xfId="44229" xr:uid="{00000000-0005-0000-0000-000034AC0000}"/>
    <cellStyle name="Normal 3 9 13 2 3" xfId="44230" xr:uid="{00000000-0005-0000-0000-000035AC0000}"/>
    <cellStyle name="Normal 3 9 13 2 4" xfId="44231" xr:uid="{00000000-0005-0000-0000-000036AC0000}"/>
    <cellStyle name="Normal 3 9 13 3" xfId="44232" xr:uid="{00000000-0005-0000-0000-000037AC0000}"/>
    <cellStyle name="Normal 3 9 13 3 2" xfId="44233" xr:uid="{00000000-0005-0000-0000-000038AC0000}"/>
    <cellStyle name="Normal 3 9 13 3 3" xfId="44234" xr:uid="{00000000-0005-0000-0000-000039AC0000}"/>
    <cellStyle name="Normal 3 9 13 4" xfId="44235" xr:uid="{00000000-0005-0000-0000-00003AAC0000}"/>
    <cellStyle name="Normal 3 9 14" xfId="44236" xr:uid="{00000000-0005-0000-0000-00003BAC0000}"/>
    <cellStyle name="Normal 3 9 14 2" xfId="44237" xr:uid="{00000000-0005-0000-0000-00003CAC0000}"/>
    <cellStyle name="Normal 3 9 14 2 2" xfId="44238" xr:uid="{00000000-0005-0000-0000-00003DAC0000}"/>
    <cellStyle name="Normal 3 9 14 2 2 2" xfId="44239" xr:uid="{00000000-0005-0000-0000-00003EAC0000}"/>
    <cellStyle name="Normal 3 9 14 2 2 3" xfId="44240" xr:uid="{00000000-0005-0000-0000-00003FAC0000}"/>
    <cellStyle name="Normal 3 9 14 2 3" xfId="44241" xr:uid="{00000000-0005-0000-0000-000040AC0000}"/>
    <cellStyle name="Normal 3 9 14 2 4" xfId="44242" xr:uid="{00000000-0005-0000-0000-000041AC0000}"/>
    <cellStyle name="Normal 3 9 14 3" xfId="44243" xr:uid="{00000000-0005-0000-0000-000042AC0000}"/>
    <cellStyle name="Normal 3 9 14 3 2" xfId="44244" xr:uid="{00000000-0005-0000-0000-000043AC0000}"/>
    <cellStyle name="Normal 3 9 14 3 3" xfId="44245" xr:uid="{00000000-0005-0000-0000-000044AC0000}"/>
    <cellStyle name="Normal 3 9 14 4" xfId="44246" xr:uid="{00000000-0005-0000-0000-000045AC0000}"/>
    <cellStyle name="Normal 3 9 15" xfId="44247" xr:uid="{00000000-0005-0000-0000-000046AC0000}"/>
    <cellStyle name="Normal 3 9 15 2" xfId="44248" xr:uid="{00000000-0005-0000-0000-000047AC0000}"/>
    <cellStyle name="Normal 3 9 15 2 2" xfId="44249" xr:uid="{00000000-0005-0000-0000-000048AC0000}"/>
    <cellStyle name="Normal 3 9 15 2 2 2" xfId="44250" xr:uid="{00000000-0005-0000-0000-000049AC0000}"/>
    <cellStyle name="Normal 3 9 15 2 2 3" xfId="44251" xr:uid="{00000000-0005-0000-0000-00004AAC0000}"/>
    <cellStyle name="Normal 3 9 15 2 3" xfId="44252" xr:uid="{00000000-0005-0000-0000-00004BAC0000}"/>
    <cellStyle name="Normal 3 9 15 2 4" xfId="44253" xr:uid="{00000000-0005-0000-0000-00004CAC0000}"/>
    <cellStyle name="Normal 3 9 15 3" xfId="44254" xr:uid="{00000000-0005-0000-0000-00004DAC0000}"/>
    <cellStyle name="Normal 3 9 15 3 2" xfId="44255" xr:uid="{00000000-0005-0000-0000-00004EAC0000}"/>
    <cellStyle name="Normal 3 9 15 3 3" xfId="44256" xr:uid="{00000000-0005-0000-0000-00004FAC0000}"/>
    <cellStyle name="Normal 3 9 15 4" xfId="44257" xr:uid="{00000000-0005-0000-0000-000050AC0000}"/>
    <cellStyle name="Normal 3 9 16" xfId="44258" xr:uid="{00000000-0005-0000-0000-000051AC0000}"/>
    <cellStyle name="Normal 3 9 16 2" xfId="44259" xr:uid="{00000000-0005-0000-0000-000052AC0000}"/>
    <cellStyle name="Normal 3 9 16 2 2" xfId="44260" xr:uid="{00000000-0005-0000-0000-000053AC0000}"/>
    <cellStyle name="Normal 3 9 16 2 2 2" xfId="44261" xr:uid="{00000000-0005-0000-0000-000054AC0000}"/>
    <cellStyle name="Normal 3 9 16 2 2 3" xfId="44262" xr:uid="{00000000-0005-0000-0000-000055AC0000}"/>
    <cellStyle name="Normal 3 9 16 2 3" xfId="44263" xr:uid="{00000000-0005-0000-0000-000056AC0000}"/>
    <cellStyle name="Normal 3 9 16 2 4" xfId="44264" xr:uid="{00000000-0005-0000-0000-000057AC0000}"/>
    <cellStyle name="Normal 3 9 16 3" xfId="44265" xr:uid="{00000000-0005-0000-0000-000058AC0000}"/>
    <cellStyle name="Normal 3 9 16 3 2" xfId="44266" xr:uid="{00000000-0005-0000-0000-000059AC0000}"/>
    <cellStyle name="Normal 3 9 16 3 3" xfId="44267" xr:uid="{00000000-0005-0000-0000-00005AAC0000}"/>
    <cellStyle name="Normal 3 9 16 4" xfId="44268" xr:uid="{00000000-0005-0000-0000-00005BAC0000}"/>
    <cellStyle name="Normal 3 9 17" xfId="44269" xr:uid="{00000000-0005-0000-0000-00005CAC0000}"/>
    <cellStyle name="Normal 3 9 17 2" xfId="44270" xr:uid="{00000000-0005-0000-0000-00005DAC0000}"/>
    <cellStyle name="Normal 3 9 17 2 2" xfId="44271" xr:uid="{00000000-0005-0000-0000-00005EAC0000}"/>
    <cellStyle name="Normal 3 9 17 2 2 2" xfId="44272" xr:uid="{00000000-0005-0000-0000-00005FAC0000}"/>
    <cellStyle name="Normal 3 9 17 2 2 3" xfId="44273" xr:uid="{00000000-0005-0000-0000-000060AC0000}"/>
    <cellStyle name="Normal 3 9 17 2 3" xfId="44274" xr:uid="{00000000-0005-0000-0000-000061AC0000}"/>
    <cellStyle name="Normal 3 9 17 2 4" xfId="44275" xr:uid="{00000000-0005-0000-0000-000062AC0000}"/>
    <cellStyle name="Normal 3 9 17 3" xfId="44276" xr:uid="{00000000-0005-0000-0000-000063AC0000}"/>
    <cellStyle name="Normal 3 9 17 3 2" xfId="44277" xr:uid="{00000000-0005-0000-0000-000064AC0000}"/>
    <cellStyle name="Normal 3 9 17 3 3" xfId="44278" xr:uid="{00000000-0005-0000-0000-000065AC0000}"/>
    <cellStyle name="Normal 3 9 17 4" xfId="44279" xr:uid="{00000000-0005-0000-0000-000066AC0000}"/>
    <cellStyle name="Normal 3 9 18" xfId="44280" xr:uid="{00000000-0005-0000-0000-000067AC0000}"/>
    <cellStyle name="Normal 3 9 18 2" xfId="44281" xr:uid="{00000000-0005-0000-0000-000068AC0000}"/>
    <cellStyle name="Normal 3 9 18 2 2" xfId="44282" xr:uid="{00000000-0005-0000-0000-000069AC0000}"/>
    <cellStyle name="Normal 3 9 18 2 2 2" xfId="44283" xr:uid="{00000000-0005-0000-0000-00006AAC0000}"/>
    <cellStyle name="Normal 3 9 18 2 2 3" xfId="44284" xr:uid="{00000000-0005-0000-0000-00006BAC0000}"/>
    <cellStyle name="Normal 3 9 18 2 3" xfId="44285" xr:uid="{00000000-0005-0000-0000-00006CAC0000}"/>
    <cellStyle name="Normal 3 9 18 2 4" xfId="44286" xr:uid="{00000000-0005-0000-0000-00006DAC0000}"/>
    <cellStyle name="Normal 3 9 18 3" xfId="44287" xr:uid="{00000000-0005-0000-0000-00006EAC0000}"/>
    <cellStyle name="Normal 3 9 18 3 2" xfId="44288" xr:uid="{00000000-0005-0000-0000-00006FAC0000}"/>
    <cellStyle name="Normal 3 9 18 3 3" xfId="44289" xr:uid="{00000000-0005-0000-0000-000070AC0000}"/>
    <cellStyle name="Normal 3 9 18 4" xfId="44290" xr:uid="{00000000-0005-0000-0000-000071AC0000}"/>
    <cellStyle name="Normal 3 9 19" xfId="44291" xr:uid="{00000000-0005-0000-0000-000072AC0000}"/>
    <cellStyle name="Normal 3 9 19 2" xfId="44292" xr:uid="{00000000-0005-0000-0000-000073AC0000}"/>
    <cellStyle name="Normal 3 9 19 2 2" xfId="44293" xr:uid="{00000000-0005-0000-0000-000074AC0000}"/>
    <cellStyle name="Normal 3 9 19 2 2 2" xfId="44294" xr:uid="{00000000-0005-0000-0000-000075AC0000}"/>
    <cellStyle name="Normal 3 9 19 2 2 3" xfId="44295" xr:uid="{00000000-0005-0000-0000-000076AC0000}"/>
    <cellStyle name="Normal 3 9 19 2 3" xfId="44296" xr:uid="{00000000-0005-0000-0000-000077AC0000}"/>
    <cellStyle name="Normal 3 9 19 2 4" xfId="44297" xr:uid="{00000000-0005-0000-0000-000078AC0000}"/>
    <cellStyle name="Normal 3 9 19 3" xfId="44298" xr:uid="{00000000-0005-0000-0000-000079AC0000}"/>
    <cellStyle name="Normal 3 9 19 3 2" xfId="44299" xr:uid="{00000000-0005-0000-0000-00007AAC0000}"/>
    <cellStyle name="Normal 3 9 19 3 3" xfId="44300" xr:uid="{00000000-0005-0000-0000-00007BAC0000}"/>
    <cellStyle name="Normal 3 9 19 4" xfId="44301" xr:uid="{00000000-0005-0000-0000-00007CAC0000}"/>
    <cellStyle name="Normal 3 9 2" xfId="44302" xr:uid="{00000000-0005-0000-0000-00007DAC0000}"/>
    <cellStyle name="Normal 3 9 2 2" xfId="44303" xr:uid="{00000000-0005-0000-0000-00007EAC0000}"/>
    <cellStyle name="Normal 3 9 2 2 2" xfId="44304" xr:uid="{00000000-0005-0000-0000-00007FAC0000}"/>
    <cellStyle name="Normal 3 9 2 2 2 2" xfId="44305" xr:uid="{00000000-0005-0000-0000-000080AC0000}"/>
    <cellStyle name="Normal 3 9 2 2 2 3" xfId="44306" xr:uid="{00000000-0005-0000-0000-000081AC0000}"/>
    <cellStyle name="Normal 3 9 2 2 3" xfId="44307" xr:uid="{00000000-0005-0000-0000-000082AC0000}"/>
    <cellStyle name="Normal 3 9 2 2 4" xfId="44308" xr:uid="{00000000-0005-0000-0000-000083AC0000}"/>
    <cellStyle name="Normal 3 9 2 3" xfId="44309" xr:uid="{00000000-0005-0000-0000-000084AC0000}"/>
    <cellStyle name="Normal 3 9 2 3 2" xfId="44310" xr:uid="{00000000-0005-0000-0000-000085AC0000}"/>
    <cellStyle name="Normal 3 9 2 3 3" xfId="44311" xr:uid="{00000000-0005-0000-0000-000086AC0000}"/>
    <cellStyle name="Normal 3 9 2 4" xfId="44312" xr:uid="{00000000-0005-0000-0000-000087AC0000}"/>
    <cellStyle name="Normal 3 9 20" xfId="44313" xr:uid="{00000000-0005-0000-0000-000088AC0000}"/>
    <cellStyle name="Normal 3 9 20 2" xfId="44314" xr:uid="{00000000-0005-0000-0000-000089AC0000}"/>
    <cellStyle name="Normal 3 9 20 2 2" xfId="44315" xr:uid="{00000000-0005-0000-0000-00008AAC0000}"/>
    <cellStyle name="Normal 3 9 20 2 2 2" xfId="44316" xr:uid="{00000000-0005-0000-0000-00008BAC0000}"/>
    <cellStyle name="Normal 3 9 20 2 2 3" xfId="44317" xr:uid="{00000000-0005-0000-0000-00008CAC0000}"/>
    <cellStyle name="Normal 3 9 20 2 3" xfId="44318" xr:uid="{00000000-0005-0000-0000-00008DAC0000}"/>
    <cellStyle name="Normal 3 9 20 2 4" xfId="44319" xr:uid="{00000000-0005-0000-0000-00008EAC0000}"/>
    <cellStyle name="Normal 3 9 20 3" xfId="44320" xr:uid="{00000000-0005-0000-0000-00008FAC0000}"/>
    <cellStyle name="Normal 3 9 20 3 2" xfId="44321" xr:uid="{00000000-0005-0000-0000-000090AC0000}"/>
    <cellStyle name="Normal 3 9 20 3 3" xfId="44322" xr:uid="{00000000-0005-0000-0000-000091AC0000}"/>
    <cellStyle name="Normal 3 9 20 4" xfId="44323" xr:uid="{00000000-0005-0000-0000-000092AC0000}"/>
    <cellStyle name="Normal 3 9 21" xfId="44324" xr:uid="{00000000-0005-0000-0000-000093AC0000}"/>
    <cellStyle name="Normal 3 9 21 2" xfId="44325" xr:uid="{00000000-0005-0000-0000-000094AC0000}"/>
    <cellStyle name="Normal 3 9 21 2 2" xfId="44326" xr:uid="{00000000-0005-0000-0000-000095AC0000}"/>
    <cellStyle name="Normal 3 9 21 2 2 2" xfId="44327" xr:uid="{00000000-0005-0000-0000-000096AC0000}"/>
    <cellStyle name="Normal 3 9 21 2 2 3" xfId="44328" xr:uid="{00000000-0005-0000-0000-000097AC0000}"/>
    <cellStyle name="Normal 3 9 21 2 3" xfId="44329" xr:uid="{00000000-0005-0000-0000-000098AC0000}"/>
    <cellStyle name="Normal 3 9 21 2 4" xfId="44330" xr:uid="{00000000-0005-0000-0000-000099AC0000}"/>
    <cellStyle name="Normal 3 9 21 3" xfId="44331" xr:uid="{00000000-0005-0000-0000-00009AAC0000}"/>
    <cellStyle name="Normal 3 9 21 3 2" xfId="44332" xr:uid="{00000000-0005-0000-0000-00009BAC0000}"/>
    <cellStyle name="Normal 3 9 21 3 3" xfId="44333" xr:uid="{00000000-0005-0000-0000-00009CAC0000}"/>
    <cellStyle name="Normal 3 9 21 4" xfId="44334" xr:uid="{00000000-0005-0000-0000-00009DAC0000}"/>
    <cellStyle name="Normal 3 9 22" xfId="44335" xr:uid="{00000000-0005-0000-0000-00009EAC0000}"/>
    <cellStyle name="Normal 3 9 22 2" xfId="44336" xr:uid="{00000000-0005-0000-0000-00009FAC0000}"/>
    <cellStyle name="Normal 3 9 22 2 2" xfId="44337" xr:uid="{00000000-0005-0000-0000-0000A0AC0000}"/>
    <cellStyle name="Normal 3 9 22 2 2 2" xfId="44338" xr:uid="{00000000-0005-0000-0000-0000A1AC0000}"/>
    <cellStyle name="Normal 3 9 22 2 2 3" xfId="44339" xr:uid="{00000000-0005-0000-0000-0000A2AC0000}"/>
    <cellStyle name="Normal 3 9 22 2 3" xfId="44340" xr:uid="{00000000-0005-0000-0000-0000A3AC0000}"/>
    <cellStyle name="Normal 3 9 22 2 4" xfId="44341" xr:uid="{00000000-0005-0000-0000-0000A4AC0000}"/>
    <cellStyle name="Normal 3 9 22 3" xfId="44342" xr:uid="{00000000-0005-0000-0000-0000A5AC0000}"/>
    <cellStyle name="Normal 3 9 22 3 2" xfId="44343" xr:uid="{00000000-0005-0000-0000-0000A6AC0000}"/>
    <cellStyle name="Normal 3 9 22 3 3" xfId="44344" xr:uid="{00000000-0005-0000-0000-0000A7AC0000}"/>
    <cellStyle name="Normal 3 9 22 4" xfId="44345" xr:uid="{00000000-0005-0000-0000-0000A8AC0000}"/>
    <cellStyle name="Normal 3 9 23" xfId="44346" xr:uid="{00000000-0005-0000-0000-0000A9AC0000}"/>
    <cellStyle name="Normal 3 9 23 2" xfId="44347" xr:uid="{00000000-0005-0000-0000-0000AAAC0000}"/>
    <cellStyle name="Normal 3 9 23 2 2" xfId="44348" xr:uid="{00000000-0005-0000-0000-0000ABAC0000}"/>
    <cellStyle name="Normal 3 9 23 2 2 2" xfId="44349" xr:uid="{00000000-0005-0000-0000-0000ACAC0000}"/>
    <cellStyle name="Normal 3 9 23 2 2 3" xfId="44350" xr:uid="{00000000-0005-0000-0000-0000ADAC0000}"/>
    <cellStyle name="Normal 3 9 23 2 3" xfId="44351" xr:uid="{00000000-0005-0000-0000-0000AEAC0000}"/>
    <cellStyle name="Normal 3 9 23 2 4" xfId="44352" xr:uid="{00000000-0005-0000-0000-0000AFAC0000}"/>
    <cellStyle name="Normal 3 9 23 3" xfId="44353" xr:uid="{00000000-0005-0000-0000-0000B0AC0000}"/>
    <cellStyle name="Normal 3 9 23 3 2" xfId="44354" xr:uid="{00000000-0005-0000-0000-0000B1AC0000}"/>
    <cellStyle name="Normal 3 9 23 3 3" xfId="44355" xr:uid="{00000000-0005-0000-0000-0000B2AC0000}"/>
    <cellStyle name="Normal 3 9 23 4" xfId="44356" xr:uid="{00000000-0005-0000-0000-0000B3AC0000}"/>
    <cellStyle name="Normal 3 9 24" xfId="44357" xr:uid="{00000000-0005-0000-0000-0000B4AC0000}"/>
    <cellStyle name="Normal 3 9 24 2" xfId="44358" xr:uid="{00000000-0005-0000-0000-0000B5AC0000}"/>
    <cellStyle name="Normal 3 9 24 2 2" xfId="44359" xr:uid="{00000000-0005-0000-0000-0000B6AC0000}"/>
    <cellStyle name="Normal 3 9 24 2 3" xfId="44360" xr:uid="{00000000-0005-0000-0000-0000B7AC0000}"/>
    <cellStyle name="Normal 3 9 24 3" xfId="44361" xr:uid="{00000000-0005-0000-0000-0000B8AC0000}"/>
    <cellStyle name="Normal 3 9 24 4" xfId="44362" xr:uid="{00000000-0005-0000-0000-0000B9AC0000}"/>
    <cellStyle name="Normal 3 9 25" xfId="44363" xr:uid="{00000000-0005-0000-0000-0000BAAC0000}"/>
    <cellStyle name="Normal 3 9 25 2" xfId="44364" xr:uid="{00000000-0005-0000-0000-0000BBAC0000}"/>
    <cellStyle name="Normal 3 9 25 3" xfId="44365" xr:uid="{00000000-0005-0000-0000-0000BCAC0000}"/>
    <cellStyle name="Normal 3 9 26" xfId="44366" xr:uid="{00000000-0005-0000-0000-0000BDAC0000}"/>
    <cellStyle name="Normal 3 9 27" xfId="44367" xr:uid="{00000000-0005-0000-0000-0000BEAC0000}"/>
    <cellStyle name="Normal 3 9 3" xfId="44368" xr:uid="{00000000-0005-0000-0000-0000BFAC0000}"/>
    <cellStyle name="Normal 3 9 3 2" xfId="44369" xr:uid="{00000000-0005-0000-0000-0000C0AC0000}"/>
    <cellStyle name="Normal 3 9 3 2 2" xfId="44370" xr:uid="{00000000-0005-0000-0000-0000C1AC0000}"/>
    <cellStyle name="Normal 3 9 3 2 2 2" xfId="44371" xr:uid="{00000000-0005-0000-0000-0000C2AC0000}"/>
    <cellStyle name="Normal 3 9 3 2 2 3" xfId="44372" xr:uid="{00000000-0005-0000-0000-0000C3AC0000}"/>
    <cellStyle name="Normal 3 9 3 2 3" xfId="44373" xr:uid="{00000000-0005-0000-0000-0000C4AC0000}"/>
    <cellStyle name="Normal 3 9 3 2 4" xfId="44374" xr:uid="{00000000-0005-0000-0000-0000C5AC0000}"/>
    <cellStyle name="Normal 3 9 3 3" xfId="44375" xr:uid="{00000000-0005-0000-0000-0000C6AC0000}"/>
    <cellStyle name="Normal 3 9 3 3 2" xfId="44376" xr:uid="{00000000-0005-0000-0000-0000C7AC0000}"/>
    <cellStyle name="Normal 3 9 3 3 3" xfId="44377" xr:uid="{00000000-0005-0000-0000-0000C8AC0000}"/>
    <cellStyle name="Normal 3 9 3 4" xfId="44378" xr:uid="{00000000-0005-0000-0000-0000C9AC0000}"/>
    <cellStyle name="Normal 3 9 4" xfId="44379" xr:uid="{00000000-0005-0000-0000-0000CAAC0000}"/>
    <cellStyle name="Normal 3 9 4 2" xfId="44380" xr:uid="{00000000-0005-0000-0000-0000CBAC0000}"/>
    <cellStyle name="Normal 3 9 4 2 2" xfId="44381" xr:uid="{00000000-0005-0000-0000-0000CCAC0000}"/>
    <cellStyle name="Normal 3 9 4 2 2 2" xfId="44382" xr:uid="{00000000-0005-0000-0000-0000CDAC0000}"/>
    <cellStyle name="Normal 3 9 4 2 2 3" xfId="44383" xr:uid="{00000000-0005-0000-0000-0000CEAC0000}"/>
    <cellStyle name="Normal 3 9 4 2 3" xfId="44384" xr:uid="{00000000-0005-0000-0000-0000CFAC0000}"/>
    <cellStyle name="Normal 3 9 4 2 4" xfId="44385" xr:uid="{00000000-0005-0000-0000-0000D0AC0000}"/>
    <cellStyle name="Normal 3 9 4 3" xfId="44386" xr:uid="{00000000-0005-0000-0000-0000D1AC0000}"/>
    <cellStyle name="Normal 3 9 4 3 2" xfId="44387" xr:uid="{00000000-0005-0000-0000-0000D2AC0000}"/>
    <cellStyle name="Normal 3 9 4 3 3" xfId="44388" xr:uid="{00000000-0005-0000-0000-0000D3AC0000}"/>
    <cellStyle name="Normal 3 9 4 4" xfId="44389" xr:uid="{00000000-0005-0000-0000-0000D4AC0000}"/>
    <cellStyle name="Normal 3 9 5" xfId="44390" xr:uid="{00000000-0005-0000-0000-0000D5AC0000}"/>
    <cellStyle name="Normal 3 9 5 2" xfId="44391" xr:uid="{00000000-0005-0000-0000-0000D6AC0000}"/>
    <cellStyle name="Normal 3 9 5 2 2" xfId="44392" xr:uid="{00000000-0005-0000-0000-0000D7AC0000}"/>
    <cellStyle name="Normal 3 9 5 2 2 2" xfId="44393" xr:uid="{00000000-0005-0000-0000-0000D8AC0000}"/>
    <cellStyle name="Normal 3 9 5 2 2 3" xfId="44394" xr:uid="{00000000-0005-0000-0000-0000D9AC0000}"/>
    <cellStyle name="Normal 3 9 5 2 3" xfId="44395" xr:uid="{00000000-0005-0000-0000-0000DAAC0000}"/>
    <cellStyle name="Normal 3 9 5 2 4" xfId="44396" xr:uid="{00000000-0005-0000-0000-0000DBAC0000}"/>
    <cellStyle name="Normal 3 9 5 3" xfId="44397" xr:uid="{00000000-0005-0000-0000-0000DCAC0000}"/>
    <cellStyle name="Normal 3 9 5 3 2" xfId="44398" xr:uid="{00000000-0005-0000-0000-0000DDAC0000}"/>
    <cellStyle name="Normal 3 9 5 3 3" xfId="44399" xr:uid="{00000000-0005-0000-0000-0000DEAC0000}"/>
    <cellStyle name="Normal 3 9 5 4" xfId="44400" xr:uid="{00000000-0005-0000-0000-0000DFAC0000}"/>
    <cellStyle name="Normal 3 9 6" xfId="44401" xr:uid="{00000000-0005-0000-0000-0000E0AC0000}"/>
    <cellStyle name="Normal 3 9 6 2" xfId="44402" xr:uid="{00000000-0005-0000-0000-0000E1AC0000}"/>
    <cellStyle name="Normal 3 9 6 2 2" xfId="44403" xr:uid="{00000000-0005-0000-0000-0000E2AC0000}"/>
    <cellStyle name="Normal 3 9 6 2 2 2" xfId="44404" xr:uid="{00000000-0005-0000-0000-0000E3AC0000}"/>
    <cellStyle name="Normal 3 9 6 2 2 3" xfId="44405" xr:uid="{00000000-0005-0000-0000-0000E4AC0000}"/>
    <cellStyle name="Normal 3 9 6 2 3" xfId="44406" xr:uid="{00000000-0005-0000-0000-0000E5AC0000}"/>
    <cellStyle name="Normal 3 9 6 2 4" xfId="44407" xr:uid="{00000000-0005-0000-0000-0000E6AC0000}"/>
    <cellStyle name="Normal 3 9 6 3" xfId="44408" xr:uid="{00000000-0005-0000-0000-0000E7AC0000}"/>
    <cellStyle name="Normal 3 9 6 3 2" xfId="44409" xr:uid="{00000000-0005-0000-0000-0000E8AC0000}"/>
    <cellStyle name="Normal 3 9 6 3 3" xfId="44410" xr:uid="{00000000-0005-0000-0000-0000E9AC0000}"/>
    <cellStyle name="Normal 3 9 6 4" xfId="44411" xr:uid="{00000000-0005-0000-0000-0000EAAC0000}"/>
    <cellStyle name="Normal 3 9 7" xfId="44412" xr:uid="{00000000-0005-0000-0000-0000EBAC0000}"/>
    <cellStyle name="Normal 3 9 7 2" xfId="44413" xr:uid="{00000000-0005-0000-0000-0000ECAC0000}"/>
    <cellStyle name="Normal 3 9 7 2 2" xfId="44414" xr:uid="{00000000-0005-0000-0000-0000EDAC0000}"/>
    <cellStyle name="Normal 3 9 7 2 2 2" xfId="44415" xr:uid="{00000000-0005-0000-0000-0000EEAC0000}"/>
    <cellStyle name="Normal 3 9 7 2 2 3" xfId="44416" xr:uid="{00000000-0005-0000-0000-0000EFAC0000}"/>
    <cellStyle name="Normal 3 9 7 2 3" xfId="44417" xr:uid="{00000000-0005-0000-0000-0000F0AC0000}"/>
    <cellStyle name="Normal 3 9 7 2 4" xfId="44418" xr:uid="{00000000-0005-0000-0000-0000F1AC0000}"/>
    <cellStyle name="Normal 3 9 7 3" xfId="44419" xr:uid="{00000000-0005-0000-0000-0000F2AC0000}"/>
    <cellStyle name="Normal 3 9 7 3 2" xfId="44420" xr:uid="{00000000-0005-0000-0000-0000F3AC0000}"/>
    <cellStyle name="Normal 3 9 7 3 3" xfId="44421" xr:uid="{00000000-0005-0000-0000-0000F4AC0000}"/>
    <cellStyle name="Normal 3 9 7 4" xfId="44422" xr:uid="{00000000-0005-0000-0000-0000F5AC0000}"/>
    <cellStyle name="Normal 3 9 8" xfId="44423" xr:uid="{00000000-0005-0000-0000-0000F6AC0000}"/>
    <cellStyle name="Normal 3 9 8 2" xfId="44424" xr:uid="{00000000-0005-0000-0000-0000F7AC0000}"/>
    <cellStyle name="Normal 3 9 8 2 2" xfId="44425" xr:uid="{00000000-0005-0000-0000-0000F8AC0000}"/>
    <cellStyle name="Normal 3 9 8 2 2 2" xfId="44426" xr:uid="{00000000-0005-0000-0000-0000F9AC0000}"/>
    <cellStyle name="Normal 3 9 8 2 2 3" xfId="44427" xr:uid="{00000000-0005-0000-0000-0000FAAC0000}"/>
    <cellStyle name="Normal 3 9 8 2 3" xfId="44428" xr:uid="{00000000-0005-0000-0000-0000FBAC0000}"/>
    <cellStyle name="Normal 3 9 8 2 4" xfId="44429" xr:uid="{00000000-0005-0000-0000-0000FCAC0000}"/>
    <cellStyle name="Normal 3 9 8 3" xfId="44430" xr:uid="{00000000-0005-0000-0000-0000FDAC0000}"/>
    <cellStyle name="Normal 3 9 8 3 2" xfId="44431" xr:uid="{00000000-0005-0000-0000-0000FEAC0000}"/>
    <cellStyle name="Normal 3 9 8 3 3" xfId="44432" xr:uid="{00000000-0005-0000-0000-0000FFAC0000}"/>
    <cellStyle name="Normal 3 9 8 4" xfId="44433" xr:uid="{00000000-0005-0000-0000-000000AD0000}"/>
    <cellStyle name="Normal 3 9 9" xfId="44434" xr:uid="{00000000-0005-0000-0000-000001AD0000}"/>
    <cellStyle name="Normal 3 9 9 2" xfId="44435" xr:uid="{00000000-0005-0000-0000-000002AD0000}"/>
    <cellStyle name="Normal 3 9 9 2 2" xfId="44436" xr:uid="{00000000-0005-0000-0000-000003AD0000}"/>
    <cellStyle name="Normal 3 9 9 2 2 2" xfId="44437" xr:uid="{00000000-0005-0000-0000-000004AD0000}"/>
    <cellStyle name="Normal 3 9 9 2 2 3" xfId="44438" xr:uid="{00000000-0005-0000-0000-000005AD0000}"/>
    <cellStyle name="Normal 3 9 9 2 3" xfId="44439" xr:uid="{00000000-0005-0000-0000-000006AD0000}"/>
    <cellStyle name="Normal 3 9 9 2 4" xfId="44440" xr:uid="{00000000-0005-0000-0000-000007AD0000}"/>
    <cellStyle name="Normal 3 9 9 3" xfId="44441" xr:uid="{00000000-0005-0000-0000-000008AD0000}"/>
    <cellStyle name="Normal 3 9 9 3 2" xfId="44442" xr:uid="{00000000-0005-0000-0000-000009AD0000}"/>
    <cellStyle name="Normal 3 9 9 3 3" xfId="44443" xr:uid="{00000000-0005-0000-0000-00000AAD0000}"/>
    <cellStyle name="Normal 3 9 9 4" xfId="44444" xr:uid="{00000000-0005-0000-0000-00000BAD0000}"/>
    <cellStyle name="Normal 3 90" xfId="44445" xr:uid="{00000000-0005-0000-0000-00000CAD0000}"/>
    <cellStyle name="Normal 3 90 2" xfId="44446" xr:uid="{00000000-0005-0000-0000-00000DAD0000}"/>
    <cellStyle name="Normal 3 90 2 2" xfId="44447" xr:uid="{00000000-0005-0000-0000-00000EAD0000}"/>
    <cellStyle name="Normal 3 90 2 3" xfId="44448" xr:uid="{00000000-0005-0000-0000-00000FAD0000}"/>
    <cellStyle name="Normal 3 90 3" xfId="44449" xr:uid="{00000000-0005-0000-0000-000010AD0000}"/>
    <cellStyle name="Normal 3 90 4" xfId="44450" xr:uid="{00000000-0005-0000-0000-000011AD0000}"/>
    <cellStyle name="Normal 3 91" xfId="44451" xr:uid="{00000000-0005-0000-0000-000012AD0000}"/>
    <cellStyle name="Normal 3 91 2" xfId="44452" xr:uid="{00000000-0005-0000-0000-000013AD0000}"/>
    <cellStyle name="Normal 3 91 2 2" xfId="44453" xr:uid="{00000000-0005-0000-0000-000014AD0000}"/>
    <cellStyle name="Normal 3 91 2 3" xfId="44454" xr:uid="{00000000-0005-0000-0000-000015AD0000}"/>
    <cellStyle name="Normal 3 91 3" xfId="44455" xr:uid="{00000000-0005-0000-0000-000016AD0000}"/>
    <cellStyle name="Normal 3 91 4" xfId="44456" xr:uid="{00000000-0005-0000-0000-000017AD0000}"/>
    <cellStyle name="Normal 3 92" xfId="44457" xr:uid="{00000000-0005-0000-0000-000018AD0000}"/>
    <cellStyle name="Normal 3 92 2" xfId="44458" xr:uid="{00000000-0005-0000-0000-000019AD0000}"/>
    <cellStyle name="Normal 3 92 2 2" xfId="44459" xr:uid="{00000000-0005-0000-0000-00001AAD0000}"/>
    <cellStyle name="Normal 3 92 2 3" xfId="44460" xr:uid="{00000000-0005-0000-0000-00001BAD0000}"/>
    <cellStyle name="Normal 3 92 3" xfId="44461" xr:uid="{00000000-0005-0000-0000-00001CAD0000}"/>
    <cellStyle name="Normal 3 92 4" xfId="44462" xr:uid="{00000000-0005-0000-0000-00001DAD0000}"/>
    <cellStyle name="Normal 3 93" xfId="44463" xr:uid="{00000000-0005-0000-0000-00001EAD0000}"/>
    <cellStyle name="Normal 3 93 2" xfId="44464" xr:uid="{00000000-0005-0000-0000-00001FAD0000}"/>
    <cellStyle name="Normal 3 93 2 2" xfId="44465" xr:uid="{00000000-0005-0000-0000-000020AD0000}"/>
    <cellStyle name="Normal 3 93 2 3" xfId="44466" xr:uid="{00000000-0005-0000-0000-000021AD0000}"/>
    <cellStyle name="Normal 3 93 3" xfId="44467" xr:uid="{00000000-0005-0000-0000-000022AD0000}"/>
    <cellStyle name="Normal 3 93 4" xfId="44468" xr:uid="{00000000-0005-0000-0000-000023AD0000}"/>
    <cellStyle name="Normal 3 94" xfId="44469" xr:uid="{00000000-0005-0000-0000-000024AD0000}"/>
    <cellStyle name="Normal 3 94 2" xfId="44470" xr:uid="{00000000-0005-0000-0000-000025AD0000}"/>
    <cellStyle name="Normal 3 94 2 2" xfId="44471" xr:uid="{00000000-0005-0000-0000-000026AD0000}"/>
    <cellStyle name="Normal 3 94 2 3" xfId="44472" xr:uid="{00000000-0005-0000-0000-000027AD0000}"/>
    <cellStyle name="Normal 3 94 3" xfId="44473" xr:uid="{00000000-0005-0000-0000-000028AD0000}"/>
    <cellStyle name="Normal 3 94 4" xfId="44474" xr:uid="{00000000-0005-0000-0000-000029AD0000}"/>
    <cellStyle name="Normal 3 95" xfId="44475" xr:uid="{00000000-0005-0000-0000-00002AAD0000}"/>
    <cellStyle name="Normal 3 95 2" xfId="44476" xr:uid="{00000000-0005-0000-0000-00002BAD0000}"/>
    <cellStyle name="Normal 3 95 2 2" xfId="44477" xr:uid="{00000000-0005-0000-0000-00002CAD0000}"/>
    <cellStyle name="Normal 3 95 2 3" xfId="44478" xr:uid="{00000000-0005-0000-0000-00002DAD0000}"/>
    <cellStyle name="Normal 3 95 3" xfId="44479" xr:uid="{00000000-0005-0000-0000-00002EAD0000}"/>
    <cellStyle name="Normal 3 95 4" xfId="44480" xr:uid="{00000000-0005-0000-0000-00002FAD0000}"/>
    <cellStyle name="Normal 3 96" xfId="44481" xr:uid="{00000000-0005-0000-0000-000030AD0000}"/>
    <cellStyle name="Normal 3 96 2" xfId="44482" xr:uid="{00000000-0005-0000-0000-000031AD0000}"/>
    <cellStyle name="Normal 3 96 2 2" xfId="44483" xr:uid="{00000000-0005-0000-0000-000032AD0000}"/>
    <cellStyle name="Normal 3 96 2 3" xfId="44484" xr:uid="{00000000-0005-0000-0000-000033AD0000}"/>
    <cellStyle name="Normal 3 96 3" xfId="44485" xr:uid="{00000000-0005-0000-0000-000034AD0000}"/>
    <cellStyle name="Normal 3 96 4" xfId="44486" xr:uid="{00000000-0005-0000-0000-000035AD0000}"/>
    <cellStyle name="Normal 3 97" xfId="44487" xr:uid="{00000000-0005-0000-0000-000036AD0000}"/>
    <cellStyle name="Normal 3 97 2" xfId="44488" xr:uid="{00000000-0005-0000-0000-000037AD0000}"/>
    <cellStyle name="Normal 3 97 2 2" xfId="44489" xr:uid="{00000000-0005-0000-0000-000038AD0000}"/>
    <cellStyle name="Normal 3 97 2 3" xfId="44490" xr:uid="{00000000-0005-0000-0000-000039AD0000}"/>
    <cellStyle name="Normal 3 97 3" xfId="44491" xr:uid="{00000000-0005-0000-0000-00003AAD0000}"/>
    <cellStyle name="Normal 3 97 4" xfId="44492" xr:uid="{00000000-0005-0000-0000-00003BAD0000}"/>
    <cellStyle name="Normal 3 98" xfId="44493" xr:uid="{00000000-0005-0000-0000-00003CAD0000}"/>
    <cellStyle name="Normal 3 98 2" xfId="44494" xr:uid="{00000000-0005-0000-0000-00003DAD0000}"/>
    <cellStyle name="Normal 3 98 2 2" xfId="44495" xr:uid="{00000000-0005-0000-0000-00003EAD0000}"/>
    <cellStyle name="Normal 3 98 2 3" xfId="44496" xr:uid="{00000000-0005-0000-0000-00003FAD0000}"/>
    <cellStyle name="Normal 3 98 3" xfId="44497" xr:uid="{00000000-0005-0000-0000-000040AD0000}"/>
    <cellStyle name="Normal 3 98 4" xfId="44498" xr:uid="{00000000-0005-0000-0000-000041AD0000}"/>
    <cellStyle name="Normal 3 99" xfId="44499" xr:uid="{00000000-0005-0000-0000-000042AD0000}"/>
    <cellStyle name="Normal 3 99 2" xfId="44500" xr:uid="{00000000-0005-0000-0000-000043AD0000}"/>
    <cellStyle name="Normal 3 99 2 2" xfId="44501" xr:uid="{00000000-0005-0000-0000-000044AD0000}"/>
    <cellStyle name="Normal 3 99 2 3" xfId="44502" xr:uid="{00000000-0005-0000-0000-000045AD0000}"/>
    <cellStyle name="Normal 3 99 3" xfId="44503" xr:uid="{00000000-0005-0000-0000-000046AD0000}"/>
    <cellStyle name="Normal 3 99 4" xfId="44504" xr:uid="{00000000-0005-0000-0000-000047AD0000}"/>
    <cellStyle name="Normal 3_2015 Annual Rpt" xfId="44505" xr:uid="{00000000-0005-0000-0000-000048AD0000}"/>
    <cellStyle name="Normal 30" xfId="301" xr:uid="{00000000-0005-0000-0000-000049AD0000}"/>
    <cellStyle name="Normal 30 10" xfId="44506" xr:uid="{00000000-0005-0000-0000-00004AAD0000}"/>
    <cellStyle name="Normal 30 11" xfId="44507" xr:uid="{00000000-0005-0000-0000-00004BAD0000}"/>
    <cellStyle name="Normal 30 12" xfId="44508" xr:uid="{00000000-0005-0000-0000-00004CAD0000}"/>
    <cellStyle name="Normal 30 2" xfId="44509" xr:uid="{00000000-0005-0000-0000-00004DAD0000}"/>
    <cellStyle name="Normal 30 2 2" xfId="44510" xr:uid="{00000000-0005-0000-0000-00004EAD0000}"/>
    <cellStyle name="Normal 30 2 2 2" xfId="44511" xr:uid="{00000000-0005-0000-0000-00004FAD0000}"/>
    <cellStyle name="Normal 30 2 2 3" xfId="44512" xr:uid="{00000000-0005-0000-0000-000050AD0000}"/>
    <cellStyle name="Normal 30 2 2 4" xfId="44513" xr:uid="{00000000-0005-0000-0000-000051AD0000}"/>
    <cellStyle name="Normal 30 2 3" xfId="44514" xr:uid="{00000000-0005-0000-0000-000052AD0000}"/>
    <cellStyle name="Normal 30 2 3 2" xfId="44515" xr:uid="{00000000-0005-0000-0000-000053AD0000}"/>
    <cellStyle name="Normal 30 2 3 3" xfId="44516" xr:uid="{00000000-0005-0000-0000-000054AD0000}"/>
    <cellStyle name="Normal 30 2 4" xfId="44517" xr:uid="{00000000-0005-0000-0000-000055AD0000}"/>
    <cellStyle name="Normal 30 2 4 2" xfId="44518" xr:uid="{00000000-0005-0000-0000-000056AD0000}"/>
    <cellStyle name="Normal 30 2 4 3" xfId="44519" xr:uid="{00000000-0005-0000-0000-000057AD0000}"/>
    <cellStyle name="Normal 30 2 5" xfId="44520" xr:uid="{00000000-0005-0000-0000-000058AD0000}"/>
    <cellStyle name="Normal 30 2 5 2" xfId="44521" xr:uid="{00000000-0005-0000-0000-000059AD0000}"/>
    <cellStyle name="Normal 30 2 6" xfId="44522" xr:uid="{00000000-0005-0000-0000-00005AAD0000}"/>
    <cellStyle name="Normal 30 2 7" xfId="44523" xr:uid="{00000000-0005-0000-0000-00005BAD0000}"/>
    <cellStyle name="Normal 30 2 8" xfId="44524" xr:uid="{00000000-0005-0000-0000-00005CAD0000}"/>
    <cellStyle name="Normal 30 2 9" xfId="44525" xr:uid="{00000000-0005-0000-0000-00005DAD0000}"/>
    <cellStyle name="Normal 30 3" xfId="44526" xr:uid="{00000000-0005-0000-0000-00005EAD0000}"/>
    <cellStyle name="Normal 30 3 2" xfId="44527" xr:uid="{00000000-0005-0000-0000-00005FAD0000}"/>
    <cellStyle name="Normal 30 3 2 2" xfId="44528" xr:uid="{00000000-0005-0000-0000-000060AD0000}"/>
    <cellStyle name="Normal 30 3 2 3" xfId="44529" xr:uid="{00000000-0005-0000-0000-000061AD0000}"/>
    <cellStyle name="Normal 30 3 3" xfId="44530" xr:uid="{00000000-0005-0000-0000-000062AD0000}"/>
    <cellStyle name="Normal 30 3 3 2" xfId="44531" xr:uid="{00000000-0005-0000-0000-000063AD0000}"/>
    <cellStyle name="Normal 30 3 3 3" xfId="44532" xr:uid="{00000000-0005-0000-0000-000064AD0000}"/>
    <cellStyle name="Normal 30 3 4" xfId="44533" xr:uid="{00000000-0005-0000-0000-000065AD0000}"/>
    <cellStyle name="Normal 30 3 5" xfId="44534" xr:uid="{00000000-0005-0000-0000-000066AD0000}"/>
    <cellStyle name="Normal 30 3 6" xfId="44535" xr:uid="{00000000-0005-0000-0000-000067AD0000}"/>
    <cellStyle name="Normal 30 3 7" xfId="44536" xr:uid="{00000000-0005-0000-0000-000068AD0000}"/>
    <cellStyle name="Normal 30 3 8" xfId="44537" xr:uid="{00000000-0005-0000-0000-000069AD0000}"/>
    <cellStyle name="Normal 30 4" xfId="44538" xr:uid="{00000000-0005-0000-0000-00006AAD0000}"/>
    <cellStyle name="Normal 30 4 2" xfId="44539" xr:uid="{00000000-0005-0000-0000-00006BAD0000}"/>
    <cellStyle name="Normal 30 4 2 2" xfId="44540" xr:uid="{00000000-0005-0000-0000-00006CAD0000}"/>
    <cellStyle name="Normal 30 4 2 3" xfId="44541" xr:uid="{00000000-0005-0000-0000-00006DAD0000}"/>
    <cellStyle name="Normal 30 4 3" xfId="44542" xr:uid="{00000000-0005-0000-0000-00006EAD0000}"/>
    <cellStyle name="Normal 30 4 3 2" xfId="44543" xr:uid="{00000000-0005-0000-0000-00006FAD0000}"/>
    <cellStyle name="Normal 30 4 4" xfId="44544" xr:uid="{00000000-0005-0000-0000-000070AD0000}"/>
    <cellStyle name="Normal 30 4 5" xfId="44545" xr:uid="{00000000-0005-0000-0000-000071AD0000}"/>
    <cellStyle name="Normal 30 4 6" xfId="44546" xr:uid="{00000000-0005-0000-0000-000072AD0000}"/>
    <cellStyle name="Normal 30 4 7" xfId="44547" xr:uid="{00000000-0005-0000-0000-000073AD0000}"/>
    <cellStyle name="Normal 30 4 8" xfId="44548" xr:uid="{00000000-0005-0000-0000-000074AD0000}"/>
    <cellStyle name="Normal 30 5" xfId="44549" xr:uid="{00000000-0005-0000-0000-000075AD0000}"/>
    <cellStyle name="Normal 30 6" xfId="44550" xr:uid="{00000000-0005-0000-0000-000076AD0000}"/>
    <cellStyle name="Normal 30 6 2" xfId="44551" xr:uid="{00000000-0005-0000-0000-000077AD0000}"/>
    <cellStyle name="Normal 30 6 2 2" xfId="44552" xr:uid="{00000000-0005-0000-0000-000078AD0000}"/>
    <cellStyle name="Normal 30 6 3" xfId="44553" xr:uid="{00000000-0005-0000-0000-000079AD0000}"/>
    <cellStyle name="Normal 30 6 3 2" xfId="44554" xr:uid="{00000000-0005-0000-0000-00007AAD0000}"/>
    <cellStyle name="Normal 30 6 4" xfId="44555" xr:uid="{00000000-0005-0000-0000-00007BAD0000}"/>
    <cellStyle name="Normal 30 6 5" xfId="44556" xr:uid="{00000000-0005-0000-0000-00007CAD0000}"/>
    <cellStyle name="Normal 30 7" xfId="44557" xr:uid="{00000000-0005-0000-0000-00007DAD0000}"/>
    <cellStyle name="Normal 30 8" xfId="44558" xr:uid="{00000000-0005-0000-0000-00007EAD0000}"/>
    <cellStyle name="Normal 30 8 2" xfId="44559" xr:uid="{00000000-0005-0000-0000-00007FAD0000}"/>
    <cellStyle name="Normal 30 9" xfId="44560" xr:uid="{00000000-0005-0000-0000-000080AD0000}"/>
    <cellStyle name="Normal 300" xfId="44561" xr:uid="{00000000-0005-0000-0000-000081AD0000}"/>
    <cellStyle name="Normal 300 2" xfId="44562" xr:uid="{00000000-0005-0000-0000-000082AD0000}"/>
    <cellStyle name="Normal 301" xfId="44563" xr:uid="{00000000-0005-0000-0000-000083AD0000}"/>
    <cellStyle name="Normal 301 2" xfId="44564" xr:uid="{00000000-0005-0000-0000-000084AD0000}"/>
    <cellStyle name="Normal 302" xfId="44565" xr:uid="{00000000-0005-0000-0000-000085AD0000}"/>
    <cellStyle name="Normal 302 2" xfId="44566" xr:uid="{00000000-0005-0000-0000-000086AD0000}"/>
    <cellStyle name="Normal 303" xfId="44567" xr:uid="{00000000-0005-0000-0000-000087AD0000}"/>
    <cellStyle name="Normal 303 2" xfId="44568" xr:uid="{00000000-0005-0000-0000-000088AD0000}"/>
    <cellStyle name="Normal 304" xfId="44569" xr:uid="{00000000-0005-0000-0000-000089AD0000}"/>
    <cellStyle name="Normal 304 2" xfId="44570" xr:uid="{00000000-0005-0000-0000-00008AAD0000}"/>
    <cellStyle name="Normal 305" xfId="44571" xr:uid="{00000000-0005-0000-0000-00008BAD0000}"/>
    <cellStyle name="Normal 305 2" xfId="44572" xr:uid="{00000000-0005-0000-0000-00008CAD0000}"/>
    <cellStyle name="Normal 306" xfId="44573" xr:uid="{00000000-0005-0000-0000-00008DAD0000}"/>
    <cellStyle name="Normal 306 2" xfId="44574" xr:uid="{00000000-0005-0000-0000-00008EAD0000}"/>
    <cellStyle name="Normal 307" xfId="44575" xr:uid="{00000000-0005-0000-0000-00008FAD0000}"/>
    <cellStyle name="Normal 307 2" xfId="44576" xr:uid="{00000000-0005-0000-0000-000090AD0000}"/>
    <cellStyle name="Normal 308" xfId="44577" xr:uid="{00000000-0005-0000-0000-000091AD0000}"/>
    <cellStyle name="Normal 308 2" xfId="44578" xr:uid="{00000000-0005-0000-0000-000092AD0000}"/>
    <cellStyle name="Normal 309" xfId="44579" xr:uid="{00000000-0005-0000-0000-000093AD0000}"/>
    <cellStyle name="Normal 309 2" xfId="44580" xr:uid="{00000000-0005-0000-0000-000094AD0000}"/>
    <cellStyle name="Normal 309 3" xfId="44581" xr:uid="{00000000-0005-0000-0000-000095AD0000}"/>
    <cellStyle name="Normal 309 3 2" xfId="44582" xr:uid="{00000000-0005-0000-0000-000096AD0000}"/>
    <cellStyle name="Normal 31" xfId="302" xr:uid="{00000000-0005-0000-0000-000097AD0000}"/>
    <cellStyle name="Normal 31 10" xfId="44583" xr:uid="{00000000-0005-0000-0000-000098AD0000}"/>
    <cellStyle name="Normal 31 11" xfId="44584" xr:uid="{00000000-0005-0000-0000-000099AD0000}"/>
    <cellStyle name="Normal 31 12" xfId="44585" xr:uid="{00000000-0005-0000-0000-00009AAD0000}"/>
    <cellStyle name="Normal 31 13" xfId="44586" xr:uid="{00000000-0005-0000-0000-00009BAD0000}"/>
    <cellStyle name="Normal 31 2" xfId="44587" xr:uid="{00000000-0005-0000-0000-00009CAD0000}"/>
    <cellStyle name="Normal 31 2 2" xfId="44588" xr:uid="{00000000-0005-0000-0000-00009DAD0000}"/>
    <cellStyle name="Normal 31 2 2 2" xfId="44589" xr:uid="{00000000-0005-0000-0000-00009EAD0000}"/>
    <cellStyle name="Normal 31 2 2 3" xfId="44590" xr:uid="{00000000-0005-0000-0000-00009FAD0000}"/>
    <cellStyle name="Normal 31 2 2 4" xfId="44591" xr:uid="{00000000-0005-0000-0000-0000A0AD0000}"/>
    <cellStyle name="Normal 31 2 3" xfId="44592" xr:uid="{00000000-0005-0000-0000-0000A1AD0000}"/>
    <cellStyle name="Normal 31 2 3 2" xfId="44593" xr:uid="{00000000-0005-0000-0000-0000A2AD0000}"/>
    <cellStyle name="Normal 31 2 3 3" xfId="44594" xr:uid="{00000000-0005-0000-0000-0000A3AD0000}"/>
    <cellStyle name="Normal 31 2 4" xfId="44595" xr:uid="{00000000-0005-0000-0000-0000A4AD0000}"/>
    <cellStyle name="Normal 31 2 4 2" xfId="44596" xr:uid="{00000000-0005-0000-0000-0000A5AD0000}"/>
    <cellStyle name="Normal 31 2 4 3" xfId="44597" xr:uid="{00000000-0005-0000-0000-0000A6AD0000}"/>
    <cellStyle name="Normal 31 2 5" xfId="44598" xr:uid="{00000000-0005-0000-0000-0000A7AD0000}"/>
    <cellStyle name="Normal 31 2 5 2" xfId="44599" xr:uid="{00000000-0005-0000-0000-0000A8AD0000}"/>
    <cellStyle name="Normal 31 2 6" xfId="44600" xr:uid="{00000000-0005-0000-0000-0000A9AD0000}"/>
    <cellStyle name="Normal 31 2 7" xfId="44601" xr:uid="{00000000-0005-0000-0000-0000AAAD0000}"/>
    <cellStyle name="Normal 31 2 8" xfId="44602" xr:uid="{00000000-0005-0000-0000-0000ABAD0000}"/>
    <cellStyle name="Normal 31 2 9" xfId="44603" xr:uid="{00000000-0005-0000-0000-0000ACAD0000}"/>
    <cellStyle name="Normal 31 3" xfId="44604" xr:uid="{00000000-0005-0000-0000-0000ADAD0000}"/>
    <cellStyle name="Normal 31 3 2" xfId="44605" xr:uid="{00000000-0005-0000-0000-0000AEAD0000}"/>
    <cellStyle name="Normal 31 3 2 2" xfId="44606" xr:uid="{00000000-0005-0000-0000-0000AFAD0000}"/>
    <cellStyle name="Normal 31 3 2 3" xfId="44607" xr:uid="{00000000-0005-0000-0000-0000B0AD0000}"/>
    <cellStyle name="Normal 31 3 3" xfId="44608" xr:uid="{00000000-0005-0000-0000-0000B1AD0000}"/>
    <cellStyle name="Normal 31 3 3 2" xfId="44609" xr:uid="{00000000-0005-0000-0000-0000B2AD0000}"/>
    <cellStyle name="Normal 31 3 3 3" xfId="44610" xr:uid="{00000000-0005-0000-0000-0000B3AD0000}"/>
    <cellStyle name="Normal 31 3 4" xfId="44611" xr:uid="{00000000-0005-0000-0000-0000B4AD0000}"/>
    <cellStyle name="Normal 31 3 5" xfId="44612" xr:uid="{00000000-0005-0000-0000-0000B5AD0000}"/>
    <cellStyle name="Normal 31 3 6" xfId="44613" xr:uid="{00000000-0005-0000-0000-0000B6AD0000}"/>
    <cellStyle name="Normal 31 3 7" xfId="44614" xr:uid="{00000000-0005-0000-0000-0000B7AD0000}"/>
    <cellStyle name="Normal 31 3 8" xfId="44615" xr:uid="{00000000-0005-0000-0000-0000B8AD0000}"/>
    <cellStyle name="Normal 31 4" xfId="44616" xr:uid="{00000000-0005-0000-0000-0000B9AD0000}"/>
    <cellStyle name="Normal 31 4 2" xfId="44617" xr:uid="{00000000-0005-0000-0000-0000BAAD0000}"/>
    <cellStyle name="Normal 31 4 2 2" xfId="44618" xr:uid="{00000000-0005-0000-0000-0000BBAD0000}"/>
    <cellStyle name="Normal 31 4 3" xfId="44619" xr:uid="{00000000-0005-0000-0000-0000BCAD0000}"/>
    <cellStyle name="Normal 31 4 3 2" xfId="44620" xr:uid="{00000000-0005-0000-0000-0000BDAD0000}"/>
    <cellStyle name="Normal 31 4 4" xfId="44621" xr:uid="{00000000-0005-0000-0000-0000BEAD0000}"/>
    <cellStyle name="Normal 31 4 5" xfId="44622" xr:uid="{00000000-0005-0000-0000-0000BFAD0000}"/>
    <cellStyle name="Normal 31 4 6" xfId="44623" xr:uid="{00000000-0005-0000-0000-0000C0AD0000}"/>
    <cellStyle name="Normal 31 4 7" xfId="44624" xr:uid="{00000000-0005-0000-0000-0000C1AD0000}"/>
    <cellStyle name="Normal 31 4 8" xfId="44625" xr:uid="{00000000-0005-0000-0000-0000C2AD0000}"/>
    <cellStyle name="Normal 31 5" xfId="44626" xr:uid="{00000000-0005-0000-0000-0000C3AD0000}"/>
    <cellStyle name="Normal 31 6" xfId="44627" xr:uid="{00000000-0005-0000-0000-0000C4AD0000}"/>
    <cellStyle name="Normal 31 6 2" xfId="44628" xr:uid="{00000000-0005-0000-0000-0000C5AD0000}"/>
    <cellStyle name="Normal 31 6 2 2" xfId="44629" xr:uid="{00000000-0005-0000-0000-0000C6AD0000}"/>
    <cellStyle name="Normal 31 6 3" xfId="44630" xr:uid="{00000000-0005-0000-0000-0000C7AD0000}"/>
    <cellStyle name="Normal 31 6 3 2" xfId="44631" xr:uid="{00000000-0005-0000-0000-0000C8AD0000}"/>
    <cellStyle name="Normal 31 6 4" xfId="44632" xr:uid="{00000000-0005-0000-0000-0000C9AD0000}"/>
    <cellStyle name="Normal 31 6 5" xfId="44633" xr:uid="{00000000-0005-0000-0000-0000CAAD0000}"/>
    <cellStyle name="Normal 31 7" xfId="44634" xr:uid="{00000000-0005-0000-0000-0000CBAD0000}"/>
    <cellStyle name="Normal 31 7 2" xfId="44635" xr:uid="{00000000-0005-0000-0000-0000CCAD0000}"/>
    <cellStyle name="Normal 31 8" xfId="44636" xr:uid="{00000000-0005-0000-0000-0000CDAD0000}"/>
    <cellStyle name="Normal 31 8 2" xfId="44637" xr:uid="{00000000-0005-0000-0000-0000CEAD0000}"/>
    <cellStyle name="Normal 31 9" xfId="44638" xr:uid="{00000000-0005-0000-0000-0000CFAD0000}"/>
    <cellStyle name="Normal 310" xfId="44639" xr:uid="{00000000-0005-0000-0000-0000D0AD0000}"/>
    <cellStyle name="Normal 310 2" xfId="44640" xr:uid="{00000000-0005-0000-0000-0000D1AD0000}"/>
    <cellStyle name="Normal 311" xfId="44641" xr:uid="{00000000-0005-0000-0000-0000D2AD0000}"/>
    <cellStyle name="Normal 311 2" xfId="44642" xr:uid="{00000000-0005-0000-0000-0000D3AD0000}"/>
    <cellStyle name="Normal 312" xfId="44643" xr:uid="{00000000-0005-0000-0000-0000D4AD0000}"/>
    <cellStyle name="Normal 312 2" xfId="44644" xr:uid="{00000000-0005-0000-0000-0000D5AD0000}"/>
    <cellStyle name="Normal 313" xfId="44645" xr:uid="{00000000-0005-0000-0000-0000D6AD0000}"/>
    <cellStyle name="Normal 313 2" xfId="44646" xr:uid="{00000000-0005-0000-0000-0000D7AD0000}"/>
    <cellStyle name="Normal 314" xfId="44647" xr:uid="{00000000-0005-0000-0000-0000D8AD0000}"/>
    <cellStyle name="Normal 314 2" xfId="44648" xr:uid="{00000000-0005-0000-0000-0000D9AD0000}"/>
    <cellStyle name="Normal 315" xfId="44649" xr:uid="{00000000-0005-0000-0000-0000DAAD0000}"/>
    <cellStyle name="Normal 315 2" xfId="44650" xr:uid="{00000000-0005-0000-0000-0000DBAD0000}"/>
    <cellStyle name="Normal 316" xfId="44651" xr:uid="{00000000-0005-0000-0000-0000DCAD0000}"/>
    <cellStyle name="Normal 316 2" xfId="44652" xr:uid="{00000000-0005-0000-0000-0000DDAD0000}"/>
    <cellStyle name="Normal 317" xfId="44653" xr:uid="{00000000-0005-0000-0000-0000DEAD0000}"/>
    <cellStyle name="Normal 317 2" xfId="44654" xr:uid="{00000000-0005-0000-0000-0000DFAD0000}"/>
    <cellStyle name="Normal 318" xfId="44655" xr:uid="{00000000-0005-0000-0000-0000E0AD0000}"/>
    <cellStyle name="Normal 318 2" xfId="44656" xr:uid="{00000000-0005-0000-0000-0000E1AD0000}"/>
    <cellStyle name="Normal 319" xfId="44657" xr:uid="{00000000-0005-0000-0000-0000E2AD0000}"/>
    <cellStyle name="Normal 319 2" xfId="44658" xr:uid="{00000000-0005-0000-0000-0000E3AD0000}"/>
    <cellStyle name="Normal 32" xfId="303" xr:uid="{00000000-0005-0000-0000-0000E4AD0000}"/>
    <cellStyle name="Normal 32 10" xfId="44659" xr:uid="{00000000-0005-0000-0000-0000E5AD0000}"/>
    <cellStyle name="Normal 32 11" xfId="44660" xr:uid="{00000000-0005-0000-0000-0000E6AD0000}"/>
    <cellStyle name="Normal 32 12" xfId="44661" xr:uid="{00000000-0005-0000-0000-0000E7AD0000}"/>
    <cellStyle name="Normal 32 2" xfId="44662" xr:uid="{00000000-0005-0000-0000-0000E8AD0000}"/>
    <cellStyle name="Normal 32 2 2" xfId="44663" xr:uid="{00000000-0005-0000-0000-0000E9AD0000}"/>
    <cellStyle name="Normal 32 2 2 2" xfId="44664" xr:uid="{00000000-0005-0000-0000-0000EAAD0000}"/>
    <cellStyle name="Normal 32 2 2 3" xfId="44665" xr:uid="{00000000-0005-0000-0000-0000EBAD0000}"/>
    <cellStyle name="Normal 32 2 2 4" xfId="44666" xr:uid="{00000000-0005-0000-0000-0000ECAD0000}"/>
    <cellStyle name="Normal 32 2 3" xfId="44667" xr:uid="{00000000-0005-0000-0000-0000EDAD0000}"/>
    <cellStyle name="Normal 32 2 3 2" xfId="44668" xr:uid="{00000000-0005-0000-0000-0000EEAD0000}"/>
    <cellStyle name="Normal 32 2 3 3" xfId="44669" xr:uid="{00000000-0005-0000-0000-0000EFAD0000}"/>
    <cellStyle name="Normal 32 2 4" xfId="44670" xr:uid="{00000000-0005-0000-0000-0000F0AD0000}"/>
    <cellStyle name="Normal 32 2 4 2" xfId="44671" xr:uid="{00000000-0005-0000-0000-0000F1AD0000}"/>
    <cellStyle name="Normal 32 2 4 3" xfId="44672" xr:uid="{00000000-0005-0000-0000-0000F2AD0000}"/>
    <cellStyle name="Normal 32 2 5" xfId="44673" xr:uid="{00000000-0005-0000-0000-0000F3AD0000}"/>
    <cellStyle name="Normal 32 2 5 2" xfId="44674" xr:uid="{00000000-0005-0000-0000-0000F4AD0000}"/>
    <cellStyle name="Normal 32 2 6" xfId="44675" xr:uid="{00000000-0005-0000-0000-0000F5AD0000}"/>
    <cellStyle name="Normal 32 2 7" xfId="44676" xr:uid="{00000000-0005-0000-0000-0000F6AD0000}"/>
    <cellStyle name="Normal 32 2 8" xfId="44677" xr:uid="{00000000-0005-0000-0000-0000F7AD0000}"/>
    <cellStyle name="Normal 32 2 9" xfId="44678" xr:uid="{00000000-0005-0000-0000-0000F8AD0000}"/>
    <cellStyle name="Normal 32 3" xfId="44679" xr:uid="{00000000-0005-0000-0000-0000F9AD0000}"/>
    <cellStyle name="Normal 32 3 2" xfId="44680" xr:uid="{00000000-0005-0000-0000-0000FAAD0000}"/>
    <cellStyle name="Normal 32 3 2 2" xfId="44681" xr:uid="{00000000-0005-0000-0000-0000FBAD0000}"/>
    <cellStyle name="Normal 32 3 2 3" xfId="44682" xr:uid="{00000000-0005-0000-0000-0000FCAD0000}"/>
    <cellStyle name="Normal 32 3 3" xfId="44683" xr:uid="{00000000-0005-0000-0000-0000FDAD0000}"/>
    <cellStyle name="Normal 32 3 3 2" xfId="44684" xr:uid="{00000000-0005-0000-0000-0000FEAD0000}"/>
    <cellStyle name="Normal 32 3 3 3" xfId="44685" xr:uid="{00000000-0005-0000-0000-0000FFAD0000}"/>
    <cellStyle name="Normal 32 3 4" xfId="44686" xr:uid="{00000000-0005-0000-0000-000000AE0000}"/>
    <cellStyle name="Normal 32 3 5" xfId="44687" xr:uid="{00000000-0005-0000-0000-000001AE0000}"/>
    <cellStyle name="Normal 32 3 6" xfId="44688" xr:uid="{00000000-0005-0000-0000-000002AE0000}"/>
    <cellStyle name="Normal 32 3 7" xfId="44689" xr:uid="{00000000-0005-0000-0000-000003AE0000}"/>
    <cellStyle name="Normal 32 3 8" xfId="44690" xr:uid="{00000000-0005-0000-0000-000004AE0000}"/>
    <cellStyle name="Normal 32 4" xfId="44691" xr:uid="{00000000-0005-0000-0000-000005AE0000}"/>
    <cellStyle name="Normal 32 4 2" xfId="44692" xr:uid="{00000000-0005-0000-0000-000006AE0000}"/>
    <cellStyle name="Normal 32 4 2 2" xfId="44693" xr:uid="{00000000-0005-0000-0000-000007AE0000}"/>
    <cellStyle name="Normal 32 4 3" xfId="44694" xr:uid="{00000000-0005-0000-0000-000008AE0000}"/>
    <cellStyle name="Normal 32 4 3 2" xfId="44695" xr:uid="{00000000-0005-0000-0000-000009AE0000}"/>
    <cellStyle name="Normal 32 4 4" xfId="44696" xr:uid="{00000000-0005-0000-0000-00000AAE0000}"/>
    <cellStyle name="Normal 32 4 5" xfId="44697" xr:uid="{00000000-0005-0000-0000-00000BAE0000}"/>
    <cellStyle name="Normal 32 4 6" xfId="44698" xr:uid="{00000000-0005-0000-0000-00000CAE0000}"/>
    <cellStyle name="Normal 32 4 7" xfId="44699" xr:uid="{00000000-0005-0000-0000-00000DAE0000}"/>
    <cellStyle name="Normal 32 4 8" xfId="44700" xr:uid="{00000000-0005-0000-0000-00000EAE0000}"/>
    <cellStyle name="Normal 32 5" xfId="44701" xr:uid="{00000000-0005-0000-0000-00000FAE0000}"/>
    <cellStyle name="Normal 32 5 2" xfId="44702" xr:uid="{00000000-0005-0000-0000-000010AE0000}"/>
    <cellStyle name="Normal 32 5 2 2" xfId="44703" xr:uid="{00000000-0005-0000-0000-000011AE0000}"/>
    <cellStyle name="Normal 32 5 3" xfId="44704" xr:uid="{00000000-0005-0000-0000-000012AE0000}"/>
    <cellStyle name="Normal 32 5 4" xfId="44705" xr:uid="{00000000-0005-0000-0000-000013AE0000}"/>
    <cellStyle name="Normal 32 5 5" xfId="44706" xr:uid="{00000000-0005-0000-0000-000014AE0000}"/>
    <cellStyle name="Normal 32 5 6" xfId="44707" xr:uid="{00000000-0005-0000-0000-000015AE0000}"/>
    <cellStyle name="Normal 32 6" xfId="44708" xr:uid="{00000000-0005-0000-0000-000016AE0000}"/>
    <cellStyle name="Normal 32 6 2" xfId="44709" xr:uid="{00000000-0005-0000-0000-000017AE0000}"/>
    <cellStyle name="Normal 32 6 2 2" xfId="44710" xr:uid="{00000000-0005-0000-0000-000018AE0000}"/>
    <cellStyle name="Normal 32 6 3" xfId="44711" xr:uid="{00000000-0005-0000-0000-000019AE0000}"/>
    <cellStyle name="Normal 32 6 3 2" xfId="44712" xr:uid="{00000000-0005-0000-0000-00001AAE0000}"/>
    <cellStyle name="Normal 32 6 4" xfId="44713" xr:uid="{00000000-0005-0000-0000-00001BAE0000}"/>
    <cellStyle name="Normal 32 6 5" xfId="44714" xr:uid="{00000000-0005-0000-0000-00001CAE0000}"/>
    <cellStyle name="Normal 32 7" xfId="44715" xr:uid="{00000000-0005-0000-0000-00001DAE0000}"/>
    <cellStyle name="Normal 32 8" xfId="44716" xr:uid="{00000000-0005-0000-0000-00001EAE0000}"/>
    <cellStyle name="Normal 32 8 2" xfId="44717" xr:uid="{00000000-0005-0000-0000-00001FAE0000}"/>
    <cellStyle name="Normal 32 9" xfId="44718" xr:uid="{00000000-0005-0000-0000-000020AE0000}"/>
    <cellStyle name="Normal 320" xfId="44719" xr:uid="{00000000-0005-0000-0000-000021AE0000}"/>
    <cellStyle name="Normal 320 2" xfId="44720" xr:uid="{00000000-0005-0000-0000-000022AE0000}"/>
    <cellStyle name="Normal 321" xfId="44721" xr:uid="{00000000-0005-0000-0000-000023AE0000}"/>
    <cellStyle name="Normal 322" xfId="44722" xr:uid="{00000000-0005-0000-0000-000024AE0000}"/>
    <cellStyle name="Normal 323" xfId="44723" xr:uid="{00000000-0005-0000-0000-000025AE0000}"/>
    <cellStyle name="Normal 324" xfId="44724" xr:uid="{00000000-0005-0000-0000-000026AE0000}"/>
    <cellStyle name="Normal 325" xfId="44725" xr:uid="{00000000-0005-0000-0000-000027AE0000}"/>
    <cellStyle name="Normal 326" xfId="44726" xr:uid="{00000000-0005-0000-0000-000028AE0000}"/>
    <cellStyle name="Normal 327" xfId="44727" xr:uid="{00000000-0005-0000-0000-000029AE0000}"/>
    <cellStyle name="Normal 328" xfId="44728" xr:uid="{00000000-0005-0000-0000-00002AAE0000}"/>
    <cellStyle name="Normal 329" xfId="44729" xr:uid="{00000000-0005-0000-0000-00002BAE0000}"/>
    <cellStyle name="Normal 33" xfId="304" xr:uid="{00000000-0005-0000-0000-00002CAE0000}"/>
    <cellStyle name="Normal 33 10" xfId="44730" xr:uid="{00000000-0005-0000-0000-00002DAE0000}"/>
    <cellStyle name="Normal 33 11" xfId="44731" xr:uid="{00000000-0005-0000-0000-00002EAE0000}"/>
    <cellStyle name="Normal 33 12" xfId="44732" xr:uid="{00000000-0005-0000-0000-00002FAE0000}"/>
    <cellStyle name="Normal 33 2" xfId="44733" xr:uid="{00000000-0005-0000-0000-000030AE0000}"/>
    <cellStyle name="Normal 33 2 2" xfId="44734" xr:uid="{00000000-0005-0000-0000-000031AE0000}"/>
    <cellStyle name="Normal 33 2 2 2" xfId="44735" xr:uid="{00000000-0005-0000-0000-000032AE0000}"/>
    <cellStyle name="Normal 33 2 2 2 2" xfId="44736" xr:uid="{00000000-0005-0000-0000-000033AE0000}"/>
    <cellStyle name="Normal 33 2 2 3" xfId="44737" xr:uid="{00000000-0005-0000-0000-000034AE0000}"/>
    <cellStyle name="Normal 33 2 2 4" xfId="44738" xr:uid="{00000000-0005-0000-0000-000035AE0000}"/>
    <cellStyle name="Normal 33 2 3" xfId="44739" xr:uid="{00000000-0005-0000-0000-000036AE0000}"/>
    <cellStyle name="Normal 33 2 3 2" xfId="44740" xr:uid="{00000000-0005-0000-0000-000037AE0000}"/>
    <cellStyle name="Normal 33 2 3 2 2" xfId="44741" xr:uid="{00000000-0005-0000-0000-000038AE0000}"/>
    <cellStyle name="Normal 33 2 3 3" xfId="44742" xr:uid="{00000000-0005-0000-0000-000039AE0000}"/>
    <cellStyle name="Normal 33 2 4" xfId="44743" xr:uid="{00000000-0005-0000-0000-00003AAE0000}"/>
    <cellStyle name="Normal 33 2 4 2" xfId="44744" xr:uid="{00000000-0005-0000-0000-00003BAE0000}"/>
    <cellStyle name="Normal 33 2 4 3" xfId="44745" xr:uid="{00000000-0005-0000-0000-00003CAE0000}"/>
    <cellStyle name="Normal 33 2 5" xfId="44746" xr:uid="{00000000-0005-0000-0000-00003DAE0000}"/>
    <cellStyle name="Normal 33 2 5 2" xfId="44747" xr:uid="{00000000-0005-0000-0000-00003EAE0000}"/>
    <cellStyle name="Normal 33 2 6" xfId="44748" xr:uid="{00000000-0005-0000-0000-00003FAE0000}"/>
    <cellStyle name="Normal 33 2 7" xfId="44749" xr:uid="{00000000-0005-0000-0000-000040AE0000}"/>
    <cellStyle name="Normal 33 2 8" xfId="44750" xr:uid="{00000000-0005-0000-0000-000041AE0000}"/>
    <cellStyle name="Normal 33 2 9" xfId="44751" xr:uid="{00000000-0005-0000-0000-000042AE0000}"/>
    <cellStyle name="Normal 33 3" xfId="44752" xr:uid="{00000000-0005-0000-0000-000043AE0000}"/>
    <cellStyle name="Normal 33 3 2" xfId="44753" xr:uid="{00000000-0005-0000-0000-000044AE0000}"/>
    <cellStyle name="Normal 33 3 2 2" xfId="44754" xr:uid="{00000000-0005-0000-0000-000045AE0000}"/>
    <cellStyle name="Normal 33 3 2 3" xfId="44755" xr:uid="{00000000-0005-0000-0000-000046AE0000}"/>
    <cellStyle name="Normal 33 3 3" xfId="44756" xr:uid="{00000000-0005-0000-0000-000047AE0000}"/>
    <cellStyle name="Normal 33 3 3 2" xfId="44757" xr:uid="{00000000-0005-0000-0000-000048AE0000}"/>
    <cellStyle name="Normal 33 3 3 3" xfId="44758" xr:uid="{00000000-0005-0000-0000-000049AE0000}"/>
    <cellStyle name="Normal 33 3 4" xfId="44759" xr:uid="{00000000-0005-0000-0000-00004AAE0000}"/>
    <cellStyle name="Normal 33 3 5" xfId="44760" xr:uid="{00000000-0005-0000-0000-00004BAE0000}"/>
    <cellStyle name="Normal 33 3 6" xfId="44761" xr:uid="{00000000-0005-0000-0000-00004CAE0000}"/>
    <cellStyle name="Normal 33 3 7" xfId="44762" xr:uid="{00000000-0005-0000-0000-00004DAE0000}"/>
    <cellStyle name="Normal 33 3 8" xfId="44763" xr:uid="{00000000-0005-0000-0000-00004EAE0000}"/>
    <cellStyle name="Normal 33 4" xfId="44764" xr:uid="{00000000-0005-0000-0000-00004FAE0000}"/>
    <cellStyle name="Normal 33 4 2" xfId="44765" xr:uid="{00000000-0005-0000-0000-000050AE0000}"/>
    <cellStyle name="Normal 33 4 2 2" xfId="44766" xr:uid="{00000000-0005-0000-0000-000051AE0000}"/>
    <cellStyle name="Normal 33 4 3" xfId="44767" xr:uid="{00000000-0005-0000-0000-000052AE0000}"/>
    <cellStyle name="Normal 33 4 3 2" xfId="44768" xr:uid="{00000000-0005-0000-0000-000053AE0000}"/>
    <cellStyle name="Normal 33 4 4" xfId="44769" xr:uid="{00000000-0005-0000-0000-000054AE0000}"/>
    <cellStyle name="Normal 33 4 5" xfId="44770" xr:uid="{00000000-0005-0000-0000-000055AE0000}"/>
    <cellStyle name="Normal 33 4 6" xfId="44771" xr:uid="{00000000-0005-0000-0000-000056AE0000}"/>
    <cellStyle name="Normal 33 4 7" xfId="44772" xr:uid="{00000000-0005-0000-0000-000057AE0000}"/>
    <cellStyle name="Normal 33 4 8" xfId="44773" xr:uid="{00000000-0005-0000-0000-000058AE0000}"/>
    <cellStyle name="Normal 33 5" xfId="44774" xr:uid="{00000000-0005-0000-0000-000059AE0000}"/>
    <cellStyle name="Normal 33 5 2" xfId="44775" xr:uid="{00000000-0005-0000-0000-00005AAE0000}"/>
    <cellStyle name="Normal 33 6" xfId="44776" xr:uid="{00000000-0005-0000-0000-00005BAE0000}"/>
    <cellStyle name="Normal 33 6 2" xfId="44777" xr:uid="{00000000-0005-0000-0000-00005CAE0000}"/>
    <cellStyle name="Normal 33 6 2 2" xfId="44778" xr:uid="{00000000-0005-0000-0000-00005DAE0000}"/>
    <cellStyle name="Normal 33 6 3" xfId="44779" xr:uid="{00000000-0005-0000-0000-00005EAE0000}"/>
    <cellStyle name="Normal 33 6 3 2" xfId="44780" xr:uid="{00000000-0005-0000-0000-00005FAE0000}"/>
    <cellStyle name="Normal 33 6 4" xfId="44781" xr:uid="{00000000-0005-0000-0000-000060AE0000}"/>
    <cellStyle name="Normal 33 7" xfId="44782" xr:uid="{00000000-0005-0000-0000-000061AE0000}"/>
    <cellStyle name="Normal 33 8" xfId="44783" xr:uid="{00000000-0005-0000-0000-000062AE0000}"/>
    <cellStyle name="Normal 33 8 2" xfId="44784" xr:uid="{00000000-0005-0000-0000-000063AE0000}"/>
    <cellStyle name="Normal 33 9" xfId="44785" xr:uid="{00000000-0005-0000-0000-000064AE0000}"/>
    <cellStyle name="Normal 330" xfId="44786" xr:uid="{00000000-0005-0000-0000-000065AE0000}"/>
    <cellStyle name="Normal 330 2" xfId="44787" xr:uid="{00000000-0005-0000-0000-000066AE0000}"/>
    <cellStyle name="Normal 330 3" xfId="44788" xr:uid="{00000000-0005-0000-0000-000067AE0000}"/>
    <cellStyle name="Normal 331" xfId="44789" xr:uid="{00000000-0005-0000-0000-000068AE0000}"/>
    <cellStyle name="Normal 331 2" xfId="44790" xr:uid="{00000000-0005-0000-0000-000069AE0000}"/>
    <cellStyle name="Normal 331 3" xfId="44791" xr:uid="{00000000-0005-0000-0000-00006AAE0000}"/>
    <cellStyle name="Normal 332" xfId="44792" xr:uid="{00000000-0005-0000-0000-00006BAE0000}"/>
    <cellStyle name="Normal 333" xfId="44793" xr:uid="{00000000-0005-0000-0000-00006CAE0000}"/>
    <cellStyle name="Normal 334" xfId="44794" xr:uid="{00000000-0005-0000-0000-00006DAE0000}"/>
    <cellStyle name="Normal 335" xfId="44795" xr:uid="{00000000-0005-0000-0000-00006EAE0000}"/>
    <cellStyle name="Normal 336" xfId="44796" xr:uid="{00000000-0005-0000-0000-00006FAE0000}"/>
    <cellStyle name="Normal 337" xfId="44797" xr:uid="{00000000-0005-0000-0000-000070AE0000}"/>
    <cellStyle name="Normal 338" xfId="44798" xr:uid="{00000000-0005-0000-0000-000071AE0000}"/>
    <cellStyle name="Normal 339" xfId="44799" xr:uid="{00000000-0005-0000-0000-000072AE0000}"/>
    <cellStyle name="Normal 34" xfId="305" xr:uid="{00000000-0005-0000-0000-000073AE0000}"/>
    <cellStyle name="Normal 34 10" xfId="44800" xr:uid="{00000000-0005-0000-0000-000074AE0000}"/>
    <cellStyle name="Normal 34 11" xfId="44801" xr:uid="{00000000-0005-0000-0000-000075AE0000}"/>
    <cellStyle name="Normal 34 12" xfId="44802" xr:uid="{00000000-0005-0000-0000-000076AE0000}"/>
    <cellStyle name="Normal 34 2" xfId="44803" xr:uid="{00000000-0005-0000-0000-000077AE0000}"/>
    <cellStyle name="Normal 34 2 2" xfId="44804" xr:uid="{00000000-0005-0000-0000-000078AE0000}"/>
    <cellStyle name="Normal 34 2 2 2" xfId="44805" xr:uid="{00000000-0005-0000-0000-000079AE0000}"/>
    <cellStyle name="Normal 34 2 2 3" xfId="44806" xr:uid="{00000000-0005-0000-0000-00007AAE0000}"/>
    <cellStyle name="Normal 34 2 2 4" xfId="44807" xr:uid="{00000000-0005-0000-0000-00007BAE0000}"/>
    <cellStyle name="Normal 34 2 3" xfId="44808" xr:uid="{00000000-0005-0000-0000-00007CAE0000}"/>
    <cellStyle name="Normal 34 2 3 2" xfId="44809" xr:uid="{00000000-0005-0000-0000-00007DAE0000}"/>
    <cellStyle name="Normal 34 2 3 3" xfId="44810" xr:uid="{00000000-0005-0000-0000-00007EAE0000}"/>
    <cellStyle name="Normal 34 2 4" xfId="44811" xr:uid="{00000000-0005-0000-0000-00007FAE0000}"/>
    <cellStyle name="Normal 34 2 4 2" xfId="44812" xr:uid="{00000000-0005-0000-0000-000080AE0000}"/>
    <cellStyle name="Normal 34 2 4 3" xfId="44813" xr:uid="{00000000-0005-0000-0000-000081AE0000}"/>
    <cellStyle name="Normal 34 2 5" xfId="44814" xr:uid="{00000000-0005-0000-0000-000082AE0000}"/>
    <cellStyle name="Normal 34 2 5 2" xfId="44815" xr:uid="{00000000-0005-0000-0000-000083AE0000}"/>
    <cellStyle name="Normal 34 2 6" xfId="44816" xr:uid="{00000000-0005-0000-0000-000084AE0000}"/>
    <cellStyle name="Normal 34 2 7" xfId="44817" xr:uid="{00000000-0005-0000-0000-000085AE0000}"/>
    <cellStyle name="Normal 34 2 8" xfId="44818" xr:uid="{00000000-0005-0000-0000-000086AE0000}"/>
    <cellStyle name="Normal 34 2 9" xfId="44819" xr:uid="{00000000-0005-0000-0000-000087AE0000}"/>
    <cellStyle name="Normal 34 3" xfId="44820" xr:uid="{00000000-0005-0000-0000-000088AE0000}"/>
    <cellStyle name="Normal 34 3 2" xfId="44821" xr:uid="{00000000-0005-0000-0000-000089AE0000}"/>
    <cellStyle name="Normal 34 3 2 2" xfId="44822" xr:uid="{00000000-0005-0000-0000-00008AAE0000}"/>
    <cellStyle name="Normal 34 3 2 3" xfId="44823" xr:uid="{00000000-0005-0000-0000-00008BAE0000}"/>
    <cellStyle name="Normal 34 3 3" xfId="44824" xr:uid="{00000000-0005-0000-0000-00008CAE0000}"/>
    <cellStyle name="Normal 34 3 3 2" xfId="44825" xr:uid="{00000000-0005-0000-0000-00008DAE0000}"/>
    <cellStyle name="Normal 34 3 3 3" xfId="44826" xr:uid="{00000000-0005-0000-0000-00008EAE0000}"/>
    <cellStyle name="Normal 34 3 4" xfId="44827" xr:uid="{00000000-0005-0000-0000-00008FAE0000}"/>
    <cellStyle name="Normal 34 3 5" xfId="44828" xr:uid="{00000000-0005-0000-0000-000090AE0000}"/>
    <cellStyle name="Normal 34 3 6" xfId="44829" xr:uid="{00000000-0005-0000-0000-000091AE0000}"/>
    <cellStyle name="Normal 34 3 7" xfId="44830" xr:uid="{00000000-0005-0000-0000-000092AE0000}"/>
    <cellStyle name="Normal 34 3 8" xfId="44831" xr:uid="{00000000-0005-0000-0000-000093AE0000}"/>
    <cellStyle name="Normal 34 4" xfId="44832" xr:uid="{00000000-0005-0000-0000-000094AE0000}"/>
    <cellStyle name="Normal 34 4 2" xfId="44833" xr:uid="{00000000-0005-0000-0000-000095AE0000}"/>
    <cellStyle name="Normal 34 4 2 2" xfId="44834" xr:uid="{00000000-0005-0000-0000-000096AE0000}"/>
    <cellStyle name="Normal 34 4 3" xfId="44835" xr:uid="{00000000-0005-0000-0000-000097AE0000}"/>
    <cellStyle name="Normal 34 4 3 2" xfId="44836" xr:uid="{00000000-0005-0000-0000-000098AE0000}"/>
    <cellStyle name="Normal 34 4 4" xfId="44837" xr:uid="{00000000-0005-0000-0000-000099AE0000}"/>
    <cellStyle name="Normal 34 4 5" xfId="44838" xr:uid="{00000000-0005-0000-0000-00009AAE0000}"/>
    <cellStyle name="Normal 34 4 6" xfId="44839" xr:uid="{00000000-0005-0000-0000-00009BAE0000}"/>
    <cellStyle name="Normal 34 4 7" xfId="44840" xr:uid="{00000000-0005-0000-0000-00009CAE0000}"/>
    <cellStyle name="Normal 34 4 8" xfId="44841" xr:uid="{00000000-0005-0000-0000-00009DAE0000}"/>
    <cellStyle name="Normal 34 5" xfId="44842" xr:uid="{00000000-0005-0000-0000-00009EAE0000}"/>
    <cellStyle name="Normal 34 5 2" xfId="44843" xr:uid="{00000000-0005-0000-0000-00009FAE0000}"/>
    <cellStyle name="Normal 34 6" xfId="44844" xr:uid="{00000000-0005-0000-0000-0000A0AE0000}"/>
    <cellStyle name="Normal 34 6 2" xfId="44845" xr:uid="{00000000-0005-0000-0000-0000A1AE0000}"/>
    <cellStyle name="Normal 34 6 2 2" xfId="44846" xr:uid="{00000000-0005-0000-0000-0000A2AE0000}"/>
    <cellStyle name="Normal 34 6 3" xfId="44847" xr:uid="{00000000-0005-0000-0000-0000A3AE0000}"/>
    <cellStyle name="Normal 34 6 3 2" xfId="44848" xr:uid="{00000000-0005-0000-0000-0000A4AE0000}"/>
    <cellStyle name="Normal 34 6 4" xfId="44849" xr:uid="{00000000-0005-0000-0000-0000A5AE0000}"/>
    <cellStyle name="Normal 34 7" xfId="44850" xr:uid="{00000000-0005-0000-0000-0000A6AE0000}"/>
    <cellStyle name="Normal 34 8" xfId="44851" xr:uid="{00000000-0005-0000-0000-0000A7AE0000}"/>
    <cellStyle name="Normal 34 8 2" xfId="44852" xr:uid="{00000000-0005-0000-0000-0000A8AE0000}"/>
    <cellStyle name="Normal 34 9" xfId="44853" xr:uid="{00000000-0005-0000-0000-0000A9AE0000}"/>
    <cellStyle name="Normal 340" xfId="44854" xr:uid="{00000000-0005-0000-0000-0000AAAE0000}"/>
    <cellStyle name="Normal 341" xfId="44855" xr:uid="{00000000-0005-0000-0000-0000ABAE0000}"/>
    <cellStyle name="Normal 342" xfId="61194" xr:uid="{0470931E-466D-4877-B080-B31717BAD426}"/>
    <cellStyle name="Normal 343" xfId="61200" xr:uid="{73BA8C1A-DDCE-471F-BFE9-587C2DFF773A}"/>
    <cellStyle name="Normal 343 2" xfId="44856" xr:uid="{00000000-0005-0000-0000-0000ACAE0000}"/>
    <cellStyle name="Normal 344" xfId="61203" xr:uid="{E91ADF89-F6A9-4F17-B0A8-B42B5955CB1F}"/>
    <cellStyle name="Normal 35" xfId="306" xr:uid="{00000000-0005-0000-0000-0000ADAE0000}"/>
    <cellStyle name="Normal 35 10" xfId="44857" xr:uid="{00000000-0005-0000-0000-0000AEAE0000}"/>
    <cellStyle name="Normal 35 11" xfId="44858" xr:uid="{00000000-0005-0000-0000-0000AFAE0000}"/>
    <cellStyle name="Normal 35 12" xfId="44859" xr:uid="{00000000-0005-0000-0000-0000B0AE0000}"/>
    <cellStyle name="Normal 35 2" xfId="44860" xr:uid="{00000000-0005-0000-0000-0000B1AE0000}"/>
    <cellStyle name="Normal 35 2 2" xfId="44861" xr:uid="{00000000-0005-0000-0000-0000B2AE0000}"/>
    <cellStyle name="Normal 35 2 2 2" xfId="44862" xr:uid="{00000000-0005-0000-0000-0000B3AE0000}"/>
    <cellStyle name="Normal 35 2 2 3" xfId="44863" xr:uid="{00000000-0005-0000-0000-0000B4AE0000}"/>
    <cellStyle name="Normal 35 2 2 4" xfId="44864" xr:uid="{00000000-0005-0000-0000-0000B5AE0000}"/>
    <cellStyle name="Normal 35 2 3" xfId="44865" xr:uid="{00000000-0005-0000-0000-0000B6AE0000}"/>
    <cellStyle name="Normal 35 2 3 2" xfId="44866" xr:uid="{00000000-0005-0000-0000-0000B7AE0000}"/>
    <cellStyle name="Normal 35 2 3 3" xfId="44867" xr:uid="{00000000-0005-0000-0000-0000B8AE0000}"/>
    <cellStyle name="Normal 35 2 4" xfId="44868" xr:uid="{00000000-0005-0000-0000-0000B9AE0000}"/>
    <cellStyle name="Normal 35 2 4 2" xfId="44869" xr:uid="{00000000-0005-0000-0000-0000BAAE0000}"/>
    <cellStyle name="Normal 35 2 4 3" xfId="44870" xr:uid="{00000000-0005-0000-0000-0000BBAE0000}"/>
    <cellStyle name="Normal 35 2 5" xfId="44871" xr:uid="{00000000-0005-0000-0000-0000BCAE0000}"/>
    <cellStyle name="Normal 35 2 5 2" xfId="44872" xr:uid="{00000000-0005-0000-0000-0000BDAE0000}"/>
    <cellStyle name="Normal 35 2 6" xfId="44873" xr:uid="{00000000-0005-0000-0000-0000BEAE0000}"/>
    <cellStyle name="Normal 35 2 7" xfId="44874" xr:uid="{00000000-0005-0000-0000-0000BFAE0000}"/>
    <cellStyle name="Normal 35 2 8" xfId="44875" xr:uid="{00000000-0005-0000-0000-0000C0AE0000}"/>
    <cellStyle name="Normal 35 2 9" xfId="44876" xr:uid="{00000000-0005-0000-0000-0000C1AE0000}"/>
    <cellStyle name="Normal 35 3" xfId="44877" xr:uid="{00000000-0005-0000-0000-0000C2AE0000}"/>
    <cellStyle name="Normal 35 3 2" xfId="44878" xr:uid="{00000000-0005-0000-0000-0000C3AE0000}"/>
    <cellStyle name="Normal 35 3 2 2" xfId="44879" xr:uid="{00000000-0005-0000-0000-0000C4AE0000}"/>
    <cellStyle name="Normal 35 3 2 3" xfId="44880" xr:uid="{00000000-0005-0000-0000-0000C5AE0000}"/>
    <cellStyle name="Normal 35 3 3" xfId="44881" xr:uid="{00000000-0005-0000-0000-0000C6AE0000}"/>
    <cellStyle name="Normal 35 3 3 2" xfId="44882" xr:uid="{00000000-0005-0000-0000-0000C7AE0000}"/>
    <cellStyle name="Normal 35 3 3 3" xfId="44883" xr:uid="{00000000-0005-0000-0000-0000C8AE0000}"/>
    <cellStyle name="Normal 35 3 4" xfId="44884" xr:uid="{00000000-0005-0000-0000-0000C9AE0000}"/>
    <cellStyle name="Normal 35 3 5" xfId="44885" xr:uid="{00000000-0005-0000-0000-0000CAAE0000}"/>
    <cellStyle name="Normal 35 3 6" xfId="44886" xr:uid="{00000000-0005-0000-0000-0000CBAE0000}"/>
    <cellStyle name="Normal 35 3 7" xfId="44887" xr:uid="{00000000-0005-0000-0000-0000CCAE0000}"/>
    <cellStyle name="Normal 35 3 8" xfId="44888" xr:uid="{00000000-0005-0000-0000-0000CDAE0000}"/>
    <cellStyle name="Normal 35 4" xfId="44889" xr:uid="{00000000-0005-0000-0000-0000CEAE0000}"/>
    <cellStyle name="Normal 35 4 2" xfId="44890" xr:uid="{00000000-0005-0000-0000-0000CFAE0000}"/>
    <cellStyle name="Normal 35 4 2 2" xfId="44891" xr:uid="{00000000-0005-0000-0000-0000D0AE0000}"/>
    <cellStyle name="Normal 35 4 3" xfId="44892" xr:uid="{00000000-0005-0000-0000-0000D1AE0000}"/>
    <cellStyle name="Normal 35 4 3 2" xfId="44893" xr:uid="{00000000-0005-0000-0000-0000D2AE0000}"/>
    <cellStyle name="Normal 35 4 4" xfId="44894" xr:uid="{00000000-0005-0000-0000-0000D3AE0000}"/>
    <cellStyle name="Normal 35 4 5" xfId="44895" xr:uid="{00000000-0005-0000-0000-0000D4AE0000}"/>
    <cellStyle name="Normal 35 4 6" xfId="44896" xr:uid="{00000000-0005-0000-0000-0000D5AE0000}"/>
    <cellStyle name="Normal 35 4 7" xfId="44897" xr:uid="{00000000-0005-0000-0000-0000D6AE0000}"/>
    <cellStyle name="Normal 35 4 8" xfId="44898" xr:uid="{00000000-0005-0000-0000-0000D7AE0000}"/>
    <cellStyle name="Normal 35 5" xfId="44899" xr:uid="{00000000-0005-0000-0000-0000D8AE0000}"/>
    <cellStyle name="Normal 35 5 2" xfId="44900" xr:uid="{00000000-0005-0000-0000-0000D9AE0000}"/>
    <cellStyle name="Normal 35 6" xfId="44901" xr:uid="{00000000-0005-0000-0000-0000DAAE0000}"/>
    <cellStyle name="Normal 35 6 2" xfId="44902" xr:uid="{00000000-0005-0000-0000-0000DBAE0000}"/>
    <cellStyle name="Normal 35 6 2 2" xfId="44903" xr:uid="{00000000-0005-0000-0000-0000DCAE0000}"/>
    <cellStyle name="Normal 35 6 3" xfId="44904" xr:uid="{00000000-0005-0000-0000-0000DDAE0000}"/>
    <cellStyle name="Normal 35 6 3 2" xfId="44905" xr:uid="{00000000-0005-0000-0000-0000DEAE0000}"/>
    <cellStyle name="Normal 35 6 4" xfId="44906" xr:uid="{00000000-0005-0000-0000-0000DFAE0000}"/>
    <cellStyle name="Normal 35 7" xfId="44907" xr:uid="{00000000-0005-0000-0000-0000E0AE0000}"/>
    <cellStyle name="Normal 35 8" xfId="44908" xr:uid="{00000000-0005-0000-0000-0000E1AE0000}"/>
    <cellStyle name="Normal 35 8 2" xfId="44909" xr:uid="{00000000-0005-0000-0000-0000E2AE0000}"/>
    <cellStyle name="Normal 35 9" xfId="44910" xr:uid="{00000000-0005-0000-0000-0000E3AE0000}"/>
    <cellStyle name="Normal 36" xfId="307" xr:uid="{00000000-0005-0000-0000-0000E4AE0000}"/>
    <cellStyle name="Normal 36 10" xfId="44911" xr:uid="{00000000-0005-0000-0000-0000E5AE0000}"/>
    <cellStyle name="Normal 36 11" xfId="44912" xr:uid="{00000000-0005-0000-0000-0000E6AE0000}"/>
    <cellStyle name="Normal 36 12" xfId="44913" xr:uid="{00000000-0005-0000-0000-0000E7AE0000}"/>
    <cellStyle name="Normal 36 2" xfId="44914" xr:uid="{00000000-0005-0000-0000-0000E8AE0000}"/>
    <cellStyle name="Normal 36 2 2" xfId="44915" xr:uid="{00000000-0005-0000-0000-0000E9AE0000}"/>
    <cellStyle name="Normal 36 2 2 2" xfId="44916" xr:uid="{00000000-0005-0000-0000-0000EAAE0000}"/>
    <cellStyle name="Normal 36 2 2 3" xfId="44917" xr:uid="{00000000-0005-0000-0000-0000EBAE0000}"/>
    <cellStyle name="Normal 36 2 2 4" xfId="44918" xr:uid="{00000000-0005-0000-0000-0000ECAE0000}"/>
    <cellStyle name="Normal 36 2 2 5" xfId="44919" xr:uid="{00000000-0005-0000-0000-0000EDAE0000}"/>
    <cellStyle name="Normal 36 2 3" xfId="44920" xr:uid="{00000000-0005-0000-0000-0000EEAE0000}"/>
    <cellStyle name="Normal 36 2 3 2" xfId="44921" xr:uid="{00000000-0005-0000-0000-0000EFAE0000}"/>
    <cellStyle name="Normal 36 2 3 3" xfId="44922" xr:uid="{00000000-0005-0000-0000-0000F0AE0000}"/>
    <cellStyle name="Normal 36 2 4" xfId="44923" xr:uid="{00000000-0005-0000-0000-0000F1AE0000}"/>
    <cellStyle name="Normal 36 2 4 2" xfId="44924" xr:uid="{00000000-0005-0000-0000-0000F2AE0000}"/>
    <cellStyle name="Normal 36 2 4 3" xfId="44925" xr:uid="{00000000-0005-0000-0000-0000F3AE0000}"/>
    <cellStyle name="Normal 36 2 5" xfId="44926" xr:uid="{00000000-0005-0000-0000-0000F4AE0000}"/>
    <cellStyle name="Normal 36 2 5 2" xfId="44927" xr:uid="{00000000-0005-0000-0000-0000F5AE0000}"/>
    <cellStyle name="Normal 36 2 6" xfId="44928" xr:uid="{00000000-0005-0000-0000-0000F6AE0000}"/>
    <cellStyle name="Normal 36 2 7" xfId="44929" xr:uid="{00000000-0005-0000-0000-0000F7AE0000}"/>
    <cellStyle name="Normal 36 2 8" xfId="44930" xr:uid="{00000000-0005-0000-0000-0000F8AE0000}"/>
    <cellStyle name="Normal 36 2 9" xfId="44931" xr:uid="{00000000-0005-0000-0000-0000F9AE0000}"/>
    <cellStyle name="Normal 36 3" xfId="44932" xr:uid="{00000000-0005-0000-0000-0000FAAE0000}"/>
    <cellStyle name="Normal 36 3 2" xfId="44933" xr:uid="{00000000-0005-0000-0000-0000FBAE0000}"/>
    <cellStyle name="Normal 36 3 2 2" xfId="44934" xr:uid="{00000000-0005-0000-0000-0000FCAE0000}"/>
    <cellStyle name="Normal 36 3 2 3" xfId="44935" xr:uid="{00000000-0005-0000-0000-0000FDAE0000}"/>
    <cellStyle name="Normal 36 3 3" xfId="44936" xr:uid="{00000000-0005-0000-0000-0000FEAE0000}"/>
    <cellStyle name="Normal 36 3 3 2" xfId="44937" xr:uid="{00000000-0005-0000-0000-0000FFAE0000}"/>
    <cellStyle name="Normal 36 3 3 3" xfId="44938" xr:uid="{00000000-0005-0000-0000-000000AF0000}"/>
    <cellStyle name="Normal 36 3 4" xfId="44939" xr:uid="{00000000-0005-0000-0000-000001AF0000}"/>
    <cellStyle name="Normal 36 3 5" xfId="44940" xr:uid="{00000000-0005-0000-0000-000002AF0000}"/>
    <cellStyle name="Normal 36 3 6" xfId="44941" xr:uid="{00000000-0005-0000-0000-000003AF0000}"/>
    <cellStyle name="Normal 36 3 7" xfId="44942" xr:uid="{00000000-0005-0000-0000-000004AF0000}"/>
    <cellStyle name="Normal 36 3 8" xfId="44943" xr:uid="{00000000-0005-0000-0000-000005AF0000}"/>
    <cellStyle name="Normal 36 4" xfId="44944" xr:uid="{00000000-0005-0000-0000-000006AF0000}"/>
    <cellStyle name="Normal 36 4 2" xfId="44945" xr:uid="{00000000-0005-0000-0000-000007AF0000}"/>
    <cellStyle name="Normal 36 4 2 2" xfId="44946" xr:uid="{00000000-0005-0000-0000-000008AF0000}"/>
    <cellStyle name="Normal 36 4 3" xfId="44947" xr:uid="{00000000-0005-0000-0000-000009AF0000}"/>
    <cellStyle name="Normal 36 4 3 2" xfId="44948" xr:uid="{00000000-0005-0000-0000-00000AAF0000}"/>
    <cellStyle name="Normal 36 4 4" xfId="44949" xr:uid="{00000000-0005-0000-0000-00000BAF0000}"/>
    <cellStyle name="Normal 36 4 5" xfId="44950" xr:uid="{00000000-0005-0000-0000-00000CAF0000}"/>
    <cellStyle name="Normal 36 4 6" xfId="44951" xr:uid="{00000000-0005-0000-0000-00000DAF0000}"/>
    <cellStyle name="Normal 36 4 7" xfId="44952" xr:uid="{00000000-0005-0000-0000-00000EAF0000}"/>
    <cellStyle name="Normal 36 4 8" xfId="44953" xr:uid="{00000000-0005-0000-0000-00000FAF0000}"/>
    <cellStyle name="Normal 36 5" xfId="44954" xr:uid="{00000000-0005-0000-0000-000010AF0000}"/>
    <cellStyle name="Normal 36 5 2" xfId="44955" xr:uid="{00000000-0005-0000-0000-000011AF0000}"/>
    <cellStyle name="Normal 36 6" xfId="44956" xr:uid="{00000000-0005-0000-0000-000012AF0000}"/>
    <cellStyle name="Normal 36 6 2" xfId="44957" xr:uid="{00000000-0005-0000-0000-000013AF0000}"/>
    <cellStyle name="Normal 36 6 2 2" xfId="44958" xr:uid="{00000000-0005-0000-0000-000014AF0000}"/>
    <cellStyle name="Normal 36 6 3" xfId="44959" xr:uid="{00000000-0005-0000-0000-000015AF0000}"/>
    <cellStyle name="Normal 36 6 3 2" xfId="44960" xr:uid="{00000000-0005-0000-0000-000016AF0000}"/>
    <cellStyle name="Normal 36 6 4" xfId="44961" xr:uid="{00000000-0005-0000-0000-000017AF0000}"/>
    <cellStyle name="Normal 36 6 5" xfId="44962" xr:uid="{00000000-0005-0000-0000-000018AF0000}"/>
    <cellStyle name="Normal 36 7" xfId="44963" xr:uid="{00000000-0005-0000-0000-000019AF0000}"/>
    <cellStyle name="Normal 36 8" xfId="44964" xr:uid="{00000000-0005-0000-0000-00001AAF0000}"/>
    <cellStyle name="Normal 36 8 2" xfId="44965" xr:uid="{00000000-0005-0000-0000-00001BAF0000}"/>
    <cellStyle name="Normal 36 9" xfId="44966" xr:uid="{00000000-0005-0000-0000-00001CAF0000}"/>
    <cellStyle name="Normal 37" xfId="308" xr:uid="{00000000-0005-0000-0000-00001DAF0000}"/>
    <cellStyle name="Normal 37 10" xfId="44967" xr:uid="{00000000-0005-0000-0000-00001EAF0000}"/>
    <cellStyle name="Normal 37 11" xfId="44968" xr:uid="{00000000-0005-0000-0000-00001FAF0000}"/>
    <cellStyle name="Normal 37 12" xfId="44969" xr:uid="{00000000-0005-0000-0000-000020AF0000}"/>
    <cellStyle name="Normal 37 2" xfId="44970" xr:uid="{00000000-0005-0000-0000-000021AF0000}"/>
    <cellStyle name="Normal 37 2 2" xfId="44971" xr:uid="{00000000-0005-0000-0000-000022AF0000}"/>
    <cellStyle name="Normal 37 2 2 2" xfId="44972" xr:uid="{00000000-0005-0000-0000-000023AF0000}"/>
    <cellStyle name="Normal 37 2 2 3" xfId="44973" xr:uid="{00000000-0005-0000-0000-000024AF0000}"/>
    <cellStyle name="Normal 37 2 3" xfId="44974" xr:uid="{00000000-0005-0000-0000-000025AF0000}"/>
    <cellStyle name="Normal 37 2 3 2" xfId="44975" xr:uid="{00000000-0005-0000-0000-000026AF0000}"/>
    <cellStyle name="Normal 37 2 3 3" xfId="44976" xr:uid="{00000000-0005-0000-0000-000027AF0000}"/>
    <cellStyle name="Normal 37 2 4" xfId="44977" xr:uid="{00000000-0005-0000-0000-000028AF0000}"/>
    <cellStyle name="Normal 37 2 4 2" xfId="44978" xr:uid="{00000000-0005-0000-0000-000029AF0000}"/>
    <cellStyle name="Normal 37 2 4 3" xfId="44979" xr:uid="{00000000-0005-0000-0000-00002AAF0000}"/>
    <cellStyle name="Normal 37 2 5" xfId="44980" xr:uid="{00000000-0005-0000-0000-00002BAF0000}"/>
    <cellStyle name="Normal 37 2 5 2" xfId="44981" xr:uid="{00000000-0005-0000-0000-00002CAF0000}"/>
    <cellStyle name="Normal 37 2 6" xfId="44982" xr:uid="{00000000-0005-0000-0000-00002DAF0000}"/>
    <cellStyle name="Normal 37 2 7" xfId="44983" xr:uid="{00000000-0005-0000-0000-00002EAF0000}"/>
    <cellStyle name="Normal 37 2 8" xfId="44984" xr:uid="{00000000-0005-0000-0000-00002FAF0000}"/>
    <cellStyle name="Normal 37 2 9" xfId="44985" xr:uid="{00000000-0005-0000-0000-000030AF0000}"/>
    <cellStyle name="Normal 37 3" xfId="44986" xr:uid="{00000000-0005-0000-0000-000031AF0000}"/>
    <cellStyle name="Normal 37 3 2" xfId="44987" xr:uid="{00000000-0005-0000-0000-000032AF0000}"/>
    <cellStyle name="Normal 37 3 2 2" xfId="44988" xr:uid="{00000000-0005-0000-0000-000033AF0000}"/>
    <cellStyle name="Normal 37 3 2 3" xfId="44989" xr:uid="{00000000-0005-0000-0000-000034AF0000}"/>
    <cellStyle name="Normal 37 3 3" xfId="44990" xr:uid="{00000000-0005-0000-0000-000035AF0000}"/>
    <cellStyle name="Normal 37 3 3 2" xfId="44991" xr:uid="{00000000-0005-0000-0000-000036AF0000}"/>
    <cellStyle name="Normal 37 3 3 3" xfId="44992" xr:uid="{00000000-0005-0000-0000-000037AF0000}"/>
    <cellStyle name="Normal 37 3 4" xfId="44993" xr:uid="{00000000-0005-0000-0000-000038AF0000}"/>
    <cellStyle name="Normal 37 3 4 2" xfId="44994" xr:uid="{00000000-0005-0000-0000-000039AF0000}"/>
    <cellStyle name="Normal 37 3 5" xfId="44995" xr:uid="{00000000-0005-0000-0000-00003AAF0000}"/>
    <cellStyle name="Normal 37 3 6" xfId="44996" xr:uid="{00000000-0005-0000-0000-00003BAF0000}"/>
    <cellStyle name="Normal 37 3 7" xfId="44997" xr:uid="{00000000-0005-0000-0000-00003CAF0000}"/>
    <cellStyle name="Normal 37 3 8" xfId="44998" xr:uid="{00000000-0005-0000-0000-00003DAF0000}"/>
    <cellStyle name="Normal 37 4" xfId="44999" xr:uid="{00000000-0005-0000-0000-00003EAF0000}"/>
    <cellStyle name="Normal 37 4 2" xfId="45000" xr:uid="{00000000-0005-0000-0000-00003FAF0000}"/>
    <cellStyle name="Normal 37 4 2 2" xfId="45001" xr:uid="{00000000-0005-0000-0000-000040AF0000}"/>
    <cellStyle name="Normal 37 4 3" xfId="45002" xr:uid="{00000000-0005-0000-0000-000041AF0000}"/>
    <cellStyle name="Normal 37 4 3 2" xfId="45003" xr:uid="{00000000-0005-0000-0000-000042AF0000}"/>
    <cellStyle name="Normal 37 4 4" xfId="45004" xr:uid="{00000000-0005-0000-0000-000043AF0000}"/>
    <cellStyle name="Normal 37 4 5" xfId="45005" xr:uid="{00000000-0005-0000-0000-000044AF0000}"/>
    <cellStyle name="Normal 37 4 6" xfId="45006" xr:uid="{00000000-0005-0000-0000-000045AF0000}"/>
    <cellStyle name="Normal 37 4 7" xfId="45007" xr:uid="{00000000-0005-0000-0000-000046AF0000}"/>
    <cellStyle name="Normal 37 4 8" xfId="45008" xr:uid="{00000000-0005-0000-0000-000047AF0000}"/>
    <cellStyle name="Normal 37 5" xfId="45009" xr:uid="{00000000-0005-0000-0000-000048AF0000}"/>
    <cellStyle name="Normal 37 5 2" xfId="45010" xr:uid="{00000000-0005-0000-0000-000049AF0000}"/>
    <cellStyle name="Normal 37 6" xfId="45011" xr:uid="{00000000-0005-0000-0000-00004AAF0000}"/>
    <cellStyle name="Normal 37 6 2" xfId="45012" xr:uid="{00000000-0005-0000-0000-00004BAF0000}"/>
    <cellStyle name="Normal 37 6 2 2" xfId="45013" xr:uid="{00000000-0005-0000-0000-00004CAF0000}"/>
    <cellStyle name="Normal 37 6 3" xfId="45014" xr:uid="{00000000-0005-0000-0000-00004DAF0000}"/>
    <cellStyle name="Normal 37 6 3 2" xfId="45015" xr:uid="{00000000-0005-0000-0000-00004EAF0000}"/>
    <cellStyle name="Normal 37 6 4" xfId="45016" xr:uid="{00000000-0005-0000-0000-00004FAF0000}"/>
    <cellStyle name="Normal 37 6 5" xfId="45017" xr:uid="{00000000-0005-0000-0000-000050AF0000}"/>
    <cellStyle name="Normal 37 7" xfId="45018" xr:uid="{00000000-0005-0000-0000-000051AF0000}"/>
    <cellStyle name="Normal 37 8" xfId="45019" xr:uid="{00000000-0005-0000-0000-000052AF0000}"/>
    <cellStyle name="Normal 37 8 2" xfId="45020" xr:uid="{00000000-0005-0000-0000-000053AF0000}"/>
    <cellStyle name="Normal 37 9" xfId="45021" xr:uid="{00000000-0005-0000-0000-000054AF0000}"/>
    <cellStyle name="Normal 38" xfId="309" xr:uid="{00000000-0005-0000-0000-000055AF0000}"/>
    <cellStyle name="Normal 38 10" xfId="45022" xr:uid="{00000000-0005-0000-0000-000056AF0000}"/>
    <cellStyle name="Normal 38 11" xfId="45023" xr:uid="{00000000-0005-0000-0000-000057AF0000}"/>
    <cellStyle name="Normal 38 12" xfId="45024" xr:uid="{00000000-0005-0000-0000-000058AF0000}"/>
    <cellStyle name="Normal 38 2" xfId="45025" xr:uid="{00000000-0005-0000-0000-000059AF0000}"/>
    <cellStyle name="Normal 38 2 2" xfId="45026" xr:uid="{00000000-0005-0000-0000-00005AAF0000}"/>
    <cellStyle name="Normal 38 2 2 2" xfId="45027" xr:uid="{00000000-0005-0000-0000-00005BAF0000}"/>
    <cellStyle name="Normal 38 2 2 3" xfId="45028" xr:uid="{00000000-0005-0000-0000-00005CAF0000}"/>
    <cellStyle name="Normal 38 2 3" xfId="45029" xr:uid="{00000000-0005-0000-0000-00005DAF0000}"/>
    <cellStyle name="Normal 38 2 3 2" xfId="45030" xr:uid="{00000000-0005-0000-0000-00005EAF0000}"/>
    <cellStyle name="Normal 38 2 3 3" xfId="45031" xr:uid="{00000000-0005-0000-0000-00005FAF0000}"/>
    <cellStyle name="Normal 38 2 4" xfId="45032" xr:uid="{00000000-0005-0000-0000-000060AF0000}"/>
    <cellStyle name="Normal 38 2 4 2" xfId="45033" xr:uid="{00000000-0005-0000-0000-000061AF0000}"/>
    <cellStyle name="Normal 38 2 4 3" xfId="45034" xr:uid="{00000000-0005-0000-0000-000062AF0000}"/>
    <cellStyle name="Normal 38 2 5" xfId="45035" xr:uid="{00000000-0005-0000-0000-000063AF0000}"/>
    <cellStyle name="Normal 38 2 5 2" xfId="45036" xr:uid="{00000000-0005-0000-0000-000064AF0000}"/>
    <cellStyle name="Normal 38 2 6" xfId="45037" xr:uid="{00000000-0005-0000-0000-000065AF0000}"/>
    <cellStyle name="Normal 38 2 7" xfId="45038" xr:uid="{00000000-0005-0000-0000-000066AF0000}"/>
    <cellStyle name="Normal 38 2 8" xfId="45039" xr:uid="{00000000-0005-0000-0000-000067AF0000}"/>
    <cellStyle name="Normal 38 2 9" xfId="45040" xr:uid="{00000000-0005-0000-0000-000068AF0000}"/>
    <cellStyle name="Normal 38 3" xfId="45041" xr:uid="{00000000-0005-0000-0000-000069AF0000}"/>
    <cellStyle name="Normal 38 3 2" xfId="45042" xr:uid="{00000000-0005-0000-0000-00006AAF0000}"/>
    <cellStyle name="Normal 38 3 2 2" xfId="45043" xr:uid="{00000000-0005-0000-0000-00006BAF0000}"/>
    <cellStyle name="Normal 38 3 2 3" xfId="45044" xr:uid="{00000000-0005-0000-0000-00006CAF0000}"/>
    <cellStyle name="Normal 38 3 3" xfId="45045" xr:uid="{00000000-0005-0000-0000-00006DAF0000}"/>
    <cellStyle name="Normal 38 3 3 2" xfId="45046" xr:uid="{00000000-0005-0000-0000-00006EAF0000}"/>
    <cellStyle name="Normal 38 3 3 3" xfId="45047" xr:uid="{00000000-0005-0000-0000-00006FAF0000}"/>
    <cellStyle name="Normal 38 3 4" xfId="45048" xr:uid="{00000000-0005-0000-0000-000070AF0000}"/>
    <cellStyle name="Normal 38 3 5" xfId="45049" xr:uid="{00000000-0005-0000-0000-000071AF0000}"/>
    <cellStyle name="Normal 38 3 6" xfId="45050" xr:uid="{00000000-0005-0000-0000-000072AF0000}"/>
    <cellStyle name="Normal 38 3 7" xfId="45051" xr:uid="{00000000-0005-0000-0000-000073AF0000}"/>
    <cellStyle name="Normal 38 3 8" xfId="45052" xr:uid="{00000000-0005-0000-0000-000074AF0000}"/>
    <cellStyle name="Normal 38 4" xfId="45053" xr:uid="{00000000-0005-0000-0000-000075AF0000}"/>
    <cellStyle name="Normal 38 4 2" xfId="45054" xr:uid="{00000000-0005-0000-0000-000076AF0000}"/>
    <cellStyle name="Normal 38 4 2 2" xfId="45055" xr:uid="{00000000-0005-0000-0000-000077AF0000}"/>
    <cellStyle name="Normal 38 4 3" xfId="45056" xr:uid="{00000000-0005-0000-0000-000078AF0000}"/>
    <cellStyle name="Normal 38 4 3 2" xfId="45057" xr:uid="{00000000-0005-0000-0000-000079AF0000}"/>
    <cellStyle name="Normal 38 4 4" xfId="45058" xr:uid="{00000000-0005-0000-0000-00007AAF0000}"/>
    <cellStyle name="Normal 38 4 5" xfId="45059" xr:uid="{00000000-0005-0000-0000-00007BAF0000}"/>
    <cellStyle name="Normal 38 4 6" xfId="45060" xr:uid="{00000000-0005-0000-0000-00007CAF0000}"/>
    <cellStyle name="Normal 38 4 7" xfId="45061" xr:uid="{00000000-0005-0000-0000-00007DAF0000}"/>
    <cellStyle name="Normal 38 4 8" xfId="45062" xr:uid="{00000000-0005-0000-0000-00007EAF0000}"/>
    <cellStyle name="Normal 38 5" xfId="45063" xr:uid="{00000000-0005-0000-0000-00007FAF0000}"/>
    <cellStyle name="Normal 38 5 2" xfId="45064" xr:uid="{00000000-0005-0000-0000-000080AF0000}"/>
    <cellStyle name="Normal 38 6" xfId="45065" xr:uid="{00000000-0005-0000-0000-000081AF0000}"/>
    <cellStyle name="Normal 38 6 2" xfId="45066" xr:uid="{00000000-0005-0000-0000-000082AF0000}"/>
    <cellStyle name="Normal 38 6 3" xfId="45067" xr:uid="{00000000-0005-0000-0000-000083AF0000}"/>
    <cellStyle name="Normal 38 7" xfId="45068" xr:uid="{00000000-0005-0000-0000-000084AF0000}"/>
    <cellStyle name="Normal 38 7 2" xfId="45069" xr:uid="{00000000-0005-0000-0000-000085AF0000}"/>
    <cellStyle name="Normal 38 8" xfId="45070" xr:uid="{00000000-0005-0000-0000-000086AF0000}"/>
    <cellStyle name="Normal 38 8 2" xfId="45071" xr:uid="{00000000-0005-0000-0000-000087AF0000}"/>
    <cellStyle name="Normal 38 9" xfId="45072" xr:uid="{00000000-0005-0000-0000-000088AF0000}"/>
    <cellStyle name="Normal 39" xfId="310" xr:uid="{00000000-0005-0000-0000-000089AF0000}"/>
    <cellStyle name="Normal 39 10" xfId="45073" xr:uid="{00000000-0005-0000-0000-00008AAF0000}"/>
    <cellStyle name="Normal 39 11" xfId="45074" xr:uid="{00000000-0005-0000-0000-00008BAF0000}"/>
    <cellStyle name="Normal 39 12" xfId="45075" xr:uid="{00000000-0005-0000-0000-00008CAF0000}"/>
    <cellStyle name="Normal 39 2" xfId="45076" xr:uid="{00000000-0005-0000-0000-00008DAF0000}"/>
    <cellStyle name="Normal 39 2 2" xfId="45077" xr:uid="{00000000-0005-0000-0000-00008EAF0000}"/>
    <cellStyle name="Normal 39 2 2 2" xfId="45078" xr:uid="{00000000-0005-0000-0000-00008FAF0000}"/>
    <cellStyle name="Normal 39 2 2 3" xfId="45079" xr:uid="{00000000-0005-0000-0000-000090AF0000}"/>
    <cellStyle name="Normal 39 2 3" xfId="45080" xr:uid="{00000000-0005-0000-0000-000091AF0000}"/>
    <cellStyle name="Normal 39 2 3 2" xfId="45081" xr:uid="{00000000-0005-0000-0000-000092AF0000}"/>
    <cellStyle name="Normal 39 2 3 3" xfId="45082" xr:uid="{00000000-0005-0000-0000-000093AF0000}"/>
    <cellStyle name="Normal 39 2 4" xfId="45083" xr:uid="{00000000-0005-0000-0000-000094AF0000}"/>
    <cellStyle name="Normal 39 2 4 2" xfId="45084" xr:uid="{00000000-0005-0000-0000-000095AF0000}"/>
    <cellStyle name="Normal 39 2 4 3" xfId="45085" xr:uid="{00000000-0005-0000-0000-000096AF0000}"/>
    <cellStyle name="Normal 39 2 5" xfId="45086" xr:uid="{00000000-0005-0000-0000-000097AF0000}"/>
    <cellStyle name="Normal 39 2 5 2" xfId="45087" xr:uid="{00000000-0005-0000-0000-000098AF0000}"/>
    <cellStyle name="Normal 39 2 6" xfId="45088" xr:uid="{00000000-0005-0000-0000-000099AF0000}"/>
    <cellStyle name="Normal 39 2 7" xfId="45089" xr:uid="{00000000-0005-0000-0000-00009AAF0000}"/>
    <cellStyle name="Normal 39 2 8" xfId="45090" xr:uid="{00000000-0005-0000-0000-00009BAF0000}"/>
    <cellStyle name="Normal 39 2 9" xfId="45091" xr:uid="{00000000-0005-0000-0000-00009CAF0000}"/>
    <cellStyle name="Normal 39 3" xfId="45092" xr:uid="{00000000-0005-0000-0000-00009DAF0000}"/>
    <cellStyle name="Normal 39 3 2" xfId="45093" xr:uid="{00000000-0005-0000-0000-00009EAF0000}"/>
    <cellStyle name="Normal 39 3 2 2" xfId="45094" xr:uid="{00000000-0005-0000-0000-00009FAF0000}"/>
    <cellStyle name="Normal 39 3 2 3" xfId="45095" xr:uid="{00000000-0005-0000-0000-0000A0AF0000}"/>
    <cellStyle name="Normal 39 3 3" xfId="45096" xr:uid="{00000000-0005-0000-0000-0000A1AF0000}"/>
    <cellStyle name="Normal 39 3 3 2" xfId="45097" xr:uid="{00000000-0005-0000-0000-0000A2AF0000}"/>
    <cellStyle name="Normal 39 3 3 3" xfId="45098" xr:uid="{00000000-0005-0000-0000-0000A3AF0000}"/>
    <cellStyle name="Normal 39 3 4" xfId="45099" xr:uid="{00000000-0005-0000-0000-0000A4AF0000}"/>
    <cellStyle name="Normal 39 3 5" xfId="45100" xr:uid="{00000000-0005-0000-0000-0000A5AF0000}"/>
    <cellStyle name="Normal 39 3 6" xfId="45101" xr:uid="{00000000-0005-0000-0000-0000A6AF0000}"/>
    <cellStyle name="Normal 39 3 7" xfId="45102" xr:uid="{00000000-0005-0000-0000-0000A7AF0000}"/>
    <cellStyle name="Normal 39 3 8" xfId="45103" xr:uid="{00000000-0005-0000-0000-0000A8AF0000}"/>
    <cellStyle name="Normal 39 4" xfId="45104" xr:uid="{00000000-0005-0000-0000-0000A9AF0000}"/>
    <cellStyle name="Normal 39 4 2" xfId="45105" xr:uid="{00000000-0005-0000-0000-0000AAAF0000}"/>
    <cellStyle name="Normal 39 4 2 2" xfId="45106" xr:uid="{00000000-0005-0000-0000-0000ABAF0000}"/>
    <cellStyle name="Normal 39 4 3" xfId="45107" xr:uid="{00000000-0005-0000-0000-0000ACAF0000}"/>
    <cellStyle name="Normal 39 4 3 2" xfId="45108" xr:uid="{00000000-0005-0000-0000-0000ADAF0000}"/>
    <cellStyle name="Normal 39 4 4" xfId="45109" xr:uid="{00000000-0005-0000-0000-0000AEAF0000}"/>
    <cellStyle name="Normal 39 4 5" xfId="45110" xr:uid="{00000000-0005-0000-0000-0000AFAF0000}"/>
    <cellStyle name="Normal 39 4 6" xfId="45111" xr:uid="{00000000-0005-0000-0000-0000B0AF0000}"/>
    <cellStyle name="Normal 39 4 7" xfId="45112" xr:uid="{00000000-0005-0000-0000-0000B1AF0000}"/>
    <cellStyle name="Normal 39 4 8" xfId="45113" xr:uid="{00000000-0005-0000-0000-0000B2AF0000}"/>
    <cellStyle name="Normal 39 5" xfId="45114" xr:uid="{00000000-0005-0000-0000-0000B3AF0000}"/>
    <cellStyle name="Normal 39 5 2" xfId="45115" xr:uid="{00000000-0005-0000-0000-0000B4AF0000}"/>
    <cellStyle name="Normal 39 6" xfId="45116" xr:uid="{00000000-0005-0000-0000-0000B5AF0000}"/>
    <cellStyle name="Normal 39 6 2" xfId="45117" xr:uid="{00000000-0005-0000-0000-0000B6AF0000}"/>
    <cellStyle name="Normal 39 6 2 2" xfId="45118" xr:uid="{00000000-0005-0000-0000-0000B7AF0000}"/>
    <cellStyle name="Normal 39 6 3" xfId="45119" xr:uid="{00000000-0005-0000-0000-0000B8AF0000}"/>
    <cellStyle name="Normal 39 6 3 2" xfId="45120" xr:uid="{00000000-0005-0000-0000-0000B9AF0000}"/>
    <cellStyle name="Normal 39 6 4" xfId="45121" xr:uid="{00000000-0005-0000-0000-0000BAAF0000}"/>
    <cellStyle name="Normal 39 6 5" xfId="45122" xr:uid="{00000000-0005-0000-0000-0000BBAF0000}"/>
    <cellStyle name="Normal 39 7" xfId="45123" xr:uid="{00000000-0005-0000-0000-0000BCAF0000}"/>
    <cellStyle name="Normal 39 8" xfId="45124" xr:uid="{00000000-0005-0000-0000-0000BDAF0000}"/>
    <cellStyle name="Normal 39 8 2" xfId="45125" xr:uid="{00000000-0005-0000-0000-0000BEAF0000}"/>
    <cellStyle name="Normal 39 9" xfId="45126" xr:uid="{00000000-0005-0000-0000-0000BFAF0000}"/>
    <cellStyle name="Normal 39_2015 Annual Rpt" xfId="45127" xr:uid="{00000000-0005-0000-0000-0000C0AF0000}"/>
    <cellStyle name="Normal 4" xfId="311" xr:uid="{00000000-0005-0000-0000-0000C1AF0000}"/>
    <cellStyle name="Normal 4 10" xfId="45128" xr:uid="{00000000-0005-0000-0000-0000C2AF0000}"/>
    <cellStyle name="Normal 4 10 10" xfId="45129" xr:uid="{00000000-0005-0000-0000-0000C3AF0000}"/>
    <cellStyle name="Normal 4 10 11" xfId="45130" xr:uid="{00000000-0005-0000-0000-0000C4AF0000}"/>
    <cellStyle name="Normal 4 10 12" xfId="45131" xr:uid="{00000000-0005-0000-0000-0000C5AF0000}"/>
    <cellStyle name="Normal 4 10 2" xfId="45132" xr:uid="{00000000-0005-0000-0000-0000C6AF0000}"/>
    <cellStyle name="Normal 4 10 2 2" xfId="45133" xr:uid="{00000000-0005-0000-0000-0000C7AF0000}"/>
    <cellStyle name="Normal 4 10 2 2 2" xfId="45134" xr:uid="{00000000-0005-0000-0000-0000C8AF0000}"/>
    <cellStyle name="Normal 4 10 2 2 3" xfId="45135" xr:uid="{00000000-0005-0000-0000-0000C9AF0000}"/>
    <cellStyle name="Normal 4 10 2 3" xfId="45136" xr:uid="{00000000-0005-0000-0000-0000CAAF0000}"/>
    <cellStyle name="Normal 4 10 2 3 2" xfId="45137" xr:uid="{00000000-0005-0000-0000-0000CBAF0000}"/>
    <cellStyle name="Normal 4 10 2 3 3" xfId="45138" xr:uid="{00000000-0005-0000-0000-0000CCAF0000}"/>
    <cellStyle name="Normal 4 10 2 4" xfId="45139" xr:uid="{00000000-0005-0000-0000-0000CDAF0000}"/>
    <cellStyle name="Normal 4 10 2 5" xfId="45140" xr:uid="{00000000-0005-0000-0000-0000CEAF0000}"/>
    <cellStyle name="Normal 4 10 2 6" xfId="45141" xr:uid="{00000000-0005-0000-0000-0000CFAF0000}"/>
    <cellStyle name="Normal 4 10 2 7" xfId="45142" xr:uid="{00000000-0005-0000-0000-0000D0AF0000}"/>
    <cellStyle name="Normal 4 10 2 8" xfId="45143" xr:uid="{00000000-0005-0000-0000-0000D1AF0000}"/>
    <cellStyle name="Normal 4 10 3" xfId="45144" xr:uid="{00000000-0005-0000-0000-0000D2AF0000}"/>
    <cellStyle name="Normal 4 10 3 2" xfId="45145" xr:uid="{00000000-0005-0000-0000-0000D3AF0000}"/>
    <cellStyle name="Normal 4 10 3 3" xfId="45146" xr:uid="{00000000-0005-0000-0000-0000D4AF0000}"/>
    <cellStyle name="Normal 4 10 4" xfId="45147" xr:uid="{00000000-0005-0000-0000-0000D5AF0000}"/>
    <cellStyle name="Normal 4 10 4 2" xfId="45148" xr:uid="{00000000-0005-0000-0000-0000D6AF0000}"/>
    <cellStyle name="Normal 4 10 4 3" xfId="45149" xr:uid="{00000000-0005-0000-0000-0000D7AF0000}"/>
    <cellStyle name="Normal 4 10 5" xfId="45150" xr:uid="{00000000-0005-0000-0000-0000D8AF0000}"/>
    <cellStyle name="Normal 4 10 5 2" xfId="45151" xr:uid="{00000000-0005-0000-0000-0000D9AF0000}"/>
    <cellStyle name="Normal 4 10 5 3" xfId="45152" xr:uid="{00000000-0005-0000-0000-0000DAAF0000}"/>
    <cellStyle name="Normal 4 10 6" xfId="45153" xr:uid="{00000000-0005-0000-0000-0000DBAF0000}"/>
    <cellStyle name="Normal 4 10 6 2" xfId="45154" xr:uid="{00000000-0005-0000-0000-0000DCAF0000}"/>
    <cellStyle name="Normal 4 10 6 3" xfId="45155" xr:uid="{00000000-0005-0000-0000-0000DDAF0000}"/>
    <cellStyle name="Normal 4 10 7" xfId="45156" xr:uid="{00000000-0005-0000-0000-0000DEAF0000}"/>
    <cellStyle name="Normal 4 10 7 2" xfId="45157" xr:uid="{00000000-0005-0000-0000-0000DFAF0000}"/>
    <cellStyle name="Normal 4 10 7 3" xfId="45158" xr:uid="{00000000-0005-0000-0000-0000E0AF0000}"/>
    <cellStyle name="Normal 4 10 8" xfId="45159" xr:uid="{00000000-0005-0000-0000-0000E1AF0000}"/>
    <cellStyle name="Normal 4 10 9" xfId="45160" xr:uid="{00000000-0005-0000-0000-0000E2AF0000}"/>
    <cellStyle name="Normal 4 11" xfId="45161" xr:uid="{00000000-0005-0000-0000-0000E3AF0000}"/>
    <cellStyle name="Normal 4 11 2" xfId="45162" xr:uid="{00000000-0005-0000-0000-0000E4AF0000}"/>
    <cellStyle name="Normal 4 11 2 2" xfId="45163" xr:uid="{00000000-0005-0000-0000-0000E5AF0000}"/>
    <cellStyle name="Normal 4 11 2 2 2" xfId="45164" xr:uid="{00000000-0005-0000-0000-0000E6AF0000}"/>
    <cellStyle name="Normal 4 11 2 2 3" xfId="45165" xr:uid="{00000000-0005-0000-0000-0000E7AF0000}"/>
    <cellStyle name="Normal 4 11 2 3" xfId="45166" xr:uid="{00000000-0005-0000-0000-0000E8AF0000}"/>
    <cellStyle name="Normal 4 11 2 4" xfId="45167" xr:uid="{00000000-0005-0000-0000-0000E9AF0000}"/>
    <cellStyle name="Normal 4 11 2 5" xfId="45168" xr:uid="{00000000-0005-0000-0000-0000EAAF0000}"/>
    <cellStyle name="Normal 4 11 2 6" xfId="45169" xr:uid="{00000000-0005-0000-0000-0000EBAF0000}"/>
    <cellStyle name="Normal 4 11 2 7" xfId="45170" xr:uid="{00000000-0005-0000-0000-0000ECAF0000}"/>
    <cellStyle name="Normal 4 11 3" xfId="45171" xr:uid="{00000000-0005-0000-0000-0000EDAF0000}"/>
    <cellStyle name="Normal 4 11 3 2" xfId="45172" xr:uid="{00000000-0005-0000-0000-0000EEAF0000}"/>
    <cellStyle name="Normal 4 11 3 3" xfId="45173" xr:uid="{00000000-0005-0000-0000-0000EFAF0000}"/>
    <cellStyle name="Normal 4 11 4" xfId="45174" xr:uid="{00000000-0005-0000-0000-0000F0AF0000}"/>
    <cellStyle name="Normal 4 11 4 2" xfId="45175" xr:uid="{00000000-0005-0000-0000-0000F1AF0000}"/>
    <cellStyle name="Normal 4 11 4 3" xfId="45176" xr:uid="{00000000-0005-0000-0000-0000F2AF0000}"/>
    <cellStyle name="Normal 4 11 5" xfId="45177" xr:uid="{00000000-0005-0000-0000-0000F3AF0000}"/>
    <cellStyle name="Normal 4 11 6" xfId="45178" xr:uid="{00000000-0005-0000-0000-0000F4AF0000}"/>
    <cellStyle name="Normal 4 11 7" xfId="45179" xr:uid="{00000000-0005-0000-0000-0000F5AF0000}"/>
    <cellStyle name="Normal 4 12" xfId="45180" xr:uid="{00000000-0005-0000-0000-0000F6AF0000}"/>
    <cellStyle name="Normal 4 12 2" xfId="45181" xr:uid="{00000000-0005-0000-0000-0000F7AF0000}"/>
    <cellStyle name="Normal 4 12 2 2" xfId="45182" xr:uid="{00000000-0005-0000-0000-0000F8AF0000}"/>
    <cellStyle name="Normal 4 12 2 2 2" xfId="45183" xr:uid="{00000000-0005-0000-0000-0000F9AF0000}"/>
    <cellStyle name="Normal 4 12 2 2 3" xfId="45184" xr:uid="{00000000-0005-0000-0000-0000FAAF0000}"/>
    <cellStyle name="Normal 4 12 2 3" xfId="45185" xr:uid="{00000000-0005-0000-0000-0000FBAF0000}"/>
    <cellStyle name="Normal 4 12 2 4" xfId="45186" xr:uid="{00000000-0005-0000-0000-0000FCAF0000}"/>
    <cellStyle name="Normal 4 12 2 5" xfId="45187" xr:uid="{00000000-0005-0000-0000-0000FDAF0000}"/>
    <cellStyle name="Normal 4 12 2 6" xfId="45188" xr:uid="{00000000-0005-0000-0000-0000FEAF0000}"/>
    <cellStyle name="Normal 4 12 2 7" xfId="45189" xr:uid="{00000000-0005-0000-0000-0000FFAF0000}"/>
    <cellStyle name="Normal 4 12 3" xfId="45190" xr:uid="{00000000-0005-0000-0000-000000B00000}"/>
    <cellStyle name="Normal 4 12 3 2" xfId="45191" xr:uid="{00000000-0005-0000-0000-000001B00000}"/>
    <cellStyle name="Normal 4 12 3 3" xfId="45192" xr:uid="{00000000-0005-0000-0000-000002B00000}"/>
    <cellStyle name="Normal 4 12 4" xfId="45193" xr:uid="{00000000-0005-0000-0000-000003B00000}"/>
    <cellStyle name="Normal 4 12 4 2" xfId="45194" xr:uid="{00000000-0005-0000-0000-000004B00000}"/>
    <cellStyle name="Normal 4 12 4 3" xfId="45195" xr:uid="{00000000-0005-0000-0000-000005B00000}"/>
    <cellStyle name="Normal 4 12 5" xfId="45196" xr:uid="{00000000-0005-0000-0000-000006B00000}"/>
    <cellStyle name="Normal 4 12 6" xfId="45197" xr:uid="{00000000-0005-0000-0000-000007B00000}"/>
    <cellStyle name="Normal 4 12 7" xfId="45198" xr:uid="{00000000-0005-0000-0000-000008B00000}"/>
    <cellStyle name="Normal 4 12 8" xfId="45199" xr:uid="{00000000-0005-0000-0000-000009B00000}"/>
    <cellStyle name="Normal 4 12 9" xfId="45200" xr:uid="{00000000-0005-0000-0000-00000AB00000}"/>
    <cellStyle name="Normal 4 13" xfId="45201" xr:uid="{00000000-0005-0000-0000-00000BB00000}"/>
    <cellStyle name="Normal 4 13 2" xfId="45202" xr:uid="{00000000-0005-0000-0000-00000CB00000}"/>
    <cellStyle name="Normal 4 13 2 2" xfId="45203" xr:uid="{00000000-0005-0000-0000-00000DB00000}"/>
    <cellStyle name="Normal 4 13 2 3" xfId="45204" xr:uid="{00000000-0005-0000-0000-00000EB00000}"/>
    <cellStyle name="Normal 4 13 3" xfId="45205" xr:uid="{00000000-0005-0000-0000-00000FB00000}"/>
    <cellStyle name="Normal 4 13 3 2" xfId="45206" xr:uid="{00000000-0005-0000-0000-000010B00000}"/>
    <cellStyle name="Normal 4 13 3 3" xfId="45207" xr:uid="{00000000-0005-0000-0000-000011B00000}"/>
    <cellStyle name="Normal 4 13 4" xfId="45208" xr:uid="{00000000-0005-0000-0000-000012B00000}"/>
    <cellStyle name="Normal 4 13 5" xfId="45209" xr:uid="{00000000-0005-0000-0000-000013B00000}"/>
    <cellStyle name="Normal 4 13 6" xfId="45210" xr:uid="{00000000-0005-0000-0000-000014B00000}"/>
    <cellStyle name="Normal 4 13 7" xfId="45211" xr:uid="{00000000-0005-0000-0000-000015B00000}"/>
    <cellStyle name="Normal 4 13 8" xfId="45212" xr:uid="{00000000-0005-0000-0000-000016B00000}"/>
    <cellStyle name="Normal 4 14" xfId="45213" xr:uid="{00000000-0005-0000-0000-000017B00000}"/>
    <cellStyle name="Normal 4 14 2" xfId="45214" xr:uid="{00000000-0005-0000-0000-000018B00000}"/>
    <cellStyle name="Normal 4 14 2 2" xfId="45215" xr:uid="{00000000-0005-0000-0000-000019B00000}"/>
    <cellStyle name="Normal 4 14 2 3" xfId="45216" xr:uid="{00000000-0005-0000-0000-00001AB00000}"/>
    <cellStyle name="Normal 4 14 3" xfId="45217" xr:uid="{00000000-0005-0000-0000-00001BB00000}"/>
    <cellStyle name="Normal 4 14 3 2" xfId="45218" xr:uid="{00000000-0005-0000-0000-00001CB00000}"/>
    <cellStyle name="Normal 4 14 3 3" xfId="45219" xr:uid="{00000000-0005-0000-0000-00001DB00000}"/>
    <cellStyle name="Normal 4 14 4" xfId="45220" xr:uid="{00000000-0005-0000-0000-00001EB00000}"/>
    <cellStyle name="Normal 4 14 5" xfId="45221" xr:uid="{00000000-0005-0000-0000-00001FB00000}"/>
    <cellStyle name="Normal 4 14 6" xfId="45222" xr:uid="{00000000-0005-0000-0000-000020B00000}"/>
    <cellStyle name="Normal 4 14 7" xfId="45223" xr:uid="{00000000-0005-0000-0000-000021B00000}"/>
    <cellStyle name="Normal 4 14 8" xfId="45224" xr:uid="{00000000-0005-0000-0000-000022B00000}"/>
    <cellStyle name="Normal 4 15" xfId="45225" xr:uid="{00000000-0005-0000-0000-000023B00000}"/>
    <cellStyle name="Normal 4 15 2" xfId="45226" xr:uid="{00000000-0005-0000-0000-000024B00000}"/>
    <cellStyle name="Normal 4 15 2 2" xfId="45227" xr:uid="{00000000-0005-0000-0000-000025B00000}"/>
    <cellStyle name="Normal 4 15 2 3" xfId="45228" xr:uid="{00000000-0005-0000-0000-000026B00000}"/>
    <cellStyle name="Normal 4 15 3" xfId="45229" xr:uid="{00000000-0005-0000-0000-000027B00000}"/>
    <cellStyle name="Normal 4 15 3 2" xfId="45230" xr:uid="{00000000-0005-0000-0000-000028B00000}"/>
    <cellStyle name="Normal 4 15 4" xfId="45231" xr:uid="{00000000-0005-0000-0000-000029B00000}"/>
    <cellStyle name="Normal 4 16" xfId="45232" xr:uid="{00000000-0005-0000-0000-00002AB00000}"/>
    <cellStyle name="Normal 4 16 2" xfId="45233" xr:uid="{00000000-0005-0000-0000-00002BB00000}"/>
    <cellStyle name="Normal 4 16 3" xfId="45234" xr:uid="{00000000-0005-0000-0000-00002CB00000}"/>
    <cellStyle name="Normal 4 17" xfId="45235" xr:uid="{00000000-0005-0000-0000-00002DB00000}"/>
    <cellStyle name="Normal 4 17 2" xfId="45236" xr:uid="{00000000-0005-0000-0000-00002EB00000}"/>
    <cellStyle name="Normal 4 17 3" xfId="45237" xr:uid="{00000000-0005-0000-0000-00002FB00000}"/>
    <cellStyle name="Normal 4 18" xfId="45238" xr:uid="{00000000-0005-0000-0000-000030B00000}"/>
    <cellStyle name="Normal 4 18 2" xfId="45239" xr:uid="{00000000-0005-0000-0000-000031B00000}"/>
    <cellStyle name="Normal 4 18 3" xfId="45240" xr:uid="{00000000-0005-0000-0000-000032B00000}"/>
    <cellStyle name="Normal 4 19" xfId="45241" xr:uid="{00000000-0005-0000-0000-000033B00000}"/>
    <cellStyle name="Normal 4 19 2" xfId="45242" xr:uid="{00000000-0005-0000-0000-000034B00000}"/>
    <cellStyle name="Normal 4 19 3" xfId="45243" xr:uid="{00000000-0005-0000-0000-000035B00000}"/>
    <cellStyle name="Normal 4 2" xfId="312" xr:uid="{00000000-0005-0000-0000-000036B00000}"/>
    <cellStyle name="Normal 4 2 10" xfId="45244" xr:uid="{00000000-0005-0000-0000-000037B00000}"/>
    <cellStyle name="Normal 4 2 10 2" xfId="45245" xr:uid="{00000000-0005-0000-0000-000038B00000}"/>
    <cellStyle name="Normal 4 2 10 3" xfId="45246" xr:uid="{00000000-0005-0000-0000-000039B00000}"/>
    <cellStyle name="Normal 4 2 11" xfId="45247" xr:uid="{00000000-0005-0000-0000-00003AB00000}"/>
    <cellStyle name="Normal 4 2 11 2" xfId="45248" xr:uid="{00000000-0005-0000-0000-00003BB00000}"/>
    <cellStyle name="Normal 4 2 11 3" xfId="45249" xr:uid="{00000000-0005-0000-0000-00003CB00000}"/>
    <cellStyle name="Normal 4 2 12" xfId="45250" xr:uid="{00000000-0005-0000-0000-00003DB00000}"/>
    <cellStyle name="Normal 4 2 12 2" xfId="45251" xr:uid="{00000000-0005-0000-0000-00003EB00000}"/>
    <cellStyle name="Normal 4 2 12 3" xfId="45252" xr:uid="{00000000-0005-0000-0000-00003FB00000}"/>
    <cellStyle name="Normal 4 2 13" xfId="45253" xr:uid="{00000000-0005-0000-0000-000040B00000}"/>
    <cellStyle name="Normal 4 2 13 2" xfId="45254" xr:uid="{00000000-0005-0000-0000-000041B00000}"/>
    <cellStyle name="Normal 4 2 13 3" xfId="45255" xr:uid="{00000000-0005-0000-0000-000042B00000}"/>
    <cellStyle name="Normal 4 2 14" xfId="45256" xr:uid="{00000000-0005-0000-0000-000043B00000}"/>
    <cellStyle name="Normal 4 2 14 2" xfId="45257" xr:uid="{00000000-0005-0000-0000-000044B00000}"/>
    <cellStyle name="Normal 4 2 14 3" xfId="45258" xr:uid="{00000000-0005-0000-0000-000045B00000}"/>
    <cellStyle name="Normal 4 2 15" xfId="45259" xr:uid="{00000000-0005-0000-0000-000046B00000}"/>
    <cellStyle name="Normal 4 2 15 2" xfId="45260" xr:uid="{00000000-0005-0000-0000-000047B00000}"/>
    <cellStyle name="Normal 4 2 15 3" xfId="45261" xr:uid="{00000000-0005-0000-0000-000048B00000}"/>
    <cellStyle name="Normal 4 2 16" xfId="45262" xr:uid="{00000000-0005-0000-0000-000049B00000}"/>
    <cellStyle name="Normal 4 2 16 2" xfId="45263" xr:uid="{00000000-0005-0000-0000-00004AB00000}"/>
    <cellStyle name="Normal 4 2 16 3" xfId="45264" xr:uid="{00000000-0005-0000-0000-00004BB00000}"/>
    <cellStyle name="Normal 4 2 17" xfId="45265" xr:uid="{00000000-0005-0000-0000-00004CB00000}"/>
    <cellStyle name="Normal 4 2 17 2" xfId="45266" xr:uid="{00000000-0005-0000-0000-00004DB00000}"/>
    <cellStyle name="Normal 4 2 17 3" xfId="45267" xr:uid="{00000000-0005-0000-0000-00004EB00000}"/>
    <cellStyle name="Normal 4 2 18" xfId="45268" xr:uid="{00000000-0005-0000-0000-00004FB00000}"/>
    <cellStyle name="Normal 4 2 18 2" xfId="45269" xr:uid="{00000000-0005-0000-0000-000050B00000}"/>
    <cellStyle name="Normal 4 2 18 3" xfId="45270" xr:uid="{00000000-0005-0000-0000-000051B00000}"/>
    <cellStyle name="Normal 4 2 19" xfId="45271" xr:uid="{00000000-0005-0000-0000-000052B00000}"/>
    <cellStyle name="Normal 4 2 2" xfId="45272" xr:uid="{00000000-0005-0000-0000-000053B00000}"/>
    <cellStyle name="Normal 4 2 2 10" xfId="45273" xr:uid="{00000000-0005-0000-0000-000054B00000}"/>
    <cellStyle name="Normal 4 2 2 10 2" xfId="45274" xr:uid="{00000000-0005-0000-0000-000055B00000}"/>
    <cellStyle name="Normal 4 2 2 10 3" xfId="45275" xr:uid="{00000000-0005-0000-0000-000056B00000}"/>
    <cellStyle name="Normal 4 2 2 11" xfId="45276" xr:uid="{00000000-0005-0000-0000-000057B00000}"/>
    <cellStyle name="Normal 4 2 2 11 2" xfId="45277" xr:uid="{00000000-0005-0000-0000-000058B00000}"/>
    <cellStyle name="Normal 4 2 2 11 3" xfId="45278" xr:uid="{00000000-0005-0000-0000-000059B00000}"/>
    <cellStyle name="Normal 4 2 2 12" xfId="45279" xr:uid="{00000000-0005-0000-0000-00005AB00000}"/>
    <cellStyle name="Normal 4 2 2 12 2" xfId="45280" xr:uid="{00000000-0005-0000-0000-00005BB00000}"/>
    <cellStyle name="Normal 4 2 2 12 3" xfId="45281" xr:uid="{00000000-0005-0000-0000-00005CB00000}"/>
    <cellStyle name="Normal 4 2 2 13" xfId="45282" xr:uid="{00000000-0005-0000-0000-00005DB00000}"/>
    <cellStyle name="Normal 4 2 2 14" xfId="45283" xr:uid="{00000000-0005-0000-0000-00005EB00000}"/>
    <cellStyle name="Normal 4 2 2 2" xfId="45284" xr:uid="{00000000-0005-0000-0000-00005FB00000}"/>
    <cellStyle name="Normal 4 2 2 2 2" xfId="45285" xr:uid="{00000000-0005-0000-0000-000060B00000}"/>
    <cellStyle name="Normal 4 2 2 2 3" xfId="45286" xr:uid="{00000000-0005-0000-0000-000061B00000}"/>
    <cellStyle name="Normal 4 2 2 2 3 2" xfId="45287" xr:uid="{00000000-0005-0000-0000-000062B00000}"/>
    <cellStyle name="Normal 4 2 2 2 3 3" xfId="45288" xr:uid="{00000000-0005-0000-0000-000063B00000}"/>
    <cellStyle name="Normal 4 2 2 2 4" xfId="45289" xr:uid="{00000000-0005-0000-0000-000064B00000}"/>
    <cellStyle name="Normal 4 2 2 2 4 2" xfId="45290" xr:uid="{00000000-0005-0000-0000-000065B00000}"/>
    <cellStyle name="Normal 4 2 2 2 4 3" xfId="45291" xr:uid="{00000000-0005-0000-0000-000066B00000}"/>
    <cellStyle name="Normal 4 2 2 2 5" xfId="45292" xr:uid="{00000000-0005-0000-0000-000067B00000}"/>
    <cellStyle name="Normal 4 2 2 2 6" xfId="45293" xr:uid="{00000000-0005-0000-0000-000068B00000}"/>
    <cellStyle name="Normal 4 2 2 2 7" xfId="45294" xr:uid="{00000000-0005-0000-0000-000069B00000}"/>
    <cellStyle name="Normal 4 2 2 2 8" xfId="45295" xr:uid="{00000000-0005-0000-0000-00006AB00000}"/>
    <cellStyle name="Normal 4 2 2 3" xfId="45296" xr:uid="{00000000-0005-0000-0000-00006BB00000}"/>
    <cellStyle name="Normal 4 2 2 3 2" xfId="45297" xr:uid="{00000000-0005-0000-0000-00006CB00000}"/>
    <cellStyle name="Normal 4 2 2 3 3" xfId="45298" xr:uid="{00000000-0005-0000-0000-00006DB00000}"/>
    <cellStyle name="Normal 4 2 2 3 4" xfId="45299" xr:uid="{00000000-0005-0000-0000-00006EB00000}"/>
    <cellStyle name="Normal 4 2 2 4" xfId="45300" xr:uid="{00000000-0005-0000-0000-00006FB00000}"/>
    <cellStyle name="Normal 4 2 2 4 2" xfId="45301" xr:uid="{00000000-0005-0000-0000-000070B00000}"/>
    <cellStyle name="Normal 4 2 2 4 3" xfId="45302" xr:uid="{00000000-0005-0000-0000-000071B00000}"/>
    <cellStyle name="Normal 4 2 2 5" xfId="45303" xr:uid="{00000000-0005-0000-0000-000072B00000}"/>
    <cellStyle name="Normal 4 2 2 5 2" xfId="45304" xr:uid="{00000000-0005-0000-0000-000073B00000}"/>
    <cellStyle name="Normal 4 2 2 5 3" xfId="45305" xr:uid="{00000000-0005-0000-0000-000074B00000}"/>
    <cellStyle name="Normal 4 2 2 6" xfId="45306" xr:uid="{00000000-0005-0000-0000-000075B00000}"/>
    <cellStyle name="Normal 4 2 2 6 2" xfId="45307" xr:uid="{00000000-0005-0000-0000-000076B00000}"/>
    <cellStyle name="Normal 4 2 2 6 3" xfId="45308" xr:uid="{00000000-0005-0000-0000-000077B00000}"/>
    <cellStyle name="Normal 4 2 2 7" xfId="45309" xr:uid="{00000000-0005-0000-0000-000078B00000}"/>
    <cellStyle name="Normal 4 2 2 7 2" xfId="45310" xr:uid="{00000000-0005-0000-0000-000079B00000}"/>
    <cellStyle name="Normal 4 2 2 7 3" xfId="45311" xr:uid="{00000000-0005-0000-0000-00007AB00000}"/>
    <cellStyle name="Normal 4 2 2 8" xfId="45312" xr:uid="{00000000-0005-0000-0000-00007BB00000}"/>
    <cellStyle name="Normal 4 2 2 8 2" xfId="45313" xr:uid="{00000000-0005-0000-0000-00007CB00000}"/>
    <cellStyle name="Normal 4 2 2 8 3" xfId="45314" xr:uid="{00000000-0005-0000-0000-00007DB00000}"/>
    <cellStyle name="Normal 4 2 2 9" xfId="45315" xr:uid="{00000000-0005-0000-0000-00007EB00000}"/>
    <cellStyle name="Normal 4 2 2 9 2" xfId="45316" xr:uid="{00000000-0005-0000-0000-00007FB00000}"/>
    <cellStyle name="Normal 4 2 2 9 3" xfId="45317" xr:uid="{00000000-0005-0000-0000-000080B00000}"/>
    <cellStyle name="Normal 4 2 20" xfId="45318" xr:uid="{00000000-0005-0000-0000-000081B00000}"/>
    <cellStyle name="Normal 4 2 21" xfId="45319" xr:uid="{00000000-0005-0000-0000-000082B00000}"/>
    <cellStyle name="Normal 4 2 3" xfId="45320" xr:uid="{00000000-0005-0000-0000-000083B00000}"/>
    <cellStyle name="Normal 4 2 3 2" xfId="45321" xr:uid="{00000000-0005-0000-0000-000084B00000}"/>
    <cellStyle name="Normal 4 2 3 2 2" xfId="45322" xr:uid="{00000000-0005-0000-0000-000085B00000}"/>
    <cellStyle name="Normal 4 2 3 2 2 2" xfId="45323" xr:uid="{00000000-0005-0000-0000-000086B00000}"/>
    <cellStyle name="Normal 4 2 3 2 2 3" xfId="45324" xr:uid="{00000000-0005-0000-0000-000087B00000}"/>
    <cellStyle name="Normal 4 2 3 2 3" xfId="45325" xr:uid="{00000000-0005-0000-0000-000088B00000}"/>
    <cellStyle name="Normal 4 2 3 2 3 2" xfId="45326" xr:uid="{00000000-0005-0000-0000-000089B00000}"/>
    <cellStyle name="Normal 4 2 3 2 3 3" xfId="45327" xr:uid="{00000000-0005-0000-0000-00008AB00000}"/>
    <cellStyle name="Normal 4 2 3 2 4" xfId="45328" xr:uid="{00000000-0005-0000-0000-00008BB00000}"/>
    <cellStyle name="Normal 4 2 3 2 5" xfId="45329" xr:uid="{00000000-0005-0000-0000-00008CB00000}"/>
    <cellStyle name="Normal 4 2 3 2 6" xfId="45330" xr:uid="{00000000-0005-0000-0000-00008DB00000}"/>
    <cellStyle name="Normal 4 2 3 2 7" xfId="45331" xr:uid="{00000000-0005-0000-0000-00008EB00000}"/>
    <cellStyle name="Normal 4 2 3 3" xfId="45332" xr:uid="{00000000-0005-0000-0000-00008FB00000}"/>
    <cellStyle name="Normal 4 2 3 3 2" xfId="45333" xr:uid="{00000000-0005-0000-0000-000090B00000}"/>
    <cellStyle name="Normal 4 2 3 3 3" xfId="45334" xr:uid="{00000000-0005-0000-0000-000091B00000}"/>
    <cellStyle name="Normal 4 2 3 4" xfId="45335" xr:uid="{00000000-0005-0000-0000-000092B00000}"/>
    <cellStyle name="Normal 4 2 3 4 2" xfId="45336" xr:uid="{00000000-0005-0000-0000-000093B00000}"/>
    <cellStyle name="Normal 4 2 3 4 3" xfId="45337" xr:uid="{00000000-0005-0000-0000-000094B00000}"/>
    <cellStyle name="Normal 4 2 3 5" xfId="45338" xr:uid="{00000000-0005-0000-0000-000095B00000}"/>
    <cellStyle name="Normal 4 2 3 6" xfId="45339" xr:uid="{00000000-0005-0000-0000-000096B00000}"/>
    <cellStyle name="Normal 4 2 3 7" xfId="45340" xr:uid="{00000000-0005-0000-0000-000097B00000}"/>
    <cellStyle name="Normal 4 2 3 8" xfId="45341" xr:uid="{00000000-0005-0000-0000-000098B00000}"/>
    <cellStyle name="Normal 4 2 3 9" xfId="45342" xr:uid="{00000000-0005-0000-0000-000099B00000}"/>
    <cellStyle name="Normal 4 2 4" xfId="45343" xr:uid="{00000000-0005-0000-0000-00009AB00000}"/>
    <cellStyle name="Normal 4 2 4 2" xfId="45344" xr:uid="{00000000-0005-0000-0000-00009BB00000}"/>
    <cellStyle name="Normal 4 2 4 2 2" xfId="45345" xr:uid="{00000000-0005-0000-0000-00009CB00000}"/>
    <cellStyle name="Normal 4 2 4 2 3" xfId="45346" xr:uid="{00000000-0005-0000-0000-00009DB00000}"/>
    <cellStyle name="Normal 4 2 4 3" xfId="45347" xr:uid="{00000000-0005-0000-0000-00009EB00000}"/>
    <cellStyle name="Normal 4 2 4 3 2" xfId="45348" xr:uid="{00000000-0005-0000-0000-00009FB00000}"/>
    <cellStyle name="Normal 4 2 4 3 3" xfId="45349" xr:uid="{00000000-0005-0000-0000-0000A0B00000}"/>
    <cellStyle name="Normal 4 2 4 4" xfId="45350" xr:uid="{00000000-0005-0000-0000-0000A1B00000}"/>
    <cellStyle name="Normal 4 2 4 4 2" xfId="45351" xr:uid="{00000000-0005-0000-0000-0000A2B00000}"/>
    <cellStyle name="Normal 4 2 4 4 3" xfId="45352" xr:uid="{00000000-0005-0000-0000-0000A3B00000}"/>
    <cellStyle name="Normal 4 2 4 5" xfId="45353" xr:uid="{00000000-0005-0000-0000-0000A4B00000}"/>
    <cellStyle name="Normal 4 2 4 6" xfId="45354" xr:uid="{00000000-0005-0000-0000-0000A5B00000}"/>
    <cellStyle name="Normal 4 2 4 7" xfId="45355" xr:uid="{00000000-0005-0000-0000-0000A6B00000}"/>
    <cellStyle name="Normal 4 2 4 8" xfId="45356" xr:uid="{00000000-0005-0000-0000-0000A7B00000}"/>
    <cellStyle name="Normal 4 2 5" xfId="45357" xr:uid="{00000000-0005-0000-0000-0000A8B00000}"/>
    <cellStyle name="Normal 4 2 5 2" xfId="45358" xr:uid="{00000000-0005-0000-0000-0000A9B00000}"/>
    <cellStyle name="Normal 4 2 5 2 2" xfId="45359" xr:uid="{00000000-0005-0000-0000-0000AAB00000}"/>
    <cellStyle name="Normal 4 2 5 3" xfId="45360" xr:uid="{00000000-0005-0000-0000-0000ABB00000}"/>
    <cellStyle name="Normal 4 2 5 4" xfId="45361" xr:uid="{00000000-0005-0000-0000-0000ACB00000}"/>
    <cellStyle name="Normal 4 2 5 5" xfId="45362" xr:uid="{00000000-0005-0000-0000-0000ADB00000}"/>
    <cellStyle name="Normal 4 2 6" xfId="45363" xr:uid="{00000000-0005-0000-0000-0000AEB00000}"/>
    <cellStyle name="Normal 4 2 6 2" xfId="45364" xr:uid="{00000000-0005-0000-0000-0000AFB00000}"/>
    <cellStyle name="Normal 4 2 6 3" xfId="45365" xr:uid="{00000000-0005-0000-0000-0000B0B00000}"/>
    <cellStyle name="Normal 4 2 7" xfId="45366" xr:uid="{00000000-0005-0000-0000-0000B1B00000}"/>
    <cellStyle name="Normal 4 2 7 2" xfId="45367" xr:uid="{00000000-0005-0000-0000-0000B2B00000}"/>
    <cellStyle name="Normal 4 2 7 3" xfId="45368" xr:uid="{00000000-0005-0000-0000-0000B3B00000}"/>
    <cellStyle name="Normal 4 2 8" xfId="45369" xr:uid="{00000000-0005-0000-0000-0000B4B00000}"/>
    <cellStyle name="Normal 4 2 8 2" xfId="45370" xr:uid="{00000000-0005-0000-0000-0000B5B00000}"/>
    <cellStyle name="Normal 4 2 8 3" xfId="45371" xr:uid="{00000000-0005-0000-0000-0000B6B00000}"/>
    <cellStyle name="Normal 4 2 9" xfId="45372" xr:uid="{00000000-0005-0000-0000-0000B7B00000}"/>
    <cellStyle name="Normal 4 2 9 2" xfId="45373" xr:uid="{00000000-0005-0000-0000-0000B8B00000}"/>
    <cellStyle name="Normal 4 2 9 3" xfId="45374" xr:uid="{00000000-0005-0000-0000-0000B9B00000}"/>
    <cellStyle name="Normal 4 2_App b.3 Unspent_" xfId="45375" xr:uid="{00000000-0005-0000-0000-0000BAB00000}"/>
    <cellStyle name="Normal 4 20" xfId="45376" xr:uid="{00000000-0005-0000-0000-0000BBB00000}"/>
    <cellStyle name="Normal 4 20 2" xfId="45377" xr:uid="{00000000-0005-0000-0000-0000BCB00000}"/>
    <cellStyle name="Normal 4 20 3" xfId="45378" xr:uid="{00000000-0005-0000-0000-0000BDB00000}"/>
    <cellStyle name="Normal 4 21" xfId="45379" xr:uid="{00000000-0005-0000-0000-0000BEB00000}"/>
    <cellStyle name="Normal 4 21 2" xfId="45380" xr:uid="{00000000-0005-0000-0000-0000BFB00000}"/>
    <cellStyle name="Normal 4 21 3" xfId="45381" xr:uid="{00000000-0005-0000-0000-0000C0B00000}"/>
    <cellStyle name="Normal 4 22" xfId="45382" xr:uid="{00000000-0005-0000-0000-0000C1B00000}"/>
    <cellStyle name="Normal 4 22 2" xfId="45383" xr:uid="{00000000-0005-0000-0000-0000C2B00000}"/>
    <cellStyle name="Normal 4 22 3" xfId="45384" xr:uid="{00000000-0005-0000-0000-0000C3B00000}"/>
    <cellStyle name="Normal 4 23" xfId="45385" xr:uid="{00000000-0005-0000-0000-0000C4B00000}"/>
    <cellStyle name="Normal 4 23 2" xfId="45386" xr:uid="{00000000-0005-0000-0000-0000C5B00000}"/>
    <cellStyle name="Normal 4 23 3" xfId="45387" xr:uid="{00000000-0005-0000-0000-0000C6B00000}"/>
    <cellStyle name="Normal 4 24" xfId="45388" xr:uid="{00000000-0005-0000-0000-0000C7B00000}"/>
    <cellStyle name="Normal 4 24 2" xfId="45389" xr:uid="{00000000-0005-0000-0000-0000C8B00000}"/>
    <cellStyle name="Normal 4 24 3" xfId="45390" xr:uid="{00000000-0005-0000-0000-0000C9B00000}"/>
    <cellStyle name="Normal 4 25" xfId="45391" xr:uid="{00000000-0005-0000-0000-0000CAB00000}"/>
    <cellStyle name="Normal 4 25 2" xfId="45392" xr:uid="{00000000-0005-0000-0000-0000CBB00000}"/>
    <cellStyle name="Normal 4 25 3" xfId="45393" xr:uid="{00000000-0005-0000-0000-0000CCB00000}"/>
    <cellStyle name="Normal 4 26" xfId="45394" xr:uid="{00000000-0005-0000-0000-0000CDB00000}"/>
    <cellStyle name="Normal 4 26 2" xfId="45395" xr:uid="{00000000-0005-0000-0000-0000CEB00000}"/>
    <cellStyle name="Normal 4 26 3" xfId="45396" xr:uid="{00000000-0005-0000-0000-0000CFB00000}"/>
    <cellStyle name="Normal 4 27" xfId="45397" xr:uid="{00000000-0005-0000-0000-0000D0B00000}"/>
    <cellStyle name="Normal 4 27 2" xfId="45398" xr:uid="{00000000-0005-0000-0000-0000D1B00000}"/>
    <cellStyle name="Normal 4 27 3" xfId="45399" xr:uid="{00000000-0005-0000-0000-0000D2B00000}"/>
    <cellStyle name="Normal 4 28" xfId="45400" xr:uid="{00000000-0005-0000-0000-0000D3B00000}"/>
    <cellStyle name="Normal 4 29" xfId="45401" xr:uid="{00000000-0005-0000-0000-0000D4B00000}"/>
    <cellStyle name="Normal 4 3" xfId="313" xr:uid="{00000000-0005-0000-0000-0000D5B00000}"/>
    <cellStyle name="Normal 4 3 10" xfId="45402" xr:uid="{00000000-0005-0000-0000-0000D6B00000}"/>
    <cellStyle name="Normal 4 3 10 2" xfId="45403" xr:uid="{00000000-0005-0000-0000-0000D7B00000}"/>
    <cellStyle name="Normal 4 3 10 3" xfId="45404" xr:uid="{00000000-0005-0000-0000-0000D8B00000}"/>
    <cellStyle name="Normal 4 3 11" xfId="45405" xr:uid="{00000000-0005-0000-0000-0000D9B00000}"/>
    <cellStyle name="Normal 4 3 11 2" xfId="45406" xr:uid="{00000000-0005-0000-0000-0000DAB00000}"/>
    <cellStyle name="Normal 4 3 11 3" xfId="45407" xr:uid="{00000000-0005-0000-0000-0000DBB00000}"/>
    <cellStyle name="Normal 4 3 12" xfId="45408" xr:uid="{00000000-0005-0000-0000-0000DCB00000}"/>
    <cellStyle name="Normal 4 3 12 2" xfId="45409" xr:uid="{00000000-0005-0000-0000-0000DDB00000}"/>
    <cellStyle name="Normal 4 3 12 3" xfId="45410" xr:uid="{00000000-0005-0000-0000-0000DEB00000}"/>
    <cellStyle name="Normal 4 3 13" xfId="45411" xr:uid="{00000000-0005-0000-0000-0000DFB00000}"/>
    <cellStyle name="Normal 4 3 13 2" xfId="45412" xr:uid="{00000000-0005-0000-0000-0000E0B00000}"/>
    <cellStyle name="Normal 4 3 13 3" xfId="45413" xr:uid="{00000000-0005-0000-0000-0000E1B00000}"/>
    <cellStyle name="Normal 4 3 14" xfId="45414" xr:uid="{00000000-0005-0000-0000-0000E2B00000}"/>
    <cellStyle name="Normal 4 3 15" xfId="45415" xr:uid="{00000000-0005-0000-0000-0000E3B00000}"/>
    <cellStyle name="Normal 4 3 2" xfId="45416" xr:uid="{00000000-0005-0000-0000-0000E4B00000}"/>
    <cellStyle name="Normal 4 3 2 2" xfId="45417" xr:uid="{00000000-0005-0000-0000-0000E5B00000}"/>
    <cellStyle name="Normal 4 3 2 2 2" xfId="45418" xr:uid="{00000000-0005-0000-0000-0000E6B00000}"/>
    <cellStyle name="Normal 4 3 2 2 2 2" xfId="45419" xr:uid="{00000000-0005-0000-0000-0000E7B00000}"/>
    <cellStyle name="Normal 4 3 2 2 2 3" xfId="45420" xr:uid="{00000000-0005-0000-0000-0000E8B00000}"/>
    <cellStyle name="Normal 4 3 2 2 2 4" xfId="45421" xr:uid="{00000000-0005-0000-0000-0000E9B00000}"/>
    <cellStyle name="Normal 4 3 2 2 3" xfId="45422" xr:uid="{00000000-0005-0000-0000-0000EAB00000}"/>
    <cellStyle name="Normal 4 3 2 2 3 2" xfId="45423" xr:uid="{00000000-0005-0000-0000-0000EBB00000}"/>
    <cellStyle name="Normal 4 3 2 2 3 3" xfId="45424" xr:uid="{00000000-0005-0000-0000-0000ECB00000}"/>
    <cellStyle name="Normal 4 3 2 2 4" xfId="45425" xr:uid="{00000000-0005-0000-0000-0000EDB00000}"/>
    <cellStyle name="Normal 4 3 2 2 5" xfId="45426" xr:uid="{00000000-0005-0000-0000-0000EEB00000}"/>
    <cellStyle name="Normal 4 3 2 2 6" xfId="45427" xr:uid="{00000000-0005-0000-0000-0000EFB00000}"/>
    <cellStyle name="Normal 4 3 2 2 7" xfId="45428" xr:uid="{00000000-0005-0000-0000-0000F0B00000}"/>
    <cellStyle name="Normal 4 3 2 2 8" xfId="45429" xr:uid="{00000000-0005-0000-0000-0000F1B00000}"/>
    <cellStyle name="Normal 4 3 2 3" xfId="45430" xr:uid="{00000000-0005-0000-0000-0000F2B00000}"/>
    <cellStyle name="Normal 4 3 2 3 2" xfId="45431" xr:uid="{00000000-0005-0000-0000-0000F3B00000}"/>
    <cellStyle name="Normal 4 3 2 3 2 2" xfId="45432" xr:uid="{00000000-0005-0000-0000-0000F4B00000}"/>
    <cellStyle name="Normal 4 3 2 3 2 3" xfId="45433" xr:uid="{00000000-0005-0000-0000-0000F5B00000}"/>
    <cellStyle name="Normal 4 3 2 3 3" xfId="45434" xr:uid="{00000000-0005-0000-0000-0000F6B00000}"/>
    <cellStyle name="Normal 4 3 2 3 3 2" xfId="45435" xr:uid="{00000000-0005-0000-0000-0000F7B00000}"/>
    <cellStyle name="Normal 4 3 2 3 3 3" xfId="45436" xr:uid="{00000000-0005-0000-0000-0000F8B00000}"/>
    <cellStyle name="Normal 4 3 2 3 4" xfId="45437" xr:uid="{00000000-0005-0000-0000-0000F9B00000}"/>
    <cellStyle name="Normal 4 3 2 3 5" xfId="45438" xr:uid="{00000000-0005-0000-0000-0000FAB00000}"/>
    <cellStyle name="Normal 4 3 2 3 6" xfId="45439" xr:uid="{00000000-0005-0000-0000-0000FBB00000}"/>
    <cellStyle name="Normal 4 3 2 3 7" xfId="45440" xr:uid="{00000000-0005-0000-0000-0000FCB00000}"/>
    <cellStyle name="Normal 4 3 2 4" xfId="45441" xr:uid="{00000000-0005-0000-0000-0000FDB00000}"/>
    <cellStyle name="Normal 4 3 2 4 2" xfId="45442" xr:uid="{00000000-0005-0000-0000-0000FEB00000}"/>
    <cellStyle name="Normal 4 3 2 4 3" xfId="45443" xr:uid="{00000000-0005-0000-0000-0000FFB00000}"/>
    <cellStyle name="Normal 4 3 2 5" xfId="45444" xr:uid="{00000000-0005-0000-0000-000000B10000}"/>
    <cellStyle name="Normal 4 3 2 5 2" xfId="45445" xr:uid="{00000000-0005-0000-0000-000001B10000}"/>
    <cellStyle name="Normal 4 3 2 5 3" xfId="45446" xr:uid="{00000000-0005-0000-0000-000002B10000}"/>
    <cellStyle name="Normal 4 3 2 6" xfId="45447" xr:uid="{00000000-0005-0000-0000-000003B10000}"/>
    <cellStyle name="Normal 4 3 2 6 2" xfId="45448" xr:uid="{00000000-0005-0000-0000-000004B10000}"/>
    <cellStyle name="Normal 4 3 2 6 3" xfId="45449" xr:uid="{00000000-0005-0000-0000-000005B10000}"/>
    <cellStyle name="Normal 4 3 2 7" xfId="45450" xr:uid="{00000000-0005-0000-0000-000006B10000}"/>
    <cellStyle name="Normal 4 3 2 8" xfId="45451" xr:uid="{00000000-0005-0000-0000-000007B10000}"/>
    <cellStyle name="Normal 4 3 2 9" xfId="45452" xr:uid="{00000000-0005-0000-0000-000008B10000}"/>
    <cellStyle name="Normal 4 3 2_Dec monthly report" xfId="45453" xr:uid="{00000000-0005-0000-0000-000009B10000}"/>
    <cellStyle name="Normal 4 3 3" xfId="45454" xr:uid="{00000000-0005-0000-0000-00000AB10000}"/>
    <cellStyle name="Normal 4 3 3 2" xfId="45455" xr:uid="{00000000-0005-0000-0000-00000BB10000}"/>
    <cellStyle name="Normal 4 3 3 3" xfId="45456" xr:uid="{00000000-0005-0000-0000-00000CB10000}"/>
    <cellStyle name="Normal 4 3 3 4" xfId="45457" xr:uid="{00000000-0005-0000-0000-00000DB10000}"/>
    <cellStyle name="Normal 4 3 4" xfId="45458" xr:uid="{00000000-0005-0000-0000-00000EB10000}"/>
    <cellStyle name="Normal 4 3 4 2" xfId="45459" xr:uid="{00000000-0005-0000-0000-00000FB10000}"/>
    <cellStyle name="Normal 4 3 4 3" xfId="45460" xr:uid="{00000000-0005-0000-0000-000010B10000}"/>
    <cellStyle name="Normal 4 3 5" xfId="45461" xr:uid="{00000000-0005-0000-0000-000011B10000}"/>
    <cellStyle name="Normal 4 3 5 2" xfId="45462" xr:uid="{00000000-0005-0000-0000-000012B10000}"/>
    <cellStyle name="Normal 4 3 5 3" xfId="45463" xr:uid="{00000000-0005-0000-0000-000013B10000}"/>
    <cellStyle name="Normal 4 3 6" xfId="45464" xr:uid="{00000000-0005-0000-0000-000014B10000}"/>
    <cellStyle name="Normal 4 3 6 2" xfId="45465" xr:uid="{00000000-0005-0000-0000-000015B10000}"/>
    <cellStyle name="Normal 4 3 6 3" xfId="45466" xr:uid="{00000000-0005-0000-0000-000016B10000}"/>
    <cellStyle name="Normal 4 3 7" xfId="45467" xr:uid="{00000000-0005-0000-0000-000017B10000}"/>
    <cellStyle name="Normal 4 3 7 2" xfId="45468" xr:uid="{00000000-0005-0000-0000-000018B10000}"/>
    <cellStyle name="Normal 4 3 7 3" xfId="45469" xr:uid="{00000000-0005-0000-0000-000019B10000}"/>
    <cellStyle name="Normal 4 3 8" xfId="45470" xr:uid="{00000000-0005-0000-0000-00001AB10000}"/>
    <cellStyle name="Normal 4 3 8 2" xfId="45471" xr:uid="{00000000-0005-0000-0000-00001BB10000}"/>
    <cellStyle name="Normal 4 3 8 3" xfId="45472" xr:uid="{00000000-0005-0000-0000-00001CB10000}"/>
    <cellStyle name="Normal 4 3 9" xfId="45473" xr:uid="{00000000-0005-0000-0000-00001DB10000}"/>
    <cellStyle name="Normal 4 3 9 2" xfId="45474" xr:uid="{00000000-0005-0000-0000-00001EB10000}"/>
    <cellStyle name="Normal 4 3 9 3" xfId="45475" xr:uid="{00000000-0005-0000-0000-00001FB10000}"/>
    <cellStyle name="Normal 4 3_2015 Annual Rpt" xfId="45476" xr:uid="{00000000-0005-0000-0000-000020B10000}"/>
    <cellStyle name="Normal 4 30" xfId="45477" xr:uid="{00000000-0005-0000-0000-000021B10000}"/>
    <cellStyle name="Normal 4 4" xfId="314" xr:uid="{00000000-0005-0000-0000-000022B10000}"/>
    <cellStyle name="Normal 4 4 10" xfId="45478" xr:uid="{00000000-0005-0000-0000-000023B10000}"/>
    <cellStyle name="Normal 4 4 2" xfId="45479" xr:uid="{00000000-0005-0000-0000-000024B10000}"/>
    <cellStyle name="Normal 4 4 2 2" xfId="45480" xr:uid="{00000000-0005-0000-0000-000025B10000}"/>
    <cellStyle name="Normal 4 4 2 3" xfId="45481" xr:uid="{00000000-0005-0000-0000-000026B10000}"/>
    <cellStyle name="Normal 4 4 2 4" xfId="45482" xr:uid="{00000000-0005-0000-0000-000027B10000}"/>
    <cellStyle name="Normal 4 4 3" xfId="45483" xr:uid="{00000000-0005-0000-0000-000028B10000}"/>
    <cellStyle name="Normal 4 4 3 2" xfId="45484" xr:uid="{00000000-0005-0000-0000-000029B10000}"/>
    <cellStyle name="Normal 4 4 3 2 2" xfId="45485" xr:uid="{00000000-0005-0000-0000-00002AB10000}"/>
    <cellStyle name="Normal 4 4 3 3" xfId="45486" xr:uid="{00000000-0005-0000-0000-00002BB10000}"/>
    <cellStyle name="Normal 4 4 3 3 2" xfId="45487" xr:uid="{00000000-0005-0000-0000-00002CB10000}"/>
    <cellStyle name="Normal 4 4 3 4" xfId="45488" xr:uid="{00000000-0005-0000-0000-00002DB10000}"/>
    <cellStyle name="Normal 4 4 3 5" xfId="45489" xr:uid="{00000000-0005-0000-0000-00002EB10000}"/>
    <cellStyle name="Normal 4 4 3 6" xfId="45490" xr:uid="{00000000-0005-0000-0000-00002FB10000}"/>
    <cellStyle name="Normal 4 4 3 7" xfId="45491" xr:uid="{00000000-0005-0000-0000-000030B10000}"/>
    <cellStyle name="Normal 4 4 3 8" xfId="45492" xr:uid="{00000000-0005-0000-0000-000031B10000}"/>
    <cellStyle name="Normal 4 4 4" xfId="45493" xr:uid="{00000000-0005-0000-0000-000032B10000}"/>
    <cellStyle name="Normal 4 4 4 2" xfId="45494" xr:uid="{00000000-0005-0000-0000-000033B10000}"/>
    <cellStyle name="Normal 4 4 4 3" xfId="45495" xr:uid="{00000000-0005-0000-0000-000034B10000}"/>
    <cellStyle name="Normal 4 4 5" xfId="45496" xr:uid="{00000000-0005-0000-0000-000035B10000}"/>
    <cellStyle name="Normal 4 4 5 2" xfId="45497" xr:uid="{00000000-0005-0000-0000-000036B10000}"/>
    <cellStyle name="Normal 4 4 5 3" xfId="45498" xr:uid="{00000000-0005-0000-0000-000037B10000}"/>
    <cellStyle name="Normal 4 4 6" xfId="45499" xr:uid="{00000000-0005-0000-0000-000038B10000}"/>
    <cellStyle name="Normal 4 4 7" xfId="45500" xr:uid="{00000000-0005-0000-0000-000039B10000}"/>
    <cellStyle name="Normal 4 4 8" xfId="45501" xr:uid="{00000000-0005-0000-0000-00003AB10000}"/>
    <cellStyle name="Normal 4 4 9" xfId="45502" xr:uid="{00000000-0005-0000-0000-00003BB10000}"/>
    <cellStyle name="Normal 4 5" xfId="45503" xr:uid="{00000000-0005-0000-0000-00003CB10000}"/>
    <cellStyle name="Normal 4 5 2" xfId="45504" xr:uid="{00000000-0005-0000-0000-00003DB10000}"/>
    <cellStyle name="Normal 4 5 2 2" xfId="45505" xr:uid="{00000000-0005-0000-0000-00003EB10000}"/>
    <cellStyle name="Normal 4 5 2 3" xfId="45506" xr:uid="{00000000-0005-0000-0000-00003FB10000}"/>
    <cellStyle name="Normal 4 5 3" xfId="45507" xr:uid="{00000000-0005-0000-0000-000040B10000}"/>
    <cellStyle name="Normal 4 5 3 2" xfId="45508" xr:uid="{00000000-0005-0000-0000-000041B10000}"/>
    <cellStyle name="Normal 4 5 4" xfId="45509" xr:uid="{00000000-0005-0000-0000-000042B10000}"/>
    <cellStyle name="Normal 4 5 5" xfId="45510" xr:uid="{00000000-0005-0000-0000-000043B10000}"/>
    <cellStyle name="Normal 4 5 6" xfId="45511" xr:uid="{00000000-0005-0000-0000-000044B10000}"/>
    <cellStyle name="Normal 4 5 7" xfId="45512" xr:uid="{00000000-0005-0000-0000-000045B10000}"/>
    <cellStyle name="Normal 4 6" xfId="45513" xr:uid="{00000000-0005-0000-0000-000046B10000}"/>
    <cellStyle name="Normal 4 6 10" xfId="45514" xr:uid="{00000000-0005-0000-0000-000047B10000}"/>
    <cellStyle name="Normal 4 6 11" xfId="45515" xr:uid="{00000000-0005-0000-0000-000048B10000}"/>
    <cellStyle name="Normal 4 6 12" xfId="45516" xr:uid="{00000000-0005-0000-0000-000049B10000}"/>
    <cellStyle name="Normal 4 6 13" xfId="45517" xr:uid="{00000000-0005-0000-0000-00004AB10000}"/>
    <cellStyle name="Normal 4 6 14" xfId="45518" xr:uid="{00000000-0005-0000-0000-00004BB10000}"/>
    <cellStyle name="Normal 4 6 2" xfId="45519" xr:uid="{00000000-0005-0000-0000-00004CB10000}"/>
    <cellStyle name="Normal 4 6 2 10" xfId="45520" xr:uid="{00000000-0005-0000-0000-00004DB10000}"/>
    <cellStyle name="Normal 4 6 2 11" xfId="45521" xr:uid="{00000000-0005-0000-0000-00004EB10000}"/>
    <cellStyle name="Normal 4 6 2 12" xfId="45522" xr:uid="{00000000-0005-0000-0000-00004FB10000}"/>
    <cellStyle name="Normal 4 6 2 13" xfId="45523" xr:uid="{00000000-0005-0000-0000-000050B10000}"/>
    <cellStyle name="Normal 4 6 2 2" xfId="45524" xr:uid="{00000000-0005-0000-0000-000051B10000}"/>
    <cellStyle name="Normal 4 6 2 2 10" xfId="45525" xr:uid="{00000000-0005-0000-0000-000052B10000}"/>
    <cellStyle name="Normal 4 6 2 2 11" xfId="45526" xr:uid="{00000000-0005-0000-0000-000053B10000}"/>
    <cellStyle name="Normal 4 6 2 2 2" xfId="45527" xr:uid="{00000000-0005-0000-0000-000054B10000}"/>
    <cellStyle name="Normal 4 6 2 2 2 2" xfId="45528" xr:uid="{00000000-0005-0000-0000-000055B10000}"/>
    <cellStyle name="Normal 4 6 2 2 2 2 2" xfId="45529" xr:uid="{00000000-0005-0000-0000-000056B10000}"/>
    <cellStyle name="Normal 4 6 2 2 2 2 2 2" xfId="45530" xr:uid="{00000000-0005-0000-0000-000057B10000}"/>
    <cellStyle name="Normal 4 6 2 2 2 2 2 3" xfId="45531" xr:uid="{00000000-0005-0000-0000-000058B10000}"/>
    <cellStyle name="Normal 4 6 2 2 2 2 3" xfId="45532" xr:uid="{00000000-0005-0000-0000-000059B10000}"/>
    <cellStyle name="Normal 4 6 2 2 2 2 3 2" xfId="45533" xr:uid="{00000000-0005-0000-0000-00005AB10000}"/>
    <cellStyle name="Normal 4 6 2 2 2 2 3 3" xfId="45534" xr:uid="{00000000-0005-0000-0000-00005BB10000}"/>
    <cellStyle name="Normal 4 6 2 2 2 2 4" xfId="45535" xr:uid="{00000000-0005-0000-0000-00005CB10000}"/>
    <cellStyle name="Normal 4 6 2 2 2 2 5" xfId="45536" xr:uid="{00000000-0005-0000-0000-00005DB10000}"/>
    <cellStyle name="Normal 4 6 2 2 2 2 6" xfId="45537" xr:uid="{00000000-0005-0000-0000-00005EB10000}"/>
    <cellStyle name="Normal 4 6 2 2 2 2 7" xfId="45538" xr:uid="{00000000-0005-0000-0000-00005FB10000}"/>
    <cellStyle name="Normal 4 6 2 2 2 2 8" xfId="45539" xr:uid="{00000000-0005-0000-0000-000060B10000}"/>
    <cellStyle name="Normal 4 6 2 2 2 3" xfId="45540" xr:uid="{00000000-0005-0000-0000-000061B10000}"/>
    <cellStyle name="Normal 4 6 2 2 2 3 2" xfId="45541" xr:uid="{00000000-0005-0000-0000-000062B10000}"/>
    <cellStyle name="Normal 4 6 2 2 2 3 2 2" xfId="45542" xr:uid="{00000000-0005-0000-0000-000063B10000}"/>
    <cellStyle name="Normal 4 6 2 2 2 3 2 3" xfId="45543" xr:uid="{00000000-0005-0000-0000-000064B10000}"/>
    <cellStyle name="Normal 4 6 2 2 2 3 3" xfId="45544" xr:uid="{00000000-0005-0000-0000-000065B10000}"/>
    <cellStyle name="Normal 4 6 2 2 2 3 3 2" xfId="45545" xr:uid="{00000000-0005-0000-0000-000066B10000}"/>
    <cellStyle name="Normal 4 6 2 2 2 3 4" xfId="45546" xr:uid="{00000000-0005-0000-0000-000067B10000}"/>
    <cellStyle name="Normal 4 6 2 2 2 4" xfId="45547" xr:uid="{00000000-0005-0000-0000-000068B10000}"/>
    <cellStyle name="Normal 4 6 2 2 2 4 2" xfId="45548" xr:uid="{00000000-0005-0000-0000-000069B10000}"/>
    <cellStyle name="Normal 4 6 2 2 2 4 3" xfId="45549" xr:uid="{00000000-0005-0000-0000-00006AB10000}"/>
    <cellStyle name="Normal 4 6 2 2 2 5" xfId="45550" xr:uid="{00000000-0005-0000-0000-00006BB10000}"/>
    <cellStyle name="Normal 4 6 2 2 2 6" xfId="45551" xr:uid="{00000000-0005-0000-0000-00006CB10000}"/>
    <cellStyle name="Normal 4 6 2 2 2 7" xfId="45552" xr:uid="{00000000-0005-0000-0000-00006DB10000}"/>
    <cellStyle name="Normal 4 6 2 2 2 8" xfId="45553" xr:uid="{00000000-0005-0000-0000-00006EB10000}"/>
    <cellStyle name="Normal 4 6 2 2 2 9" xfId="45554" xr:uid="{00000000-0005-0000-0000-00006FB10000}"/>
    <cellStyle name="Normal 4 6 2 2 3" xfId="45555" xr:uid="{00000000-0005-0000-0000-000070B10000}"/>
    <cellStyle name="Normal 4 6 2 2 3 2" xfId="45556" xr:uid="{00000000-0005-0000-0000-000071B10000}"/>
    <cellStyle name="Normal 4 6 2 2 3 2 2" xfId="45557" xr:uid="{00000000-0005-0000-0000-000072B10000}"/>
    <cellStyle name="Normal 4 6 2 2 3 2 3" xfId="45558" xr:uid="{00000000-0005-0000-0000-000073B10000}"/>
    <cellStyle name="Normal 4 6 2 2 3 3" xfId="45559" xr:uid="{00000000-0005-0000-0000-000074B10000}"/>
    <cellStyle name="Normal 4 6 2 2 3 3 2" xfId="45560" xr:uid="{00000000-0005-0000-0000-000075B10000}"/>
    <cellStyle name="Normal 4 6 2 2 3 3 3" xfId="45561" xr:uid="{00000000-0005-0000-0000-000076B10000}"/>
    <cellStyle name="Normal 4 6 2 2 3 4" xfId="45562" xr:uid="{00000000-0005-0000-0000-000077B10000}"/>
    <cellStyle name="Normal 4 6 2 2 3 5" xfId="45563" xr:uid="{00000000-0005-0000-0000-000078B10000}"/>
    <cellStyle name="Normal 4 6 2 2 3 6" xfId="45564" xr:uid="{00000000-0005-0000-0000-000079B10000}"/>
    <cellStyle name="Normal 4 6 2 2 3 7" xfId="45565" xr:uid="{00000000-0005-0000-0000-00007AB10000}"/>
    <cellStyle name="Normal 4 6 2 2 3 8" xfId="45566" xr:uid="{00000000-0005-0000-0000-00007BB10000}"/>
    <cellStyle name="Normal 4 6 2 2 4" xfId="45567" xr:uid="{00000000-0005-0000-0000-00007CB10000}"/>
    <cellStyle name="Normal 4 6 2 2 4 2" xfId="45568" xr:uid="{00000000-0005-0000-0000-00007DB10000}"/>
    <cellStyle name="Normal 4 6 2 2 4 2 2" xfId="45569" xr:uid="{00000000-0005-0000-0000-00007EB10000}"/>
    <cellStyle name="Normal 4 6 2 2 4 2 3" xfId="45570" xr:uid="{00000000-0005-0000-0000-00007FB10000}"/>
    <cellStyle name="Normal 4 6 2 2 4 3" xfId="45571" xr:uid="{00000000-0005-0000-0000-000080B10000}"/>
    <cellStyle name="Normal 4 6 2 2 4 3 2" xfId="45572" xr:uid="{00000000-0005-0000-0000-000081B10000}"/>
    <cellStyle name="Normal 4 6 2 2 4 4" xfId="45573" xr:uid="{00000000-0005-0000-0000-000082B10000}"/>
    <cellStyle name="Normal 4 6 2 2 5" xfId="45574" xr:uid="{00000000-0005-0000-0000-000083B10000}"/>
    <cellStyle name="Normal 4 6 2 2 5 2" xfId="45575" xr:uid="{00000000-0005-0000-0000-000084B10000}"/>
    <cellStyle name="Normal 4 6 2 2 5 3" xfId="45576" xr:uid="{00000000-0005-0000-0000-000085B10000}"/>
    <cellStyle name="Normal 4 6 2 2 6" xfId="45577" xr:uid="{00000000-0005-0000-0000-000086B10000}"/>
    <cellStyle name="Normal 4 6 2 2 6 2" xfId="45578" xr:uid="{00000000-0005-0000-0000-000087B10000}"/>
    <cellStyle name="Normal 4 6 2 2 6 3" xfId="45579" xr:uid="{00000000-0005-0000-0000-000088B10000}"/>
    <cellStyle name="Normal 4 6 2 2 7" xfId="45580" xr:uid="{00000000-0005-0000-0000-000089B10000}"/>
    <cellStyle name="Normal 4 6 2 2 8" xfId="45581" xr:uid="{00000000-0005-0000-0000-00008AB10000}"/>
    <cellStyle name="Normal 4 6 2 2 9" xfId="45582" xr:uid="{00000000-0005-0000-0000-00008BB10000}"/>
    <cellStyle name="Normal 4 6 2 3" xfId="45583" xr:uid="{00000000-0005-0000-0000-00008CB10000}"/>
    <cellStyle name="Normal 4 6 2 3 10" xfId="45584" xr:uid="{00000000-0005-0000-0000-00008DB10000}"/>
    <cellStyle name="Normal 4 6 2 3 2" xfId="45585" xr:uid="{00000000-0005-0000-0000-00008EB10000}"/>
    <cellStyle name="Normal 4 6 2 3 2 2" xfId="45586" xr:uid="{00000000-0005-0000-0000-00008FB10000}"/>
    <cellStyle name="Normal 4 6 2 3 2 2 2" xfId="45587" xr:uid="{00000000-0005-0000-0000-000090B10000}"/>
    <cellStyle name="Normal 4 6 2 3 2 2 3" xfId="45588" xr:uid="{00000000-0005-0000-0000-000091B10000}"/>
    <cellStyle name="Normal 4 6 2 3 2 2 4" xfId="45589" xr:uid="{00000000-0005-0000-0000-000092B10000}"/>
    <cellStyle name="Normal 4 6 2 3 2 3" xfId="45590" xr:uid="{00000000-0005-0000-0000-000093B10000}"/>
    <cellStyle name="Normal 4 6 2 3 2 3 2" xfId="45591" xr:uid="{00000000-0005-0000-0000-000094B10000}"/>
    <cellStyle name="Normal 4 6 2 3 2 3 3" xfId="45592" xr:uid="{00000000-0005-0000-0000-000095B10000}"/>
    <cellStyle name="Normal 4 6 2 3 2 4" xfId="45593" xr:uid="{00000000-0005-0000-0000-000096B10000}"/>
    <cellStyle name="Normal 4 6 2 3 2 5" xfId="45594" xr:uid="{00000000-0005-0000-0000-000097B10000}"/>
    <cellStyle name="Normal 4 6 2 3 2 6" xfId="45595" xr:uid="{00000000-0005-0000-0000-000098B10000}"/>
    <cellStyle name="Normal 4 6 2 3 2 7" xfId="45596" xr:uid="{00000000-0005-0000-0000-000099B10000}"/>
    <cellStyle name="Normal 4 6 2 3 2 8" xfId="45597" xr:uid="{00000000-0005-0000-0000-00009AB10000}"/>
    <cellStyle name="Normal 4 6 2 3 3" xfId="45598" xr:uid="{00000000-0005-0000-0000-00009BB10000}"/>
    <cellStyle name="Normal 4 6 2 3 3 2" xfId="45599" xr:uid="{00000000-0005-0000-0000-00009CB10000}"/>
    <cellStyle name="Normal 4 6 2 3 3 2 2" xfId="45600" xr:uid="{00000000-0005-0000-0000-00009DB10000}"/>
    <cellStyle name="Normal 4 6 2 3 3 2 3" xfId="45601" xr:uid="{00000000-0005-0000-0000-00009EB10000}"/>
    <cellStyle name="Normal 4 6 2 3 3 3" xfId="45602" xr:uid="{00000000-0005-0000-0000-00009FB10000}"/>
    <cellStyle name="Normal 4 6 2 3 3 4" xfId="45603" xr:uid="{00000000-0005-0000-0000-0000A0B10000}"/>
    <cellStyle name="Normal 4 6 2 3 3 5" xfId="45604" xr:uid="{00000000-0005-0000-0000-0000A1B10000}"/>
    <cellStyle name="Normal 4 6 2 3 3 6" xfId="45605" xr:uid="{00000000-0005-0000-0000-0000A2B10000}"/>
    <cellStyle name="Normal 4 6 2 3 4" xfId="45606" xr:uid="{00000000-0005-0000-0000-0000A3B10000}"/>
    <cellStyle name="Normal 4 6 2 3 4 2" xfId="45607" xr:uid="{00000000-0005-0000-0000-0000A4B10000}"/>
    <cellStyle name="Normal 4 6 2 3 4 3" xfId="45608" xr:uid="{00000000-0005-0000-0000-0000A5B10000}"/>
    <cellStyle name="Normal 4 6 2 3 5" xfId="45609" xr:uid="{00000000-0005-0000-0000-0000A6B10000}"/>
    <cellStyle name="Normal 4 6 2 3 5 2" xfId="45610" xr:uid="{00000000-0005-0000-0000-0000A7B10000}"/>
    <cellStyle name="Normal 4 6 2 3 5 3" xfId="45611" xr:uid="{00000000-0005-0000-0000-0000A8B10000}"/>
    <cellStyle name="Normal 4 6 2 3 6" xfId="45612" xr:uid="{00000000-0005-0000-0000-0000A9B10000}"/>
    <cellStyle name="Normal 4 6 2 3 7" xfId="45613" xr:uid="{00000000-0005-0000-0000-0000AAB10000}"/>
    <cellStyle name="Normal 4 6 2 3 8" xfId="45614" xr:uid="{00000000-0005-0000-0000-0000ABB10000}"/>
    <cellStyle name="Normal 4 6 2 3 9" xfId="45615" xr:uid="{00000000-0005-0000-0000-0000ACB10000}"/>
    <cellStyle name="Normal 4 6 2 4" xfId="45616" xr:uid="{00000000-0005-0000-0000-0000ADB10000}"/>
    <cellStyle name="Normal 4 6 2 4 2" xfId="45617" xr:uid="{00000000-0005-0000-0000-0000AEB10000}"/>
    <cellStyle name="Normal 4 6 2 4 2 2" xfId="45618" xr:uid="{00000000-0005-0000-0000-0000AFB10000}"/>
    <cellStyle name="Normal 4 6 2 4 2 3" xfId="45619" xr:uid="{00000000-0005-0000-0000-0000B0B10000}"/>
    <cellStyle name="Normal 4 6 2 4 2 4" xfId="45620" xr:uid="{00000000-0005-0000-0000-0000B1B10000}"/>
    <cellStyle name="Normal 4 6 2 4 3" xfId="45621" xr:uid="{00000000-0005-0000-0000-0000B2B10000}"/>
    <cellStyle name="Normal 4 6 2 4 3 2" xfId="45622" xr:uid="{00000000-0005-0000-0000-0000B3B10000}"/>
    <cellStyle name="Normal 4 6 2 4 3 3" xfId="45623" xr:uid="{00000000-0005-0000-0000-0000B4B10000}"/>
    <cellStyle name="Normal 4 6 2 4 4" xfId="45624" xr:uid="{00000000-0005-0000-0000-0000B5B10000}"/>
    <cellStyle name="Normal 4 6 2 4 5" xfId="45625" xr:uid="{00000000-0005-0000-0000-0000B6B10000}"/>
    <cellStyle name="Normal 4 6 2 4 6" xfId="45626" xr:uid="{00000000-0005-0000-0000-0000B7B10000}"/>
    <cellStyle name="Normal 4 6 2 4 7" xfId="45627" xr:uid="{00000000-0005-0000-0000-0000B8B10000}"/>
    <cellStyle name="Normal 4 6 2 4 8" xfId="45628" xr:uid="{00000000-0005-0000-0000-0000B9B10000}"/>
    <cellStyle name="Normal 4 6 2 5" xfId="45629" xr:uid="{00000000-0005-0000-0000-0000BAB10000}"/>
    <cellStyle name="Normal 4 6 2 5 2" xfId="45630" xr:uid="{00000000-0005-0000-0000-0000BBB10000}"/>
    <cellStyle name="Normal 4 6 2 5 2 2" xfId="45631" xr:uid="{00000000-0005-0000-0000-0000BCB10000}"/>
    <cellStyle name="Normal 4 6 2 5 2 3" xfId="45632" xr:uid="{00000000-0005-0000-0000-0000BDB10000}"/>
    <cellStyle name="Normal 4 6 2 5 3" xfId="45633" xr:uid="{00000000-0005-0000-0000-0000BEB10000}"/>
    <cellStyle name="Normal 4 6 2 5 4" xfId="45634" xr:uid="{00000000-0005-0000-0000-0000BFB10000}"/>
    <cellStyle name="Normal 4 6 2 5 5" xfId="45635" xr:uid="{00000000-0005-0000-0000-0000C0B10000}"/>
    <cellStyle name="Normal 4 6 2 5 6" xfId="45636" xr:uid="{00000000-0005-0000-0000-0000C1B10000}"/>
    <cellStyle name="Normal 4 6 2 6" xfId="45637" xr:uid="{00000000-0005-0000-0000-0000C2B10000}"/>
    <cellStyle name="Normal 4 6 2 6 2" xfId="45638" xr:uid="{00000000-0005-0000-0000-0000C3B10000}"/>
    <cellStyle name="Normal 4 6 2 6 3" xfId="45639" xr:uid="{00000000-0005-0000-0000-0000C4B10000}"/>
    <cellStyle name="Normal 4 6 2 7" xfId="45640" xr:uid="{00000000-0005-0000-0000-0000C5B10000}"/>
    <cellStyle name="Normal 4 6 2 7 2" xfId="45641" xr:uid="{00000000-0005-0000-0000-0000C6B10000}"/>
    <cellStyle name="Normal 4 6 2 7 3" xfId="45642" xr:uid="{00000000-0005-0000-0000-0000C7B10000}"/>
    <cellStyle name="Normal 4 6 2 8" xfId="45643" xr:uid="{00000000-0005-0000-0000-0000C8B10000}"/>
    <cellStyle name="Normal 4 6 2 8 2" xfId="45644" xr:uid="{00000000-0005-0000-0000-0000C9B10000}"/>
    <cellStyle name="Normal 4 6 2 8 3" xfId="45645" xr:uid="{00000000-0005-0000-0000-0000CAB10000}"/>
    <cellStyle name="Normal 4 6 2 9" xfId="45646" xr:uid="{00000000-0005-0000-0000-0000CBB10000}"/>
    <cellStyle name="Normal 4 6 3" xfId="45647" xr:uid="{00000000-0005-0000-0000-0000CCB10000}"/>
    <cellStyle name="Normal 4 6 3 10" xfId="45648" xr:uid="{00000000-0005-0000-0000-0000CDB10000}"/>
    <cellStyle name="Normal 4 6 3 11" xfId="45649" xr:uid="{00000000-0005-0000-0000-0000CEB10000}"/>
    <cellStyle name="Normal 4 6 3 2" xfId="45650" xr:uid="{00000000-0005-0000-0000-0000CFB10000}"/>
    <cellStyle name="Normal 4 6 3 2 2" xfId="45651" xr:uid="{00000000-0005-0000-0000-0000D0B10000}"/>
    <cellStyle name="Normal 4 6 3 2 2 2" xfId="45652" xr:uid="{00000000-0005-0000-0000-0000D1B10000}"/>
    <cellStyle name="Normal 4 6 3 2 2 2 2" xfId="45653" xr:uid="{00000000-0005-0000-0000-0000D2B10000}"/>
    <cellStyle name="Normal 4 6 3 2 2 2 3" xfId="45654" xr:uid="{00000000-0005-0000-0000-0000D3B10000}"/>
    <cellStyle name="Normal 4 6 3 2 2 3" xfId="45655" xr:uid="{00000000-0005-0000-0000-0000D4B10000}"/>
    <cellStyle name="Normal 4 6 3 2 2 3 2" xfId="45656" xr:uid="{00000000-0005-0000-0000-0000D5B10000}"/>
    <cellStyle name="Normal 4 6 3 2 2 3 3" xfId="45657" xr:uid="{00000000-0005-0000-0000-0000D6B10000}"/>
    <cellStyle name="Normal 4 6 3 2 2 4" xfId="45658" xr:uid="{00000000-0005-0000-0000-0000D7B10000}"/>
    <cellStyle name="Normal 4 6 3 2 2 5" xfId="45659" xr:uid="{00000000-0005-0000-0000-0000D8B10000}"/>
    <cellStyle name="Normal 4 6 3 2 2 6" xfId="45660" xr:uid="{00000000-0005-0000-0000-0000D9B10000}"/>
    <cellStyle name="Normal 4 6 3 2 2 7" xfId="45661" xr:uid="{00000000-0005-0000-0000-0000DAB10000}"/>
    <cellStyle name="Normal 4 6 3 2 2 8" xfId="45662" xr:uid="{00000000-0005-0000-0000-0000DBB10000}"/>
    <cellStyle name="Normal 4 6 3 2 3" xfId="45663" xr:uid="{00000000-0005-0000-0000-0000DCB10000}"/>
    <cellStyle name="Normal 4 6 3 2 3 2" xfId="45664" xr:uid="{00000000-0005-0000-0000-0000DDB10000}"/>
    <cellStyle name="Normal 4 6 3 2 3 2 2" xfId="45665" xr:uid="{00000000-0005-0000-0000-0000DEB10000}"/>
    <cellStyle name="Normal 4 6 3 2 3 2 3" xfId="45666" xr:uid="{00000000-0005-0000-0000-0000DFB10000}"/>
    <cellStyle name="Normal 4 6 3 2 3 3" xfId="45667" xr:uid="{00000000-0005-0000-0000-0000E0B10000}"/>
    <cellStyle name="Normal 4 6 3 2 3 3 2" xfId="45668" xr:uid="{00000000-0005-0000-0000-0000E1B10000}"/>
    <cellStyle name="Normal 4 6 3 2 3 4" xfId="45669" xr:uid="{00000000-0005-0000-0000-0000E2B10000}"/>
    <cellStyle name="Normal 4 6 3 2 4" xfId="45670" xr:uid="{00000000-0005-0000-0000-0000E3B10000}"/>
    <cellStyle name="Normal 4 6 3 2 4 2" xfId="45671" xr:uid="{00000000-0005-0000-0000-0000E4B10000}"/>
    <cellStyle name="Normal 4 6 3 2 4 3" xfId="45672" xr:uid="{00000000-0005-0000-0000-0000E5B10000}"/>
    <cellStyle name="Normal 4 6 3 2 5" xfId="45673" xr:uid="{00000000-0005-0000-0000-0000E6B10000}"/>
    <cellStyle name="Normal 4 6 3 2 6" xfId="45674" xr:uid="{00000000-0005-0000-0000-0000E7B10000}"/>
    <cellStyle name="Normal 4 6 3 2 7" xfId="45675" xr:uid="{00000000-0005-0000-0000-0000E8B10000}"/>
    <cellStyle name="Normal 4 6 3 2 8" xfId="45676" xr:uid="{00000000-0005-0000-0000-0000E9B10000}"/>
    <cellStyle name="Normal 4 6 3 2 9" xfId="45677" xr:uid="{00000000-0005-0000-0000-0000EAB10000}"/>
    <cellStyle name="Normal 4 6 3 3" xfId="45678" xr:uid="{00000000-0005-0000-0000-0000EBB10000}"/>
    <cellStyle name="Normal 4 6 3 3 2" xfId="45679" xr:uid="{00000000-0005-0000-0000-0000ECB10000}"/>
    <cellStyle name="Normal 4 6 3 3 2 2" xfId="45680" xr:uid="{00000000-0005-0000-0000-0000EDB10000}"/>
    <cellStyle name="Normal 4 6 3 3 2 3" xfId="45681" xr:uid="{00000000-0005-0000-0000-0000EEB10000}"/>
    <cellStyle name="Normal 4 6 3 3 3" xfId="45682" xr:uid="{00000000-0005-0000-0000-0000EFB10000}"/>
    <cellStyle name="Normal 4 6 3 3 3 2" xfId="45683" xr:uid="{00000000-0005-0000-0000-0000F0B10000}"/>
    <cellStyle name="Normal 4 6 3 3 3 3" xfId="45684" xr:uid="{00000000-0005-0000-0000-0000F1B10000}"/>
    <cellStyle name="Normal 4 6 3 3 4" xfId="45685" xr:uid="{00000000-0005-0000-0000-0000F2B10000}"/>
    <cellStyle name="Normal 4 6 3 3 5" xfId="45686" xr:uid="{00000000-0005-0000-0000-0000F3B10000}"/>
    <cellStyle name="Normal 4 6 3 3 6" xfId="45687" xr:uid="{00000000-0005-0000-0000-0000F4B10000}"/>
    <cellStyle name="Normal 4 6 3 3 7" xfId="45688" xr:uid="{00000000-0005-0000-0000-0000F5B10000}"/>
    <cellStyle name="Normal 4 6 3 3 8" xfId="45689" xr:uid="{00000000-0005-0000-0000-0000F6B10000}"/>
    <cellStyle name="Normal 4 6 3 4" xfId="45690" xr:uid="{00000000-0005-0000-0000-0000F7B10000}"/>
    <cellStyle name="Normal 4 6 3 4 2" xfId="45691" xr:uid="{00000000-0005-0000-0000-0000F8B10000}"/>
    <cellStyle name="Normal 4 6 3 4 2 2" xfId="45692" xr:uid="{00000000-0005-0000-0000-0000F9B10000}"/>
    <cellStyle name="Normal 4 6 3 4 2 3" xfId="45693" xr:uid="{00000000-0005-0000-0000-0000FAB10000}"/>
    <cellStyle name="Normal 4 6 3 4 3" xfId="45694" xr:uid="{00000000-0005-0000-0000-0000FBB10000}"/>
    <cellStyle name="Normal 4 6 3 4 3 2" xfId="45695" xr:uid="{00000000-0005-0000-0000-0000FCB10000}"/>
    <cellStyle name="Normal 4 6 3 4 4" xfId="45696" xr:uid="{00000000-0005-0000-0000-0000FDB10000}"/>
    <cellStyle name="Normal 4 6 3 5" xfId="45697" xr:uid="{00000000-0005-0000-0000-0000FEB10000}"/>
    <cellStyle name="Normal 4 6 3 5 2" xfId="45698" xr:uid="{00000000-0005-0000-0000-0000FFB10000}"/>
    <cellStyle name="Normal 4 6 3 5 3" xfId="45699" xr:uid="{00000000-0005-0000-0000-000000B20000}"/>
    <cellStyle name="Normal 4 6 3 6" xfId="45700" xr:uid="{00000000-0005-0000-0000-000001B20000}"/>
    <cellStyle name="Normal 4 6 3 6 2" xfId="45701" xr:uid="{00000000-0005-0000-0000-000002B20000}"/>
    <cellStyle name="Normal 4 6 3 6 3" xfId="45702" xr:uid="{00000000-0005-0000-0000-000003B20000}"/>
    <cellStyle name="Normal 4 6 3 7" xfId="45703" xr:uid="{00000000-0005-0000-0000-000004B20000}"/>
    <cellStyle name="Normal 4 6 3 8" xfId="45704" xr:uid="{00000000-0005-0000-0000-000005B20000}"/>
    <cellStyle name="Normal 4 6 3 9" xfId="45705" xr:uid="{00000000-0005-0000-0000-000006B20000}"/>
    <cellStyle name="Normal 4 6 4" xfId="45706" xr:uid="{00000000-0005-0000-0000-000007B20000}"/>
    <cellStyle name="Normal 4 6 4 10" xfId="45707" xr:uid="{00000000-0005-0000-0000-000008B20000}"/>
    <cellStyle name="Normal 4 6 4 2" xfId="45708" xr:uid="{00000000-0005-0000-0000-000009B20000}"/>
    <cellStyle name="Normal 4 6 4 2 2" xfId="45709" xr:uid="{00000000-0005-0000-0000-00000AB20000}"/>
    <cellStyle name="Normal 4 6 4 2 2 2" xfId="45710" xr:uid="{00000000-0005-0000-0000-00000BB20000}"/>
    <cellStyle name="Normal 4 6 4 2 2 3" xfId="45711" xr:uid="{00000000-0005-0000-0000-00000CB20000}"/>
    <cellStyle name="Normal 4 6 4 2 2 4" xfId="45712" xr:uid="{00000000-0005-0000-0000-00000DB20000}"/>
    <cellStyle name="Normal 4 6 4 2 3" xfId="45713" xr:uid="{00000000-0005-0000-0000-00000EB20000}"/>
    <cellStyle name="Normal 4 6 4 2 3 2" xfId="45714" xr:uid="{00000000-0005-0000-0000-00000FB20000}"/>
    <cellStyle name="Normal 4 6 4 2 3 3" xfId="45715" xr:uid="{00000000-0005-0000-0000-000010B20000}"/>
    <cellStyle name="Normal 4 6 4 2 4" xfId="45716" xr:uid="{00000000-0005-0000-0000-000011B20000}"/>
    <cellStyle name="Normal 4 6 4 2 5" xfId="45717" xr:uid="{00000000-0005-0000-0000-000012B20000}"/>
    <cellStyle name="Normal 4 6 4 2 6" xfId="45718" xr:uid="{00000000-0005-0000-0000-000013B20000}"/>
    <cellStyle name="Normal 4 6 4 2 7" xfId="45719" xr:uid="{00000000-0005-0000-0000-000014B20000}"/>
    <cellStyle name="Normal 4 6 4 2 8" xfId="45720" xr:uid="{00000000-0005-0000-0000-000015B20000}"/>
    <cellStyle name="Normal 4 6 4 3" xfId="45721" xr:uid="{00000000-0005-0000-0000-000016B20000}"/>
    <cellStyle name="Normal 4 6 4 3 2" xfId="45722" xr:uid="{00000000-0005-0000-0000-000017B20000}"/>
    <cellStyle name="Normal 4 6 4 3 2 2" xfId="45723" xr:uid="{00000000-0005-0000-0000-000018B20000}"/>
    <cellStyle name="Normal 4 6 4 3 2 3" xfId="45724" xr:uid="{00000000-0005-0000-0000-000019B20000}"/>
    <cellStyle name="Normal 4 6 4 3 3" xfId="45725" xr:uid="{00000000-0005-0000-0000-00001AB20000}"/>
    <cellStyle name="Normal 4 6 4 3 4" xfId="45726" xr:uid="{00000000-0005-0000-0000-00001BB20000}"/>
    <cellStyle name="Normal 4 6 4 3 5" xfId="45727" xr:uid="{00000000-0005-0000-0000-00001CB20000}"/>
    <cellStyle name="Normal 4 6 4 3 6" xfId="45728" xr:uid="{00000000-0005-0000-0000-00001DB20000}"/>
    <cellStyle name="Normal 4 6 4 4" xfId="45729" xr:uid="{00000000-0005-0000-0000-00001EB20000}"/>
    <cellStyle name="Normal 4 6 4 4 2" xfId="45730" xr:uid="{00000000-0005-0000-0000-00001FB20000}"/>
    <cellStyle name="Normal 4 6 4 4 3" xfId="45731" xr:uid="{00000000-0005-0000-0000-000020B20000}"/>
    <cellStyle name="Normal 4 6 4 5" xfId="45732" xr:uid="{00000000-0005-0000-0000-000021B20000}"/>
    <cellStyle name="Normal 4 6 4 5 2" xfId="45733" xr:uid="{00000000-0005-0000-0000-000022B20000}"/>
    <cellStyle name="Normal 4 6 4 5 3" xfId="45734" xr:uid="{00000000-0005-0000-0000-000023B20000}"/>
    <cellStyle name="Normal 4 6 4 6" xfId="45735" xr:uid="{00000000-0005-0000-0000-000024B20000}"/>
    <cellStyle name="Normal 4 6 4 7" xfId="45736" xr:uid="{00000000-0005-0000-0000-000025B20000}"/>
    <cellStyle name="Normal 4 6 4 8" xfId="45737" xr:uid="{00000000-0005-0000-0000-000026B20000}"/>
    <cellStyle name="Normal 4 6 4 9" xfId="45738" xr:uid="{00000000-0005-0000-0000-000027B20000}"/>
    <cellStyle name="Normal 4 6 5" xfId="45739" xr:uid="{00000000-0005-0000-0000-000028B20000}"/>
    <cellStyle name="Normal 4 6 5 2" xfId="45740" xr:uid="{00000000-0005-0000-0000-000029B20000}"/>
    <cellStyle name="Normal 4 6 5 2 2" xfId="45741" xr:uid="{00000000-0005-0000-0000-00002AB20000}"/>
    <cellStyle name="Normal 4 6 5 2 3" xfId="45742" xr:uid="{00000000-0005-0000-0000-00002BB20000}"/>
    <cellStyle name="Normal 4 6 5 2 4" xfId="45743" xr:uid="{00000000-0005-0000-0000-00002CB20000}"/>
    <cellStyle name="Normal 4 6 5 3" xfId="45744" xr:uid="{00000000-0005-0000-0000-00002DB20000}"/>
    <cellStyle name="Normal 4 6 5 3 2" xfId="45745" xr:uid="{00000000-0005-0000-0000-00002EB20000}"/>
    <cellStyle name="Normal 4 6 5 3 3" xfId="45746" xr:uid="{00000000-0005-0000-0000-00002FB20000}"/>
    <cellStyle name="Normal 4 6 5 4" xfId="45747" xr:uid="{00000000-0005-0000-0000-000030B20000}"/>
    <cellStyle name="Normal 4 6 5 5" xfId="45748" xr:uid="{00000000-0005-0000-0000-000031B20000}"/>
    <cellStyle name="Normal 4 6 5 6" xfId="45749" xr:uid="{00000000-0005-0000-0000-000032B20000}"/>
    <cellStyle name="Normal 4 6 5 7" xfId="45750" xr:uid="{00000000-0005-0000-0000-000033B20000}"/>
    <cellStyle name="Normal 4 6 5 8" xfId="45751" xr:uid="{00000000-0005-0000-0000-000034B20000}"/>
    <cellStyle name="Normal 4 6 6" xfId="45752" xr:uid="{00000000-0005-0000-0000-000035B20000}"/>
    <cellStyle name="Normal 4 6 6 2" xfId="45753" xr:uid="{00000000-0005-0000-0000-000036B20000}"/>
    <cellStyle name="Normal 4 6 6 2 2" xfId="45754" xr:uid="{00000000-0005-0000-0000-000037B20000}"/>
    <cellStyle name="Normal 4 6 6 2 3" xfId="45755" xr:uid="{00000000-0005-0000-0000-000038B20000}"/>
    <cellStyle name="Normal 4 6 6 3" xfId="45756" xr:uid="{00000000-0005-0000-0000-000039B20000}"/>
    <cellStyle name="Normal 4 6 6 4" xfId="45757" xr:uid="{00000000-0005-0000-0000-00003AB20000}"/>
    <cellStyle name="Normal 4 6 6 5" xfId="45758" xr:uid="{00000000-0005-0000-0000-00003BB20000}"/>
    <cellStyle name="Normal 4 6 6 6" xfId="45759" xr:uid="{00000000-0005-0000-0000-00003CB20000}"/>
    <cellStyle name="Normal 4 6 7" xfId="45760" xr:uid="{00000000-0005-0000-0000-00003DB20000}"/>
    <cellStyle name="Normal 4 6 7 2" xfId="45761" xr:uid="{00000000-0005-0000-0000-00003EB20000}"/>
    <cellStyle name="Normal 4 6 7 3" xfId="45762" xr:uid="{00000000-0005-0000-0000-00003FB20000}"/>
    <cellStyle name="Normal 4 6 8" xfId="45763" xr:uid="{00000000-0005-0000-0000-000040B20000}"/>
    <cellStyle name="Normal 4 6 8 2" xfId="45764" xr:uid="{00000000-0005-0000-0000-000041B20000}"/>
    <cellStyle name="Normal 4 6 8 3" xfId="45765" xr:uid="{00000000-0005-0000-0000-000042B20000}"/>
    <cellStyle name="Normal 4 6 9" xfId="45766" xr:uid="{00000000-0005-0000-0000-000043B20000}"/>
    <cellStyle name="Normal 4 6 9 2" xfId="45767" xr:uid="{00000000-0005-0000-0000-000044B20000}"/>
    <cellStyle name="Normal 4 6 9 3" xfId="45768" xr:uid="{00000000-0005-0000-0000-000045B20000}"/>
    <cellStyle name="Normal 4 7" xfId="45769" xr:uid="{00000000-0005-0000-0000-000046B20000}"/>
    <cellStyle name="Normal 4 7 10" xfId="45770" xr:uid="{00000000-0005-0000-0000-000047B20000}"/>
    <cellStyle name="Normal 4 7 11" xfId="45771" xr:uid="{00000000-0005-0000-0000-000048B20000}"/>
    <cellStyle name="Normal 4 7 12" xfId="45772" xr:uid="{00000000-0005-0000-0000-000049B20000}"/>
    <cellStyle name="Normal 4 7 13" xfId="45773" xr:uid="{00000000-0005-0000-0000-00004AB20000}"/>
    <cellStyle name="Normal 4 7 2" xfId="45774" xr:uid="{00000000-0005-0000-0000-00004BB20000}"/>
    <cellStyle name="Normal 4 7 2 10" xfId="45775" xr:uid="{00000000-0005-0000-0000-00004CB20000}"/>
    <cellStyle name="Normal 4 7 2 11" xfId="45776" xr:uid="{00000000-0005-0000-0000-00004DB20000}"/>
    <cellStyle name="Normal 4 7 2 2" xfId="45777" xr:uid="{00000000-0005-0000-0000-00004EB20000}"/>
    <cellStyle name="Normal 4 7 2 2 10" xfId="45778" xr:uid="{00000000-0005-0000-0000-00004FB20000}"/>
    <cellStyle name="Normal 4 7 2 2 2" xfId="45779" xr:uid="{00000000-0005-0000-0000-000050B20000}"/>
    <cellStyle name="Normal 4 7 2 2 2 2" xfId="45780" xr:uid="{00000000-0005-0000-0000-000051B20000}"/>
    <cellStyle name="Normal 4 7 2 2 2 2 2" xfId="45781" xr:uid="{00000000-0005-0000-0000-000052B20000}"/>
    <cellStyle name="Normal 4 7 2 2 2 2 3" xfId="45782" xr:uid="{00000000-0005-0000-0000-000053B20000}"/>
    <cellStyle name="Normal 4 7 2 2 2 3" xfId="45783" xr:uid="{00000000-0005-0000-0000-000054B20000}"/>
    <cellStyle name="Normal 4 7 2 2 2 3 2" xfId="45784" xr:uid="{00000000-0005-0000-0000-000055B20000}"/>
    <cellStyle name="Normal 4 7 2 2 2 3 3" xfId="45785" xr:uid="{00000000-0005-0000-0000-000056B20000}"/>
    <cellStyle name="Normal 4 7 2 2 2 4" xfId="45786" xr:uid="{00000000-0005-0000-0000-000057B20000}"/>
    <cellStyle name="Normal 4 7 2 2 2 5" xfId="45787" xr:uid="{00000000-0005-0000-0000-000058B20000}"/>
    <cellStyle name="Normal 4 7 2 2 2 6" xfId="45788" xr:uid="{00000000-0005-0000-0000-000059B20000}"/>
    <cellStyle name="Normal 4 7 2 2 2 7" xfId="45789" xr:uid="{00000000-0005-0000-0000-00005AB20000}"/>
    <cellStyle name="Normal 4 7 2 2 2 8" xfId="45790" xr:uid="{00000000-0005-0000-0000-00005BB20000}"/>
    <cellStyle name="Normal 4 7 2 2 3" xfId="45791" xr:uid="{00000000-0005-0000-0000-00005CB20000}"/>
    <cellStyle name="Normal 4 7 2 2 3 2" xfId="45792" xr:uid="{00000000-0005-0000-0000-00005DB20000}"/>
    <cellStyle name="Normal 4 7 2 2 3 2 2" xfId="45793" xr:uid="{00000000-0005-0000-0000-00005EB20000}"/>
    <cellStyle name="Normal 4 7 2 2 3 2 3" xfId="45794" xr:uid="{00000000-0005-0000-0000-00005FB20000}"/>
    <cellStyle name="Normal 4 7 2 2 3 3" xfId="45795" xr:uid="{00000000-0005-0000-0000-000060B20000}"/>
    <cellStyle name="Normal 4 7 2 2 3 3 2" xfId="45796" xr:uid="{00000000-0005-0000-0000-000061B20000}"/>
    <cellStyle name="Normal 4 7 2 2 3 4" xfId="45797" xr:uid="{00000000-0005-0000-0000-000062B20000}"/>
    <cellStyle name="Normal 4 7 2 2 4" xfId="45798" xr:uid="{00000000-0005-0000-0000-000063B20000}"/>
    <cellStyle name="Normal 4 7 2 2 4 2" xfId="45799" xr:uid="{00000000-0005-0000-0000-000064B20000}"/>
    <cellStyle name="Normal 4 7 2 2 4 3" xfId="45800" xr:uid="{00000000-0005-0000-0000-000065B20000}"/>
    <cellStyle name="Normal 4 7 2 2 5" xfId="45801" xr:uid="{00000000-0005-0000-0000-000066B20000}"/>
    <cellStyle name="Normal 4 7 2 2 5 2" xfId="45802" xr:uid="{00000000-0005-0000-0000-000067B20000}"/>
    <cellStyle name="Normal 4 7 2 2 5 3" xfId="45803" xr:uid="{00000000-0005-0000-0000-000068B20000}"/>
    <cellStyle name="Normal 4 7 2 2 6" xfId="45804" xr:uid="{00000000-0005-0000-0000-000069B20000}"/>
    <cellStyle name="Normal 4 7 2 2 7" xfId="45805" xr:uid="{00000000-0005-0000-0000-00006AB20000}"/>
    <cellStyle name="Normal 4 7 2 2 8" xfId="45806" xr:uid="{00000000-0005-0000-0000-00006BB20000}"/>
    <cellStyle name="Normal 4 7 2 2 9" xfId="45807" xr:uid="{00000000-0005-0000-0000-00006CB20000}"/>
    <cellStyle name="Normal 4 7 2 3" xfId="45808" xr:uid="{00000000-0005-0000-0000-00006DB20000}"/>
    <cellStyle name="Normal 4 7 2 3 2" xfId="45809" xr:uid="{00000000-0005-0000-0000-00006EB20000}"/>
    <cellStyle name="Normal 4 7 2 3 2 2" xfId="45810" xr:uid="{00000000-0005-0000-0000-00006FB20000}"/>
    <cellStyle name="Normal 4 7 2 3 2 3" xfId="45811" xr:uid="{00000000-0005-0000-0000-000070B20000}"/>
    <cellStyle name="Normal 4 7 2 3 3" xfId="45812" xr:uid="{00000000-0005-0000-0000-000071B20000}"/>
    <cellStyle name="Normal 4 7 2 3 3 2" xfId="45813" xr:uid="{00000000-0005-0000-0000-000072B20000}"/>
    <cellStyle name="Normal 4 7 2 3 3 3" xfId="45814" xr:uid="{00000000-0005-0000-0000-000073B20000}"/>
    <cellStyle name="Normal 4 7 2 3 4" xfId="45815" xr:uid="{00000000-0005-0000-0000-000074B20000}"/>
    <cellStyle name="Normal 4 7 2 3 5" xfId="45816" xr:uid="{00000000-0005-0000-0000-000075B20000}"/>
    <cellStyle name="Normal 4 7 2 3 6" xfId="45817" xr:uid="{00000000-0005-0000-0000-000076B20000}"/>
    <cellStyle name="Normal 4 7 2 3 7" xfId="45818" xr:uid="{00000000-0005-0000-0000-000077B20000}"/>
    <cellStyle name="Normal 4 7 2 3 8" xfId="45819" xr:uid="{00000000-0005-0000-0000-000078B20000}"/>
    <cellStyle name="Normal 4 7 2 4" xfId="45820" xr:uid="{00000000-0005-0000-0000-000079B20000}"/>
    <cellStyle name="Normal 4 7 2 4 2" xfId="45821" xr:uid="{00000000-0005-0000-0000-00007AB20000}"/>
    <cellStyle name="Normal 4 7 2 4 2 2" xfId="45822" xr:uid="{00000000-0005-0000-0000-00007BB20000}"/>
    <cellStyle name="Normal 4 7 2 4 2 3" xfId="45823" xr:uid="{00000000-0005-0000-0000-00007CB20000}"/>
    <cellStyle name="Normal 4 7 2 4 3" xfId="45824" xr:uid="{00000000-0005-0000-0000-00007DB20000}"/>
    <cellStyle name="Normal 4 7 2 4 3 2" xfId="45825" xr:uid="{00000000-0005-0000-0000-00007EB20000}"/>
    <cellStyle name="Normal 4 7 2 4 4" xfId="45826" xr:uid="{00000000-0005-0000-0000-00007FB20000}"/>
    <cellStyle name="Normal 4 7 2 5" xfId="45827" xr:uid="{00000000-0005-0000-0000-000080B20000}"/>
    <cellStyle name="Normal 4 7 2 5 2" xfId="45828" xr:uid="{00000000-0005-0000-0000-000081B20000}"/>
    <cellStyle name="Normal 4 7 2 5 3" xfId="45829" xr:uid="{00000000-0005-0000-0000-000082B20000}"/>
    <cellStyle name="Normal 4 7 2 6" xfId="45830" xr:uid="{00000000-0005-0000-0000-000083B20000}"/>
    <cellStyle name="Normal 4 7 2 6 2" xfId="45831" xr:uid="{00000000-0005-0000-0000-000084B20000}"/>
    <cellStyle name="Normal 4 7 2 6 3" xfId="45832" xr:uid="{00000000-0005-0000-0000-000085B20000}"/>
    <cellStyle name="Normal 4 7 2 7" xfId="45833" xr:uid="{00000000-0005-0000-0000-000086B20000}"/>
    <cellStyle name="Normal 4 7 2 8" xfId="45834" xr:uid="{00000000-0005-0000-0000-000087B20000}"/>
    <cellStyle name="Normal 4 7 2 9" xfId="45835" xr:uid="{00000000-0005-0000-0000-000088B20000}"/>
    <cellStyle name="Normal 4 7 3" xfId="45836" xr:uid="{00000000-0005-0000-0000-000089B20000}"/>
    <cellStyle name="Normal 4 7 3 10" xfId="45837" xr:uid="{00000000-0005-0000-0000-00008AB20000}"/>
    <cellStyle name="Normal 4 7 3 2" xfId="45838" xr:uid="{00000000-0005-0000-0000-00008BB20000}"/>
    <cellStyle name="Normal 4 7 3 2 2" xfId="45839" xr:uid="{00000000-0005-0000-0000-00008CB20000}"/>
    <cellStyle name="Normal 4 7 3 2 2 2" xfId="45840" xr:uid="{00000000-0005-0000-0000-00008DB20000}"/>
    <cellStyle name="Normal 4 7 3 2 2 3" xfId="45841" xr:uid="{00000000-0005-0000-0000-00008EB20000}"/>
    <cellStyle name="Normal 4 7 3 2 2 4" xfId="45842" xr:uid="{00000000-0005-0000-0000-00008FB20000}"/>
    <cellStyle name="Normal 4 7 3 2 3" xfId="45843" xr:uid="{00000000-0005-0000-0000-000090B20000}"/>
    <cellStyle name="Normal 4 7 3 2 3 2" xfId="45844" xr:uid="{00000000-0005-0000-0000-000091B20000}"/>
    <cellStyle name="Normal 4 7 3 2 3 3" xfId="45845" xr:uid="{00000000-0005-0000-0000-000092B20000}"/>
    <cellStyle name="Normal 4 7 3 2 4" xfId="45846" xr:uid="{00000000-0005-0000-0000-000093B20000}"/>
    <cellStyle name="Normal 4 7 3 2 5" xfId="45847" xr:uid="{00000000-0005-0000-0000-000094B20000}"/>
    <cellStyle name="Normal 4 7 3 2 6" xfId="45848" xr:uid="{00000000-0005-0000-0000-000095B20000}"/>
    <cellStyle name="Normal 4 7 3 2 7" xfId="45849" xr:uid="{00000000-0005-0000-0000-000096B20000}"/>
    <cellStyle name="Normal 4 7 3 2 8" xfId="45850" xr:uid="{00000000-0005-0000-0000-000097B20000}"/>
    <cellStyle name="Normal 4 7 3 3" xfId="45851" xr:uid="{00000000-0005-0000-0000-000098B20000}"/>
    <cellStyle name="Normal 4 7 3 3 2" xfId="45852" xr:uid="{00000000-0005-0000-0000-000099B20000}"/>
    <cellStyle name="Normal 4 7 3 3 2 2" xfId="45853" xr:uid="{00000000-0005-0000-0000-00009AB20000}"/>
    <cellStyle name="Normal 4 7 3 3 2 3" xfId="45854" xr:uid="{00000000-0005-0000-0000-00009BB20000}"/>
    <cellStyle name="Normal 4 7 3 3 3" xfId="45855" xr:uid="{00000000-0005-0000-0000-00009CB20000}"/>
    <cellStyle name="Normal 4 7 3 3 4" xfId="45856" xr:uid="{00000000-0005-0000-0000-00009DB20000}"/>
    <cellStyle name="Normal 4 7 3 3 5" xfId="45857" xr:uid="{00000000-0005-0000-0000-00009EB20000}"/>
    <cellStyle name="Normal 4 7 3 3 6" xfId="45858" xr:uid="{00000000-0005-0000-0000-00009FB20000}"/>
    <cellStyle name="Normal 4 7 3 4" xfId="45859" xr:uid="{00000000-0005-0000-0000-0000A0B20000}"/>
    <cellStyle name="Normal 4 7 3 4 2" xfId="45860" xr:uid="{00000000-0005-0000-0000-0000A1B20000}"/>
    <cellStyle name="Normal 4 7 3 4 3" xfId="45861" xr:uid="{00000000-0005-0000-0000-0000A2B20000}"/>
    <cellStyle name="Normal 4 7 3 5" xfId="45862" xr:uid="{00000000-0005-0000-0000-0000A3B20000}"/>
    <cellStyle name="Normal 4 7 3 5 2" xfId="45863" xr:uid="{00000000-0005-0000-0000-0000A4B20000}"/>
    <cellStyle name="Normal 4 7 3 5 3" xfId="45864" xr:uid="{00000000-0005-0000-0000-0000A5B20000}"/>
    <cellStyle name="Normal 4 7 3 6" xfId="45865" xr:uid="{00000000-0005-0000-0000-0000A6B20000}"/>
    <cellStyle name="Normal 4 7 3 7" xfId="45866" xr:uid="{00000000-0005-0000-0000-0000A7B20000}"/>
    <cellStyle name="Normal 4 7 3 8" xfId="45867" xr:uid="{00000000-0005-0000-0000-0000A8B20000}"/>
    <cellStyle name="Normal 4 7 3 9" xfId="45868" xr:uid="{00000000-0005-0000-0000-0000A9B20000}"/>
    <cellStyle name="Normal 4 7 4" xfId="45869" xr:uid="{00000000-0005-0000-0000-0000AAB20000}"/>
    <cellStyle name="Normal 4 7 4 2" xfId="45870" xr:uid="{00000000-0005-0000-0000-0000ABB20000}"/>
    <cellStyle name="Normal 4 7 4 2 2" xfId="45871" xr:uid="{00000000-0005-0000-0000-0000ACB20000}"/>
    <cellStyle name="Normal 4 7 4 2 3" xfId="45872" xr:uid="{00000000-0005-0000-0000-0000ADB20000}"/>
    <cellStyle name="Normal 4 7 4 2 4" xfId="45873" xr:uid="{00000000-0005-0000-0000-0000AEB20000}"/>
    <cellStyle name="Normal 4 7 4 3" xfId="45874" xr:uid="{00000000-0005-0000-0000-0000AFB20000}"/>
    <cellStyle name="Normal 4 7 4 3 2" xfId="45875" xr:uid="{00000000-0005-0000-0000-0000B0B20000}"/>
    <cellStyle name="Normal 4 7 4 3 3" xfId="45876" xr:uid="{00000000-0005-0000-0000-0000B1B20000}"/>
    <cellStyle name="Normal 4 7 4 4" xfId="45877" xr:uid="{00000000-0005-0000-0000-0000B2B20000}"/>
    <cellStyle name="Normal 4 7 4 5" xfId="45878" xr:uid="{00000000-0005-0000-0000-0000B3B20000}"/>
    <cellStyle name="Normal 4 7 4 6" xfId="45879" xr:uid="{00000000-0005-0000-0000-0000B4B20000}"/>
    <cellStyle name="Normal 4 7 4 7" xfId="45880" xr:uid="{00000000-0005-0000-0000-0000B5B20000}"/>
    <cellStyle name="Normal 4 7 4 8" xfId="45881" xr:uid="{00000000-0005-0000-0000-0000B6B20000}"/>
    <cellStyle name="Normal 4 7 5" xfId="45882" xr:uid="{00000000-0005-0000-0000-0000B7B20000}"/>
    <cellStyle name="Normal 4 7 5 2" xfId="45883" xr:uid="{00000000-0005-0000-0000-0000B8B20000}"/>
    <cellStyle name="Normal 4 7 5 2 2" xfId="45884" xr:uid="{00000000-0005-0000-0000-0000B9B20000}"/>
    <cellStyle name="Normal 4 7 5 2 3" xfId="45885" xr:uid="{00000000-0005-0000-0000-0000BAB20000}"/>
    <cellStyle name="Normal 4 7 5 3" xfId="45886" xr:uid="{00000000-0005-0000-0000-0000BBB20000}"/>
    <cellStyle name="Normal 4 7 5 4" xfId="45887" xr:uid="{00000000-0005-0000-0000-0000BCB20000}"/>
    <cellStyle name="Normal 4 7 5 5" xfId="45888" xr:uid="{00000000-0005-0000-0000-0000BDB20000}"/>
    <cellStyle name="Normal 4 7 5 6" xfId="45889" xr:uid="{00000000-0005-0000-0000-0000BEB20000}"/>
    <cellStyle name="Normal 4 7 6" xfId="45890" xr:uid="{00000000-0005-0000-0000-0000BFB20000}"/>
    <cellStyle name="Normal 4 7 6 2" xfId="45891" xr:uid="{00000000-0005-0000-0000-0000C0B20000}"/>
    <cellStyle name="Normal 4 7 6 3" xfId="45892" xr:uid="{00000000-0005-0000-0000-0000C1B20000}"/>
    <cellStyle name="Normal 4 7 7" xfId="45893" xr:uid="{00000000-0005-0000-0000-0000C2B20000}"/>
    <cellStyle name="Normal 4 7 7 2" xfId="45894" xr:uid="{00000000-0005-0000-0000-0000C3B20000}"/>
    <cellStyle name="Normal 4 7 7 3" xfId="45895" xr:uid="{00000000-0005-0000-0000-0000C4B20000}"/>
    <cellStyle name="Normal 4 7 8" xfId="45896" xr:uid="{00000000-0005-0000-0000-0000C5B20000}"/>
    <cellStyle name="Normal 4 7 8 2" xfId="45897" xr:uid="{00000000-0005-0000-0000-0000C6B20000}"/>
    <cellStyle name="Normal 4 7 8 3" xfId="45898" xr:uid="{00000000-0005-0000-0000-0000C7B20000}"/>
    <cellStyle name="Normal 4 7 9" xfId="45899" xr:uid="{00000000-0005-0000-0000-0000C8B20000}"/>
    <cellStyle name="Normal 4 8" xfId="45900" xr:uid="{00000000-0005-0000-0000-0000C9B20000}"/>
    <cellStyle name="Normal 4 8 10" xfId="45901" xr:uid="{00000000-0005-0000-0000-0000CAB20000}"/>
    <cellStyle name="Normal 4 8 11" xfId="45902" xr:uid="{00000000-0005-0000-0000-0000CBB20000}"/>
    <cellStyle name="Normal 4 8 12" xfId="45903" xr:uid="{00000000-0005-0000-0000-0000CCB20000}"/>
    <cellStyle name="Normal 4 8 2" xfId="45904" xr:uid="{00000000-0005-0000-0000-0000CDB20000}"/>
    <cellStyle name="Normal 4 8 2 10" xfId="45905" xr:uid="{00000000-0005-0000-0000-0000CEB20000}"/>
    <cellStyle name="Normal 4 8 2 2" xfId="45906" xr:uid="{00000000-0005-0000-0000-0000CFB20000}"/>
    <cellStyle name="Normal 4 8 2 2 2" xfId="45907" xr:uid="{00000000-0005-0000-0000-0000D0B20000}"/>
    <cellStyle name="Normal 4 8 2 2 2 2" xfId="45908" xr:uid="{00000000-0005-0000-0000-0000D1B20000}"/>
    <cellStyle name="Normal 4 8 2 2 2 3" xfId="45909" xr:uid="{00000000-0005-0000-0000-0000D2B20000}"/>
    <cellStyle name="Normal 4 8 2 2 3" xfId="45910" xr:uid="{00000000-0005-0000-0000-0000D3B20000}"/>
    <cellStyle name="Normal 4 8 2 2 3 2" xfId="45911" xr:uid="{00000000-0005-0000-0000-0000D4B20000}"/>
    <cellStyle name="Normal 4 8 2 2 3 3" xfId="45912" xr:uid="{00000000-0005-0000-0000-0000D5B20000}"/>
    <cellStyle name="Normal 4 8 2 2 4" xfId="45913" xr:uid="{00000000-0005-0000-0000-0000D6B20000}"/>
    <cellStyle name="Normal 4 8 2 2 5" xfId="45914" xr:uid="{00000000-0005-0000-0000-0000D7B20000}"/>
    <cellStyle name="Normal 4 8 2 2 6" xfId="45915" xr:uid="{00000000-0005-0000-0000-0000D8B20000}"/>
    <cellStyle name="Normal 4 8 2 2 7" xfId="45916" xr:uid="{00000000-0005-0000-0000-0000D9B20000}"/>
    <cellStyle name="Normal 4 8 2 2 8" xfId="45917" xr:uid="{00000000-0005-0000-0000-0000DAB20000}"/>
    <cellStyle name="Normal 4 8 2 3" xfId="45918" xr:uid="{00000000-0005-0000-0000-0000DBB20000}"/>
    <cellStyle name="Normal 4 8 2 3 2" xfId="45919" xr:uid="{00000000-0005-0000-0000-0000DCB20000}"/>
    <cellStyle name="Normal 4 8 2 3 2 2" xfId="45920" xr:uid="{00000000-0005-0000-0000-0000DDB20000}"/>
    <cellStyle name="Normal 4 8 2 3 2 3" xfId="45921" xr:uid="{00000000-0005-0000-0000-0000DEB20000}"/>
    <cellStyle name="Normal 4 8 2 3 3" xfId="45922" xr:uid="{00000000-0005-0000-0000-0000DFB20000}"/>
    <cellStyle name="Normal 4 8 2 3 3 2" xfId="45923" xr:uid="{00000000-0005-0000-0000-0000E0B20000}"/>
    <cellStyle name="Normal 4 8 2 3 4" xfId="45924" xr:uid="{00000000-0005-0000-0000-0000E1B20000}"/>
    <cellStyle name="Normal 4 8 2 4" xfId="45925" xr:uid="{00000000-0005-0000-0000-0000E2B20000}"/>
    <cellStyle name="Normal 4 8 2 4 2" xfId="45926" xr:uid="{00000000-0005-0000-0000-0000E3B20000}"/>
    <cellStyle name="Normal 4 8 2 4 3" xfId="45927" xr:uid="{00000000-0005-0000-0000-0000E4B20000}"/>
    <cellStyle name="Normal 4 8 2 5" xfId="45928" xr:uid="{00000000-0005-0000-0000-0000E5B20000}"/>
    <cellStyle name="Normal 4 8 2 5 2" xfId="45929" xr:uid="{00000000-0005-0000-0000-0000E6B20000}"/>
    <cellStyle name="Normal 4 8 2 5 3" xfId="45930" xr:uid="{00000000-0005-0000-0000-0000E7B20000}"/>
    <cellStyle name="Normal 4 8 2 6" xfId="45931" xr:uid="{00000000-0005-0000-0000-0000E8B20000}"/>
    <cellStyle name="Normal 4 8 2 7" xfId="45932" xr:uid="{00000000-0005-0000-0000-0000E9B20000}"/>
    <cellStyle name="Normal 4 8 2 8" xfId="45933" xr:uid="{00000000-0005-0000-0000-0000EAB20000}"/>
    <cellStyle name="Normal 4 8 2 9" xfId="45934" xr:uid="{00000000-0005-0000-0000-0000EBB20000}"/>
    <cellStyle name="Normal 4 8 3" xfId="45935" xr:uid="{00000000-0005-0000-0000-0000ECB20000}"/>
    <cellStyle name="Normal 4 8 3 2" xfId="45936" xr:uid="{00000000-0005-0000-0000-0000EDB20000}"/>
    <cellStyle name="Normal 4 8 3 2 2" xfId="45937" xr:uid="{00000000-0005-0000-0000-0000EEB20000}"/>
    <cellStyle name="Normal 4 8 3 2 3" xfId="45938" xr:uid="{00000000-0005-0000-0000-0000EFB20000}"/>
    <cellStyle name="Normal 4 8 3 2 4" xfId="45939" xr:uid="{00000000-0005-0000-0000-0000F0B20000}"/>
    <cellStyle name="Normal 4 8 3 3" xfId="45940" xr:uid="{00000000-0005-0000-0000-0000F1B20000}"/>
    <cellStyle name="Normal 4 8 3 3 2" xfId="45941" xr:uid="{00000000-0005-0000-0000-0000F2B20000}"/>
    <cellStyle name="Normal 4 8 3 3 3" xfId="45942" xr:uid="{00000000-0005-0000-0000-0000F3B20000}"/>
    <cellStyle name="Normal 4 8 3 4" xfId="45943" xr:uid="{00000000-0005-0000-0000-0000F4B20000}"/>
    <cellStyle name="Normal 4 8 3 5" xfId="45944" xr:uid="{00000000-0005-0000-0000-0000F5B20000}"/>
    <cellStyle name="Normal 4 8 3 6" xfId="45945" xr:uid="{00000000-0005-0000-0000-0000F6B20000}"/>
    <cellStyle name="Normal 4 8 3 7" xfId="45946" xr:uid="{00000000-0005-0000-0000-0000F7B20000}"/>
    <cellStyle name="Normal 4 8 3 8" xfId="45947" xr:uid="{00000000-0005-0000-0000-0000F8B20000}"/>
    <cellStyle name="Normal 4 8 4" xfId="45948" xr:uid="{00000000-0005-0000-0000-0000F9B20000}"/>
    <cellStyle name="Normal 4 8 4 2" xfId="45949" xr:uid="{00000000-0005-0000-0000-0000FAB20000}"/>
    <cellStyle name="Normal 4 8 4 2 2" xfId="45950" xr:uid="{00000000-0005-0000-0000-0000FBB20000}"/>
    <cellStyle name="Normal 4 8 4 2 3" xfId="45951" xr:uid="{00000000-0005-0000-0000-0000FCB20000}"/>
    <cellStyle name="Normal 4 8 4 3" xfId="45952" xr:uid="{00000000-0005-0000-0000-0000FDB20000}"/>
    <cellStyle name="Normal 4 8 4 3 2" xfId="45953" xr:uid="{00000000-0005-0000-0000-0000FEB20000}"/>
    <cellStyle name="Normal 4 8 4 4" xfId="45954" xr:uid="{00000000-0005-0000-0000-0000FFB20000}"/>
    <cellStyle name="Normal 4 8 5" xfId="45955" xr:uid="{00000000-0005-0000-0000-000000B30000}"/>
    <cellStyle name="Normal 4 8 5 2" xfId="45956" xr:uid="{00000000-0005-0000-0000-000001B30000}"/>
    <cellStyle name="Normal 4 8 5 3" xfId="45957" xr:uid="{00000000-0005-0000-0000-000002B30000}"/>
    <cellStyle name="Normal 4 8 6" xfId="45958" xr:uid="{00000000-0005-0000-0000-000003B30000}"/>
    <cellStyle name="Normal 4 8 6 2" xfId="45959" xr:uid="{00000000-0005-0000-0000-000004B30000}"/>
    <cellStyle name="Normal 4 8 6 3" xfId="45960" xr:uid="{00000000-0005-0000-0000-000005B30000}"/>
    <cellStyle name="Normal 4 8 7" xfId="45961" xr:uid="{00000000-0005-0000-0000-000006B30000}"/>
    <cellStyle name="Normal 4 8 7 2" xfId="45962" xr:uid="{00000000-0005-0000-0000-000007B30000}"/>
    <cellStyle name="Normal 4 8 7 3" xfId="45963" xr:uid="{00000000-0005-0000-0000-000008B30000}"/>
    <cellStyle name="Normal 4 8 8" xfId="45964" xr:uid="{00000000-0005-0000-0000-000009B30000}"/>
    <cellStyle name="Normal 4 8 9" xfId="45965" xr:uid="{00000000-0005-0000-0000-00000AB30000}"/>
    <cellStyle name="Normal 4 8_Dec monthly report" xfId="45966" xr:uid="{00000000-0005-0000-0000-00000BB30000}"/>
    <cellStyle name="Normal 4 9" xfId="45967" xr:uid="{00000000-0005-0000-0000-00000CB30000}"/>
    <cellStyle name="Normal 4 9 10" xfId="45968" xr:uid="{00000000-0005-0000-0000-00000DB30000}"/>
    <cellStyle name="Normal 4 9 11" xfId="45969" xr:uid="{00000000-0005-0000-0000-00000EB30000}"/>
    <cellStyle name="Normal 4 9 12" xfId="45970" xr:uid="{00000000-0005-0000-0000-00000FB30000}"/>
    <cellStyle name="Normal 4 9 2" xfId="45971" xr:uid="{00000000-0005-0000-0000-000010B30000}"/>
    <cellStyle name="Normal 4 9 2 2" xfId="45972" xr:uid="{00000000-0005-0000-0000-000011B30000}"/>
    <cellStyle name="Normal 4 9 2 2 2" xfId="45973" xr:uid="{00000000-0005-0000-0000-000012B30000}"/>
    <cellStyle name="Normal 4 9 2 2 3" xfId="45974" xr:uid="{00000000-0005-0000-0000-000013B30000}"/>
    <cellStyle name="Normal 4 9 2 2 4" xfId="45975" xr:uid="{00000000-0005-0000-0000-000014B30000}"/>
    <cellStyle name="Normal 4 9 2 3" xfId="45976" xr:uid="{00000000-0005-0000-0000-000015B30000}"/>
    <cellStyle name="Normal 4 9 2 3 2" xfId="45977" xr:uid="{00000000-0005-0000-0000-000016B30000}"/>
    <cellStyle name="Normal 4 9 2 3 3" xfId="45978" xr:uid="{00000000-0005-0000-0000-000017B30000}"/>
    <cellStyle name="Normal 4 9 2 4" xfId="45979" xr:uid="{00000000-0005-0000-0000-000018B30000}"/>
    <cellStyle name="Normal 4 9 2 5" xfId="45980" xr:uid="{00000000-0005-0000-0000-000019B30000}"/>
    <cellStyle name="Normal 4 9 2 6" xfId="45981" xr:uid="{00000000-0005-0000-0000-00001AB30000}"/>
    <cellStyle name="Normal 4 9 2 7" xfId="45982" xr:uid="{00000000-0005-0000-0000-00001BB30000}"/>
    <cellStyle name="Normal 4 9 2 8" xfId="45983" xr:uid="{00000000-0005-0000-0000-00001CB30000}"/>
    <cellStyle name="Normal 4 9 3" xfId="45984" xr:uid="{00000000-0005-0000-0000-00001DB30000}"/>
    <cellStyle name="Normal 4 9 3 2" xfId="45985" xr:uid="{00000000-0005-0000-0000-00001EB30000}"/>
    <cellStyle name="Normal 4 9 3 2 2" xfId="45986" xr:uid="{00000000-0005-0000-0000-00001FB30000}"/>
    <cellStyle name="Normal 4 9 3 2 3" xfId="45987" xr:uid="{00000000-0005-0000-0000-000020B30000}"/>
    <cellStyle name="Normal 4 9 3 3" xfId="45988" xr:uid="{00000000-0005-0000-0000-000021B30000}"/>
    <cellStyle name="Normal 4 9 3 4" xfId="45989" xr:uid="{00000000-0005-0000-0000-000022B30000}"/>
    <cellStyle name="Normal 4 9 3 5" xfId="45990" xr:uid="{00000000-0005-0000-0000-000023B30000}"/>
    <cellStyle name="Normal 4 9 3 6" xfId="45991" xr:uid="{00000000-0005-0000-0000-000024B30000}"/>
    <cellStyle name="Normal 4 9 4" xfId="45992" xr:uid="{00000000-0005-0000-0000-000025B30000}"/>
    <cellStyle name="Normal 4 9 4 2" xfId="45993" xr:uid="{00000000-0005-0000-0000-000026B30000}"/>
    <cellStyle name="Normal 4 9 4 3" xfId="45994" xr:uid="{00000000-0005-0000-0000-000027B30000}"/>
    <cellStyle name="Normal 4 9 5" xfId="45995" xr:uid="{00000000-0005-0000-0000-000028B30000}"/>
    <cellStyle name="Normal 4 9 5 2" xfId="45996" xr:uid="{00000000-0005-0000-0000-000029B30000}"/>
    <cellStyle name="Normal 4 9 5 3" xfId="45997" xr:uid="{00000000-0005-0000-0000-00002AB30000}"/>
    <cellStyle name="Normal 4 9 6" xfId="45998" xr:uid="{00000000-0005-0000-0000-00002BB30000}"/>
    <cellStyle name="Normal 4 9 6 2" xfId="45999" xr:uid="{00000000-0005-0000-0000-00002CB30000}"/>
    <cellStyle name="Normal 4 9 6 3" xfId="46000" xr:uid="{00000000-0005-0000-0000-00002DB30000}"/>
    <cellStyle name="Normal 4 9 7" xfId="46001" xr:uid="{00000000-0005-0000-0000-00002EB30000}"/>
    <cellStyle name="Normal 4 9 7 2" xfId="46002" xr:uid="{00000000-0005-0000-0000-00002FB30000}"/>
    <cellStyle name="Normal 4 9 7 3" xfId="46003" xr:uid="{00000000-0005-0000-0000-000030B30000}"/>
    <cellStyle name="Normal 4 9 8" xfId="46004" xr:uid="{00000000-0005-0000-0000-000031B30000}"/>
    <cellStyle name="Normal 4 9 9" xfId="46005" xr:uid="{00000000-0005-0000-0000-000032B30000}"/>
    <cellStyle name="Normal 4_2011 Planning Templates_Incentive 3-14-2011 (2)" xfId="46006" xr:uid="{00000000-0005-0000-0000-000033B30000}"/>
    <cellStyle name="Normal 40" xfId="315" xr:uid="{00000000-0005-0000-0000-000034B30000}"/>
    <cellStyle name="Normal 40 10" xfId="46007" xr:uid="{00000000-0005-0000-0000-000035B30000}"/>
    <cellStyle name="Normal 40 11" xfId="46008" xr:uid="{00000000-0005-0000-0000-000036B30000}"/>
    <cellStyle name="Normal 40 12" xfId="46009" xr:uid="{00000000-0005-0000-0000-000037B30000}"/>
    <cellStyle name="Normal 40 2" xfId="46010" xr:uid="{00000000-0005-0000-0000-000038B30000}"/>
    <cellStyle name="Normal 40 2 2" xfId="46011" xr:uid="{00000000-0005-0000-0000-000039B30000}"/>
    <cellStyle name="Normal 40 2 2 2" xfId="46012" xr:uid="{00000000-0005-0000-0000-00003AB30000}"/>
    <cellStyle name="Normal 40 2 2 3" xfId="46013" xr:uid="{00000000-0005-0000-0000-00003BB30000}"/>
    <cellStyle name="Normal 40 2 3" xfId="46014" xr:uid="{00000000-0005-0000-0000-00003CB30000}"/>
    <cellStyle name="Normal 40 2 3 2" xfId="46015" xr:uid="{00000000-0005-0000-0000-00003DB30000}"/>
    <cellStyle name="Normal 40 2 3 3" xfId="46016" xr:uid="{00000000-0005-0000-0000-00003EB30000}"/>
    <cellStyle name="Normal 40 2 4" xfId="46017" xr:uid="{00000000-0005-0000-0000-00003FB30000}"/>
    <cellStyle name="Normal 40 2 4 2" xfId="46018" xr:uid="{00000000-0005-0000-0000-000040B30000}"/>
    <cellStyle name="Normal 40 2 4 3" xfId="46019" xr:uid="{00000000-0005-0000-0000-000041B30000}"/>
    <cellStyle name="Normal 40 2 5" xfId="46020" xr:uid="{00000000-0005-0000-0000-000042B30000}"/>
    <cellStyle name="Normal 40 2 5 2" xfId="46021" xr:uid="{00000000-0005-0000-0000-000043B30000}"/>
    <cellStyle name="Normal 40 2 6" xfId="46022" xr:uid="{00000000-0005-0000-0000-000044B30000}"/>
    <cellStyle name="Normal 40 2 7" xfId="46023" xr:uid="{00000000-0005-0000-0000-000045B30000}"/>
    <cellStyle name="Normal 40 2 8" xfId="46024" xr:uid="{00000000-0005-0000-0000-000046B30000}"/>
    <cellStyle name="Normal 40 2 9" xfId="46025" xr:uid="{00000000-0005-0000-0000-000047B30000}"/>
    <cellStyle name="Normal 40 3" xfId="46026" xr:uid="{00000000-0005-0000-0000-000048B30000}"/>
    <cellStyle name="Normal 40 3 2" xfId="46027" xr:uid="{00000000-0005-0000-0000-000049B30000}"/>
    <cellStyle name="Normal 40 3 2 2" xfId="46028" xr:uid="{00000000-0005-0000-0000-00004AB30000}"/>
    <cellStyle name="Normal 40 3 2 3" xfId="46029" xr:uid="{00000000-0005-0000-0000-00004BB30000}"/>
    <cellStyle name="Normal 40 3 3" xfId="46030" xr:uid="{00000000-0005-0000-0000-00004CB30000}"/>
    <cellStyle name="Normal 40 3 3 2" xfId="46031" xr:uid="{00000000-0005-0000-0000-00004DB30000}"/>
    <cellStyle name="Normal 40 3 3 3" xfId="46032" xr:uid="{00000000-0005-0000-0000-00004EB30000}"/>
    <cellStyle name="Normal 40 3 4" xfId="46033" xr:uid="{00000000-0005-0000-0000-00004FB30000}"/>
    <cellStyle name="Normal 40 3 5" xfId="46034" xr:uid="{00000000-0005-0000-0000-000050B30000}"/>
    <cellStyle name="Normal 40 3 6" xfId="46035" xr:uid="{00000000-0005-0000-0000-000051B30000}"/>
    <cellStyle name="Normal 40 3 7" xfId="46036" xr:uid="{00000000-0005-0000-0000-000052B30000}"/>
    <cellStyle name="Normal 40 3 8" xfId="46037" xr:uid="{00000000-0005-0000-0000-000053B30000}"/>
    <cellStyle name="Normal 40 4" xfId="46038" xr:uid="{00000000-0005-0000-0000-000054B30000}"/>
    <cellStyle name="Normal 40 4 2" xfId="46039" xr:uid="{00000000-0005-0000-0000-000055B30000}"/>
    <cellStyle name="Normal 40 4 2 2" xfId="46040" xr:uid="{00000000-0005-0000-0000-000056B30000}"/>
    <cellStyle name="Normal 40 4 3" xfId="46041" xr:uid="{00000000-0005-0000-0000-000057B30000}"/>
    <cellStyle name="Normal 40 4 3 2" xfId="46042" xr:uid="{00000000-0005-0000-0000-000058B30000}"/>
    <cellStyle name="Normal 40 4 4" xfId="46043" xr:uid="{00000000-0005-0000-0000-000059B30000}"/>
    <cellStyle name="Normal 40 4 5" xfId="46044" xr:uid="{00000000-0005-0000-0000-00005AB30000}"/>
    <cellStyle name="Normal 40 4 6" xfId="46045" xr:uid="{00000000-0005-0000-0000-00005BB30000}"/>
    <cellStyle name="Normal 40 4 7" xfId="46046" xr:uid="{00000000-0005-0000-0000-00005CB30000}"/>
    <cellStyle name="Normal 40 4 8" xfId="46047" xr:uid="{00000000-0005-0000-0000-00005DB30000}"/>
    <cellStyle name="Normal 40 5" xfId="46048" xr:uid="{00000000-0005-0000-0000-00005EB30000}"/>
    <cellStyle name="Normal 40 5 2" xfId="46049" xr:uid="{00000000-0005-0000-0000-00005FB30000}"/>
    <cellStyle name="Normal 40 6" xfId="46050" xr:uid="{00000000-0005-0000-0000-000060B30000}"/>
    <cellStyle name="Normal 40 6 2" xfId="46051" xr:uid="{00000000-0005-0000-0000-000061B30000}"/>
    <cellStyle name="Normal 40 6 2 2" xfId="46052" xr:uid="{00000000-0005-0000-0000-000062B30000}"/>
    <cellStyle name="Normal 40 6 3" xfId="46053" xr:uid="{00000000-0005-0000-0000-000063B30000}"/>
    <cellStyle name="Normal 40 6 3 2" xfId="46054" xr:uid="{00000000-0005-0000-0000-000064B30000}"/>
    <cellStyle name="Normal 40 6 4" xfId="46055" xr:uid="{00000000-0005-0000-0000-000065B30000}"/>
    <cellStyle name="Normal 40 6 5" xfId="46056" xr:uid="{00000000-0005-0000-0000-000066B30000}"/>
    <cellStyle name="Normal 40 7" xfId="46057" xr:uid="{00000000-0005-0000-0000-000067B30000}"/>
    <cellStyle name="Normal 40 8" xfId="46058" xr:uid="{00000000-0005-0000-0000-000068B30000}"/>
    <cellStyle name="Normal 40 8 2" xfId="46059" xr:uid="{00000000-0005-0000-0000-000069B30000}"/>
    <cellStyle name="Normal 40 9" xfId="46060" xr:uid="{00000000-0005-0000-0000-00006AB30000}"/>
    <cellStyle name="Normal 41" xfId="316" xr:uid="{00000000-0005-0000-0000-00006BB30000}"/>
    <cellStyle name="Normal 41 10" xfId="46061" xr:uid="{00000000-0005-0000-0000-00006CB30000}"/>
    <cellStyle name="Normal 41 11" xfId="46062" xr:uid="{00000000-0005-0000-0000-00006DB30000}"/>
    <cellStyle name="Normal 41 12" xfId="46063" xr:uid="{00000000-0005-0000-0000-00006EB30000}"/>
    <cellStyle name="Normal 41 2" xfId="46064" xr:uid="{00000000-0005-0000-0000-00006FB30000}"/>
    <cellStyle name="Normal 41 2 2" xfId="46065" xr:uid="{00000000-0005-0000-0000-000070B30000}"/>
    <cellStyle name="Normal 41 2 2 2" xfId="46066" xr:uid="{00000000-0005-0000-0000-000071B30000}"/>
    <cellStyle name="Normal 41 2 2 3" xfId="46067" xr:uid="{00000000-0005-0000-0000-000072B30000}"/>
    <cellStyle name="Normal 41 2 3" xfId="46068" xr:uid="{00000000-0005-0000-0000-000073B30000}"/>
    <cellStyle name="Normal 41 2 3 2" xfId="46069" xr:uid="{00000000-0005-0000-0000-000074B30000}"/>
    <cellStyle name="Normal 41 2 3 3" xfId="46070" xr:uid="{00000000-0005-0000-0000-000075B30000}"/>
    <cellStyle name="Normal 41 2 4" xfId="46071" xr:uid="{00000000-0005-0000-0000-000076B30000}"/>
    <cellStyle name="Normal 41 2 4 2" xfId="46072" xr:uid="{00000000-0005-0000-0000-000077B30000}"/>
    <cellStyle name="Normal 41 2 4 3" xfId="46073" xr:uid="{00000000-0005-0000-0000-000078B30000}"/>
    <cellStyle name="Normal 41 2 5" xfId="46074" xr:uid="{00000000-0005-0000-0000-000079B30000}"/>
    <cellStyle name="Normal 41 2 6" xfId="46075" xr:uid="{00000000-0005-0000-0000-00007AB30000}"/>
    <cellStyle name="Normal 41 2 7" xfId="46076" xr:uid="{00000000-0005-0000-0000-00007BB30000}"/>
    <cellStyle name="Normal 41 2 8" xfId="46077" xr:uid="{00000000-0005-0000-0000-00007CB30000}"/>
    <cellStyle name="Normal 41 2 9" xfId="46078" xr:uid="{00000000-0005-0000-0000-00007DB30000}"/>
    <cellStyle name="Normal 41 3" xfId="46079" xr:uid="{00000000-0005-0000-0000-00007EB30000}"/>
    <cellStyle name="Normal 41 3 2" xfId="46080" xr:uid="{00000000-0005-0000-0000-00007FB30000}"/>
    <cellStyle name="Normal 41 3 2 2" xfId="46081" xr:uid="{00000000-0005-0000-0000-000080B30000}"/>
    <cellStyle name="Normal 41 3 2 3" xfId="46082" xr:uid="{00000000-0005-0000-0000-000081B30000}"/>
    <cellStyle name="Normal 41 3 3" xfId="46083" xr:uid="{00000000-0005-0000-0000-000082B30000}"/>
    <cellStyle name="Normal 41 3 3 2" xfId="46084" xr:uid="{00000000-0005-0000-0000-000083B30000}"/>
    <cellStyle name="Normal 41 3 4" xfId="46085" xr:uid="{00000000-0005-0000-0000-000084B30000}"/>
    <cellStyle name="Normal 41 3 5" xfId="46086" xr:uid="{00000000-0005-0000-0000-000085B30000}"/>
    <cellStyle name="Normal 41 3 6" xfId="46087" xr:uid="{00000000-0005-0000-0000-000086B30000}"/>
    <cellStyle name="Normal 41 3 7" xfId="46088" xr:uid="{00000000-0005-0000-0000-000087B30000}"/>
    <cellStyle name="Normal 41 3 8" xfId="46089" xr:uid="{00000000-0005-0000-0000-000088B30000}"/>
    <cellStyle name="Normal 41 4" xfId="46090" xr:uid="{00000000-0005-0000-0000-000089B30000}"/>
    <cellStyle name="Normal 41 4 2" xfId="46091" xr:uid="{00000000-0005-0000-0000-00008AB30000}"/>
    <cellStyle name="Normal 41 4 2 2" xfId="46092" xr:uid="{00000000-0005-0000-0000-00008BB30000}"/>
    <cellStyle name="Normal 41 4 3" xfId="46093" xr:uid="{00000000-0005-0000-0000-00008CB30000}"/>
    <cellStyle name="Normal 41 4 3 2" xfId="46094" xr:uid="{00000000-0005-0000-0000-00008DB30000}"/>
    <cellStyle name="Normal 41 4 4" xfId="46095" xr:uid="{00000000-0005-0000-0000-00008EB30000}"/>
    <cellStyle name="Normal 41 4 5" xfId="46096" xr:uid="{00000000-0005-0000-0000-00008FB30000}"/>
    <cellStyle name="Normal 41 4 6" xfId="46097" xr:uid="{00000000-0005-0000-0000-000090B30000}"/>
    <cellStyle name="Normal 41 4 7" xfId="46098" xr:uid="{00000000-0005-0000-0000-000091B30000}"/>
    <cellStyle name="Normal 41 4 8" xfId="46099" xr:uid="{00000000-0005-0000-0000-000092B30000}"/>
    <cellStyle name="Normal 41 5" xfId="46100" xr:uid="{00000000-0005-0000-0000-000093B30000}"/>
    <cellStyle name="Normal 41 6" xfId="46101" xr:uid="{00000000-0005-0000-0000-000094B30000}"/>
    <cellStyle name="Normal 41 6 2" xfId="46102" xr:uid="{00000000-0005-0000-0000-000095B30000}"/>
    <cellStyle name="Normal 41 6 2 2" xfId="46103" xr:uid="{00000000-0005-0000-0000-000096B30000}"/>
    <cellStyle name="Normal 41 6 3" xfId="46104" xr:uid="{00000000-0005-0000-0000-000097B30000}"/>
    <cellStyle name="Normal 41 6 3 2" xfId="46105" xr:uid="{00000000-0005-0000-0000-000098B30000}"/>
    <cellStyle name="Normal 41 6 4" xfId="46106" xr:uid="{00000000-0005-0000-0000-000099B30000}"/>
    <cellStyle name="Normal 41 7" xfId="46107" xr:uid="{00000000-0005-0000-0000-00009AB30000}"/>
    <cellStyle name="Normal 41 8" xfId="46108" xr:uid="{00000000-0005-0000-0000-00009BB30000}"/>
    <cellStyle name="Normal 41 8 2" xfId="46109" xr:uid="{00000000-0005-0000-0000-00009CB30000}"/>
    <cellStyle name="Normal 41 9" xfId="46110" xr:uid="{00000000-0005-0000-0000-00009DB30000}"/>
    <cellStyle name="Normal 41_2015 Annual Rpt" xfId="46111" xr:uid="{00000000-0005-0000-0000-00009EB30000}"/>
    <cellStyle name="Normal 42" xfId="317" xr:uid="{00000000-0005-0000-0000-00009FB30000}"/>
    <cellStyle name="Normal 42 10" xfId="46112" xr:uid="{00000000-0005-0000-0000-0000A0B30000}"/>
    <cellStyle name="Normal 42 11" xfId="46113" xr:uid="{00000000-0005-0000-0000-0000A1B30000}"/>
    <cellStyle name="Normal 42 12" xfId="46114" xr:uid="{00000000-0005-0000-0000-0000A2B30000}"/>
    <cellStyle name="Normal 42 2" xfId="46115" xr:uid="{00000000-0005-0000-0000-0000A3B30000}"/>
    <cellStyle name="Normal 42 2 2" xfId="46116" xr:uid="{00000000-0005-0000-0000-0000A4B30000}"/>
    <cellStyle name="Normal 42 2 2 2" xfId="46117" xr:uid="{00000000-0005-0000-0000-0000A5B30000}"/>
    <cellStyle name="Normal 42 2 2 3" xfId="46118" xr:uid="{00000000-0005-0000-0000-0000A6B30000}"/>
    <cellStyle name="Normal 42 2 3" xfId="46119" xr:uid="{00000000-0005-0000-0000-0000A7B30000}"/>
    <cellStyle name="Normal 42 2 3 2" xfId="46120" xr:uid="{00000000-0005-0000-0000-0000A8B30000}"/>
    <cellStyle name="Normal 42 2 3 3" xfId="46121" xr:uid="{00000000-0005-0000-0000-0000A9B30000}"/>
    <cellStyle name="Normal 42 2 4" xfId="46122" xr:uid="{00000000-0005-0000-0000-0000AAB30000}"/>
    <cellStyle name="Normal 42 2 4 2" xfId="46123" xr:uid="{00000000-0005-0000-0000-0000ABB30000}"/>
    <cellStyle name="Normal 42 2 4 3" xfId="46124" xr:uid="{00000000-0005-0000-0000-0000ACB30000}"/>
    <cellStyle name="Normal 42 2 5" xfId="46125" xr:uid="{00000000-0005-0000-0000-0000ADB30000}"/>
    <cellStyle name="Normal 42 2 6" xfId="46126" xr:uid="{00000000-0005-0000-0000-0000AEB30000}"/>
    <cellStyle name="Normal 42 2 7" xfId="46127" xr:uid="{00000000-0005-0000-0000-0000AFB30000}"/>
    <cellStyle name="Normal 42 2 8" xfId="46128" xr:uid="{00000000-0005-0000-0000-0000B0B30000}"/>
    <cellStyle name="Normal 42 2 9" xfId="46129" xr:uid="{00000000-0005-0000-0000-0000B1B30000}"/>
    <cellStyle name="Normal 42 3" xfId="46130" xr:uid="{00000000-0005-0000-0000-0000B2B30000}"/>
    <cellStyle name="Normal 42 3 2" xfId="46131" xr:uid="{00000000-0005-0000-0000-0000B3B30000}"/>
    <cellStyle name="Normal 42 3 2 2" xfId="46132" xr:uid="{00000000-0005-0000-0000-0000B4B30000}"/>
    <cellStyle name="Normal 42 3 3" xfId="46133" xr:uid="{00000000-0005-0000-0000-0000B5B30000}"/>
    <cellStyle name="Normal 42 3 3 2" xfId="46134" xr:uid="{00000000-0005-0000-0000-0000B6B30000}"/>
    <cellStyle name="Normal 42 3 4" xfId="46135" xr:uid="{00000000-0005-0000-0000-0000B7B30000}"/>
    <cellStyle name="Normal 42 3 5" xfId="46136" xr:uid="{00000000-0005-0000-0000-0000B8B30000}"/>
    <cellStyle name="Normal 42 3 6" xfId="46137" xr:uid="{00000000-0005-0000-0000-0000B9B30000}"/>
    <cellStyle name="Normal 42 3 7" xfId="46138" xr:uid="{00000000-0005-0000-0000-0000BAB30000}"/>
    <cellStyle name="Normal 42 3 8" xfId="46139" xr:uid="{00000000-0005-0000-0000-0000BBB30000}"/>
    <cellStyle name="Normal 42 4" xfId="46140" xr:uid="{00000000-0005-0000-0000-0000BCB30000}"/>
    <cellStyle name="Normal 42 4 2" xfId="46141" xr:uid="{00000000-0005-0000-0000-0000BDB30000}"/>
    <cellStyle name="Normal 42 4 2 2" xfId="46142" xr:uid="{00000000-0005-0000-0000-0000BEB30000}"/>
    <cellStyle name="Normal 42 4 3" xfId="46143" xr:uid="{00000000-0005-0000-0000-0000BFB30000}"/>
    <cellStyle name="Normal 42 4 3 2" xfId="46144" xr:uid="{00000000-0005-0000-0000-0000C0B30000}"/>
    <cellStyle name="Normal 42 4 4" xfId="46145" xr:uid="{00000000-0005-0000-0000-0000C1B30000}"/>
    <cellStyle name="Normal 42 4 5" xfId="46146" xr:uid="{00000000-0005-0000-0000-0000C2B30000}"/>
    <cellStyle name="Normal 42 4 6" xfId="46147" xr:uid="{00000000-0005-0000-0000-0000C3B30000}"/>
    <cellStyle name="Normal 42 4 7" xfId="46148" xr:uid="{00000000-0005-0000-0000-0000C4B30000}"/>
    <cellStyle name="Normal 42 4 8" xfId="46149" xr:uid="{00000000-0005-0000-0000-0000C5B30000}"/>
    <cellStyle name="Normal 42 5" xfId="46150" xr:uid="{00000000-0005-0000-0000-0000C6B30000}"/>
    <cellStyle name="Normal 42 6" xfId="46151" xr:uid="{00000000-0005-0000-0000-0000C7B30000}"/>
    <cellStyle name="Normal 42 6 2" xfId="46152" xr:uid="{00000000-0005-0000-0000-0000C8B30000}"/>
    <cellStyle name="Normal 42 6 2 2" xfId="46153" xr:uid="{00000000-0005-0000-0000-0000C9B30000}"/>
    <cellStyle name="Normal 42 6 3" xfId="46154" xr:uid="{00000000-0005-0000-0000-0000CAB30000}"/>
    <cellStyle name="Normal 42 6 3 2" xfId="46155" xr:uid="{00000000-0005-0000-0000-0000CBB30000}"/>
    <cellStyle name="Normal 42 6 4" xfId="46156" xr:uid="{00000000-0005-0000-0000-0000CCB30000}"/>
    <cellStyle name="Normal 42 7" xfId="46157" xr:uid="{00000000-0005-0000-0000-0000CDB30000}"/>
    <cellStyle name="Normal 42 8" xfId="46158" xr:uid="{00000000-0005-0000-0000-0000CEB30000}"/>
    <cellStyle name="Normal 42 8 2" xfId="46159" xr:uid="{00000000-0005-0000-0000-0000CFB30000}"/>
    <cellStyle name="Normal 42 9" xfId="46160" xr:uid="{00000000-0005-0000-0000-0000D0B30000}"/>
    <cellStyle name="Normal 42_2015 Annual Rpt" xfId="46161" xr:uid="{00000000-0005-0000-0000-0000D1B30000}"/>
    <cellStyle name="Normal 43" xfId="318" xr:uid="{00000000-0005-0000-0000-0000D2B30000}"/>
    <cellStyle name="Normal 43 10" xfId="46162" xr:uid="{00000000-0005-0000-0000-0000D3B30000}"/>
    <cellStyle name="Normal 43 11" xfId="46163" xr:uid="{00000000-0005-0000-0000-0000D4B30000}"/>
    <cellStyle name="Normal 43 12" xfId="46164" xr:uid="{00000000-0005-0000-0000-0000D5B30000}"/>
    <cellStyle name="Normal 43 2" xfId="46165" xr:uid="{00000000-0005-0000-0000-0000D6B30000}"/>
    <cellStyle name="Normal 43 2 2" xfId="46166" xr:uid="{00000000-0005-0000-0000-0000D7B30000}"/>
    <cellStyle name="Normal 43 2 2 2" xfId="46167" xr:uid="{00000000-0005-0000-0000-0000D8B30000}"/>
    <cellStyle name="Normal 43 2 2 3" xfId="46168" xr:uid="{00000000-0005-0000-0000-0000D9B30000}"/>
    <cellStyle name="Normal 43 2 3" xfId="46169" xr:uid="{00000000-0005-0000-0000-0000DAB30000}"/>
    <cellStyle name="Normal 43 2 3 2" xfId="46170" xr:uid="{00000000-0005-0000-0000-0000DBB30000}"/>
    <cellStyle name="Normal 43 2 3 3" xfId="46171" xr:uid="{00000000-0005-0000-0000-0000DCB30000}"/>
    <cellStyle name="Normal 43 2 4" xfId="46172" xr:uid="{00000000-0005-0000-0000-0000DDB30000}"/>
    <cellStyle name="Normal 43 2 4 2" xfId="46173" xr:uid="{00000000-0005-0000-0000-0000DEB30000}"/>
    <cellStyle name="Normal 43 2 4 3" xfId="46174" xr:uid="{00000000-0005-0000-0000-0000DFB30000}"/>
    <cellStyle name="Normal 43 2 5" xfId="46175" xr:uid="{00000000-0005-0000-0000-0000E0B30000}"/>
    <cellStyle name="Normal 43 2 6" xfId="46176" xr:uid="{00000000-0005-0000-0000-0000E1B30000}"/>
    <cellStyle name="Normal 43 2 7" xfId="46177" xr:uid="{00000000-0005-0000-0000-0000E2B30000}"/>
    <cellStyle name="Normal 43 2 8" xfId="46178" xr:uid="{00000000-0005-0000-0000-0000E3B30000}"/>
    <cellStyle name="Normal 43 2 9" xfId="46179" xr:uid="{00000000-0005-0000-0000-0000E4B30000}"/>
    <cellStyle name="Normal 43 3" xfId="46180" xr:uid="{00000000-0005-0000-0000-0000E5B30000}"/>
    <cellStyle name="Normal 43 3 2" xfId="46181" xr:uid="{00000000-0005-0000-0000-0000E6B30000}"/>
    <cellStyle name="Normal 43 3 2 2" xfId="46182" xr:uid="{00000000-0005-0000-0000-0000E7B30000}"/>
    <cellStyle name="Normal 43 3 2 3" xfId="46183" xr:uid="{00000000-0005-0000-0000-0000E8B30000}"/>
    <cellStyle name="Normal 43 3 3" xfId="46184" xr:uid="{00000000-0005-0000-0000-0000E9B30000}"/>
    <cellStyle name="Normal 43 3 3 2" xfId="46185" xr:uid="{00000000-0005-0000-0000-0000EAB30000}"/>
    <cellStyle name="Normal 43 3 4" xfId="46186" xr:uid="{00000000-0005-0000-0000-0000EBB30000}"/>
    <cellStyle name="Normal 43 3 5" xfId="46187" xr:uid="{00000000-0005-0000-0000-0000ECB30000}"/>
    <cellStyle name="Normal 43 3 6" xfId="46188" xr:uid="{00000000-0005-0000-0000-0000EDB30000}"/>
    <cellStyle name="Normal 43 3 7" xfId="46189" xr:uid="{00000000-0005-0000-0000-0000EEB30000}"/>
    <cellStyle name="Normal 43 3 8" xfId="46190" xr:uid="{00000000-0005-0000-0000-0000EFB30000}"/>
    <cellStyle name="Normal 43 4" xfId="46191" xr:uid="{00000000-0005-0000-0000-0000F0B30000}"/>
    <cellStyle name="Normal 43 4 2" xfId="46192" xr:uid="{00000000-0005-0000-0000-0000F1B30000}"/>
    <cellStyle name="Normal 43 4 2 2" xfId="46193" xr:uid="{00000000-0005-0000-0000-0000F2B30000}"/>
    <cellStyle name="Normal 43 4 3" xfId="46194" xr:uid="{00000000-0005-0000-0000-0000F3B30000}"/>
    <cellStyle name="Normal 43 4 3 2" xfId="46195" xr:uid="{00000000-0005-0000-0000-0000F4B30000}"/>
    <cellStyle name="Normal 43 4 4" xfId="46196" xr:uid="{00000000-0005-0000-0000-0000F5B30000}"/>
    <cellStyle name="Normal 43 4 5" xfId="46197" xr:uid="{00000000-0005-0000-0000-0000F6B30000}"/>
    <cellStyle name="Normal 43 4 6" xfId="46198" xr:uid="{00000000-0005-0000-0000-0000F7B30000}"/>
    <cellStyle name="Normal 43 4 7" xfId="46199" xr:uid="{00000000-0005-0000-0000-0000F8B30000}"/>
    <cellStyle name="Normal 43 4 8" xfId="46200" xr:uid="{00000000-0005-0000-0000-0000F9B30000}"/>
    <cellStyle name="Normal 43 5" xfId="46201" xr:uid="{00000000-0005-0000-0000-0000FAB30000}"/>
    <cellStyle name="Normal 43 6" xfId="46202" xr:uid="{00000000-0005-0000-0000-0000FBB30000}"/>
    <cellStyle name="Normal 43 6 2" xfId="46203" xr:uid="{00000000-0005-0000-0000-0000FCB30000}"/>
    <cellStyle name="Normal 43 6 2 2" xfId="46204" xr:uid="{00000000-0005-0000-0000-0000FDB30000}"/>
    <cellStyle name="Normal 43 6 3" xfId="46205" xr:uid="{00000000-0005-0000-0000-0000FEB30000}"/>
    <cellStyle name="Normal 43 6 3 2" xfId="46206" xr:uid="{00000000-0005-0000-0000-0000FFB30000}"/>
    <cellStyle name="Normal 43 6 4" xfId="46207" xr:uid="{00000000-0005-0000-0000-000000B40000}"/>
    <cellStyle name="Normal 43 7" xfId="46208" xr:uid="{00000000-0005-0000-0000-000001B40000}"/>
    <cellStyle name="Normal 43 8" xfId="46209" xr:uid="{00000000-0005-0000-0000-000002B40000}"/>
    <cellStyle name="Normal 43 8 2" xfId="46210" xr:uid="{00000000-0005-0000-0000-000003B40000}"/>
    <cellStyle name="Normal 43 9" xfId="46211" xr:uid="{00000000-0005-0000-0000-000004B40000}"/>
    <cellStyle name="Normal 44" xfId="319" xr:uid="{00000000-0005-0000-0000-000005B40000}"/>
    <cellStyle name="Normal 44 10" xfId="46212" xr:uid="{00000000-0005-0000-0000-000006B40000}"/>
    <cellStyle name="Normal 44 11" xfId="46213" xr:uid="{00000000-0005-0000-0000-000007B40000}"/>
    <cellStyle name="Normal 44 2" xfId="46214" xr:uid="{00000000-0005-0000-0000-000008B40000}"/>
    <cellStyle name="Normal 44 2 2" xfId="46215" xr:uid="{00000000-0005-0000-0000-000009B40000}"/>
    <cellStyle name="Normal 44 2 2 2" xfId="46216" xr:uid="{00000000-0005-0000-0000-00000AB40000}"/>
    <cellStyle name="Normal 44 2 2 3" xfId="46217" xr:uid="{00000000-0005-0000-0000-00000BB40000}"/>
    <cellStyle name="Normal 44 2 3" xfId="46218" xr:uid="{00000000-0005-0000-0000-00000CB40000}"/>
    <cellStyle name="Normal 44 2 3 2" xfId="46219" xr:uid="{00000000-0005-0000-0000-00000DB40000}"/>
    <cellStyle name="Normal 44 2 3 3" xfId="46220" xr:uid="{00000000-0005-0000-0000-00000EB40000}"/>
    <cellStyle name="Normal 44 2 4" xfId="46221" xr:uid="{00000000-0005-0000-0000-00000FB40000}"/>
    <cellStyle name="Normal 44 2 4 2" xfId="46222" xr:uid="{00000000-0005-0000-0000-000010B40000}"/>
    <cellStyle name="Normal 44 2 4 3" xfId="46223" xr:uid="{00000000-0005-0000-0000-000011B40000}"/>
    <cellStyle name="Normal 44 2 5" xfId="46224" xr:uid="{00000000-0005-0000-0000-000012B40000}"/>
    <cellStyle name="Normal 44 2 6" xfId="46225" xr:uid="{00000000-0005-0000-0000-000013B40000}"/>
    <cellStyle name="Normal 44 2 7" xfId="46226" xr:uid="{00000000-0005-0000-0000-000014B40000}"/>
    <cellStyle name="Normal 44 2 8" xfId="46227" xr:uid="{00000000-0005-0000-0000-000015B40000}"/>
    <cellStyle name="Normal 44 2 9" xfId="46228" xr:uid="{00000000-0005-0000-0000-000016B40000}"/>
    <cellStyle name="Normal 44 3" xfId="46229" xr:uid="{00000000-0005-0000-0000-000017B40000}"/>
    <cellStyle name="Normal 44 3 2" xfId="46230" xr:uid="{00000000-0005-0000-0000-000018B40000}"/>
    <cellStyle name="Normal 44 3 2 2" xfId="46231" xr:uid="{00000000-0005-0000-0000-000019B40000}"/>
    <cellStyle name="Normal 44 3 2 3" xfId="46232" xr:uid="{00000000-0005-0000-0000-00001AB40000}"/>
    <cellStyle name="Normal 44 3 3" xfId="46233" xr:uid="{00000000-0005-0000-0000-00001BB40000}"/>
    <cellStyle name="Normal 44 3 3 2" xfId="46234" xr:uid="{00000000-0005-0000-0000-00001CB40000}"/>
    <cellStyle name="Normal 44 3 4" xfId="46235" xr:uid="{00000000-0005-0000-0000-00001DB40000}"/>
    <cellStyle name="Normal 44 3 5" xfId="46236" xr:uid="{00000000-0005-0000-0000-00001EB40000}"/>
    <cellStyle name="Normal 44 3 6" xfId="46237" xr:uid="{00000000-0005-0000-0000-00001FB40000}"/>
    <cellStyle name="Normal 44 3 7" xfId="46238" xr:uid="{00000000-0005-0000-0000-000020B40000}"/>
    <cellStyle name="Normal 44 3 8" xfId="46239" xr:uid="{00000000-0005-0000-0000-000021B40000}"/>
    <cellStyle name="Normal 44 4" xfId="46240" xr:uid="{00000000-0005-0000-0000-000022B40000}"/>
    <cellStyle name="Normal 44 4 2" xfId="46241" xr:uid="{00000000-0005-0000-0000-000023B40000}"/>
    <cellStyle name="Normal 44 4 2 2" xfId="46242" xr:uid="{00000000-0005-0000-0000-000024B40000}"/>
    <cellStyle name="Normal 44 4 3" xfId="46243" xr:uid="{00000000-0005-0000-0000-000025B40000}"/>
    <cellStyle name="Normal 44 4 3 2" xfId="46244" xr:uid="{00000000-0005-0000-0000-000026B40000}"/>
    <cellStyle name="Normal 44 4 4" xfId="46245" xr:uid="{00000000-0005-0000-0000-000027B40000}"/>
    <cellStyle name="Normal 44 4 5" xfId="46246" xr:uid="{00000000-0005-0000-0000-000028B40000}"/>
    <cellStyle name="Normal 44 4 6" xfId="46247" xr:uid="{00000000-0005-0000-0000-000029B40000}"/>
    <cellStyle name="Normal 44 4 7" xfId="46248" xr:uid="{00000000-0005-0000-0000-00002AB40000}"/>
    <cellStyle name="Normal 44 4 8" xfId="46249" xr:uid="{00000000-0005-0000-0000-00002BB40000}"/>
    <cellStyle name="Normal 44 5" xfId="46250" xr:uid="{00000000-0005-0000-0000-00002CB40000}"/>
    <cellStyle name="Normal 44 6" xfId="46251" xr:uid="{00000000-0005-0000-0000-00002DB40000}"/>
    <cellStyle name="Normal 44 6 2" xfId="46252" xr:uid="{00000000-0005-0000-0000-00002EB40000}"/>
    <cellStyle name="Normal 44 6 2 2" xfId="46253" xr:uid="{00000000-0005-0000-0000-00002FB40000}"/>
    <cellStyle name="Normal 44 6 3" xfId="46254" xr:uid="{00000000-0005-0000-0000-000030B40000}"/>
    <cellStyle name="Normal 44 6 3 2" xfId="46255" xr:uid="{00000000-0005-0000-0000-000031B40000}"/>
    <cellStyle name="Normal 44 6 4" xfId="46256" xr:uid="{00000000-0005-0000-0000-000032B40000}"/>
    <cellStyle name="Normal 44 7" xfId="46257" xr:uid="{00000000-0005-0000-0000-000033B40000}"/>
    <cellStyle name="Normal 44 8" xfId="46258" xr:uid="{00000000-0005-0000-0000-000034B40000}"/>
    <cellStyle name="Normal 44 8 2" xfId="46259" xr:uid="{00000000-0005-0000-0000-000035B40000}"/>
    <cellStyle name="Normal 44 9" xfId="46260" xr:uid="{00000000-0005-0000-0000-000036B40000}"/>
    <cellStyle name="Normal 45" xfId="320" xr:uid="{00000000-0005-0000-0000-000037B40000}"/>
    <cellStyle name="Normal 45 10" xfId="46261" xr:uid="{00000000-0005-0000-0000-000038B40000}"/>
    <cellStyle name="Normal 45 11" xfId="46262" xr:uid="{00000000-0005-0000-0000-000039B40000}"/>
    <cellStyle name="Normal 45 12" xfId="46263" xr:uid="{00000000-0005-0000-0000-00003AB40000}"/>
    <cellStyle name="Normal 45 2" xfId="46264" xr:uid="{00000000-0005-0000-0000-00003BB40000}"/>
    <cellStyle name="Normal 45 2 2" xfId="46265" xr:uid="{00000000-0005-0000-0000-00003CB40000}"/>
    <cellStyle name="Normal 45 2 2 2" xfId="46266" xr:uid="{00000000-0005-0000-0000-00003DB40000}"/>
    <cellStyle name="Normal 45 2 2 3" xfId="46267" xr:uid="{00000000-0005-0000-0000-00003EB40000}"/>
    <cellStyle name="Normal 45 2 3" xfId="46268" xr:uid="{00000000-0005-0000-0000-00003FB40000}"/>
    <cellStyle name="Normal 45 2 3 2" xfId="46269" xr:uid="{00000000-0005-0000-0000-000040B40000}"/>
    <cellStyle name="Normal 45 2 3 2 2" xfId="46270" xr:uid="{00000000-0005-0000-0000-000041B40000}"/>
    <cellStyle name="Normal 45 2 3 3" xfId="46271" xr:uid="{00000000-0005-0000-0000-000042B40000}"/>
    <cellStyle name="Normal 45 2 4" xfId="46272" xr:uid="{00000000-0005-0000-0000-000043B40000}"/>
    <cellStyle name="Normal 45 2 4 2" xfId="46273" xr:uid="{00000000-0005-0000-0000-000044B40000}"/>
    <cellStyle name="Normal 45 2 4 3" xfId="46274" xr:uid="{00000000-0005-0000-0000-000045B40000}"/>
    <cellStyle name="Normal 45 2 5" xfId="46275" xr:uid="{00000000-0005-0000-0000-000046B40000}"/>
    <cellStyle name="Normal 45 2 6" xfId="46276" xr:uid="{00000000-0005-0000-0000-000047B40000}"/>
    <cellStyle name="Normal 45 2 7" xfId="46277" xr:uid="{00000000-0005-0000-0000-000048B40000}"/>
    <cellStyle name="Normal 45 2 8" xfId="46278" xr:uid="{00000000-0005-0000-0000-000049B40000}"/>
    <cellStyle name="Normal 45 2 9" xfId="46279" xr:uid="{00000000-0005-0000-0000-00004AB40000}"/>
    <cellStyle name="Normal 45 3" xfId="46280" xr:uid="{00000000-0005-0000-0000-00004BB40000}"/>
    <cellStyle name="Normal 45 3 2" xfId="46281" xr:uid="{00000000-0005-0000-0000-00004CB40000}"/>
    <cellStyle name="Normal 45 3 2 2" xfId="46282" xr:uid="{00000000-0005-0000-0000-00004DB40000}"/>
    <cellStyle name="Normal 45 3 2 3" xfId="46283" xr:uid="{00000000-0005-0000-0000-00004EB40000}"/>
    <cellStyle name="Normal 45 3 3" xfId="46284" xr:uid="{00000000-0005-0000-0000-00004FB40000}"/>
    <cellStyle name="Normal 45 3 3 2" xfId="46285" xr:uid="{00000000-0005-0000-0000-000050B40000}"/>
    <cellStyle name="Normal 45 3 4" xfId="46286" xr:uid="{00000000-0005-0000-0000-000051B40000}"/>
    <cellStyle name="Normal 45 3 5" xfId="46287" xr:uid="{00000000-0005-0000-0000-000052B40000}"/>
    <cellStyle name="Normal 45 3 6" xfId="46288" xr:uid="{00000000-0005-0000-0000-000053B40000}"/>
    <cellStyle name="Normal 45 3 7" xfId="46289" xr:uid="{00000000-0005-0000-0000-000054B40000}"/>
    <cellStyle name="Normal 45 3 8" xfId="46290" xr:uid="{00000000-0005-0000-0000-000055B40000}"/>
    <cellStyle name="Normal 45 4" xfId="46291" xr:uid="{00000000-0005-0000-0000-000056B40000}"/>
    <cellStyle name="Normal 45 4 2" xfId="46292" xr:uid="{00000000-0005-0000-0000-000057B40000}"/>
    <cellStyle name="Normal 45 4 2 2" xfId="46293" xr:uid="{00000000-0005-0000-0000-000058B40000}"/>
    <cellStyle name="Normal 45 4 2 3" xfId="46294" xr:uid="{00000000-0005-0000-0000-000059B40000}"/>
    <cellStyle name="Normal 45 4 3" xfId="46295" xr:uid="{00000000-0005-0000-0000-00005AB40000}"/>
    <cellStyle name="Normal 45 4 3 2" xfId="46296" xr:uid="{00000000-0005-0000-0000-00005BB40000}"/>
    <cellStyle name="Normal 45 4 4" xfId="46297" xr:uid="{00000000-0005-0000-0000-00005CB40000}"/>
    <cellStyle name="Normal 45 4 5" xfId="46298" xr:uid="{00000000-0005-0000-0000-00005DB40000}"/>
    <cellStyle name="Normal 45 4 6" xfId="46299" xr:uid="{00000000-0005-0000-0000-00005EB40000}"/>
    <cellStyle name="Normal 45 4 7" xfId="46300" xr:uid="{00000000-0005-0000-0000-00005FB40000}"/>
    <cellStyle name="Normal 45 4 8" xfId="46301" xr:uid="{00000000-0005-0000-0000-000060B40000}"/>
    <cellStyle name="Normal 45 5" xfId="46302" xr:uid="{00000000-0005-0000-0000-000061B40000}"/>
    <cellStyle name="Normal 45 6" xfId="46303" xr:uid="{00000000-0005-0000-0000-000062B40000}"/>
    <cellStyle name="Normal 45 6 2" xfId="46304" xr:uid="{00000000-0005-0000-0000-000063B40000}"/>
    <cellStyle name="Normal 45 6 2 2" xfId="46305" xr:uid="{00000000-0005-0000-0000-000064B40000}"/>
    <cellStyle name="Normal 45 6 3" xfId="46306" xr:uid="{00000000-0005-0000-0000-000065B40000}"/>
    <cellStyle name="Normal 45 6 3 2" xfId="46307" xr:uid="{00000000-0005-0000-0000-000066B40000}"/>
    <cellStyle name="Normal 45 6 4" xfId="46308" xr:uid="{00000000-0005-0000-0000-000067B40000}"/>
    <cellStyle name="Normal 45 7" xfId="46309" xr:uid="{00000000-0005-0000-0000-000068B40000}"/>
    <cellStyle name="Normal 45 8" xfId="46310" xr:uid="{00000000-0005-0000-0000-000069B40000}"/>
    <cellStyle name="Normal 45 8 2" xfId="46311" xr:uid="{00000000-0005-0000-0000-00006AB40000}"/>
    <cellStyle name="Normal 45 9" xfId="46312" xr:uid="{00000000-0005-0000-0000-00006BB40000}"/>
    <cellStyle name="Normal 46" xfId="321" xr:uid="{00000000-0005-0000-0000-00006CB40000}"/>
    <cellStyle name="Normal 46 10" xfId="46313" xr:uid="{00000000-0005-0000-0000-00006DB40000}"/>
    <cellStyle name="Normal 46 11" xfId="46314" xr:uid="{00000000-0005-0000-0000-00006EB40000}"/>
    <cellStyle name="Normal 46 12" xfId="46315" xr:uid="{00000000-0005-0000-0000-00006FB40000}"/>
    <cellStyle name="Normal 46 13" xfId="46316" xr:uid="{00000000-0005-0000-0000-000070B40000}"/>
    <cellStyle name="Normal 46 2" xfId="46317" xr:uid="{00000000-0005-0000-0000-000071B40000}"/>
    <cellStyle name="Normal 46 2 2" xfId="46318" xr:uid="{00000000-0005-0000-0000-000072B40000}"/>
    <cellStyle name="Normal 46 2 2 2" xfId="46319" xr:uid="{00000000-0005-0000-0000-000073B40000}"/>
    <cellStyle name="Normal 46 2 2 3" xfId="46320" xr:uid="{00000000-0005-0000-0000-000074B40000}"/>
    <cellStyle name="Normal 46 2 3" xfId="46321" xr:uid="{00000000-0005-0000-0000-000075B40000}"/>
    <cellStyle name="Normal 46 2 3 2" xfId="46322" xr:uid="{00000000-0005-0000-0000-000076B40000}"/>
    <cellStyle name="Normal 46 2 3 3" xfId="46323" xr:uid="{00000000-0005-0000-0000-000077B40000}"/>
    <cellStyle name="Normal 46 2 4" xfId="46324" xr:uid="{00000000-0005-0000-0000-000078B40000}"/>
    <cellStyle name="Normal 46 2 4 2" xfId="46325" xr:uid="{00000000-0005-0000-0000-000079B40000}"/>
    <cellStyle name="Normal 46 2 4 3" xfId="46326" xr:uid="{00000000-0005-0000-0000-00007AB40000}"/>
    <cellStyle name="Normal 46 2 5" xfId="46327" xr:uid="{00000000-0005-0000-0000-00007BB40000}"/>
    <cellStyle name="Normal 46 2 6" xfId="46328" xr:uid="{00000000-0005-0000-0000-00007CB40000}"/>
    <cellStyle name="Normal 46 2 7" xfId="46329" xr:uid="{00000000-0005-0000-0000-00007DB40000}"/>
    <cellStyle name="Normal 46 2 8" xfId="46330" xr:uid="{00000000-0005-0000-0000-00007EB40000}"/>
    <cellStyle name="Normal 46 2 9" xfId="46331" xr:uid="{00000000-0005-0000-0000-00007FB40000}"/>
    <cellStyle name="Normal 46 3" xfId="46332" xr:uid="{00000000-0005-0000-0000-000080B40000}"/>
    <cellStyle name="Normal 46 3 2" xfId="46333" xr:uid="{00000000-0005-0000-0000-000081B40000}"/>
    <cellStyle name="Normal 46 3 2 2" xfId="46334" xr:uid="{00000000-0005-0000-0000-000082B40000}"/>
    <cellStyle name="Normal 46 3 2 3" xfId="46335" xr:uid="{00000000-0005-0000-0000-000083B40000}"/>
    <cellStyle name="Normal 46 3 3" xfId="46336" xr:uid="{00000000-0005-0000-0000-000084B40000}"/>
    <cellStyle name="Normal 46 3 3 2" xfId="46337" xr:uid="{00000000-0005-0000-0000-000085B40000}"/>
    <cellStyle name="Normal 46 3 4" xfId="46338" xr:uid="{00000000-0005-0000-0000-000086B40000}"/>
    <cellStyle name="Normal 46 3 5" xfId="46339" xr:uid="{00000000-0005-0000-0000-000087B40000}"/>
    <cellStyle name="Normal 46 3 6" xfId="46340" xr:uid="{00000000-0005-0000-0000-000088B40000}"/>
    <cellStyle name="Normal 46 3 7" xfId="46341" xr:uid="{00000000-0005-0000-0000-000089B40000}"/>
    <cellStyle name="Normal 46 3 8" xfId="46342" xr:uid="{00000000-0005-0000-0000-00008AB40000}"/>
    <cellStyle name="Normal 46 4" xfId="46343" xr:uid="{00000000-0005-0000-0000-00008BB40000}"/>
    <cellStyle name="Normal 46 4 2" xfId="46344" xr:uid="{00000000-0005-0000-0000-00008CB40000}"/>
    <cellStyle name="Normal 46 4 2 2" xfId="46345" xr:uid="{00000000-0005-0000-0000-00008DB40000}"/>
    <cellStyle name="Normal 46 4 3" xfId="46346" xr:uid="{00000000-0005-0000-0000-00008EB40000}"/>
    <cellStyle name="Normal 46 4 3 2" xfId="46347" xr:uid="{00000000-0005-0000-0000-00008FB40000}"/>
    <cellStyle name="Normal 46 4 4" xfId="46348" xr:uid="{00000000-0005-0000-0000-000090B40000}"/>
    <cellStyle name="Normal 46 4 5" xfId="46349" xr:uid="{00000000-0005-0000-0000-000091B40000}"/>
    <cellStyle name="Normal 46 4 6" xfId="46350" xr:uid="{00000000-0005-0000-0000-000092B40000}"/>
    <cellStyle name="Normal 46 4 7" xfId="46351" xr:uid="{00000000-0005-0000-0000-000093B40000}"/>
    <cellStyle name="Normal 46 4 8" xfId="46352" xr:uid="{00000000-0005-0000-0000-000094B40000}"/>
    <cellStyle name="Normal 46 5" xfId="46353" xr:uid="{00000000-0005-0000-0000-000095B40000}"/>
    <cellStyle name="Normal 46 6" xfId="46354" xr:uid="{00000000-0005-0000-0000-000096B40000}"/>
    <cellStyle name="Normal 46 6 2" xfId="46355" xr:uid="{00000000-0005-0000-0000-000097B40000}"/>
    <cellStyle name="Normal 46 6 2 2" xfId="46356" xr:uid="{00000000-0005-0000-0000-000098B40000}"/>
    <cellStyle name="Normal 46 6 3" xfId="46357" xr:uid="{00000000-0005-0000-0000-000099B40000}"/>
    <cellStyle name="Normal 46 6 3 2" xfId="46358" xr:uid="{00000000-0005-0000-0000-00009AB40000}"/>
    <cellStyle name="Normal 46 6 4" xfId="46359" xr:uid="{00000000-0005-0000-0000-00009BB40000}"/>
    <cellStyle name="Normal 46 7" xfId="46360" xr:uid="{00000000-0005-0000-0000-00009CB40000}"/>
    <cellStyle name="Normal 46 7 2" xfId="46361" xr:uid="{00000000-0005-0000-0000-00009DB40000}"/>
    <cellStyle name="Normal 46 7 2 2" xfId="46362" xr:uid="{00000000-0005-0000-0000-00009EB40000}"/>
    <cellStyle name="Normal 46 8" xfId="46363" xr:uid="{00000000-0005-0000-0000-00009FB40000}"/>
    <cellStyle name="Normal 46 9" xfId="46364" xr:uid="{00000000-0005-0000-0000-0000A0B40000}"/>
    <cellStyle name="Normal 46 9 2" xfId="46365" xr:uid="{00000000-0005-0000-0000-0000A1B40000}"/>
    <cellStyle name="Normal 46_2015 Annual Rpt" xfId="46366" xr:uid="{00000000-0005-0000-0000-0000A2B40000}"/>
    <cellStyle name="Normal 47" xfId="322" xr:uid="{00000000-0005-0000-0000-0000A3B40000}"/>
    <cellStyle name="Normal 47 2" xfId="46367" xr:uid="{00000000-0005-0000-0000-0000A4B40000}"/>
    <cellStyle name="Normal 47 2 2" xfId="46368" xr:uid="{00000000-0005-0000-0000-0000A5B40000}"/>
    <cellStyle name="Normal 47 2 2 2" xfId="46369" xr:uid="{00000000-0005-0000-0000-0000A6B40000}"/>
    <cellStyle name="Normal 47 2 2 2 2" xfId="46370" xr:uid="{00000000-0005-0000-0000-0000A7B40000}"/>
    <cellStyle name="Normal 47 2 2 2 3" xfId="46371" xr:uid="{00000000-0005-0000-0000-0000A8B40000}"/>
    <cellStyle name="Normal 47 2 2 3" xfId="46372" xr:uid="{00000000-0005-0000-0000-0000A9B40000}"/>
    <cellStyle name="Normal 47 2 2 3 2" xfId="46373" xr:uid="{00000000-0005-0000-0000-0000AAB40000}"/>
    <cellStyle name="Normal 47 2 2 3 3" xfId="46374" xr:uid="{00000000-0005-0000-0000-0000ABB40000}"/>
    <cellStyle name="Normal 47 2 2 4" xfId="46375" xr:uid="{00000000-0005-0000-0000-0000ACB40000}"/>
    <cellStyle name="Normal 47 2 2 5" xfId="46376" xr:uid="{00000000-0005-0000-0000-0000ADB40000}"/>
    <cellStyle name="Normal 47 2 2 6" xfId="46377" xr:uid="{00000000-0005-0000-0000-0000AEB40000}"/>
    <cellStyle name="Normal 47 2 2 7" xfId="46378" xr:uid="{00000000-0005-0000-0000-0000AFB40000}"/>
    <cellStyle name="Normal 47 2 2 8" xfId="46379" xr:uid="{00000000-0005-0000-0000-0000B0B40000}"/>
    <cellStyle name="Normal 47 2 3" xfId="46380" xr:uid="{00000000-0005-0000-0000-0000B1B40000}"/>
    <cellStyle name="Normal 47 2 3 2" xfId="46381" xr:uid="{00000000-0005-0000-0000-0000B2B40000}"/>
    <cellStyle name="Normal 47 2 3 2 2" xfId="46382" xr:uid="{00000000-0005-0000-0000-0000B3B40000}"/>
    <cellStyle name="Normal 47 2 3 2 3" xfId="46383" xr:uid="{00000000-0005-0000-0000-0000B4B40000}"/>
    <cellStyle name="Normal 47 2 3 3" xfId="46384" xr:uid="{00000000-0005-0000-0000-0000B5B40000}"/>
    <cellStyle name="Normal 47 2 3 3 2" xfId="46385" xr:uid="{00000000-0005-0000-0000-0000B6B40000}"/>
    <cellStyle name="Normal 47 2 3 4" xfId="46386" xr:uid="{00000000-0005-0000-0000-0000B7B40000}"/>
    <cellStyle name="Normal 47 2 4" xfId="46387" xr:uid="{00000000-0005-0000-0000-0000B8B40000}"/>
    <cellStyle name="Normal 47 2 4 2" xfId="46388" xr:uid="{00000000-0005-0000-0000-0000B9B40000}"/>
    <cellStyle name="Normal 47 2 4 3" xfId="46389" xr:uid="{00000000-0005-0000-0000-0000BAB40000}"/>
    <cellStyle name="Normal 47 2 5" xfId="46390" xr:uid="{00000000-0005-0000-0000-0000BBB40000}"/>
    <cellStyle name="Normal 47 2 6" xfId="46391" xr:uid="{00000000-0005-0000-0000-0000BCB40000}"/>
    <cellStyle name="Normal 47 2 7" xfId="46392" xr:uid="{00000000-0005-0000-0000-0000BDB40000}"/>
    <cellStyle name="Normal 47 2 8" xfId="46393" xr:uid="{00000000-0005-0000-0000-0000BEB40000}"/>
    <cellStyle name="Normal 47 2 9" xfId="46394" xr:uid="{00000000-0005-0000-0000-0000BFB40000}"/>
    <cellStyle name="Normal 47 3" xfId="46395" xr:uid="{00000000-0005-0000-0000-0000C0B40000}"/>
    <cellStyle name="Normal 47 3 2" xfId="46396" xr:uid="{00000000-0005-0000-0000-0000C1B40000}"/>
    <cellStyle name="Normal 47 3 3" xfId="46397" xr:uid="{00000000-0005-0000-0000-0000C2B40000}"/>
    <cellStyle name="Normal 47 4" xfId="46398" xr:uid="{00000000-0005-0000-0000-0000C3B40000}"/>
    <cellStyle name="Normal 47 4 2" xfId="46399" xr:uid="{00000000-0005-0000-0000-0000C4B40000}"/>
    <cellStyle name="Normal 47 5" xfId="46400" xr:uid="{00000000-0005-0000-0000-0000C5B40000}"/>
    <cellStyle name="Normal 47 6" xfId="46401" xr:uid="{00000000-0005-0000-0000-0000C6B40000}"/>
    <cellStyle name="Normal 47 7" xfId="46402" xr:uid="{00000000-0005-0000-0000-0000C7B40000}"/>
    <cellStyle name="Normal 47_2015 Annual Rpt" xfId="46403" xr:uid="{00000000-0005-0000-0000-0000C8B40000}"/>
    <cellStyle name="Normal 48" xfId="323" xr:uid="{00000000-0005-0000-0000-0000C9B40000}"/>
    <cellStyle name="Normal 48 10" xfId="46404" xr:uid="{00000000-0005-0000-0000-0000CAB40000}"/>
    <cellStyle name="Normal 48 11" xfId="46405" xr:uid="{00000000-0005-0000-0000-0000CBB40000}"/>
    <cellStyle name="Normal 48 12" xfId="46406" xr:uid="{00000000-0005-0000-0000-0000CCB40000}"/>
    <cellStyle name="Normal 48 2" xfId="46407" xr:uid="{00000000-0005-0000-0000-0000CDB40000}"/>
    <cellStyle name="Normal 48 2 2" xfId="46408" xr:uid="{00000000-0005-0000-0000-0000CEB40000}"/>
    <cellStyle name="Normal 48 2 2 2" xfId="46409" xr:uid="{00000000-0005-0000-0000-0000CFB40000}"/>
    <cellStyle name="Normal 48 2 2 3" xfId="46410" xr:uid="{00000000-0005-0000-0000-0000D0B40000}"/>
    <cellStyle name="Normal 48 2 3" xfId="46411" xr:uid="{00000000-0005-0000-0000-0000D1B40000}"/>
    <cellStyle name="Normal 48 2 3 2" xfId="46412" xr:uid="{00000000-0005-0000-0000-0000D2B40000}"/>
    <cellStyle name="Normal 48 2 3 3" xfId="46413" xr:uid="{00000000-0005-0000-0000-0000D3B40000}"/>
    <cellStyle name="Normal 48 2 4" xfId="46414" xr:uid="{00000000-0005-0000-0000-0000D4B40000}"/>
    <cellStyle name="Normal 48 2 4 2" xfId="46415" xr:uid="{00000000-0005-0000-0000-0000D5B40000}"/>
    <cellStyle name="Normal 48 2 4 3" xfId="46416" xr:uid="{00000000-0005-0000-0000-0000D6B40000}"/>
    <cellStyle name="Normal 48 2 5" xfId="46417" xr:uid="{00000000-0005-0000-0000-0000D7B40000}"/>
    <cellStyle name="Normal 48 2 6" xfId="46418" xr:uid="{00000000-0005-0000-0000-0000D8B40000}"/>
    <cellStyle name="Normal 48 2 7" xfId="46419" xr:uid="{00000000-0005-0000-0000-0000D9B40000}"/>
    <cellStyle name="Normal 48 2 8" xfId="46420" xr:uid="{00000000-0005-0000-0000-0000DAB40000}"/>
    <cellStyle name="Normal 48 2 9" xfId="46421" xr:uid="{00000000-0005-0000-0000-0000DBB40000}"/>
    <cellStyle name="Normal 48 3" xfId="46422" xr:uid="{00000000-0005-0000-0000-0000DCB40000}"/>
    <cellStyle name="Normal 48 3 2" xfId="46423" xr:uid="{00000000-0005-0000-0000-0000DDB40000}"/>
    <cellStyle name="Normal 48 3 2 2" xfId="46424" xr:uid="{00000000-0005-0000-0000-0000DEB40000}"/>
    <cellStyle name="Normal 48 3 2 3" xfId="46425" xr:uid="{00000000-0005-0000-0000-0000DFB40000}"/>
    <cellStyle name="Normal 48 3 3" xfId="46426" xr:uid="{00000000-0005-0000-0000-0000E0B40000}"/>
    <cellStyle name="Normal 48 3 3 2" xfId="46427" xr:uid="{00000000-0005-0000-0000-0000E1B40000}"/>
    <cellStyle name="Normal 48 3 4" xfId="46428" xr:uid="{00000000-0005-0000-0000-0000E2B40000}"/>
    <cellStyle name="Normal 48 3 5" xfId="46429" xr:uid="{00000000-0005-0000-0000-0000E3B40000}"/>
    <cellStyle name="Normal 48 3 6" xfId="46430" xr:uid="{00000000-0005-0000-0000-0000E4B40000}"/>
    <cellStyle name="Normal 48 3 7" xfId="46431" xr:uid="{00000000-0005-0000-0000-0000E5B40000}"/>
    <cellStyle name="Normal 48 3 8" xfId="46432" xr:uid="{00000000-0005-0000-0000-0000E6B40000}"/>
    <cellStyle name="Normal 48 4" xfId="46433" xr:uid="{00000000-0005-0000-0000-0000E7B40000}"/>
    <cellStyle name="Normal 48 4 2" xfId="46434" xr:uid="{00000000-0005-0000-0000-0000E8B40000}"/>
    <cellStyle name="Normal 48 4 2 2" xfId="46435" xr:uid="{00000000-0005-0000-0000-0000E9B40000}"/>
    <cellStyle name="Normal 48 4 3" xfId="46436" xr:uid="{00000000-0005-0000-0000-0000EAB40000}"/>
    <cellStyle name="Normal 48 4 3 2" xfId="46437" xr:uid="{00000000-0005-0000-0000-0000EBB40000}"/>
    <cellStyle name="Normal 48 4 4" xfId="46438" xr:uid="{00000000-0005-0000-0000-0000ECB40000}"/>
    <cellStyle name="Normal 48 4 5" xfId="46439" xr:uid="{00000000-0005-0000-0000-0000EDB40000}"/>
    <cellStyle name="Normal 48 4 6" xfId="46440" xr:uid="{00000000-0005-0000-0000-0000EEB40000}"/>
    <cellStyle name="Normal 48 4 7" xfId="46441" xr:uid="{00000000-0005-0000-0000-0000EFB40000}"/>
    <cellStyle name="Normal 48 4 8" xfId="46442" xr:uid="{00000000-0005-0000-0000-0000F0B40000}"/>
    <cellStyle name="Normal 48 5" xfId="46443" xr:uid="{00000000-0005-0000-0000-0000F1B40000}"/>
    <cellStyle name="Normal 48 6" xfId="46444" xr:uid="{00000000-0005-0000-0000-0000F2B40000}"/>
    <cellStyle name="Normal 48 6 2" xfId="46445" xr:uid="{00000000-0005-0000-0000-0000F3B40000}"/>
    <cellStyle name="Normal 48 6 3" xfId="46446" xr:uid="{00000000-0005-0000-0000-0000F4B40000}"/>
    <cellStyle name="Normal 48 6 3 2" xfId="46447" xr:uid="{00000000-0005-0000-0000-0000F5B40000}"/>
    <cellStyle name="Normal 48 6 4" xfId="46448" xr:uid="{00000000-0005-0000-0000-0000F6B40000}"/>
    <cellStyle name="Normal 48 7" xfId="46449" xr:uid="{00000000-0005-0000-0000-0000F7B40000}"/>
    <cellStyle name="Normal 48 7 2" xfId="46450" xr:uid="{00000000-0005-0000-0000-0000F8B40000}"/>
    <cellStyle name="Normal 48 8" xfId="46451" xr:uid="{00000000-0005-0000-0000-0000F9B40000}"/>
    <cellStyle name="Normal 48 8 2" xfId="46452" xr:uid="{00000000-0005-0000-0000-0000FAB40000}"/>
    <cellStyle name="Normal 48 9" xfId="46453" xr:uid="{00000000-0005-0000-0000-0000FBB40000}"/>
    <cellStyle name="Normal 48_2015 Annual Rpt" xfId="46454" xr:uid="{00000000-0005-0000-0000-0000FCB40000}"/>
    <cellStyle name="Normal 49" xfId="324" xr:uid="{00000000-0005-0000-0000-0000FDB40000}"/>
    <cellStyle name="Normal 49 10" xfId="46455" xr:uid="{00000000-0005-0000-0000-0000FEB40000}"/>
    <cellStyle name="Normal 49 11" xfId="46456" xr:uid="{00000000-0005-0000-0000-0000FFB40000}"/>
    <cellStyle name="Normal 49 12" xfId="46457" xr:uid="{00000000-0005-0000-0000-000000B50000}"/>
    <cellStyle name="Normal 49 2" xfId="46458" xr:uid="{00000000-0005-0000-0000-000001B50000}"/>
    <cellStyle name="Normal 49 2 2" xfId="46459" xr:uid="{00000000-0005-0000-0000-000002B50000}"/>
    <cellStyle name="Normal 49 2 2 2" xfId="46460" xr:uid="{00000000-0005-0000-0000-000003B50000}"/>
    <cellStyle name="Normal 49 2 2 3" xfId="46461" xr:uid="{00000000-0005-0000-0000-000004B50000}"/>
    <cellStyle name="Normal 49 2 3" xfId="46462" xr:uid="{00000000-0005-0000-0000-000005B50000}"/>
    <cellStyle name="Normal 49 2 3 2" xfId="46463" xr:uid="{00000000-0005-0000-0000-000006B50000}"/>
    <cellStyle name="Normal 49 2 3 3" xfId="46464" xr:uid="{00000000-0005-0000-0000-000007B50000}"/>
    <cellStyle name="Normal 49 2 4" xfId="46465" xr:uid="{00000000-0005-0000-0000-000008B50000}"/>
    <cellStyle name="Normal 49 2 4 2" xfId="46466" xr:uid="{00000000-0005-0000-0000-000009B50000}"/>
    <cellStyle name="Normal 49 2 4 3" xfId="46467" xr:uid="{00000000-0005-0000-0000-00000AB50000}"/>
    <cellStyle name="Normal 49 2 5" xfId="46468" xr:uid="{00000000-0005-0000-0000-00000BB50000}"/>
    <cellStyle name="Normal 49 2 6" xfId="46469" xr:uid="{00000000-0005-0000-0000-00000CB50000}"/>
    <cellStyle name="Normal 49 2 7" xfId="46470" xr:uid="{00000000-0005-0000-0000-00000DB50000}"/>
    <cellStyle name="Normal 49 2 8" xfId="46471" xr:uid="{00000000-0005-0000-0000-00000EB50000}"/>
    <cellStyle name="Normal 49 2 9" xfId="46472" xr:uid="{00000000-0005-0000-0000-00000FB50000}"/>
    <cellStyle name="Normal 49 3" xfId="46473" xr:uid="{00000000-0005-0000-0000-000010B50000}"/>
    <cellStyle name="Normal 49 3 2" xfId="46474" xr:uid="{00000000-0005-0000-0000-000011B50000}"/>
    <cellStyle name="Normal 49 3 2 2" xfId="46475" xr:uid="{00000000-0005-0000-0000-000012B50000}"/>
    <cellStyle name="Normal 49 3 2 3" xfId="46476" xr:uid="{00000000-0005-0000-0000-000013B50000}"/>
    <cellStyle name="Normal 49 3 3" xfId="46477" xr:uid="{00000000-0005-0000-0000-000014B50000}"/>
    <cellStyle name="Normal 49 3 3 2" xfId="46478" xr:uid="{00000000-0005-0000-0000-000015B50000}"/>
    <cellStyle name="Normal 49 3 4" xfId="46479" xr:uid="{00000000-0005-0000-0000-000016B50000}"/>
    <cellStyle name="Normal 49 3 5" xfId="46480" xr:uid="{00000000-0005-0000-0000-000017B50000}"/>
    <cellStyle name="Normal 49 3 6" xfId="46481" xr:uid="{00000000-0005-0000-0000-000018B50000}"/>
    <cellStyle name="Normal 49 3 7" xfId="46482" xr:uid="{00000000-0005-0000-0000-000019B50000}"/>
    <cellStyle name="Normal 49 3 8" xfId="46483" xr:uid="{00000000-0005-0000-0000-00001AB50000}"/>
    <cellStyle name="Normal 49 4" xfId="46484" xr:uid="{00000000-0005-0000-0000-00001BB50000}"/>
    <cellStyle name="Normal 49 4 2" xfId="46485" xr:uid="{00000000-0005-0000-0000-00001CB50000}"/>
    <cellStyle name="Normal 49 4 2 2" xfId="46486" xr:uid="{00000000-0005-0000-0000-00001DB50000}"/>
    <cellStyle name="Normal 49 4 3" xfId="46487" xr:uid="{00000000-0005-0000-0000-00001EB50000}"/>
    <cellStyle name="Normal 49 4 3 2" xfId="46488" xr:uid="{00000000-0005-0000-0000-00001FB50000}"/>
    <cellStyle name="Normal 49 4 4" xfId="46489" xr:uid="{00000000-0005-0000-0000-000020B50000}"/>
    <cellStyle name="Normal 49 4 5" xfId="46490" xr:uid="{00000000-0005-0000-0000-000021B50000}"/>
    <cellStyle name="Normal 49 4 6" xfId="46491" xr:uid="{00000000-0005-0000-0000-000022B50000}"/>
    <cellStyle name="Normal 49 4 7" xfId="46492" xr:uid="{00000000-0005-0000-0000-000023B50000}"/>
    <cellStyle name="Normal 49 4 8" xfId="46493" xr:uid="{00000000-0005-0000-0000-000024B50000}"/>
    <cellStyle name="Normal 49 5" xfId="46494" xr:uid="{00000000-0005-0000-0000-000025B50000}"/>
    <cellStyle name="Normal 49 6" xfId="46495" xr:uid="{00000000-0005-0000-0000-000026B50000}"/>
    <cellStyle name="Normal 49 6 2" xfId="46496" xr:uid="{00000000-0005-0000-0000-000027B50000}"/>
    <cellStyle name="Normal 49 6 3" xfId="46497" xr:uid="{00000000-0005-0000-0000-000028B50000}"/>
    <cellStyle name="Normal 49 7" xfId="46498" xr:uid="{00000000-0005-0000-0000-000029B50000}"/>
    <cellStyle name="Normal 49 7 2" xfId="46499" xr:uid="{00000000-0005-0000-0000-00002AB50000}"/>
    <cellStyle name="Normal 49 8" xfId="46500" xr:uid="{00000000-0005-0000-0000-00002BB50000}"/>
    <cellStyle name="Normal 49 8 2" xfId="46501" xr:uid="{00000000-0005-0000-0000-00002CB50000}"/>
    <cellStyle name="Normal 49 9" xfId="46502" xr:uid="{00000000-0005-0000-0000-00002DB50000}"/>
    <cellStyle name="Normal 5" xfId="325" xr:uid="{00000000-0005-0000-0000-00002EB50000}"/>
    <cellStyle name="Normal 5 10" xfId="46503" xr:uid="{00000000-0005-0000-0000-00002FB50000}"/>
    <cellStyle name="Normal 5 10 2" xfId="46504" xr:uid="{00000000-0005-0000-0000-000030B50000}"/>
    <cellStyle name="Normal 5 10 2 2" xfId="46505" xr:uid="{00000000-0005-0000-0000-000031B50000}"/>
    <cellStyle name="Normal 5 10 2 2 2" xfId="46506" xr:uid="{00000000-0005-0000-0000-000032B50000}"/>
    <cellStyle name="Normal 5 10 2 2 2 2" xfId="46507" xr:uid="{00000000-0005-0000-0000-000033B50000}"/>
    <cellStyle name="Normal 5 10 2 2 2 3" xfId="46508" xr:uid="{00000000-0005-0000-0000-000034B50000}"/>
    <cellStyle name="Normal 5 10 2 2 3" xfId="46509" xr:uid="{00000000-0005-0000-0000-000035B50000}"/>
    <cellStyle name="Normal 5 10 2 2 3 2" xfId="46510" xr:uid="{00000000-0005-0000-0000-000036B50000}"/>
    <cellStyle name="Normal 5 10 2 2 3 3" xfId="46511" xr:uid="{00000000-0005-0000-0000-000037B50000}"/>
    <cellStyle name="Normal 5 10 2 2 4" xfId="46512" xr:uid="{00000000-0005-0000-0000-000038B50000}"/>
    <cellStyle name="Normal 5 10 2 2 5" xfId="46513" xr:uid="{00000000-0005-0000-0000-000039B50000}"/>
    <cellStyle name="Normal 5 10 2 2 6" xfId="46514" xr:uid="{00000000-0005-0000-0000-00003AB50000}"/>
    <cellStyle name="Normal 5 10 2 2 7" xfId="46515" xr:uid="{00000000-0005-0000-0000-00003BB50000}"/>
    <cellStyle name="Normal 5 10 2 2 8" xfId="46516" xr:uid="{00000000-0005-0000-0000-00003CB50000}"/>
    <cellStyle name="Normal 5 10 2 3" xfId="46517" xr:uid="{00000000-0005-0000-0000-00003DB50000}"/>
    <cellStyle name="Normal 5 10 2 3 2" xfId="46518" xr:uid="{00000000-0005-0000-0000-00003EB50000}"/>
    <cellStyle name="Normal 5 10 2 3 3" xfId="46519" xr:uid="{00000000-0005-0000-0000-00003FB50000}"/>
    <cellStyle name="Normal 5 10 2 4" xfId="46520" xr:uid="{00000000-0005-0000-0000-000040B50000}"/>
    <cellStyle name="Normal 5 10 2 4 2" xfId="46521" xr:uid="{00000000-0005-0000-0000-000041B50000}"/>
    <cellStyle name="Normal 5 10 2 4 3" xfId="46522" xr:uid="{00000000-0005-0000-0000-000042B50000}"/>
    <cellStyle name="Normal 5 10 2 5" xfId="46523" xr:uid="{00000000-0005-0000-0000-000043B50000}"/>
    <cellStyle name="Normal 5 10 2 5 2" xfId="46524" xr:uid="{00000000-0005-0000-0000-000044B50000}"/>
    <cellStyle name="Normal 5 10 2 5 3" xfId="46525" xr:uid="{00000000-0005-0000-0000-000045B50000}"/>
    <cellStyle name="Normal 5 10 2 6" xfId="46526" xr:uid="{00000000-0005-0000-0000-000046B50000}"/>
    <cellStyle name="Normal 5 10 2 7" xfId="46527" xr:uid="{00000000-0005-0000-0000-000047B50000}"/>
    <cellStyle name="Normal 5 10 2 8" xfId="46528" xr:uid="{00000000-0005-0000-0000-000048B50000}"/>
    <cellStyle name="Normal 5 10 3" xfId="46529" xr:uid="{00000000-0005-0000-0000-000049B50000}"/>
    <cellStyle name="Normal 5 10 3 2" xfId="46530" xr:uid="{00000000-0005-0000-0000-00004AB50000}"/>
    <cellStyle name="Normal 5 10 3 2 2" xfId="46531" xr:uid="{00000000-0005-0000-0000-00004BB50000}"/>
    <cellStyle name="Normal 5 10 3 2 3" xfId="46532" xr:uid="{00000000-0005-0000-0000-00004CB50000}"/>
    <cellStyle name="Normal 5 10 3 3" xfId="46533" xr:uid="{00000000-0005-0000-0000-00004DB50000}"/>
    <cellStyle name="Normal 5 10 3 3 2" xfId="46534" xr:uid="{00000000-0005-0000-0000-00004EB50000}"/>
    <cellStyle name="Normal 5 10 3 4" xfId="46535" xr:uid="{00000000-0005-0000-0000-00004FB50000}"/>
    <cellStyle name="Normal 5 10 4" xfId="46536" xr:uid="{00000000-0005-0000-0000-000050B50000}"/>
    <cellStyle name="Normal 5 10 5" xfId="46537" xr:uid="{00000000-0005-0000-0000-000051B50000}"/>
    <cellStyle name="Normal 5 11" xfId="46538" xr:uid="{00000000-0005-0000-0000-000052B50000}"/>
    <cellStyle name="Normal 5 11 2" xfId="46539" xr:uid="{00000000-0005-0000-0000-000053B50000}"/>
    <cellStyle name="Normal 5 11 2 2" xfId="46540" xr:uid="{00000000-0005-0000-0000-000054B50000}"/>
    <cellStyle name="Normal 5 11 2 2 2" xfId="46541" xr:uid="{00000000-0005-0000-0000-000055B50000}"/>
    <cellStyle name="Normal 5 11 2 2 3" xfId="46542" xr:uid="{00000000-0005-0000-0000-000056B50000}"/>
    <cellStyle name="Normal 5 11 2 3" xfId="46543" xr:uid="{00000000-0005-0000-0000-000057B50000}"/>
    <cellStyle name="Normal 5 11 2 4" xfId="46544" xr:uid="{00000000-0005-0000-0000-000058B50000}"/>
    <cellStyle name="Normal 5 11 3" xfId="46545" xr:uid="{00000000-0005-0000-0000-000059B50000}"/>
    <cellStyle name="Normal 5 11 3 2" xfId="46546" xr:uid="{00000000-0005-0000-0000-00005AB50000}"/>
    <cellStyle name="Normal 5 11 3 3" xfId="46547" xr:uid="{00000000-0005-0000-0000-00005BB50000}"/>
    <cellStyle name="Normal 5 11 4" xfId="46548" xr:uid="{00000000-0005-0000-0000-00005CB50000}"/>
    <cellStyle name="Normal 5 12" xfId="46549" xr:uid="{00000000-0005-0000-0000-00005DB50000}"/>
    <cellStyle name="Normal 5 12 2" xfId="46550" xr:uid="{00000000-0005-0000-0000-00005EB50000}"/>
    <cellStyle name="Normal 5 12 2 2" xfId="46551" xr:uid="{00000000-0005-0000-0000-00005FB50000}"/>
    <cellStyle name="Normal 5 12 2 2 2" xfId="46552" xr:uid="{00000000-0005-0000-0000-000060B50000}"/>
    <cellStyle name="Normal 5 12 2 2 3" xfId="46553" xr:uid="{00000000-0005-0000-0000-000061B50000}"/>
    <cellStyle name="Normal 5 12 2 3" xfId="46554" xr:uid="{00000000-0005-0000-0000-000062B50000}"/>
    <cellStyle name="Normal 5 12 2 4" xfId="46555" xr:uid="{00000000-0005-0000-0000-000063B50000}"/>
    <cellStyle name="Normal 5 12 3" xfId="46556" xr:uid="{00000000-0005-0000-0000-000064B50000}"/>
    <cellStyle name="Normal 5 12 3 2" xfId="46557" xr:uid="{00000000-0005-0000-0000-000065B50000}"/>
    <cellStyle name="Normal 5 12 3 3" xfId="46558" xr:uid="{00000000-0005-0000-0000-000066B50000}"/>
    <cellStyle name="Normal 5 12 4" xfId="46559" xr:uid="{00000000-0005-0000-0000-000067B50000}"/>
    <cellStyle name="Normal 5 13" xfId="46560" xr:uid="{00000000-0005-0000-0000-000068B50000}"/>
    <cellStyle name="Normal 5 13 2" xfId="46561" xr:uid="{00000000-0005-0000-0000-000069B50000}"/>
    <cellStyle name="Normal 5 13 2 2" xfId="46562" xr:uid="{00000000-0005-0000-0000-00006AB50000}"/>
    <cellStyle name="Normal 5 13 2 2 2" xfId="46563" xr:uid="{00000000-0005-0000-0000-00006BB50000}"/>
    <cellStyle name="Normal 5 13 2 2 3" xfId="46564" xr:uid="{00000000-0005-0000-0000-00006CB50000}"/>
    <cellStyle name="Normal 5 13 2 3" xfId="46565" xr:uid="{00000000-0005-0000-0000-00006DB50000}"/>
    <cellStyle name="Normal 5 13 2 4" xfId="46566" xr:uid="{00000000-0005-0000-0000-00006EB50000}"/>
    <cellStyle name="Normal 5 13 3" xfId="46567" xr:uid="{00000000-0005-0000-0000-00006FB50000}"/>
    <cellStyle name="Normal 5 13 3 2" xfId="46568" xr:uid="{00000000-0005-0000-0000-000070B50000}"/>
    <cellStyle name="Normal 5 13 3 3" xfId="46569" xr:uid="{00000000-0005-0000-0000-000071B50000}"/>
    <cellStyle name="Normal 5 13 4" xfId="46570" xr:uid="{00000000-0005-0000-0000-000072B50000}"/>
    <cellStyle name="Normal 5 14" xfId="46571" xr:uid="{00000000-0005-0000-0000-000073B50000}"/>
    <cellStyle name="Normal 5 14 2" xfId="46572" xr:uid="{00000000-0005-0000-0000-000074B50000}"/>
    <cellStyle name="Normal 5 14 2 2" xfId="46573" xr:uid="{00000000-0005-0000-0000-000075B50000}"/>
    <cellStyle name="Normal 5 14 2 2 2" xfId="46574" xr:uid="{00000000-0005-0000-0000-000076B50000}"/>
    <cellStyle name="Normal 5 14 2 2 3" xfId="46575" xr:uid="{00000000-0005-0000-0000-000077B50000}"/>
    <cellStyle name="Normal 5 14 2 3" xfId="46576" xr:uid="{00000000-0005-0000-0000-000078B50000}"/>
    <cellStyle name="Normal 5 14 2 4" xfId="46577" xr:uid="{00000000-0005-0000-0000-000079B50000}"/>
    <cellStyle name="Normal 5 14 3" xfId="46578" xr:uid="{00000000-0005-0000-0000-00007AB50000}"/>
    <cellStyle name="Normal 5 14 3 2" xfId="46579" xr:uid="{00000000-0005-0000-0000-00007BB50000}"/>
    <cellStyle name="Normal 5 14 3 3" xfId="46580" xr:uid="{00000000-0005-0000-0000-00007CB50000}"/>
    <cellStyle name="Normal 5 14 4" xfId="46581" xr:uid="{00000000-0005-0000-0000-00007DB50000}"/>
    <cellStyle name="Normal 5 15" xfId="46582" xr:uid="{00000000-0005-0000-0000-00007EB50000}"/>
    <cellStyle name="Normal 5 15 2" xfId="46583" xr:uid="{00000000-0005-0000-0000-00007FB50000}"/>
    <cellStyle name="Normal 5 15 2 2" xfId="46584" xr:uid="{00000000-0005-0000-0000-000080B50000}"/>
    <cellStyle name="Normal 5 15 2 2 2" xfId="46585" xr:uid="{00000000-0005-0000-0000-000081B50000}"/>
    <cellStyle name="Normal 5 15 2 2 3" xfId="46586" xr:uid="{00000000-0005-0000-0000-000082B50000}"/>
    <cellStyle name="Normal 5 15 2 3" xfId="46587" xr:uid="{00000000-0005-0000-0000-000083B50000}"/>
    <cellStyle name="Normal 5 15 2 4" xfId="46588" xr:uid="{00000000-0005-0000-0000-000084B50000}"/>
    <cellStyle name="Normal 5 15 3" xfId="46589" xr:uid="{00000000-0005-0000-0000-000085B50000}"/>
    <cellStyle name="Normal 5 15 3 2" xfId="46590" xr:uid="{00000000-0005-0000-0000-000086B50000}"/>
    <cellStyle name="Normal 5 15 3 3" xfId="46591" xr:uid="{00000000-0005-0000-0000-000087B50000}"/>
    <cellStyle name="Normal 5 15 4" xfId="46592" xr:uid="{00000000-0005-0000-0000-000088B50000}"/>
    <cellStyle name="Normal 5 16" xfId="46593" xr:uid="{00000000-0005-0000-0000-000089B50000}"/>
    <cellStyle name="Normal 5 16 2" xfId="46594" xr:uid="{00000000-0005-0000-0000-00008AB50000}"/>
    <cellStyle name="Normal 5 16 2 2" xfId="46595" xr:uid="{00000000-0005-0000-0000-00008BB50000}"/>
    <cellStyle name="Normal 5 16 2 2 2" xfId="46596" xr:uid="{00000000-0005-0000-0000-00008CB50000}"/>
    <cellStyle name="Normal 5 16 2 2 3" xfId="46597" xr:uid="{00000000-0005-0000-0000-00008DB50000}"/>
    <cellStyle name="Normal 5 16 2 3" xfId="46598" xr:uid="{00000000-0005-0000-0000-00008EB50000}"/>
    <cellStyle name="Normal 5 16 2 4" xfId="46599" xr:uid="{00000000-0005-0000-0000-00008FB50000}"/>
    <cellStyle name="Normal 5 16 3" xfId="46600" xr:uid="{00000000-0005-0000-0000-000090B50000}"/>
    <cellStyle name="Normal 5 16 3 2" xfId="46601" xr:uid="{00000000-0005-0000-0000-000091B50000}"/>
    <cellStyle name="Normal 5 16 3 3" xfId="46602" xr:uid="{00000000-0005-0000-0000-000092B50000}"/>
    <cellStyle name="Normal 5 16 4" xfId="46603" xr:uid="{00000000-0005-0000-0000-000093B50000}"/>
    <cellStyle name="Normal 5 17" xfId="46604" xr:uid="{00000000-0005-0000-0000-000094B50000}"/>
    <cellStyle name="Normal 5 17 2" xfId="46605" xr:uid="{00000000-0005-0000-0000-000095B50000}"/>
    <cellStyle name="Normal 5 17 2 2" xfId="46606" xr:uid="{00000000-0005-0000-0000-000096B50000}"/>
    <cellStyle name="Normal 5 17 2 2 2" xfId="46607" xr:uid="{00000000-0005-0000-0000-000097B50000}"/>
    <cellStyle name="Normal 5 17 2 2 3" xfId="46608" xr:uid="{00000000-0005-0000-0000-000098B50000}"/>
    <cellStyle name="Normal 5 17 2 3" xfId="46609" xr:uid="{00000000-0005-0000-0000-000099B50000}"/>
    <cellStyle name="Normal 5 17 2 4" xfId="46610" xr:uid="{00000000-0005-0000-0000-00009AB50000}"/>
    <cellStyle name="Normal 5 17 3" xfId="46611" xr:uid="{00000000-0005-0000-0000-00009BB50000}"/>
    <cellStyle name="Normal 5 17 3 2" xfId="46612" xr:uid="{00000000-0005-0000-0000-00009CB50000}"/>
    <cellStyle name="Normal 5 17 3 3" xfId="46613" xr:uid="{00000000-0005-0000-0000-00009DB50000}"/>
    <cellStyle name="Normal 5 17 4" xfId="46614" xr:uid="{00000000-0005-0000-0000-00009EB50000}"/>
    <cellStyle name="Normal 5 18" xfId="46615" xr:uid="{00000000-0005-0000-0000-00009FB50000}"/>
    <cellStyle name="Normal 5 18 2" xfId="46616" xr:uid="{00000000-0005-0000-0000-0000A0B50000}"/>
    <cellStyle name="Normal 5 18 2 2" xfId="46617" xr:uid="{00000000-0005-0000-0000-0000A1B50000}"/>
    <cellStyle name="Normal 5 18 2 2 2" xfId="46618" xr:uid="{00000000-0005-0000-0000-0000A2B50000}"/>
    <cellStyle name="Normal 5 18 2 2 3" xfId="46619" xr:uid="{00000000-0005-0000-0000-0000A3B50000}"/>
    <cellStyle name="Normal 5 18 2 3" xfId="46620" xr:uid="{00000000-0005-0000-0000-0000A4B50000}"/>
    <cellStyle name="Normal 5 18 2 4" xfId="46621" xr:uid="{00000000-0005-0000-0000-0000A5B50000}"/>
    <cellStyle name="Normal 5 18 3" xfId="46622" xr:uid="{00000000-0005-0000-0000-0000A6B50000}"/>
    <cellStyle name="Normal 5 18 3 2" xfId="46623" xr:uid="{00000000-0005-0000-0000-0000A7B50000}"/>
    <cellStyle name="Normal 5 18 3 3" xfId="46624" xr:uid="{00000000-0005-0000-0000-0000A8B50000}"/>
    <cellStyle name="Normal 5 18 4" xfId="46625" xr:uid="{00000000-0005-0000-0000-0000A9B50000}"/>
    <cellStyle name="Normal 5 19" xfId="46626" xr:uid="{00000000-0005-0000-0000-0000AAB50000}"/>
    <cellStyle name="Normal 5 19 2" xfId="46627" xr:uid="{00000000-0005-0000-0000-0000ABB50000}"/>
    <cellStyle name="Normal 5 19 2 2" xfId="46628" xr:uid="{00000000-0005-0000-0000-0000ACB50000}"/>
    <cellStyle name="Normal 5 19 2 2 2" xfId="46629" xr:uid="{00000000-0005-0000-0000-0000ADB50000}"/>
    <cellStyle name="Normal 5 19 2 2 3" xfId="46630" xr:uid="{00000000-0005-0000-0000-0000AEB50000}"/>
    <cellStyle name="Normal 5 19 2 3" xfId="46631" xr:uid="{00000000-0005-0000-0000-0000AFB50000}"/>
    <cellStyle name="Normal 5 19 2 4" xfId="46632" xr:uid="{00000000-0005-0000-0000-0000B0B50000}"/>
    <cellStyle name="Normal 5 19 3" xfId="46633" xr:uid="{00000000-0005-0000-0000-0000B1B50000}"/>
    <cellStyle name="Normal 5 19 3 2" xfId="46634" xr:uid="{00000000-0005-0000-0000-0000B2B50000}"/>
    <cellStyle name="Normal 5 19 3 3" xfId="46635" xr:uid="{00000000-0005-0000-0000-0000B3B50000}"/>
    <cellStyle name="Normal 5 19 4" xfId="46636" xr:uid="{00000000-0005-0000-0000-0000B4B50000}"/>
    <cellStyle name="Normal 5 2" xfId="326" xr:uid="{00000000-0005-0000-0000-0000B5B50000}"/>
    <cellStyle name="Normal 5 2 10" xfId="46637" xr:uid="{00000000-0005-0000-0000-0000B6B50000}"/>
    <cellStyle name="Normal 5 2 10 2" xfId="46638" xr:uid="{00000000-0005-0000-0000-0000B7B50000}"/>
    <cellStyle name="Normal 5 2 10 2 2" xfId="46639" xr:uid="{00000000-0005-0000-0000-0000B8B50000}"/>
    <cellStyle name="Normal 5 2 10 2 2 2" xfId="46640" xr:uid="{00000000-0005-0000-0000-0000B9B50000}"/>
    <cellStyle name="Normal 5 2 10 2 2 3" xfId="46641" xr:uid="{00000000-0005-0000-0000-0000BAB50000}"/>
    <cellStyle name="Normal 5 2 10 2 3" xfId="46642" xr:uid="{00000000-0005-0000-0000-0000BBB50000}"/>
    <cellStyle name="Normal 5 2 10 2 4" xfId="46643" xr:uid="{00000000-0005-0000-0000-0000BCB50000}"/>
    <cellStyle name="Normal 5 2 10 3" xfId="46644" xr:uid="{00000000-0005-0000-0000-0000BDB50000}"/>
    <cellStyle name="Normal 5 2 10 3 2" xfId="46645" xr:uid="{00000000-0005-0000-0000-0000BEB50000}"/>
    <cellStyle name="Normal 5 2 10 3 3" xfId="46646" xr:uid="{00000000-0005-0000-0000-0000BFB50000}"/>
    <cellStyle name="Normal 5 2 10 4" xfId="46647" xr:uid="{00000000-0005-0000-0000-0000C0B50000}"/>
    <cellStyle name="Normal 5 2 11" xfId="46648" xr:uid="{00000000-0005-0000-0000-0000C1B50000}"/>
    <cellStyle name="Normal 5 2 11 2" xfId="46649" xr:uid="{00000000-0005-0000-0000-0000C2B50000}"/>
    <cellStyle name="Normal 5 2 11 2 2" xfId="46650" xr:uid="{00000000-0005-0000-0000-0000C3B50000}"/>
    <cellStyle name="Normal 5 2 11 2 2 2" xfId="46651" xr:uid="{00000000-0005-0000-0000-0000C4B50000}"/>
    <cellStyle name="Normal 5 2 11 2 2 3" xfId="46652" xr:uid="{00000000-0005-0000-0000-0000C5B50000}"/>
    <cellStyle name="Normal 5 2 11 2 3" xfId="46653" xr:uid="{00000000-0005-0000-0000-0000C6B50000}"/>
    <cellStyle name="Normal 5 2 11 2 4" xfId="46654" xr:uid="{00000000-0005-0000-0000-0000C7B50000}"/>
    <cellStyle name="Normal 5 2 11 3" xfId="46655" xr:uid="{00000000-0005-0000-0000-0000C8B50000}"/>
    <cellStyle name="Normal 5 2 11 3 2" xfId="46656" xr:uid="{00000000-0005-0000-0000-0000C9B50000}"/>
    <cellStyle name="Normal 5 2 11 3 3" xfId="46657" xr:uid="{00000000-0005-0000-0000-0000CAB50000}"/>
    <cellStyle name="Normal 5 2 11 4" xfId="46658" xr:uid="{00000000-0005-0000-0000-0000CBB50000}"/>
    <cellStyle name="Normal 5 2 12" xfId="46659" xr:uid="{00000000-0005-0000-0000-0000CCB50000}"/>
    <cellStyle name="Normal 5 2 12 2" xfId="46660" xr:uid="{00000000-0005-0000-0000-0000CDB50000}"/>
    <cellStyle name="Normal 5 2 12 2 2" xfId="46661" xr:uid="{00000000-0005-0000-0000-0000CEB50000}"/>
    <cellStyle name="Normal 5 2 12 2 2 2" xfId="46662" xr:uid="{00000000-0005-0000-0000-0000CFB50000}"/>
    <cellStyle name="Normal 5 2 12 2 2 3" xfId="46663" xr:uid="{00000000-0005-0000-0000-0000D0B50000}"/>
    <cellStyle name="Normal 5 2 12 2 3" xfId="46664" xr:uid="{00000000-0005-0000-0000-0000D1B50000}"/>
    <cellStyle name="Normal 5 2 12 2 4" xfId="46665" xr:uid="{00000000-0005-0000-0000-0000D2B50000}"/>
    <cellStyle name="Normal 5 2 12 3" xfId="46666" xr:uid="{00000000-0005-0000-0000-0000D3B50000}"/>
    <cellStyle name="Normal 5 2 12 3 2" xfId="46667" xr:uid="{00000000-0005-0000-0000-0000D4B50000}"/>
    <cellStyle name="Normal 5 2 12 3 3" xfId="46668" xr:uid="{00000000-0005-0000-0000-0000D5B50000}"/>
    <cellStyle name="Normal 5 2 12 4" xfId="46669" xr:uid="{00000000-0005-0000-0000-0000D6B50000}"/>
    <cellStyle name="Normal 5 2 13" xfId="46670" xr:uid="{00000000-0005-0000-0000-0000D7B50000}"/>
    <cellStyle name="Normal 5 2 13 2" xfId="46671" xr:uid="{00000000-0005-0000-0000-0000D8B50000}"/>
    <cellStyle name="Normal 5 2 13 2 2" xfId="46672" xr:uid="{00000000-0005-0000-0000-0000D9B50000}"/>
    <cellStyle name="Normal 5 2 13 2 2 2" xfId="46673" xr:uid="{00000000-0005-0000-0000-0000DAB50000}"/>
    <cellStyle name="Normal 5 2 13 2 2 3" xfId="46674" xr:uid="{00000000-0005-0000-0000-0000DBB50000}"/>
    <cellStyle name="Normal 5 2 13 2 3" xfId="46675" xr:uid="{00000000-0005-0000-0000-0000DCB50000}"/>
    <cellStyle name="Normal 5 2 13 2 4" xfId="46676" xr:uid="{00000000-0005-0000-0000-0000DDB50000}"/>
    <cellStyle name="Normal 5 2 13 3" xfId="46677" xr:uid="{00000000-0005-0000-0000-0000DEB50000}"/>
    <cellStyle name="Normal 5 2 13 3 2" xfId="46678" xr:uid="{00000000-0005-0000-0000-0000DFB50000}"/>
    <cellStyle name="Normal 5 2 13 3 3" xfId="46679" xr:uid="{00000000-0005-0000-0000-0000E0B50000}"/>
    <cellStyle name="Normal 5 2 13 4" xfId="46680" xr:uid="{00000000-0005-0000-0000-0000E1B50000}"/>
    <cellStyle name="Normal 5 2 14" xfId="46681" xr:uid="{00000000-0005-0000-0000-0000E2B50000}"/>
    <cellStyle name="Normal 5 2 14 2" xfId="46682" xr:uid="{00000000-0005-0000-0000-0000E3B50000}"/>
    <cellStyle name="Normal 5 2 14 2 2" xfId="46683" xr:uid="{00000000-0005-0000-0000-0000E4B50000}"/>
    <cellStyle name="Normal 5 2 14 2 2 2" xfId="46684" xr:uid="{00000000-0005-0000-0000-0000E5B50000}"/>
    <cellStyle name="Normal 5 2 14 2 2 3" xfId="46685" xr:uid="{00000000-0005-0000-0000-0000E6B50000}"/>
    <cellStyle name="Normal 5 2 14 2 3" xfId="46686" xr:uid="{00000000-0005-0000-0000-0000E7B50000}"/>
    <cellStyle name="Normal 5 2 14 2 4" xfId="46687" xr:uid="{00000000-0005-0000-0000-0000E8B50000}"/>
    <cellStyle name="Normal 5 2 14 3" xfId="46688" xr:uid="{00000000-0005-0000-0000-0000E9B50000}"/>
    <cellStyle name="Normal 5 2 14 3 2" xfId="46689" xr:uid="{00000000-0005-0000-0000-0000EAB50000}"/>
    <cellStyle name="Normal 5 2 14 3 3" xfId="46690" xr:uid="{00000000-0005-0000-0000-0000EBB50000}"/>
    <cellStyle name="Normal 5 2 14 4" xfId="46691" xr:uid="{00000000-0005-0000-0000-0000ECB50000}"/>
    <cellStyle name="Normal 5 2 15" xfId="46692" xr:uid="{00000000-0005-0000-0000-0000EDB50000}"/>
    <cellStyle name="Normal 5 2 15 2" xfId="46693" xr:uid="{00000000-0005-0000-0000-0000EEB50000}"/>
    <cellStyle name="Normal 5 2 15 2 2" xfId="46694" xr:uid="{00000000-0005-0000-0000-0000EFB50000}"/>
    <cellStyle name="Normal 5 2 15 2 2 2" xfId="46695" xr:uid="{00000000-0005-0000-0000-0000F0B50000}"/>
    <cellStyle name="Normal 5 2 15 2 2 3" xfId="46696" xr:uid="{00000000-0005-0000-0000-0000F1B50000}"/>
    <cellStyle name="Normal 5 2 15 2 3" xfId="46697" xr:uid="{00000000-0005-0000-0000-0000F2B50000}"/>
    <cellStyle name="Normal 5 2 15 2 4" xfId="46698" xr:uid="{00000000-0005-0000-0000-0000F3B50000}"/>
    <cellStyle name="Normal 5 2 15 3" xfId="46699" xr:uid="{00000000-0005-0000-0000-0000F4B50000}"/>
    <cellStyle name="Normal 5 2 15 3 2" xfId="46700" xr:uid="{00000000-0005-0000-0000-0000F5B50000}"/>
    <cellStyle name="Normal 5 2 15 3 3" xfId="46701" xr:uid="{00000000-0005-0000-0000-0000F6B50000}"/>
    <cellStyle name="Normal 5 2 15 4" xfId="46702" xr:uid="{00000000-0005-0000-0000-0000F7B50000}"/>
    <cellStyle name="Normal 5 2 16" xfId="46703" xr:uid="{00000000-0005-0000-0000-0000F8B50000}"/>
    <cellStyle name="Normal 5 2 16 2" xfId="46704" xr:uid="{00000000-0005-0000-0000-0000F9B50000}"/>
    <cellStyle name="Normal 5 2 16 2 2" xfId="46705" xr:uid="{00000000-0005-0000-0000-0000FAB50000}"/>
    <cellStyle name="Normal 5 2 16 2 2 2" xfId="46706" xr:uid="{00000000-0005-0000-0000-0000FBB50000}"/>
    <cellStyle name="Normal 5 2 16 2 2 3" xfId="46707" xr:uid="{00000000-0005-0000-0000-0000FCB50000}"/>
    <cellStyle name="Normal 5 2 16 2 3" xfId="46708" xr:uid="{00000000-0005-0000-0000-0000FDB50000}"/>
    <cellStyle name="Normal 5 2 16 2 4" xfId="46709" xr:uid="{00000000-0005-0000-0000-0000FEB50000}"/>
    <cellStyle name="Normal 5 2 16 3" xfId="46710" xr:uid="{00000000-0005-0000-0000-0000FFB50000}"/>
    <cellStyle name="Normal 5 2 16 3 2" xfId="46711" xr:uid="{00000000-0005-0000-0000-000000B60000}"/>
    <cellStyle name="Normal 5 2 16 3 3" xfId="46712" xr:uid="{00000000-0005-0000-0000-000001B60000}"/>
    <cellStyle name="Normal 5 2 16 4" xfId="46713" xr:uid="{00000000-0005-0000-0000-000002B60000}"/>
    <cellStyle name="Normal 5 2 17" xfId="46714" xr:uid="{00000000-0005-0000-0000-000003B60000}"/>
    <cellStyle name="Normal 5 2 17 2" xfId="46715" xr:uid="{00000000-0005-0000-0000-000004B60000}"/>
    <cellStyle name="Normal 5 2 17 2 2" xfId="46716" xr:uid="{00000000-0005-0000-0000-000005B60000}"/>
    <cellStyle name="Normal 5 2 17 2 2 2" xfId="46717" xr:uid="{00000000-0005-0000-0000-000006B60000}"/>
    <cellStyle name="Normal 5 2 17 2 2 3" xfId="46718" xr:uid="{00000000-0005-0000-0000-000007B60000}"/>
    <cellStyle name="Normal 5 2 17 2 3" xfId="46719" xr:uid="{00000000-0005-0000-0000-000008B60000}"/>
    <cellStyle name="Normal 5 2 17 2 4" xfId="46720" xr:uid="{00000000-0005-0000-0000-000009B60000}"/>
    <cellStyle name="Normal 5 2 17 3" xfId="46721" xr:uid="{00000000-0005-0000-0000-00000AB60000}"/>
    <cellStyle name="Normal 5 2 17 3 2" xfId="46722" xr:uid="{00000000-0005-0000-0000-00000BB60000}"/>
    <cellStyle name="Normal 5 2 17 3 3" xfId="46723" xr:uid="{00000000-0005-0000-0000-00000CB60000}"/>
    <cellStyle name="Normal 5 2 17 4" xfId="46724" xr:uid="{00000000-0005-0000-0000-00000DB60000}"/>
    <cellStyle name="Normal 5 2 18" xfId="46725" xr:uid="{00000000-0005-0000-0000-00000EB60000}"/>
    <cellStyle name="Normal 5 2 18 2" xfId="46726" xr:uid="{00000000-0005-0000-0000-00000FB60000}"/>
    <cellStyle name="Normal 5 2 18 2 2" xfId="46727" xr:uid="{00000000-0005-0000-0000-000010B60000}"/>
    <cellStyle name="Normal 5 2 18 2 2 2" xfId="46728" xr:uid="{00000000-0005-0000-0000-000011B60000}"/>
    <cellStyle name="Normal 5 2 18 2 2 3" xfId="46729" xr:uid="{00000000-0005-0000-0000-000012B60000}"/>
    <cellStyle name="Normal 5 2 18 2 3" xfId="46730" xr:uid="{00000000-0005-0000-0000-000013B60000}"/>
    <cellStyle name="Normal 5 2 18 2 4" xfId="46731" xr:uid="{00000000-0005-0000-0000-000014B60000}"/>
    <cellStyle name="Normal 5 2 18 3" xfId="46732" xr:uid="{00000000-0005-0000-0000-000015B60000}"/>
    <cellStyle name="Normal 5 2 18 3 2" xfId="46733" xr:uid="{00000000-0005-0000-0000-000016B60000}"/>
    <cellStyle name="Normal 5 2 18 3 3" xfId="46734" xr:uid="{00000000-0005-0000-0000-000017B60000}"/>
    <cellStyle name="Normal 5 2 18 4" xfId="46735" xr:uid="{00000000-0005-0000-0000-000018B60000}"/>
    <cellStyle name="Normal 5 2 19" xfId="46736" xr:uid="{00000000-0005-0000-0000-000019B60000}"/>
    <cellStyle name="Normal 5 2 19 2" xfId="46737" xr:uid="{00000000-0005-0000-0000-00001AB60000}"/>
    <cellStyle name="Normal 5 2 19 2 2" xfId="46738" xr:uid="{00000000-0005-0000-0000-00001BB60000}"/>
    <cellStyle name="Normal 5 2 19 2 2 2" xfId="46739" xr:uid="{00000000-0005-0000-0000-00001CB60000}"/>
    <cellStyle name="Normal 5 2 19 2 2 3" xfId="46740" xr:uid="{00000000-0005-0000-0000-00001DB60000}"/>
    <cellStyle name="Normal 5 2 19 2 3" xfId="46741" xr:uid="{00000000-0005-0000-0000-00001EB60000}"/>
    <cellStyle name="Normal 5 2 19 2 4" xfId="46742" xr:uid="{00000000-0005-0000-0000-00001FB60000}"/>
    <cellStyle name="Normal 5 2 19 3" xfId="46743" xr:uid="{00000000-0005-0000-0000-000020B60000}"/>
    <cellStyle name="Normal 5 2 19 3 2" xfId="46744" xr:uid="{00000000-0005-0000-0000-000021B60000}"/>
    <cellStyle name="Normal 5 2 19 3 3" xfId="46745" xr:uid="{00000000-0005-0000-0000-000022B60000}"/>
    <cellStyle name="Normal 5 2 19 4" xfId="46746" xr:uid="{00000000-0005-0000-0000-000023B60000}"/>
    <cellStyle name="Normal 5 2 2" xfId="46747" xr:uid="{00000000-0005-0000-0000-000024B60000}"/>
    <cellStyle name="Normal 5 2 2 10" xfId="46748" xr:uid="{00000000-0005-0000-0000-000025B60000}"/>
    <cellStyle name="Normal 5 2 2 10 2" xfId="46749" xr:uid="{00000000-0005-0000-0000-000026B60000}"/>
    <cellStyle name="Normal 5 2 2 10 3" xfId="46750" xr:uid="{00000000-0005-0000-0000-000027B60000}"/>
    <cellStyle name="Normal 5 2 2 11" xfId="46751" xr:uid="{00000000-0005-0000-0000-000028B60000}"/>
    <cellStyle name="Normal 5 2 2 11 2" xfId="46752" xr:uid="{00000000-0005-0000-0000-000029B60000}"/>
    <cellStyle name="Normal 5 2 2 11 3" xfId="46753" xr:uid="{00000000-0005-0000-0000-00002AB60000}"/>
    <cellStyle name="Normal 5 2 2 12" xfId="46754" xr:uid="{00000000-0005-0000-0000-00002BB60000}"/>
    <cellStyle name="Normal 5 2 2 12 2" xfId="46755" xr:uid="{00000000-0005-0000-0000-00002CB60000}"/>
    <cellStyle name="Normal 5 2 2 12 3" xfId="46756" xr:uid="{00000000-0005-0000-0000-00002DB60000}"/>
    <cellStyle name="Normal 5 2 2 13" xfId="46757" xr:uid="{00000000-0005-0000-0000-00002EB60000}"/>
    <cellStyle name="Normal 5 2 2 13 2" xfId="46758" xr:uid="{00000000-0005-0000-0000-00002FB60000}"/>
    <cellStyle name="Normal 5 2 2 13 3" xfId="46759" xr:uid="{00000000-0005-0000-0000-000030B60000}"/>
    <cellStyle name="Normal 5 2 2 14" xfId="46760" xr:uid="{00000000-0005-0000-0000-000031B60000}"/>
    <cellStyle name="Normal 5 2 2 14 2" xfId="46761" xr:uid="{00000000-0005-0000-0000-000032B60000}"/>
    <cellStyle name="Normal 5 2 2 14 3" xfId="46762" xr:uid="{00000000-0005-0000-0000-000033B60000}"/>
    <cellStyle name="Normal 5 2 2 15" xfId="46763" xr:uid="{00000000-0005-0000-0000-000034B60000}"/>
    <cellStyle name="Normal 5 2 2 15 2" xfId="46764" xr:uid="{00000000-0005-0000-0000-000035B60000}"/>
    <cellStyle name="Normal 5 2 2 15 3" xfId="46765" xr:uid="{00000000-0005-0000-0000-000036B60000}"/>
    <cellStyle name="Normal 5 2 2 16" xfId="46766" xr:uid="{00000000-0005-0000-0000-000037B60000}"/>
    <cellStyle name="Normal 5 2 2 17" xfId="46767" xr:uid="{00000000-0005-0000-0000-000038B60000}"/>
    <cellStyle name="Normal 5 2 2 18" xfId="46768" xr:uid="{00000000-0005-0000-0000-000039B60000}"/>
    <cellStyle name="Normal 5 2 2 2" xfId="46769" xr:uid="{00000000-0005-0000-0000-00003AB60000}"/>
    <cellStyle name="Normal 5 2 2 2 10" xfId="46770" xr:uid="{00000000-0005-0000-0000-00003BB60000}"/>
    <cellStyle name="Normal 5 2 2 2 11" xfId="46771" xr:uid="{00000000-0005-0000-0000-00003CB60000}"/>
    <cellStyle name="Normal 5 2 2 2 2" xfId="46772" xr:uid="{00000000-0005-0000-0000-00003DB60000}"/>
    <cellStyle name="Normal 5 2 2 2 2 10" xfId="46773" xr:uid="{00000000-0005-0000-0000-00003EB60000}"/>
    <cellStyle name="Normal 5 2 2 2 2 11" xfId="46774" xr:uid="{00000000-0005-0000-0000-00003FB60000}"/>
    <cellStyle name="Normal 5 2 2 2 2 2" xfId="46775" xr:uid="{00000000-0005-0000-0000-000040B60000}"/>
    <cellStyle name="Normal 5 2 2 2 2 2 2" xfId="46776" xr:uid="{00000000-0005-0000-0000-000041B60000}"/>
    <cellStyle name="Normal 5 2 2 2 2 2 2 2" xfId="46777" xr:uid="{00000000-0005-0000-0000-000042B60000}"/>
    <cellStyle name="Normal 5 2 2 2 2 2 2 2 2" xfId="46778" xr:uid="{00000000-0005-0000-0000-000043B60000}"/>
    <cellStyle name="Normal 5 2 2 2 2 2 2 2 3" xfId="46779" xr:uid="{00000000-0005-0000-0000-000044B60000}"/>
    <cellStyle name="Normal 5 2 2 2 2 2 2 3" xfId="46780" xr:uid="{00000000-0005-0000-0000-000045B60000}"/>
    <cellStyle name="Normal 5 2 2 2 2 2 2 3 2" xfId="46781" xr:uid="{00000000-0005-0000-0000-000046B60000}"/>
    <cellStyle name="Normal 5 2 2 2 2 2 2 3 3" xfId="46782" xr:uid="{00000000-0005-0000-0000-000047B60000}"/>
    <cellStyle name="Normal 5 2 2 2 2 2 2 4" xfId="46783" xr:uid="{00000000-0005-0000-0000-000048B60000}"/>
    <cellStyle name="Normal 5 2 2 2 2 2 2 5" xfId="46784" xr:uid="{00000000-0005-0000-0000-000049B60000}"/>
    <cellStyle name="Normal 5 2 2 2 2 2 2 6" xfId="46785" xr:uid="{00000000-0005-0000-0000-00004AB60000}"/>
    <cellStyle name="Normal 5 2 2 2 2 2 2 7" xfId="46786" xr:uid="{00000000-0005-0000-0000-00004BB60000}"/>
    <cellStyle name="Normal 5 2 2 2 2 2 2 8" xfId="46787" xr:uid="{00000000-0005-0000-0000-00004CB60000}"/>
    <cellStyle name="Normal 5 2 2 2 2 2 3" xfId="46788" xr:uid="{00000000-0005-0000-0000-00004DB60000}"/>
    <cellStyle name="Normal 5 2 2 2 2 2 3 2" xfId="46789" xr:uid="{00000000-0005-0000-0000-00004EB60000}"/>
    <cellStyle name="Normal 5 2 2 2 2 2 3 2 2" xfId="46790" xr:uid="{00000000-0005-0000-0000-00004FB60000}"/>
    <cellStyle name="Normal 5 2 2 2 2 2 3 2 3" xfId="46791" xr:uid="{00000000-0005-0000-0000-000050B60000}"/>
    <cellStyle name="Normal 5 2 2 2 2 2 3 3" xfId="46792" xr:uid="{00000000-0005-0000-0000-000051B60000}"/>
    <cellStyle name="Normal 5 2 2 2 2 2 3 3 2" xfId="46793" xr:uid="{00000000-0005-0000-0000-000052B60000}"/>
    <cellStyle name="Normal 5 2 2 2 2 2 3 4" xfId="46794" xr:uid="{00000000-0005-0000-0000-000053B60000}"/>
    <cellStyle name="Normal 5 2 2 2 2 2 4" xfId="46795" xr:uid="{00000000-0005-0000-0000-000054B60000}"/>
    <cellStyle name="Normal 5 2 2 2 2 2 4 2" xfId="46796" xr:uid="{00000000-0005-0000-0000-000055B60000}"/>
    <cellStyle name="Normal 5 2 2 2 2 2 4 3" xfId="46797" xr:uid="{00000000-0005-0000-0000-000056B60000}"/>
    <cellStyle name="Normal 5 2 2 2 2 2 5" xfId="46798" xr:uid="{00000000-0005-0000-0000-000057B60000}"/>
    <cellStyle name="Normal 5 2 2 2 2 2 6" xfId="46799" xr:uid="{00000000-0005-0000-0000-000058B60000}"/>
    <cellStyle name="Normal 5 2 2 2 2 2 7" xfId="46800" xr:uid="{00000000-0005-0000-0000-000059B60000}"/>
    <cellStyle name="Normal 5 2 2 2 2 2 8" xfId="46801" xr:uid="{00000000-0005-0000-0000-00005AB60000}"/>
    <cellStyle name="Normal 5 2 2 2 2 2 9" xfId="46802" xr:uid="{00000000-0005-0000-0000-00005BB60000}"/>
    <cellStyle name="Normal 5 2 2 2 2 3" xfId="46803" xr:uid="{00000000-0005-0000-0000-00005CB60000}"/>
    <cellStyle name="Normal 5 2 2 2 2 3 2" xfId="46804" xr:uid="{00000000-0005-0000-0000-00005DB60000}"/>
    <cellStyle name="Normal 5 2 2 2 2 3 2 2" xfId="46805" xr:uid="{00000000-0005-0000-0000-00005EB60000}"/>
    <cellStyle name="Normal 5 2 2 2 2 3 2 3" xfId="46806" xr:uid="{00000000-0005-0000-0000-00005FB60000}"/>
    <cellStyle name="Normal 5 2 2 2 2 3 2 4" xfId="46807" xr:uid="{00000000-0005-0000-0000-000060B60000}"/>
    <cellStyle name="Normal 5 2 2 2 2 3 3" xfId="46808" xr:uid="{00000000-0005-0000-0000-000061B60000}"/>
    <cellStyle name="Normal 5 2 2 2 2 3 3 2" xfId="46809" xr:uid="{00000000-0005-0000-0000-000062B60000}"/>
    <cellStyle name="Normal 5 2 2 2 2 3 3 3" xfId="46810" xr:uid="{00000000-0005-0000-0000-000063B60000}"/>
    <cellStyle name="Normal 5 2 2 2 2 3 4" xfId="46811" xr:uid="{00000000-0005-0000-0000-000064B60000}"/>
    <cellStyle name="Normal 5 2 2 2 2 3 5" xfId="46812" xr:uid="{00000000-0005-0000-0000-000065B60000}"/>
    <cellStyle name="Normal 5 2 2 2 2 3 6" xfId="46813" xr:uid="{00000000-0005-0000-0000-000066B60000}"/>
    <cellStyle name="Normal 5 2 2 2 2 3 7" xfId="46814" xr:uid="{00000000-0005-0000-0000-000067B60000}"/>
    <cellStyle name="Normal 5 2 2 2 2 3 8" xfId="46815" xr:uid="{00000000-0005-0000-0000-000068B60000}"/>
    <cellStyle name="Normal 5 2 2 2 2 4" xfId="46816" xr:uid="{00000000-0005-0000-0000-000069B60000}"/>
    <cellStyle name="Normal 5 2 2 2 2 4 2" xfId="46817" xr:uid="{00000000-0005-0000-0000-00006AB60000}"/>
    <cellStyle name="Normal 5 2 2 2 2 4 2 2" xfId="46818" xr:uid="{00000000-0005-0000-0000-00006BB60000}"/>
    <cellStyle name="Normal 5 2 2 2 2 4 2 3" xfId="46819" xr:uid="{00000000-0005-0000-0000-00006CB60000}"/>
    <cellStyle name="Normal 5 2 2 2 2 4 3" xfId="46820" xr:uid="{00000000-0005-0000-0000-00006DB60000}"/>
    <cellStyle name="Normal 5 2 2 2 2 4 4" xfId="46821" xr:uid="{00000000-0005-0000-0000-00006EB60000}"/>
    <cellStyle name="Normal 5 2 2 2 2 4 5" xfId="46822" xr:uid="{00000000-0005-0000-0000-00006FB60000}"/>
    <cellStyle name="Normal 5 2 2 2 2 4 6" xfId="46823" xr:uid="{00000000-0005-0000-0000-000070B60000}"/>
    <cellStyle name="Normal 5 2 2 2 2 5" xfId="46824" xr:uid="{00000000-0005-0000-0000-000071B60000}"/>
    <cellStyle name="Normal 5 2 2 2 2 5 2" xfId="46825" xr:uid="{00000000-0005-0000-0000-000072B60000}"/>
    <cellStyle name="Normal 5 2 2 2 2 5 3" xfId="46826" xr:uid="{00000000-0005-0000-0000-000073B60000}"/>
    <cellStyle name="Normal 5 2 2 2 2 6" xfId="46827" xr:uid="{00000000-0005-0000-0000-000074B60000}"/>
    <cellStyle name="Normal 5 2 2 2 2 6 2" xfId="46828" xr:uid="{00000000-0005-0000-0000-000075B60000}"/>
    <cellStyle name="Normal 5 2 2 2 2 6 3" xfId="46829" xr:uid="{00000000-0005-0000-0000-000076B60000}"/>
    <cellStyle name="Normal 5 2 2 2 2 7" xfId="46830" xr:uid="{00000000-0005-0000-0000-000077B60000}"/>
    <cellStyle name="Normal 5 2 2 2 2 8" xfId="46831" xr:uid="{00000000-0005-0000-0000-000078B60000}"/>
    <cellStyle name="Normal 5 2 2 2 2 9" xfId="46832" xr:uid="{00000000-0005-0000-0000-000079B60000}"/>
    <cellStyle name="Normal 5 2 2 2 3" xfId="46833" xr:uid="{00000000-0005-0000-0000-00007AB60000}"/>
    <cellStyle name="Normal 5 2 2 2 3 10" xfId="46834" xr:uid="{00000000-0005-0000-0000-00007BB60000}"/>
    <cellStyle name="Normal 5 2 2 2 3 2" xfId="46835" xr:uid="{00000000-0005-0000-0000-00007CB60000}"/>
    <cellStyle name="Normal 5 2 2 2 3 2 2" xfId="46836" xr:uid="{00000000-0005-0000-0000-00007DB60000}"/>
    <cellStyle name="Normal 5 2 2 2 3 2 2 2" xfId="46837" xr:uid="{00000000-0005-0000-0000-00007EB60000}"/>
    <cellStyle name="Normal 5 2 2 2 3 2 2 3" xfId="46838" xr:uid="{00000000-0005-0000-0000-00007FB60000}"/>
    <cellStyle name="Normal 5 2 2 2 3 2 2 4" xfId="46839" xr:uid="{00000000-0005-0000-0000-000080B60000}"/>
    <cellStyle name="Normal 5 2 2 2 3 2 3" xfId="46840" xr:uid="{00000000-0005-0000-0000-000081B60000}"/>
    <cellStyle name="Normal 5 2 2 2 3 2 3 2" xfId="46841" xr:uid="{00000000-0005-0000-0000-000082B60000}"/>
    <cellStyle name="Normal 5 2 2 2 3 2 3 3" xfId="46842" xr:uid="{00000000-0005-0000-0000-000083B60000}"/>
    <cellStyle name="Normal 5 2 2 2 3 2 4" xfId="46843" xr:uid="{00000000-0005-0000-0000-000084B60000}"/>
    <cellStyle name="Normal 5 2 2 2 3 2 5" xfId="46844" xr:uid="{00000000-0005-0000-0000-000085B60000}"/>
    <cellStyle name="Normal 5 2 2 2 3 2 6" xfId="46845" xr:uid="{00000000-0005-0000-0000-000086B60000}"/>
    <cellStyle name="Normal 5 2 2 2 3 2 7" xfId="46846" xr:uid="{00000000-0005-0000-0000-000087B60000}"/>
    <cellStyle name="Normal 5 2 2 2 3 2 8" xfId="46847" xr:uid="{00000000-0005-0000-0000-000088B60000}"/>
    <cellStyle name="Normal 5 2 2 2 3 3" xfId="46848" xr:uid="{00000000-0005-0000-0000-000089B60000}"/>
    <cellStyle name="Normal 5 2 2 2 3 3 2" xfId="46849" xr:uid="{00000000-0005-0000-0000-00008AB60000}"/>
    <cellStyle name="Normal 5 2 2 2 3 3 2 2" xfId="46850" xr:uid="{00000000-0005-0000-0000-00008BB60000}"/>
    <cellStyle name="Normal 5 2 2 2 3 3 2 3" xfId="46851" xr:uid="{00000000-0005-0000-0000-00008CB60000}"/>
    <cellStyle name="Normal 5 2 2 2 3 3 3" xfId="46852" xr:uid="{00000000-0005-0000-0000-00008DB60000}"/>
    <cellStyle name="Normal 5 2 2 2 3 3 4" xfId="46853" xr:uid="{00000000-0005-0000-0000-00008EB60000}"/>
    <cellStyle name="Normal 5 2 2 2 3 3 5" xfId="46854" xr:uid="{00000000-0005-0000-0000-00008FB60000}"/>
    <cellStyle name="Normal 5 2 2 2 3 3 6" xfId="46855" xr:uid="{00000000-0005-0000-0000-000090B60000}"/>
    <cellStyle name="Normal 5 2 2 2 3 4" xfId="46856" xr:uid="{00000000-0005-0000-0000-000091B60000}"/>
    <cellStyle name="Normal 5 2 2 2 3 4 2" xfId="46857" xr:uid="{00000000-0005-0000-0000-000092B60000}"/>
    <cellStyle name="Normal 5 2 2 2 3 4 3" xfId="46858" xr:uid="{00000000-0005-0000-0000-000093B60000}"/>
    <cellStyle name="Normal 5 2 2 2 3 5" xfId="46859" xr:uid="{00000000-0005-0000-0000-000094B60000}"/>
    <cellStyle name="Normal 5 2 2 2 3 5 2" xfId="46860" xr:uid="{00000000-0005-0000-0000-000095B60000}"/>
    <cellStyle name="Normal 5 2 2 2 3 5 3" xfId="46861" xr:uid="{00000000-0005-0000-0000-000096B60000}"/>
    <cellStyle name="Normal 5 2 2 2 3 6" xfId="46862" xr:uid="{00000000-0005-0000-0000-000097B60000}"/>
    <cellStyle name="Normal 5 2 2 2 3 7" xfId="46863" xr:uid="{00000000-0005-0000-0000-000098B60000}"/>
    <cellStyle name="Normal 5 2 2 2 3 8" xfId="46864" xr:uid="{00000000-0005-0000-0000-000099B60000}"/>
    <cellStyle name="Normal 5 2 2 2 3 9" xfId="46865" xr:uid="{00000000-0005-0000-0000-00009AB60000}"/>
    <cellStyle name="Normal 5 2 2 2 4" xfId="46866" xr:uid="{00000000-0005-0000-0000-00009BB60000}"/>
    <cellStyle name="Normal 5 2 2 2 4 2" xfId="46867" xr:uid="{00000000-0005-0000-0000-00009CB60000}"/>
    <cellStyle name="Normal 5 2 2 2 4 2 2" xfId="46868" xr:uid="{00000000-0005-0000-0000-00009DB60000}"/>
    <cellStyle name="Normal 5 2 2 2 4 2 3" xfId="46869" xr:uid="{00000000-0005-0000-0000-00009EB60000}"/>
    <cellStyle name="Normal 5 2 2 2 4 2 4" xfId="46870" xr:uid="{00000000-0005-0000-0000-00009FB60000}"/>
    <cellStyle name="Normal 5 2 2 2 4 3" xfId="46871" xr:uid="{00000000-0005-0000-0000-0000A0B60000}"/>
    <cellStyle name="Normal 5 2 2 2 4 3 2" xfId="46872" xr:uid="{00000000-0005-0000-0000-0000A1B60000}"/>
    <cellStyle name="Normal 5 2 2 2 4 3 3" xfId="46873" xr:uid="{00000000-0005-0000-0000-0000A2B60000}"/>
    <cellStyle name="Normal 5 2 2 2 4 4" xfId="46874" xr:uid="{00000000-0005-0000-0000-0000A3B60000}"/>
    <cellStyle name="Normal 5 2 2 2 4 5" xfId="46875" xr:uid="{00000000-0005-0000-0000-0000A4B60000}"/>
    <cellStyle name="Normal 5 2 2 2 4 6" xfId="46876" xr:uid="{00000000-0005-0000-0000-0000A5B60000}"/>
    <cellStyle name="Normal 5 2 2 2 4 7" xfId="46877" xr:uid="{00000000-0005-0000-0000-0000A6B60000}"/>
    <cellStyle name="Normal 5 2 2 2 4 8" xfId="46878" xr:uid="{00000000-0005-0000-0000-0000A7B60000}"/>
    <cellStyle name="Normal 5 2 2 2 5" xfId="46879" xr:uid="{00000000-0005-0000-0000-0000A8B60000}"/>
    <cellStyle name="Normal 5 2 2 2 5 2" xfId="46880" xr:uid="{00000000-0005-0000-0000-0000A9B60000}"/>
    <cellStyle name="Normal 5 2 2 2 5 2 2" xfId="46881" xr:uid="{00000000-0005-0000-0000-0000AAB60000}"/>
    <cellStyle name="Normal 5 2 2 2 5 2 3" xfId="46882" xr:uid="{00000000-0005-0000-0000-0000ABB60000}"/>
    <cellStyle name="Normal 5 2 2 2 5 3" xfId="46883" xr:uid="{00000000-0005-0000-0000-0000ACB60000}"/>
    <cellStyle name="Normal 5 2 2 2 5 3 2" xfId="46884" xr:uid="{00000000-0005-0000-0000-0000ADB60000}"/>
    <cellStyle name="Normal 5 2 2 2 5 3 3" xfId="46885" xr:uid="{00000000-0005-0000-0000-0000AEB60000}"/>
    <cellStyle name="Normal 5 2 2 2 5 4" xfId="46886" xr:uid="{00000000-0005-0000-0000-0000AFB60000}"/>
    <cellStyle name="Normal 5 2 2 2 5 5" xfId="46887" xr:uid="{00000000-0005-0000-0000-0000B0B60000}"/>
    <cellStyle name="Normal 5 2 2 2 5 6" xfId="46888" xr:uid="{00000000-0005-0000-0000-0000B1B60000}"/>
    <cellStyle name="Normal 5 2 2 2 5 7" xfId="46889" xr:uid="{00000000-0005-0000-0000-0000B2B60000}"/>
    <cellStyle name="Normal 5 2 2 2 5 8" xfId="46890" xr:uid="{00000000-0005-0000-0000-0000B3B60000}"/>
    <cellStyle name="Normal 5 2 2 2 6" xfId="46891" xr:uid="{00000000-0005-0000-0000-0000B4B60000}"/>
    <cellStyle name="Normal 5 2 2 2 6 2" xfId="46892" xr:uid="{00000000-0005-0000-0000-0000B5B60000}"/>
    <cellStyle name="Normal 5 2 2 2 6 3" xfId="46893" xr:uid="{00000000-0005-0000-0000-0000B6B60000}"/>
    <cellStyle name="Normal 5 2 2 2 7" xfId="46894" xr:uid="{00000000-0005-0000-0000-0000B7B60000}"/>
    <cellStyle name="Normal 5 2 2 2 7 2" xfId="46895" xr:uid="{00000000-0005-0000-0000-0000B8B60000}"/>
    <cellStyle name="Normal 5 2 2 2 7 3" xfId="46896" xr:uid="{00000000-0005-0000-0000-0000B9B60000}"/>
    <cellStyle name="Normal 5 2 2 2 8" xfId="46897" xr:uid="{00000000-0005-0000-0000-0000BAB60000}"/>
    <cellStyle name="Normal 5 2 2 2 8 2" xfId="46898" xr:uid="{00000000-0005-0000-0000-0000BBB60000}"/>
    <cellStyle name="Normal 5 2 2 2 8 3" xfId="46899" xr:uid="{00000000-0005-0000-0000-0000BCB60000}"/>
    <cellStyle name="Normal 5 2 2 2 9" xfId="46900" xr:uid="{00000000-0005-0000-0000-0000BDB60000}"/>
    <cellStyle name="Normal 5 2 2 3" xfId="46901" xr:uid="{00000000-0005-0000-0000-0000BEB60000}"/>
    <cellStyle name="Normal 5 2 2 3 10" xfId="46902" xr:uid="{00000000-0005-0000-0000-0000BFB60000}"/>
    <cellStyle name="Normal 5 2 2 3 11" xfId="46903" xr:uid="{00000000-0005-0000-0000-0000C0B60000}"/>
    <cellStyle name="Normal 5 2 2 3 2" xfId="46904" xr:uid="{00000000-0005-0000-0000-0000C1B60000}"/>
    <cellStyle name="Normal 5 2 2 3 2 10" xfId="46905" xr:uid="{00000000-0005-0000-0000-0000C2B60000}"/>
    <cellStyle name="Normal 5 2 2 3 2 2" xfId="46906" xr:uid="{00000000-0005-0000-0000-0000C3B60000}"/>
    <cellStyle name="Normal 5 2 2 3 2 2 2" xfId="46907" xr:uid="{00000000-0005-0000-0000-0000C4B60000}"/>
    <cellStyle name="Normal 5 2 2 3 2 2 2 2" xfId="46908" xr:uid="{00000000-0005-0000-0000-0000C5B60000}"/>
    <cellStyle name="Normal 5 2 2 3 2 2 2 3" xfId="46909" xr:uid="{00000000-0005-0000-0000-0000C6B60000}"/>
    <cellStyle name="Normal 5 2 2 3 2 2 3" xfId="46910" xr:uid="{00000000-0005-0000-0000-0000C7B60000}"/>
    <cellStyle name="Normal 5 2 2 3 2 2 3 2" xfId="46911" xr:uid="{00000000-0005-0000-0000-0000C8B60000}"/>
    <cellStyle name="Normal 5 2 2 3 2 2 3 3" xfId="46912" xr:uid="{00000000-0005-0000-0000-0000C9B60000}"/>
    <cellStyle name="Normal 5 2 2 3 2 2 4" xfId="46913" xr:uid="{00000000-0005-0000-0000-0000CAB60000}"/>
    <cellStyle name="Normal 5 2 2 3 2 2 5" xfId="46914" xr:uid="{00000000-0005-0000-0000-0000CBB60000}"/>
    <cellStyle name="Normal 5 2 2 3 2 2 6" xfId="46915" xr:uid="{00000000-0005-0000-0000-0000CCB60000}"/>
    <cellStyle name="Normal 5 2 2 3 2 2 7" xfId="46916" xr:uid="{00000000-0005-0000-0000-0000CDB60000}"/>
    <cellStyle name="Normal 5 2 2 3 2 2 8" xfId="46917" xr:uid="{00000000-0005-0000-0000-0000CEB60000}"/>
    <cellStyle name="Normal 5 2 2 3 2 3" xfId="46918" xr:uid="{00000000-0005-0000-0000-0000CFB60000}"/>
    <cellStyle name="Normal 5 2 2 3 2 3 2" xfId="46919" xr:uid="{00000000-0005-0000-0000-0000D0B60000}"/>
    <cellStyle name="Normal 5 2 2 3 2 3 2 2" xfId="46920" xr:uid="{00000000-0005-0000-0000-0000D1B60000}"/>
    <cellStyle name="Normal 5 2 2 3 2 3 2 3" xfId="46921" xr:uid="{00000000-0005-0000-0000-0000D2B60000}"/>
    <cellStyle name="Normal 5 2 2 3 2 3 3" xfId="46922" xr:uid="{00000000-0005-0000-0000-0000D3B60000}"/>
    <cellStyle name="Normal 5 2 2 3 2 3 3 2" xfId="46923" xr:uid="{00000000-0005-0000-0000-0000D4B60000}"/>
    <cellStyle name="Normal 5 2 2 3 2 3 4" xfId="46924" xr:uid="{00000000-0005-0000-0000-0000D5B60000}"/>
    <cellStyle name="Normal 5 2 2 3 2 4" xfId="46925" xr:uid="{00000000-0005-0000-0000-0000D6B60000}"/>
    <cellStyle name="Normal 5 2 2 3 2 4 2" xfId="46926" xr:uid="{00000000-0005-0000-0000-0000D7B60000}"/>
    <cellStyle name="Normal 5 2 2 3 2 4 3" xfId="46927" xr:uid="{00000000-0005-0000-0000-0000D8B60000}"/>
    <cellStyle name="Normal 5 2 2 3 2 5" xfId="46928" xr:uid="{00000000-0005-0000-0000-0000D9B60000}"/>
    <cellStyle name="Normal 5 2 2 3 2 5 2" xfId="46929" xr:uid="{00000000-0005-0000-0000-0000DAB60000}"/>
    <cellStyle name="Normal 5 2 2 3 2 5 3" xfId="46930" xr:uid="{00000000-0005-0000-0000-0000DBB60000}"/>
    <cellStyle name="Normal 5 2 2 3 2 6" xfId="46931" xr:uid="{00000000-0005-0000-0000-0000DCB60000}"/>
    <cellStyle name="Normal 5 2 2 3 2 7" xfId="46932" xr:uid="{00000000-0005-0000-0000-0000DDB60000}"/>
    <cellStyle name="Normal 5 2 2 3 2 8" xfId="46933" xr:uid="{00000000-0005-0000-0000-0000DEB60000}"/>
    <cellStyle name="Normal 5 2 2 3 2 9" xfId="46934" xr:uid="{00000000-0005-0000-0000-0000DFB60000}"/>
    <cellStyle name="Normal 5 2 2 3 3" xfId="46935" xr:uid="{00000000-0005-0000-0000-0000E0B60000}"/>
    <cellStyle name="Normal 5 2 2 3 3 2" xfId="46936" xr:uid="{00000000-0005-0000-0000-0000E1B60000}"/>
    <cellStyle name="Normal 5 2 2 3 3 2 2" xfId="46937" xr:uid="{00000000-0005-0000-0000-0000E2B60000}"/>
    <cellStyle name="Normal 5 2 2 3 3 2 3" xfId="46938" xr:uid="{00000000-0005-0000-0000-0000E3B60000}"/>
    <cellStyle name="Normal 5 2 2 3 3 2 4" xfId="46939" xr:uid="{00000000-0005-0000-0000-0000E4B60000}"/>
    <cellStyle name="Normal 5 2 2 3 3 3" xfId="46940" xr:uid="{00000000-0005-0000-0000-0000E5B60000}"/>
    <cellStyle name="Normal 5 2 2 3 3 3 2" xfId="46941" xr:uid="{00000000-0005-0000-0000-0000E6B60000}"/>
    <cellStyle name="Normal 5 2 2 3 3 3 3" xfId="46942" xr:uid="{00000000-0005-0000-0000-0000E7B60000}"/>
    <cellStyle name="Normal 5 2 2 3 3 4" xfId="46943" xr:uid="{00000000-0005-0000-0000-0000E8B60000}"/>
    <cellStyle name="Normal 5 2 2 3 3 5" xfId="46944" xr:uid="{00000000-0005-0000-0000-0000E9B60000}"/>
    <cellStyle name="Normal 5 2 2 3 3 6" xfId="46945" xr:uid="{00000000-0005-0000-0000-0000EAB60000}"/>
    <cellStyle name="Normal 5 2 2 3 3 7" xfId="46946" xr:uid="{00000000-0005-0000-0000-0000EBB60000}"/>
    <cellStyle name="Normal 5 2 2 3 3 8" xfId="46947" xr:uid="{00000000-0005-0000-0000-0000ECB60000}"/>
    <cellStyle name="Normal 5 2 2 3 4" xfId="46948" xr:uid="{00000000-0005-0000-0000-0000EDB60000}"/>
    <cellStyle name="Normal 5 2 2 3 4 2" xfId="46949" xr:uid="{00000000-0005-0000-0000-0000EEB60000}"/>
    <cellStyle name="Normal 5 2 2 3 4 2 2" xfId="46950" xr:uid="{00000000-0005-0000-0000-0000EFB60000}"/>
    <cellStyle name="Normal 5 2 2 3 4 2 3" xfId="46951" xr:uid="{00000000-0005-0000-0000-0000F0B60000}"/>
    <cellStyle name="Normal 5 2 2 3 4 3" xfId="46952" xr:uid="{00000000-0005-0000-0000-0000F1B60000}"/>
    <cellStyle name="Normal 5 2 2 3 4 4" xfId="46953" xr:uid="{00000000-0005-0000-0000-0000F2B60000}"/>
    <cellStyle name="Normal 5 2 2 3 4 5" xfId="46954" xr:uid="{00000000-0005-0000-0000-0000F3B60000}"/>
    <cellStyle name="Normal 5 2 2 3 4 6" xfId="46955" xr:uid="{00000000-0005-0000-0000-0000F4B60000}"/>
    <cellStyle name="Normal 5 2 2 3 5" xfId="46956" xr:uid="{00000000-0005-0000-0000-0000F5B60000}"/>
    <cellStyle name="Normal 5 2 2 3 5 2" xfId="46957" xr:uid="{00000000-0005-0000-0000-0000F6B60000}"/>
    <cellStyle name="Normal 5 2 2 3 5 3" xfId="46958" xr:uid="{00000000-0005-0000-0000-0000F7B60000}"/>
    <cellStyle name="Normal 5 2 2 3 6" xfId="46959" xr:uid="{00000000-0005-0000-0000-0000F8B60000}"/>
    <cellStyle name="Normal 5 2 2 3 6 2" xfId="46960" xr:uid="{00000000-0005-0000-0000-0000F9B60000}"/>
    <cellStyle name="Normal 5 2 2 3 6 3" xfId="46961" xr:uid="{00000000-0005-0000-0000-0000FAB60000}"/>
    <cellStyle name="Normal 5 2 2 3 7" xfId="46962" xr:uid="{00000000-0005-0000-0000-0000FBB60000}"/>
    <cellStyle name="Normal 5 2 2 3 8" xfId="46963" xr:uid="{00000000-0005-0000-0000-0000FCB60000}"/>
    <cellStyle name="Normal 5 2 2 3 9" xfId="46964" xr:uid="{00000000-0005-0000-0000-0000FDB60000}"/>
    <cellStyle name="Normal 5 2 2 4" xfId="46965" xr:uid="{00000000-0005-0000-0000-0000FEB60000}"/>
    <cellStyle name="Normal 5 2 2 4 10" xfId="46966" xr:uid="{00000000-0005-0000-0000-0000FFB60000}"/>
    <cellStyle name="Normal 5 2 2 4 11" xfId="46967" xr:uid="{00000000-0005-0000-0000-000000B70000}"/>
    <cellStyle name="Normal 5 2 2 4 2" xfId="46968" xr:uid="{00000000-0005-0000-0000-000001B70000}"/>
    <cellStyle name="Normal 5 2 2 4 2 2" xfId="46969" xr:uid="{00000000-0005-0000-0000-000002B70000}"/>
    <cellStyle name="Normal 5 2 2 4 2 2 2" xfId="46970" xr:uid="{00000000-0005-0000-0000-000003B70000}"/>
    <cellStyle name="Normal 5 2 2 4 2 2 3" xfId="46971" xr:uid="{00000000-0005-0000-0000-000004B70000}"/>
    <cellStyle name="Normal 5 2 2 4 2 2 4" xfId="46972" xr:uid="{00000000-0005-0000-0000-000005B70000}"/>
    <cellStyle name="Normal 5 2 2 4 2 3" xfId="46973" xr:uid="{00000000-0005-0000-0000-000006B70000}"/>
    <cellStyle name="Normal 5 2 2 4 2 3 2" xfId="46974" xr:uid="{00000000-0005-0000-0000-000007B70000}"/>
    <cellStyle name="Normal 5 2 2 4 2 3 3" xfId="46975" xr:uid="{00000000-0005-0000-0000-000008B70000}"/>
    <cellStyle name="Normal 5 2 2 4 2 4" xfId="46976" xr:uid="{00000000-0005-0000-0000-000009B70000}"/>
    <cellStyle name="Normal 5 2 2 4 2 5" xfId="46977" xr:uid="{00000000-0005-0000-0000-00000AB70000}"/>
    <cellStyle name="Normal 5 2 2 4 2 6" xfId="46978" xr:uid="{00000000-0005-0000-0000-00000BB70000}"/>
    <cellStyle name="Normal 5 2 2 4 2 7" xfId="46979" xr:uid="{00000000-0005-0000-0000-00000CB70000}"/>
    <cellStyle name="Normal 5 2 2 4 2 8" xfId="46980" xr:uid="{00000000-0005-0000-0000-00000DB70000}"/>
    <cellStyle name="Normal 5 2 2 4 3" xfId="46981" xr:uid="{00000000-0005-0000-0000-00000EB70000}"/>
    <cellStyle name="Normal 5 2 2 4 3 2" xfId="46982" xr:uid="{00000000-0005-0000-0000-00000FB70000}"/>
    <cellStyle name="Normal 5 2 2 4 3 2 2" xfId="46983" xr:uid="{00000000-0005-0000-0000-000010B70000}"/>
    <cellStyle name="Normal 5 2 2 4 3 2 3" xfId="46984" xr:uid="{00000000-0005-0000-0000-000011B70000}"/>
    <cellStyle name="Normal 5 2 2 4 3 3" xfId="46985" xr:uid="{00000000-0005-0000-0000-000012B70000}"/>
    <cellStyle name="Normal 5 2 2 4 3 4" xfId="46986" xr:uid="{00000000-0005-0000-0000-000013B70000}"/>
    <cellStyle name="Normal 5 2 2 4 3 5" xfId="46987" xr:uid="{00000000-0005-0000-0000-000014B70000}"/>
    <cellStyle name="Normal 5 2 2 4 3 6" xfId="46988" xr:uid="{00000000-0005-0000-0000-000015B70000}"/>
    <cellStyle name="Normal 5 2 2 4 4" xfId="46989" xr:uid="{00000000-0005-0000-0000-000016B70000}"/>
    <cellStyle name="Normal 5 2 2 4 4 2" xfId="46990" xr:uid="{00000000-0005-0000-0000-000017B70000}"/>
    <cellStyle name="Normal 5 2 2 4 4 3" xfId="46991" xr:uid="{00000000-0005-0000-0000-000018B70000}"/>
    <cellStyle name="Normal 5 2 2 4 5" xfId="46992" xr:uid="{00000000-0005-0000-0000-000019B70000}"/>
    <cellStyle name="Normal 5 2 2 4 5 2" xfId="46993" xr:uid="{00000000-0005-0000-0000-00001AB70000}"/>
    <cellStyle name="Normal 5 2 2 4 5 3" xfId="46994" xr:uid="{00000000-0005-0000-0000-00001BB70000}"/>
    <cellStyle name="Normal 5 2 2 4 6" xfId="46995" xr:uid="{00000000-0005-0000-0000-00001CB70000}"/>
    <cellStyle name="Normal 5 2 2 4 6 2" xfId="46996" xr:uid="{00000000-0005-0000-0000-00001DB70000}"/>
    <cellStyle name="Normal 5 2 2 4 6 3" xfId="46997" xr:uid="{00000000-0005-0000-0000-00001EB70000}"/>
    <cellStyle name="Normal 5 2 2 4 7" xfId="46998" xr:uid="{00000000-0005-0000-0000-00001FB70000}"/>
    <cellStyle name="Normal 5 2 2 4 8" xfId="46999" xr:uid="{00000000-0005-0000-0000-000020B70000}"/>
    <cellStyle name="Normal 5 2 2 4 9" xfId="47000" xr:uid="{00000000-0005-0000-0000-000021B70000}"/>
    <cellStyle name="Normal 5 2 2 5" xfId="47001" xr:uid="{00000000-0005-0000-0000-000022B70000}"/>
    <cellStyle name="Normal 5 2 2 5 2" xfId="47002" xr:uid="{00000000-0005-0000-0000-000023B70000}"/>
    <cellStyle name="Normal 5 2 2 5 2 2" xfId="47003" xr:uid="{00000000-0005-0000-0000-000024B70000}"/>
    <cellStyle name="Normal 5 2 2 5 3" xfId="47004" xr:uid="{00000000-0005-0000-0000-000025B70000}"/>
    <cellStyle name="Normal 5 2 2 5 4" xfId="47005" xr:uid="{00000000-0005-0000-0000-000026B70000}"/>
    <cellStyle name="Normal 5 2 2 5 5" xfId="47006" xr:uid="{00000000-0005-0000-0000-000027B70000}"/>
    <cellStyle name="Normal 5 2 2 6" xfId="47007" xr:uid="{00000000-0005-0000-0000-000028B70000}"/>
    <cellStyle name="Normal 5 2 2 6 2" xfId="47008" xr:uid="{00000000-0005-0000-0000-000029B70000}"/>
    <cellStyle name="Normal 5 2 2 6 2 2" xfId="47009" xr:uid="{00000000-0005-0000-0000-00002AB70000}"/>
    <cellStyle name="Normal 5 2 2 6 2 3" xfId="47010" xr:uid="{00000000-0005-0000-0000-00002BB70000}"/>
    <cellStyle name="Normal 5 2 2 6 3" xfId="47011" xr:uid="{00000000-0005-0000-0000-00002CB70000}"/>
    <cellStyle name="Normal 5 2 2 6 3 2" xfId="47012" xr:uid="{00000000-0005-0000-0000-00002DB70000}"/>
    <cellStyle name="Normal 5 2 2 6 3 3" xfId="47013" xr:uid="{00000000-0005-0000-0000-00002EB70000}"/>
    <cellStyle name="Normal 5 2 2 6 4" xfId="47014" xr:uid="{00000000-0005-0000-0000-00002FB70000}"/>
    <cellStyle name="Normal 5 2 2 6 5" xfId="47015" xr:uid="{00000000-0005-0000-0000-000030B70000}"/>
    <cellStyle name="Normal 5 2 2 6 6" xfId="47016" xr:uid="{00000000-0005-0000-0000-000031B70000}"/>
    <cellStyle name="Normal 5 2 2 6 7" xfId="47017" xr:uid="{00000000-0005-0000-0000-000032B70000}"/>
    <cellStyle name="Normal 5 2 2 6 8" xfId="47018" xr:uid="{00000000-0005-0000-0000-000033B70000}"/>
    <cellStyle name="Normal 5 2 2 7" xfId="47019" xr:uid="{00000000-0005-0000-0000-000034B70000}"/>
    <cellStyle name="Normal 5 2 2 7 2" xfId="47020" xr:uid="{00000000-0005-0000-0000-000035B70000}"/>
    <cellStyle name="Normal 5 2 2 7 2 2" xfId="47021" xr:uid="{00000000-0005-0000-0000-000036B70000}"/>
    <cellStyle name="Normal 5 2 2 7 2 3" xfId="47022" xr:uid="{00000000-0005-0000-0000-000037B70000}"/>
    <cellStyle name="Normal 5 2 2 7 3" xfId="47023" xr:uid="{00000000-0005-0000-0000-000038B70000}"/>
    <cellStyle name="Normal 5 2 2 7 3 2" xfId="47024" xr:uid="{00000000-0005-0000-0000-000039B70000}"/>
    <cellStyle name="Normal 5 2 2 7 3 3" xfId="47025" xr:uid="{00000000-0005-0000-0000-00003AB70000}"/>
    <cellStyle name="Normal 5 2 2 7 4" xfId="47026" xr:uid="{00000000-0005-0000-0000-00003BB70000}"/>
    <cellStyle name="Normal 5 2 2 7 5" xfId="47027" xr:uid="{00000000-0005-0000-0000-00003CB70000}"/>
    <cellStyle name="Normal 5 2 2 7 6" xfId="47028" xr:uid="{00000000-0005-0000-0000-00003DB70000}"/>
    <cellStyle name="Normal 5 2 2 7 7" xfId="47029" xr:uid="{00000000-0005-0000-0000-00003EB70000}"/>
    <cellStyle name="Normal 5 2 2 7 8" xfId="47030" xr:uid="{00000000-0005-0000-0000-00003FB70000}"/>
    <cellStyle name="Normal 5 2 2 8" xfId="47031" xr:uid="{00000000-0005-0000-0000-000040B70000}"/>
    <cellStyle name="Normal 5 2 2 8 2" xfId="47032" xr:uid="{00000000-0005-0000-0000-000041B70000}"/>
    <cellStyle name="Normal 5 2 2 8 3" xfId="47033" xr:uid="{00000000-0005-0000-0000-000042B70000}"/>
    <cellStyle name="Normal 5 2 2 9" xfId="47034" xr:uid="{00000000-0005-0000-0000-000043B70000}"/>
    <cellStyle name="Normal 5 2 2 9 2" xfId="47035" xr:uid="{00000000-0005-0000-0000-000044B70000}"/>
    <cellStyle name="Normal 5 2 2 9 3" xfId="47036" xr:uid="{00000000-0005-0000-0000-000045B70000}"/>
    <cellStyle name="Normal 5 2 20" xfId="47037" xr:uid="{00000000-0005-0000-0000-000046B70000}"/>
    <cellStyle name="Normal 5 2 20 2" xfId="47038" xr:uid="{00000000-0005-0000-0000-000047B70000}"/>
    <cellStyle name="Normal 5 2 20 2 2" xfId="47039" xr:uid="{00000000-0005-0000-0000-000048B70000}"/>
    <cellStyle name="Normal 5 2 20 2 2 2" xfId="47040" xr:uid="{00000000-0005-0000-0000-000049B70000}"/>
    <cellStyle name="Normal 5 2 20 2 2 3" xfId="47041" xr:uid="{00000000-0005-0000-0000-00004AB70000}"/>
    <cellStyle name="Normal 5 2 20 2 3" xfId="47042" xr:uid="{00000000-0005-0000-0000-00004BB70000}"/>
    <cellStyle name="Normal 5 2 20 2 4" xfId="47043" xr:uid="{00000000-0005-0000-0000-00004CB70000}"/>
    <cellStyle name="Normal 5 2 20 3" xfId="47044" xr:uid="{00000000-0005-0000-0000-00004DB70000}"/>
    <cellStyle name="Normal 5 2 20 3 2" xfId="47045" xr:uid="{00000000-0005-0000-0000-00004EB70000}"/>
    <cellStyle name="Normal 5 2 20 3 3" xfId="47046" xr:uid="{00000000-0005-0000-0000-00004FB70000}"/>
    <cellStyle name="Normal 5 2 20 4" xfId="47047" xr:uid="{00000000-0005-0000-0000-000050B70000}"/>
    <cellStyle name="Normal 5 2 21" xfId="47048" xr:uid="{00000000-0005-0000-0000-000051B70000}"/>
    <cellStyle name="Normal 5 2 21 2" xfId="47049" xr:uid="{00000000-0005-0000-0000-000052B70000}"/>
    <cellStyle name="Normal 5 2 21 2 2" xfId="47050" xr:uid="{00000000-0005-0000-0000-000053B70000}"/>
    <cellStyle name="Normal 5 2 21 2 2 2" xfId="47051" xr:uid="{00000000-0005-0000-0000-000054B70000}"/>
    <cellStyle name="Normal 5 2 21 2 2 3" xfId="47052" xr:uid="{00000000-0005-0000-0000-000055B70000}"/>
    <cellStyle name="Normal 5 2 21 2 3" xfId="47053" xr:uid="{00000000-0005-0000-0000-000056B70000}"/>
    <cellStyle name="Normal 5 2 21 2 4" xfId="47054" xr:uid="{00000000-0005-0000-0000-000057B70000}"/>
    <cellStyle name="Normal 5 2 21 3" xfId="47055" xr:uid="{00000000-0005-0000-0000-000058B70000}"/>
    <cellStyle name="Normal 5 2 21 3 2" xfId="47056" xr:uid="{00000000-0005-0000-0000-000059B70000}"/>
    <cellStyle name="Normal 5 2 21 3 3" xfId="47057" xr:uid="{00000000-0005-0000-0000-00005AB70000}"/>
    <cellStyle name="Normal 5 2 21 4" xfId="47058" xr:uid="{00000000-0005-0000-0000-00005BB70000}"/>
    <cellStyle name="Normal 5 2 22" xfId="47059" xr:uid="{00000000-0005-0000-0000-00005CB70000}"/>
    <cellStyle name="Normal 5 2 22 2" xfId="47060" xr:uid="{00000000-0005-0000-0000-00005DB70000}"/>
    <cellStyle name="Normal 5 2 22 2 2" xfId="47061" xr:uid="{00000000-0005-0000-0000-00005EB70000}"/>
    <cellStyle name="Normal 5 2 22 2 2 2" xfId="47062" xr:uid="{00000000-0005-0000-0000-00005FB70000}"/>
    <cellStyle name="Normal 5 2 22 2 2 3" xfId="47063" xr:uid="{00000000-0005-0000-0000-000060B70000}"/>
    <cellStyle name="Normal 5 2 22 2 3" xfId="47064" xr:uid="{00000000-0005-0000-0000-000061B70000}"/>
    <cellStyle name="Normal 5 2 22 2 4" xfId="47065" xr:uid="{00000000-0005-0000-0000-000062B70000}"/>
    <cellStyle name="Normal 5 2 22 3" xfId="47066" xr:uid="{00000000-0005-0000-0000-000063B70000}"/>
    <cellStyle name="Normal 5 2 22 3 2" xfId="47067" xr:uid="{00000000-0005-0000-0000-000064B70000}"/>
    <cellStyle name="Normal 5 2 22 3 3" xfId="47068" xr:uid="{00000000-0005-0000-0000-000065B70000}"/>
    <cellStyle name="Normal 5 2 22 4" xfId="47069" xr:uid="{00000000-0005-0000-0000-000066B70000}"/>
    <cellStyle name="Normal 5 2 23" xfId="47070" xr:uid="{00000000-0005-0000-0000-000067B70000}"/>
    <cellStyle name="Normal 5 2 23 2" xfId="47071" xr:uid="{00000000-0005-0000-0000-000068B70000}"/>
    <cellStyle name="Normal 5 2 23 2 2" xfId="47072" xr:uid="{00000000-0005-0000-0000-000069B70000}"/>
    <cellStyle name="Normal 5 2 23 2 2 2" xfId="47073" xr:uid="{00000000-0005-0000-0000-00006AB70000}"/>
    <cellStyle name="Normal 5 2 23 2 2 3" xfId="47074" xr:uid="{00000000-0005-0000-0000-00006BB70000}"/>
    <cellStyle name="Normal 5 2 23 2 3" xfId="47075" xr:uid="{00000000-0005-0000-0000-00006CB70000}"/>
    <cellStyle name="Normal 5 2 23 2 4" xfId="47076" xr:uid="{00000000-0005-0000-0000-00006DB70000}"/>
    <cellStyle name="Normal 5 2 23 3" xfId="47077" xr:uid="{00000000-0005-0000-0000-00006EB70000}"/>
    <cellStyle name="Normal 5 2 23 3 2" xfId="47078" xr:uid="{00000000-0005-0000-0000-00006FB70000}"/>
    <cellStyle name="Normal 5 2 23 3 3" xfId="47079" xr:uid="{00000000-0005-0000-0000-000070B70000}"/>
    <cellStyle name="Normal 5 2 23 4" xfId="47080" xr:uid="{00000000-0005-0000-0000-000071B70000}"/>
    <cellStyle name="Normal 5 2 24" xfId="47081" xr:uid="{00000000-0005-0000-0000-000072B70000}"/>
    <cellStyle name="Normal 5 2 24 2" xfId="47082" xr:uid="{00000000-0005-0000-0000-000073B70000}"/>
    <cellStyle name="Normal 5 2 24 2 2" xfId="47083" xr:uid="{00000000-0005-0000-0000-000074B70000}"/>
    <cellStyle name="Normal 5 2 24 2 3" xfId="47084" xr:uid="{00000000-0005-0000-0000-000075B70000}"/>
    <cellStyle name="Normal 5 2 24 3" xfId="47085" xr:uid="{00000000-0005-0000-0000-000076B70000}"/>
    <cellStyle name="Normal 5 2 24 4" xfId="47086" xr:uid="{00000000-0005-0000-0000-000077B70000}"/>
    <cellStyle name="Normal 5 2 25" xfId="47087" xr:uid="{00000000-0005-0000-0000-000078B70000}"/>
    <cellStyle name="Normal 5 2 25 2" xfId="47088" xr:uid="{00000000-0005-0000-0000-000079B70000}"/>
    <cellStyle name="Normal 5 2 25 2 2" xfId="47089" xr:uid="{00000000-0005-0000-0000-00007AB70000}"/>
    <cellStyle name="Normal 5 2 25 2 3" xfId="47090" xr:uid="{00000000-0005-0000-0000-00007BB70000}"/>
    <cellStyle name="Normal 5 2 25 3" xfId="47091" xr:uid="{00000000-0005-0000-0000-00007CB70000}"/>
    <cellStyle name="Normal 5 2 25 3 2" xfId="47092" xr:uid="{00000000-0005-0000-0000-00007DB70000}"/>
    <cellStyle name="Normal 5 2 25 3 3" xfId="47093" xr:uid="{00000000-0005-0000-0000-00007EB70000}"/>
    <cellStyle name="Normal 5 2 25 4" xfId="47094" xr:uid="{00000000-0005-0000-0000-00007FB70000}"/>
    <cellStyle name="Normal 5 2 25 5" xfId="47095" xr:uid="{00000000-0005-0000-0000-000080B70000}"/>
    <cellStyle name="Normal 5 2 25 6" xfId="47096" xr:uid="{00000000-0005-0000-0000-000081B70000}"/>
    <cellStyle name="Normal 5 2 25 7" xfId="47097" xr:uid="{00000000-0005-0000-0000-000082B70000}"/>
    <cellStyle name="Normal 5 2 25 8" xfId="47098" xr:uid="{00000000-0005-0000-0000-000083B70000}"/>
    <cellStyle name="Normal 5 2 26" xfId="47099" xr:uid="{00000000-0005-0000-0000-000084B70000}"/>
    <cellStyle name="Normal 5 2 26 2" xfId="47100" xr:uid="{00000000-0005-0000-0000-000085B70000}"/>
    <cellStyle name="Normal 5 2 26 2 2" xfId="47101" xr:uid="{00000000-0005-0000-0000-000086B70000}"/>
    <cellStyle name="Normal 5 2 26 2 3" xfId="47102" xr:uid="{00000000-0005-0000-0000-000087B70000}"/>
    <cellStyle name="Normal 5 2 26 3" xfId="47103" xr:uid="{00000000-0005-0000-0000-000088B70000}"/>
    <cellStyle name="Normal 5 2 26 3 2" xfId="47104" xr:uid="{00000000-0005-0000-0000-000089B70000}"/>
    <cellStyle name="Normal 5 2 26 3 3" xfId="47105" xr:uid="{00000000-0005-0000-0000-00008AB70000}"/>
    <cellStyle name="Normal 5 2 26 4" xfId="47106" xr:uid="{00000000-0005-0000-0000-00008BB70000}"/>
    <cellStyle name="Normal 5 2 26 5" xfId="47107" xr:uid="{00000000-0005-0000-0000-00008CB70000}"/>
    <cellStyle name="Normal 5 2 26 6" xfId="47108" xr:uid="{00000000-0005-0000-0000-00008DB70000}"/>
    <cellStyle name="Normal 5 2 26 7" xfId="47109" xr:uid="{00000000-0005-0000-0000-00008EB70000}"/>
    <cellStyle name="Normal 5 2 26 8" xfId="47110" xr:uid="{00000000-0005-0000-0000-00008FB70000}"/>
    <cellStyle name="Normal 5 2 27" xfId="47111" xr:uid="{00000000-0005-0000-0000-000090B70000}"/>
    <cellStyle name="Normal 5 2 27 2" xfId="47112" xr:uid="{00000000-0005-0000-0000-000091B70000}"/>
    <cellStyle name="Normal 5 2 27 3" xfId="47113" xr:uid="{00000000-0005-0000-0000-000092B70000}"/>
    <cellStyle name="Normal 5 2 28" xfId="47114" xr:uid="{00000000-0005-0000-0000-000093B70000}"/>
    <cellStyle name="Normal 5 2 28 2" xfId="47115" xr:uid="{00000000-0005-0000-0000-000094B70000}"/>
    <cellStyle name="Normal 5 2 28 3" xfId="47116" xr:uid="{00000000-0005-0000-0000-000095B70000}"/>
    <cellStyle name="Normal 5 2 29" xfId="47117" xr:uid="{00000000-0005-0000-0000-000096B70000}"/>
    <cellStyle name="Normal 5 2 29 2" xfId="47118" xr:uid="{00000000-0005-0000-0000-000097B70000}"/>
    <cellStyle name="Normal 5 2 29 3" xfId="47119" xr:uid="{00000000-0005-0000-0000-000098B70000}"/>
    <cellStyle name="Normal 5 2 3" xfId="47120" xr:uid="{00000000-0005-0000-0000-000099B70000}"/>
    <cellStyle name="Normal 5 2 3 10" xfId="47121" xr:uid="{00000000-0005-0000-0000-00009AB70000}"/>
    <cellStyle name="Normal 5 2 3 11" xfId="47122" xr:uid="{00000000-0005-0000-0000-00009BB70000}"/>
    <cellStyle name="Normal 5 2 3 2" xfId="47123" xr:uid="{00000000-0005-0000-0000-00009CB70000}"/>
    <cellStyle name="Normal 5 2 3 2 2" xfId="47124" xr:uid="{00000000-0005-0000-0000-00009DB70000}"/>
    <cellStyle name="Normal 5 2 3 2 2 10" xfId="47125" xr:uid="{00000000-0005-0000-0000-00009EB70000}"/>
    <cellStyle name="Normal 5 2 3 2 2 2" xfId="47126" xr:uid="{00000000-0005-0000-0000-00009FB70000}"/>
    <cellStyle name="Normal 5 2 3 2 2 2 2" xfId="47127" xr:uid="{00000000-0005-0000-0000-0000A0B70000}"/>
    <cellStyle name="Normal 5 2 3 2 2 2 2 2" xfId="47128" xr:uid="{00000000-0005-0000-0000-0000A1B70000}"/>
    <cellStyle name="Normal 5 2 3 2 2 2 2 3" xfId="47129" xr:uid="{00000000-0005-0000-0000-0000A2B70000}"/>
    <cellStyle name="Normal 5 2 3 2 2 2 3" xfId="47130" xr:uid="{00000000-0005-0000-0000-0000A3B70000}"/>
    <cellStyle name="Normal 5 2 3 2 2 2 3 2" xfId="47131" xr:uid="{00000000-0005-0000-0000-0000A4B70000}"/>
    <cellStyle name="Normal 5 2 3 2 2 2 3 3" xfId="47132" xr:uid="{00000000-0005-0000-0000-0000A5B70000}"/>
    <cellStyle name="Normal 5 2 3 2 2 2 4" xfId="47133" xr:uid="{00000000-0005-0000-0000-0000A6B70000}"/>
    <cellStyle name="Normal 5 2 3 2 2 2 5" xfId="47134" xr:uid="{00000000-0005-0000-0000-0000A7B70000}"/>
    <cellStyle name="Normal 5 2 3 2 2 2 6" xfId="47135" xr:uid="{00000000-0005-0000-0000-0000A8B70000}"/>
    <cellStyle name="Normal 5 2 3 2 2 2 7" xfId="47136" xr:uid="{00000000-0005-0000-0000-0000A9B70000}"/>
    <cellStyle name="Normal 5 2 3 2 2 2 8" xfId="47137" xr:uid="{00000000-0005-0000-0000-0000AAB70000}"/>
    <cellStyle name="Normal 5 2 3 2 2 3" xfId="47138" xr:uid="{00000000-0005-0000-0000-0000ABB70000}"/>
    <cellStyle name="Normal 5 2 3 2 2 3 2" xfId="47139" xr:uid="{00000000-0005-0000-0000-0000ACB70000}"/>
    <cellStyle name="Normal 5 2 3 2 2 3 2 2" xfId="47140" xr:uid="{00000000-0005-0000-0000-0000ADB70000}"/>
    <cellStyle name="Normal 5 2 3 2 2 3 2 3" xfId="47141" xr:uid="{00000000-0005-0000-0000-0000AEB70000}"/>
    <cellStyle name="Normal 5 2 3 2 2 3 3" xfId="47142" xr:uid="{00000000-0005-0000-0000-0000AFB70000}"/>
    <cellStyle name="Normal 5 2 3 2 2 3 3 2" xfId="47143" xr:uid="{00000000-0005-0000-0000-0000B0B70000}"/>
    <cellStyle name="Normal 5 2 3 2 2 3 4" xfId="47144" xr:uid="{00000000-0005-0000-0000-0000B1B70000}"/>
    <cellStyle name="Normal 5 2 3 2 2 4" xfId="47145" xr:uid="{00000000-0005-0000-0000-0000B2B70000}"/>
    <cellStyle name="Normal 5 2 3 2 2 4 2" xfId="47146" xr:uid="{00000000-0005-0000-0000-0000B3B70000}"/>
    <cellStyle name="Normal 5 2 3 2 2 4 3" xfId="47147" xr:uid="{00000000-0005-0000-0000-0000B4B70000}"/>
    <cellStyle name="Normal 5 2 3 2 2 5" xfId="47148" xr:uid="{00000000-0005-0000-0000-0000B5B70000}"/>
    <cellStyle name="Normal 5 2 3 2 2 5 2" xfId="47149" xr:uid="{00000000-0005-0000-0000-0000B6B70000}"/>
    <cellStyle name="Normal 5 2 3 2 2 5 3" xfId="47150" xr:uid="{00000000-0005-0000-0000-0000B7B70000}"/>
    <cellStyle name="Normal 5 2 3 2 2 6" xfId="47151" xr:uid="{00000000-0005-0000-0000-0000B8B70000}"/>
    <cellStyle name="Normal 5 2 3 2 2 7" xfId="47152" xr:uid="{00000000-0005-0000-0000-0000B9B70000}"/>
    <cellStyle name="Normal 5 2 3 2 2 8" xfId="47153" xr:uid="{00000000-0005-0000-0000-0000BAB70000}"/>
    <cellStyle name="Normal 5 2 3 2 2 9" xfId="47154" xr:uid="{00000000-0005-0000-0000-0000BBB70000}"/>
    <cellStyle name="Normal 5 2 3 2 3" xfId="47155" xr:uid="{00000000-0005-0000-0000-0000BCB70000}"/>
    <cellStyle name="Normal 5 2 3 2 3 2" xfId="47156" xr:uid="{00000000-0005-0000-0000-0000BDB70000}"/>
    <cellStyle name="Normal 5 2 3 2 3 2 2" xfId="47157" xr:uid="{00000000-0005-0000-0000-0000BEB70000}"/>
    <cellStyle name="Normal 5 2 3 2 3 2 3" xfId="47158" xr:uid="{00000000-0005-0000-0000-0000BFB70000}"/>
    <cellStyle name="Normal 5 2 3 2 3 2 4" xfId="47159" xr:uid="{00000000-0005-0000-0000-0000C0B70000}"/>
    <cellStyle name="Normal 5 2 3 2 3 3" xfId="47160" xr:uid="{00000000-0005-0000-0000-0000C1B70000}"/>
    <cellStyle name="Normal 5 2 3 2 3 3 2" xfId="47161" xr:uid="{00000000-0005-0000-0000-0000C2B70000}"/>
    <cellStyle name="Normal 5 2 3 2 3 3 3" xfId="47162" xr:uid="{00000000-0005-0000-0000-0000C3B70000}"/>
    <cellStyle name="Normal 5 2 3 2 3 4" xfId="47163" xr:uid="{00000000-0005-0000-0000-0000C4B70000}"/>
    <cellStyle name="Normal 5 2 3 2 3 5" xfId="47164" xr:uid="{00000000-0005-0000-0000-0000C5B70000}"/>
    <cellStyle name="Normal 5 2 3 2 3 6" xfId="47165" xr:uid="{00000000-0005-0000-0000-0000C6B70000}"/>
    <cellStyle name="Normal 5 2 3 2 3 7" xfId="47166" xr:uid="{00000000-0005-0000-0000-0000C7B70000}"/>
    <cellStyle name="Normal 5 2 3 2 3 8" xfId="47167" xr:uid="{00000000-0005-0000-0000-0000C8B70000}"/>
    <cellStyle name="Normal 5 2 3 2 4" xfId="47168" xr:uid="{00000000-0005-0000-0000-0000C9B70000}"/>
    <cellStyle name="Normal 5 2 3 2 4 2" xfId="47169" xr:uid="{00000000-0005-0000-0000-0000CAB70000}"/>
    <cellStyle name="Normal 5 2 3 2 4 2 2" xfId="47170" xr:uid="{00000000-0005-0000-0000-0000CBB70000}"/>
    <cellStyle name="Normal 5 2 3 2 4 2 3" xfId="47171" xr:uid="{00000000-0005-0000-0000-0000CCB70000}"/>
    <cellStyle name="Normal 5 2 3 2 4 3" xfId="47172" xr:uid="{00000000-0005-0000-0000-0000CDB70000}"/>
    <cellStyle name="Normal 5 2 3 2 4 4" xfId="47173" xr:uid="{00000000-0005-0000-0000-0000CEB70000}"/>
    <cellStyle name="Normal 5 2 3 2 4 5" xfId="47174" xr:uid="{00000000-0005-0000-0000-0000CFB70000}"/>
    <cellStyle name="Normal 5 2 3 2 4 6" xfId="47175" xr:uid="{00000000-0005-0000-0000-0000D0B70000}"/>
    <cellStyle name="Normal 5 2 3 2 5" xfId="47176" xr:uid="{00000000-0005-0000-0000-0000D1B70000}"/>
    <cellStyle name="Normal 5 2 3 2 5 2" xfId="47177" xr:uid="{00000000-0005-0000-0000-0000D2B70000}"/>
    <cellStyle name="Normal 5 2 3 2 5 3" xfId="47178" xr:uid="{00000000-0005-0000-0000-0000D3B70000}"/>
    <cellStyle name="Normal 5 2 3 2 6" xfId="47179" xr:uid="{00000000-0005-0000-0000-0000D4B70000}"/>
    <cellStyle name="Normal 5 2 3 2 6 2" xfId="47180" xr:uid="{00000000-0005-0000-0000-0000D5B70000}"/>
    <cellStyle name="Normal 5 2 3 2 6 3" xfId="47181" xr:uid="{00000000-0005-0000-0000-0000D6B70000}"/>
    <cellStyle name="Normal 5 2 3 2 7" xfId="47182" xr:uid="{00000000-0005-0000-0000-0000D7B70000}"/>
    <cellStyle name="Normal 5 2 3 2 8" xfId="47183" xr:uid="{00000000-0005-0000-0000-0000D8B70000}"/>
    <cellStyle name="Normal 5 2 3 2 9" xfId="47184" xr:uid="{00000000-0005-0000-0000-0000D9B70000}"/>
    <cellStyle name="Normal 5 2 3 3" xfId="47185" xr:uid="{00000000-0005-0000-0000-0000DAB70000}"/>
    <cellStyle name="Normal 5 2 3 3 10" xfId="47186" xr:uid="{00000000-0005-0000-0000-0000DBB70000}"/>
    <cellStyle name="Normal 5 2 3 3 2" xfId="47187" xr:uid="{00000000-0005-0000-0000-0000DCB70000}"/>
    <cellStyle name="Normal 5 2 3 3 2 2" xfId="47188" xr:uid="{00000000-0005-0000-0000-0000DDB70000}"/>
    <cellStyle name="Normal 5 2 3 3 2 2 2" xfId="47189" xr:uid="{00000000-0005-0000-0000-0000DEB70000}"/>
    <cellStyle name="Normal 5 2 3 3 2 2 3" xfId="47190" xr:uid="{00000000-0005-0000-0000-0000DFB70000}"/>
    <cellStyle name="Normal 5 2 3 3 2 2 4" xfId="47191" xr:uid="{00000000-0005-0000-0000-0000E0B70000}"/>
    <cellStyle name="Normal 5 2 3 3 2 3" xfId="47192" xr:uid="{00000000-0005-0000-0000-0000E1B70000}"/>
    <cellStyle name="Normal 5 2 3 3 2 3 2" xfId="47193" xr:uid="{00000000-0005-0000-0000-0000E2B70000}"/>
    <cellStyle name="Normal 5 2 3 3 2 3 3" xfId="47194" xr:uid="{00000000-0005-0000-0000-0000E3B70000}"/>
    <cellStyle name="Normal 5 2 3 3 2 4" xfId="47195" xr:uid="{00000000-0005-0000-0000-0000E4B70000}"/>
    <cellStyle name="Normal 5 2 3 3 2 5" xfId="47196" xr:uid="{00000000-0005-0000-0000-0000E5B70000}"/>
    <cellStyle name="Normal 5 2 3 3 2 6" xfId="47197" xr:uid="{00000000-0005-0000-0000-0000E6B70000}"/>
    <cellStyle name="Normal 5 2 3 3 2 7" xfId="47198" xr:uid="{00000000-0005-0000-0000-0000E7B70000}"/>
    <cellStyle name="Normal 5 2 3 3 2 8" xfId="47199" xr:uid="{00000000-0005-0000-0000-0000E8B70000}"/>
    <cellStyle name="Normal 5 2 3 3 3" xfId="47200" xr:uid="{00000000-0005-0000-0000-0000E9B70000}"/>
    <cellStyle name="Normal 5 2 3 3 3 2" xfId="47201" xr:uid="{00000000-0005-0000-0000-0000EAB70000}"/>
    <cellStyle name="Normal 5 2 3 3 3 2 2" xfId="47202" xr:uid="{00000000-0005-0000-0000-0000EBB70000}"/>
    <cellStyle name="Normal 5 2 3 3 3 2 3" xfId="47203" xr:uid="{00000000-0005-0000-0000-0000ECB70000}"/>
    <cellStyle name="Normal 5 2 3 3 3 3" xfId="47204" xr:uid="{00000000-0005-0000-0000-0000EDB70000}"/>
    <cellStyle name="Normal 5 2 3 3 3 4" xfId="47205" xr:uid="{00000000-0005-0000-0000-0000EEB70000}"/>
    <cellStyle name="Normal 5 2 3 3 3 5" xfId="47206" xr:uid="{00000000-0005-0000-0000-0000EFB70000}"/>
    <cellStyle name="Normal 5 2 3 3 3 6" xfId="47207" xr:uid="{00000000-0005-0000-0000-0000F0B70000}"/>
    <cellStyle name="Normal 5 2 3 3 4" xfId="47208" xr:uid="{00000000-0005-0000-0000-0000F1B70000}"/>
    <cellStyle name="Normal 5 2 3 3 4 2" xfId="47209" xr:uid="{00000000-0005-0000-0000-0000F2B70000}"/>
    <cellStyle name="Normal 5 2 3 3 4 3" xfId="47210" xr:uid="{00000000-0005-0000-0000-0000F3B70000}"/>
    <cellStyle name="Normal 5 2 3 3 5" xfId="47211" xr:uid="{00000000-0005-0000-0000-0000F4B70000}"/>
    <cellStyle name="Normal 5 2 3 3 5 2" xfId="47212" xr:uid="{00000000-0005-0000-0000-0000F5B70000}"/>
    <cellStyle name="Normal 5 2 3 3 5 3" xfId="47213" xr:uid="{00000000-0005-0000-0000-0000F6B70000}"/>
    <cellStyle name="Normal 5 2 3 3 6" xfId="47214" xr:uid="{00000000-0005-0000-0000-0000F7B70000}"/>
    <cellStyle name="Normal 5 2 3 3 7" xfId="47215" xr:uid="{00000000-0005-0000-0000-0000F8B70000}"/>
    <cellStyle name="Normal 5 2 3 3 8" xfId="47216" xr:uid="{00000000-0005-0000-0000-0000F9B70000}"/>
    <cellStyle name="Normal 5 2 3 3 9" xfId="47217" xr:uid="{00000000-0005-0000-0000-0000FAB70000}"/>
    <cellStyle name="Normal 5 2 3 4" xfId="47218" xr:uid="{00000000-0005-0000-0000-0000FBB70000}"/>
    <cellStyle name="Normal 5 2 3 4 2" xfId="47219" xr:uid="{00000000-0005-0000-0000-0000FCB70000}"/>
    <cellStyle name="Normal 5 2 3 4 2 2" xfId="47220" xr:uid="{00000000-0005-0000-0000-0000FDB70000}"/>
    <cellStyle name="Normal 5 2 3 4 3" xfId="47221" xr:uid="{00000000-0005-0000-0000-0000FEB70000}"/>
    <cellStyle name="Normal 5 2 3 4 4" xfId="47222" xr:uid="{00000000-0005-0000-0000-0000FFB70000}"/>
    <cellStyle name="Normal 5 2 3 4 5" xfId="47223" xr:uid="{00000000-0005-0000-0000-000000B80000}"/>
    <cellStyle name="Normal 5 2 3 5" xfId="47224" xr:uid="{00000000-0005-0000-0000-000001B80000}"/>
    <cellStyle name="Normal 5 2 3 5 2" xfId="47225" xr:uid="{00000000-0005-0000-0000-000002B80000}"/>
    <cellStyle name="Normal 5 2 3 5 2 2" xfId="47226" xr:uid="{00000000-0005-0000-0000-000003B80000}"/>
    <cellStyle name="Normal 5 2 3 5 2 3" xfId="47227" xr:uid="{00000000-0005-0000-0000-000004B80000}"/>
    <cellStyle name="Normal 5 2 3 5 3" xfId="47228" xr:uid="{00000000-0005-0000-0000-000005B80000}"/>
    <cellStyle name="Normal 5 2 3 5 3 2" xfId="47229" xr:uid="{00000000-0005-0000-0000-000006B80000}"/>
    <cellStyle name="Normal 5 2 3 5 3 3" xfId="47230" xr:uid="{00000000-0005-0000-0000-000007B80000}"/>
    <cellStyle name="Normal 5 2 3 5 4" xfId="47231" xr:uid="{00000000-0005-0000-0000-000008B80000}"/>
    <cellStyle name="Normal 5 2 3 5 5" xfId="47232" xr:uid="{00000000-0005-0000-0000-000009B80000}"/>
    <cellStyle name="Normal 5 2 3 5 6" xfId="47233" xr:uid="{00000000-0005-0000-0000-00000AB80000}"/>
    <cellStyle name="Normal 5 2 3 5 7" xfId="47234" xr:uid="{00000000-0005-0000-0000-00000BB80000}"/>
    <cellStyle name="Normal 5 2 3 5 8" xfId="47235" xr:uid="{00000000-0005-0000-0000-00000CB80000}"/>
    <cellStyle name="Normal 5 2 3 6" xfId="47236" xr:uid="{00000000-0005-0000-0000-00000DB80000}"/>
    <cellStyle name="Normal 5 2 3 6 2" xfId="47237" xr:uid="{00000000-0005-0000-0000-00000EB80000}"/>
    <cellStyle name="Normal 5 2 3 6 2 2" xfId="47238" xr:uid="{00000000-0005-0000-0000-00000FB80000}"/>
    <cellStyle name="Normal 5 2 3 6 2 3" xfId="47239" xr:uid="{00000000-0005-0000-0000-000010B80000}"/>
    <cellStyle name="Normal 5 2 3 6 3" xfId="47240" xr:uid="{00000000-0005-0000-0000-000011B80000}"/>
    <cellStyle name="Normal 5 2 3 6 3 2" xfId="47241" xr:uid="{00000000-0005-0000-0000-000012B80000}"/>
    <cellStyle name="Normal 5 2 3 6 3 3" xfId="47242" xr:uid="{00000000-0005-0000-0000-000013B80000}"/>
    <cellStyle name="Normal 5 2 3 6 4" xfId="47243" xr:uid="{00000000-0005-0000-0000-000014B80000}"/>
    <cellStyle name="Normal 5 2 3 6 5" xfId="47244" xr:uid="{00000000-0005-0000-0000-000015B80000}"/>
    <cellStyle name="Normal 5 2 3 6 6" xfId="47245" xr:uid="{00000000-0005-0000-0000-000016B80000}"/>
    <cellStyle name="Normal 5 2 3 6 7" xfId="47246" xr:uid="{00000000-0005-0000-0000-000017B80000}"/>
    <cellStyle name="Normal 5 2 3 6 8" xfId="47247" xr:uid="{00000000-0005-0000-0000-000018B80000}"/>
    <cellStyle name="Normal 5 2 3 7" xfId="47248" xr:uid="{00000000-0005-0000-0000-000019B80000}"/>
    <cellStyle name="Normal 5 2 3 7 2" xfId="47249" xr:uid="{00000000-0005-0000-0000-00001AB80000}"/>
    <cellStyle name="Normal 5 2 3 7 3" xfId="47250" xr:uid="{00000000-0005-0000-0000-00001BB80000}"/>
    <cellStyle name="Normal 5 2 3 8" xfId="47251" xr:uid="{00000000-0005-0000-0000-00001CB80000}"/>
    <cellStyle name="Normal 5 2 3 8 2" xfId="47252" xr:uid="{00000000-0005-0000-0000-00001DB80000}"/>
    <cellStyle name="Normal 5 2 3 8 3" xfId="47253" xr:uid="{00000000-0005-0000-0000-00001EB80000}"/>
    <cellStyle name="Normal 5 2 3 9" xfId="47254" xr:uid="{00000000-0005-0000-0000-00001FB80000}"/>
    <cellStyle name="Normal 5 2 30" xfId="47255" xr:uid="{00000000-0005-0000-0000-000020B80000}"/>
    <cellStyle name="Normal 5 2 30 2" xfId="47256" xr:uid="{00000000-0005-0000-0000-000021B80000}"/>
    <cellStyle name="Normal 5 2 30 3" xfId="47257" xr:uid="{00000000-0005-0000-0000-000022B80000}"/>
    <cellStyle name="Normal 5 2 31" xfId="47258" xr:uid="{00000000-0005-0000-0000-000023B80000}"/>
    <cellStyle name="Normal 5 2 31 2" xfId="47259" xr:uid="{00000000-0005-0000-0000-000024B80000}"/>
    <cellStyle name="Normal 5 2 31 3" xfId="47260" xr:uid="{00000000-0005-0000-0000-000025B80000}"/>
    <cellStyle name="Normal 5 2 32" xfId="47261" xr:uid="{00000000-0005-0000-0000-000026B80000}"/>
    <cellStyle name="Normal 5 2 32 2" xfId="47262" xr:uid="{00000000-0005-0000-0000-000027B80000}"/>
    <cellStyle name="Normal 5 2 32 3" xfId="47263" xr:uid="{00000000-0005-0000-0000-000028B80000}"/>
    <cellStyle name="Normal 5 2 33" xfId="47264" xr:uid="{00000000-0005-0000-0000-000029B80000}"/>
    <cellStyle name="Normal 5 2 33 2" xfId="47265" xr:uid="{00000000-0005-0000-0000-00002AB80000}"/>
    <cellStyle name="Normal 5 2 33 3" xfId="47266" xr:uid="{00000000-0005-0000-0000-00002BB80000}"/>
    <cellStyle name="Normal 5 2 34" xfId="47267" xr:uid="{00000000-0005-0000-0000-00002CB80000}"/>
    <cellStyle name="Normal 5 2 34 2" xfId="47268" xr:uid="{00000000-0005-0000-0000-00002DB80000}"/>
    <cellStyle name="Normal 5 2 34 3" xfId="47269" xr:uid="{00000000-0005-0000-0000-00002EB80000}"/>
    <cellStyle name="Normal 5 2 35" xfId="47270" xr:uid="{00000000-0005-0000-0000-00002FB80000}"/>
    <cellStyle name="Normal 5 2 35 2" xfId="47271" xr:uid="{00000000-0005-0000-0000-000030B80000}"/>
    <cellStyle name="Normal 5 2 35 3" xfId="47272" xr:uid="{00000000-0005-0000-0000-000031B80000}"/>
    <cellStyle name="Normal 5 2 36" xfId="47273" xr:uid="{00000000-0005-0000-0000-000032B80000}"/>
    <cellStyle name="Normal 5 2 36 2" xfId="47274" xr:uid="{00000000-0005-0000-0000-000033B80000}"/>
    <cellStyle name="Normal 5 2 36 3" xfId="47275" xr:uid="{00000000-0005-0000-0000-000034B80000}"/>
    <cellStyle name="Normal 5 2 37" xfId="47276" xr:uid="{00000000-0005-0000-0000-000035B80000}"/>
    <cellStyle name="Normal 5 2 37 2" xfId="47277" xr:uid="{00000000-0005-0000-0000-000036B80000}"/>
    <cellStyle name="Normal 5 2 37 3" xfId="47278" xr:uid="{00000000-0005-0000-0000-000037B80000}"/>
    <cellStyle name="Normal 5 2 38" xfId="47279" xr:uid="{00000000-0005-0000-0000-000038B80000}"/>
    <cellStyle name="Normal 5 2 38 2" xfId="47280" xr:uid="{00000000-0005-0000-0000-000039B80000}"/>
    <cellStyle name="Normal 5 2 38 3" xfId="47281" xr:uid="{00000000-0005-0000-0000-00003AB80000}"/>
    <cellStyle name="Normal 5 2 39" xfId="47282" xr:uid="{00000000-0005-0000-0000-00003BB80000}"/>
    <cellStyle name="Normal 5 2 4" xfId="47283" xr:uid="{00000000-0005-0000-0000-00003CB80000}"/>
    <cellStyle name="Normal 5 2 4 10" xfId="47284" xr:uid="{00000000-0005-0000-0000-00003DB80000}"/>
    <cellStyle name="Normal 5 2 4 2" xfId="47285" xr:uid="{00000000-0005-0000-0000-00003EB80000}"/>
    <cellStyle name="Normal 5 2 4 2 2" xfId="47286" xr:uid="{00000000-0005-0000-0000-00003FB80000}"/>
    <cellStyle name="Normal 5 2 4 2 2 2" xfId="47287" xr:uid="{00000000-0005-0000-0000-000040B80000}"/>
    <cellStyle name="Normal 5 2 4 2 2 2 2" xfId="47288" xr:uid="{00000000-0005-0000-0000-000041B80000}"/>
    <cellStyle name="Normal 5 2 4 2 2 2 2 2" xfId="47289" xr:uid="{00000000-0005-0000-0000-000042B80000}"/>
    <cellStyle name="Normal 5 2 4 2 2 2 2 3" xfId="47290" xr:uid="{00000000-0005-0000-0000-000043B80000}"/>
    <cellStyle name="Normal 5 2 4 2 2 2 3" xfId="47291" xr:uid="{00000000-0005-0000-0000-000044B80000}"/>
    <cellStyle name="Normal 5 2 4 2 2 2 3 2" xfId="47292" xr:uid="{00000000-0005-0000-0000-000045B80000}"/>
    <cellStyle name="Normal 5 2 4 2 2 2 3 3" xfId="47293" xr:uid="{00000000-0005-0000-0000-000046B80000}"/>
    <cellStyle name="Normal 5 2 4 2 2 2 4" xfId="47294" xr:uid="{00000000-0005-0000-0000-000047B80000}"/>
    <cellStyle name="Normal 5 2 4 2 2 2 5" xfId="47295" xr:uid="{00000000-0005-0000-0000-000048B80000}"/>
    <cellStyle name="Normal 5 2 4 2 2 2 6" xfId="47296" xr:uid="{00000000-0005-0000-0000-000049B80000}"/>
    <cellStyle name="Normal 5 2 4 2 2 2 7" xfId="47297" xr:uid="{00000000-0005-0000-0000-00004AB80000}"/>
    <cellStyle name="Normal 5 2 4 2 2 2 8" xfId="47298" xr:uid="{00000000-0005-0000-0000-00004BB80000}"/>
    <cellStyle name="Normal 5 2 4 2 2 3" xfId="47299" xr:uid="{00000000-0005-0000-0000-00004CB80000}"/>
    <cellStyle name="Normal 5 2 4 2 2 3 2" xfId="47300" xr:uid="{00000000-0005-0000-0000-00004DB80000}"/>
    <cellStyle name="Normal 5 2 4 2 2 3 3" xfId="47301" xr:uid="{00000000-0005-0000-0000-00004EB80000}"/>
    <cellStyle name="Normal 5 2 4 2 2 4" xfId="47302" xr:uid="{00000000-0005-0000-0000-00004FB80000}"/>
    <cellStyle name="Normal 5 2 4 2 2 4 2" xfId="47303" xr:uid="{00000000-0005-0000-0000-000050B80000}"/>
    <cellStyle name="Normal 5 2 4 2 2 4 3" xfId="47304" xr:uid="{00000000-0005-0000-0000-000051B80000}"/>
    <cellStyle name="Normal 5 2 4 2 2 5" xfId="47305" xr:uid="{00000000-0005-0000-0000-000052B80000}"/>
    <cellStyle name="Normal 5 2 4 2 2 6" xfId="47306" xr:uid="{00000000-0005-0000-0000-000053B80000}"/>
    <cellStyle name="Normal 5 2 4 2 2 7" xfId="47307" xr:uid="{00000000-0005-0000-0000-000054B80000}"/>
    <cellStyle name="Normal 5 2 4 2 2 8" xfId="47308" xr:uid="{00000000-0005-0000-0000-000055B80000}"/>
    <cellStyle name="Normal 5 2 4 2 2 9" xfId="47309" xr:uid="{00000000-0005-0000-0000-000056B80000}"/>
    <cellStyle name="Normal 5 2 4 2 3" xfId="47310" xr:uid="{00000000-0005-0000-0000-000057B80000}"/>
    <cellStyle name="Normal 5 2 4 2 3 2" xfId="47311" xr:uid="{00000000-0005-0000-0000-000058B80000}"/>
    <cellStyle name="Normal 5 2 4 2 3 2 2" xfId="47312" xr:uid="{00000000-0005-0000-0000-000059B80000}"/>
    <cellStyle name="Normal 5 2 4 2 3 2 3" xfId="47313" xr:uid="{00000000-0005-0000-0000-00005AB80000}"/>
    <cellStyle name="Normal 5 2 4 2 3 3" xfId="47314" xr:uid="{00000000-0005-0000-0000-00005BB80000}"/>
    <cellStyle name="Normal 5 2 4 2 3 3 2" xfId="47315" xr:uid="{00000000-0005-0000-0000-00005CB80000}"/>
    <cellStyle name="Normal 5 2 4 2 3 4" xfId="47316" xr:uid="{00000000-0005-0000-0000-00005DB80000}"/>
    <cellStyle name="Normal 5 2 4 2 4" xfId="47317" xr:uid="{00000000-0005-0000-0000-00005EB80000}"/>
    <cellStyle name="Normal 5 2 4 2 5" xfId="47318" xr:uid="{00000000-0005-0000-0000-00005FB80000}"/>
    <cellStyle name="Normal 5 2 4 2 6" xfId="47319" xr:uid="{00000000-0005-0000-0000-000060B80000}"/>
    <cellStyle name="Normal 5 2 4 2_Dec monthly report" xfId="47320" xr:uid="{00000000-0005-0000-0000-000061B80000}"/>
    <cellStyle name="Normal 5 2 4 3" xfId="47321" xr:uid="{00000000-0005-0000-0000-000062B80000}"/>
    <cellStyle name="Normal 5 2 4 3 2" xfId="47322" xr:uid="{00000000-0005-0000-0000-000063B80000}"/>
    <cellStyle name="Normal 5 2 4 3 2 2" xfId="47323" xr:uid="{00000000-0005-0000-0000-000064B80000}"/>
    <cellStyle name="Normal 5 2 4 3 2 3" xfId="47324" xr:uid="{00000000-0005-0000-0000-000065B80000}"/>
    <cellStyle name="Normal 5 2 4 3 2 4" xfId="47325" xr:uid="{00000000-0005-0000-0000-000066B80000}"/>
    <cellStyle name="Normal 5 2 4 3 3" xfId="47326" xr:uid="{00000000-0005-0000-0000-000067B80000}"/>
    <cellStyle name="Normal 5 2 4 3 3 2" xfId="47327" xr:uid="{00000000-0005-0000-0000-000068B80000}"/>
    <cellStyle name="Normal 5 2 4 3 3 3" xfId="47328" xr:uid="{00000000-0005-0000-0000-000069B80000}"/>
    <cellStyle name="Normal 5 2 4 3 4" xfId="47329" xr:uid="{00000000-0005-0000-0000-00006AB80000}"/>
    <cellStyle name="Normal 5 2 4 3 5" xfId="47330" xr:uid="{00000000-0005-0000-0000-00006BB80000}"/>
    <cellStyle name="Normal 5 2 4 3 6" xfId="47331" xr:uid="{00000000-0005-0000-0000-00006CB80000}"/>
    <cellStyle name="Normal 5 2 4 3 7" xfId="47332" xr:uid="{00000000-0005-0000-0000-00006DB80000}"/>
    <cellStyle name="Normal 5 2 4 3 8" xfId="47333" xr:uid="{00000000-0005-0000-0000-00006EB80000}"/>
    <cellStyle name="Normal 5 2 4 4" xfId="47334" xr:uid="{00000000-0005-0000-0000-00006FB80000}"/>
    <cellStyle name="Normal 5 2 4 4 2" xfId="47335" xr:uid="{00000000-0005-0000-0000-000070B80000}"/>
    <cellStyle name="Normal 5 2 4 4 2 2" xfId="47336" xr:uid="{00000000-0005-0000-0000-000071B80000}"/>
    <cellStyle name="Normal 5 2 4 4 2 3" xfId="47337" xr:uid="{00000000-0005-0000-0000-000072B80000}"/>
    <cellStyle name="Normal 5 2 4 4 3" xfId="47338" xr:uid="{00000000-0005-0000-0000-000073B80000}"/>
    <cellStyle name="Normal 5 2 4 4 4" xfId="47339" xr:uid="{00000000-0005-0000-0000-000074B80000}"/>
    <cellStyle name="Normal 5 2 4 4 5" xfId="47340" xr:uid="{00000000-0005-0000-0000-000075B80000}"/>
    <cellStyle name="Normal 5 2 4 4 6" xfId="47341" xr:uid="{00000000-0005-0000-0000-000076B80000}"/>
    <cellStyle name="Normal 5 2 4 5" xfId="47342" xr:uid="{00000000-0005-0000-0000-000077B80000}"/>
    <cellStyle name="Normal 5 2 4 5 2" xfId="47343" xr:uid="{00000000-0005-0000-0000-000078B80000}"/>
    <cellStyle name="Normal 5 2 4 5 3" xfId="47344" xr:uid="{00000000-0005-0000-0000-000079B80000}"/>
    <cellStyle name="Normal 5 2 4 5 4" xfId="47345" xr:uid="{00000000-0005-0000-0000-00007AB80000}"/>
    <cellStyle name="Normal 5 2 4 6" xfId="47346" xr:uid="{00000000-0005-0000-0000-00007BB80000}"/>
    <cellStyle name="Normal 5 2 4 6 2" xfId="47347" xr:uid="{00000000-0005-0000-0000-00007CB80000}"/>
    <cellStyle name="Normal 5 2 4 6 3" xfId="47348" xr:uid="{00000000-0005-0000-0000-00007DB80000}"/>
    <cellStyle name="Normal 5 2 4 7" xfId="47349" xr:uid="{00000000-0005-0000-0000-00007EB80000}"/>
    <cellStyle name="Normal 5 2 4 7 2" xfId="47350" xr:uid="{00000000-0005-0000-0000-00007FB80000}"/>
    <cellStyle name="Normal 5 2 4 7 3" xfId="47351" xr:uid="{00000000-0005-0000-0000-000080B80000}"/>
    <cellStyle name="Normal 5 2 4 8" xfId="47352" xr:uid="{00000000-0005-0000-0000-000081B80000}"/>
    <cellStyle name="Normal 5 2 4 9" xfId="47353" xr:uid="{00000000-0005-0000-0000-000082B80000}"/>
    <cellStyle name="Normal 5 2 40" xfId="47354" xr:uid="{00000000-0005-0000-0000-000083B80000}"/>
    <cellStyle name="Normal 5 2 41" xfId="47355" xr:uid="{00000000-0005-0000-0000-000084B80000}"/>
    <cellStyle name="Normal 5 2 5" xfId="47356" xr:uid="{00000000-0005-0000-0000-000085B80000}"/>
    <cellStyle name="Normal 5 2 5 10" xfId="47357" xr:uid="{00000000-0005-0000-0000-000086B80000}"/>
    <cellStyle name="Normal 5 2 5 2" xfId="47358" xr:uid="{00000000-0005-0000-0000-000087B80000}"/>
    <cellStyle name="Normal 5 2 5 2 2" xfId="47359" xr:uid="{00000000-0005-0000-0000-000088B80000}"/>
    <cellStyle name="Normal 5 2 5 2 2 2" xfId="47360" xr:uid="{00000000-0005-0000-0000-000089B80000}"/>
    <cellStyle name="Normal 5 2 5 2 2 3" xfId="47361" xr:uid="{00000000-0005-0000-0000-00008AB80000}"/>
    <cellStyle name="Normal 5 2 5 2 3" xfId="47362" xr:uid="{00000000-0005-0000-0000-00008BB80000}"/>
    <cellStyle name="Normal 5 2 5 2 4" xfId="47363" xr:uid="{00000000-0005-0000-0000-00008CB80000}"/>
    <cellStyle name="Normal 5 2 5 2 5" xfId="47364" xr:uid="{00000000-0005-0000-0000-00008DB80000}"/>
    <cellStyle name="Normal 5 2 5 3" xfId="47365" xr:uid="{00000000-0005-0000-0000-00008EB80000}"/>
    <cellStyle name="Normal 5 2 5 3 2" xfId="47366" xr:uid="{00000000-0005-0000-0000-00008FB80000}"/>
    <cellStyle name="Normal 5 2 5 3 2 2" xfId="47367" xr:uid="{00000000-0005-0000-0000-000090B80000}"/>
    <cellStyle name="Normal 5 2 5 3 2 3" xfId="47368" xr:uid="{00000000-0005-0000-0000-000091B80000}"/>
    <cellStyle name="Normal 5 2 5 3 3" xfId="47369" xr:uid="{00000000-0005-0000-0000-000092B80000}"/>
    <cellStyle name="Normal 5 2 5 3 3 2" xfId="47370" xr:uid="{00000000-0005-0000-0000-000093B80000}"/>
    <cellStyle name="Normal 5 2 5 3 3 3" xfId="47371" xr:uid="{00000000-0005-0000-0000-000094B80000}"/>
    <cellStyle name="Normal 5 2 5 3 4" xfId="47372" xr:uid="{00000000-0005-0000-0000-000095B80000}"/>
    <cellStyle name="Normal 5 2 5 3 5" xfId="47373" xr:uid="{00000000-0005-0000-0000-000096B80000}"/>
    <cellStyle name="Normal 5 2 5 3 6" xfId="47374" xr:uid="{00000000-0005-0000-0000-000097B80000}"/>
    <cellStyle name="Normal 5 2 5 3 7" xfId="47375" xr:uid="{00000000-0005-0000-0000-000098B80000}"/>
    <cellStyle name="Normal 5 2 5 3 8" xfId="47376" xr:uid="{00000000-0005-0000-0000-000099B80000}"/>
    <cellStyle name="Normal 5 2 5 4" xfId="47377" xr:uid="{00000000-0005-0000-0000-00009AB80000}"/>
    <cellStyle name="Normal 5 2 5 4 2" xfId="47378" xr:uid="{00000000-0005-0000-0000-00009BB80000}"/>
    <cellStyle name="Normal 5 2 5 4 2 2" xfId="47379" xr:uid="{00000000-0005-0000-0000-00009CB80000}"/>
    <cellStyle name="Normal 5 2 5 4 2 3" xfId="47380" xr:uid="{00000000-0005-0000-0000-00009DB80000}"/>
    <cellStyle name="Normal 5 2 5 4 3" xfId="47381" xr:uid="{00000000-0005-0000-0000-00009EB80000}"/>
    <cellStyle name="Normal 5 2 5 4 4" xfId="47382" xr:uid="{00000000-0005-0000-0000-00009FB80000}"/>
    <cellStyle name="Normal 5 2 5 4 5" xfId="47383" xr:uid="{00000000-0005-0000-0000-0000A0B80000}"/>
    <cellStyle name="Normal 5 2 5 4 6" xfId="47384" xr:uid="{00000000-0005-0000-0000-0000A1B80000}"/>
    <cellStyle name="Normal 5 2 5 5" xfId="47385" xr:uid="{00000000-0005-0000-0000-0000A2B80000}"/>
    <cellStyle name="Normal 5 2 5 5 2" xfId="47386" xr:uid="{00000000-0005-0000-0000-0000A3B80000}"/>
    <cellStyle name="Normal 5 2 5 5 3" xfId="47387" xr:uid="{00000000-0005-0000-0000-0000A4B80000}"/>
    <cellStyle name="Normal 5 2 5 6" xfId="47388" xr:uid="{00000000-0005-0000-0000-0000A5B80000}"/>
    <cellStyle name="Normal 5 2 5 6 2" xfId="47389" xr:uid="{00000000-0005-0000-0000-0000A6B80000}"/>
    <cellStyle name="Normal 5 2 5 6 3" xfId="47390" xr:uid="{00000000-0005-0000-0000-0000A7B80000}"/>
    <cellStyle name="Normal 5 2 5 7" xfId="47391" xr:uid="{00000000-0005-0000-0000-0000A8B80000}"/>
    <cellStyle name="Normal 5 2 5 7 2" xfId="47392" xr:uid="{00000000-0005-0000-0000-0000A9B80000}"/>
    <cellStyle name="Normal 5 2 5 7 3" xfId="47393" xr:uid="{00000000-0005-0000-0000-0000AAB80000}"/>
    <cellStyle name="Normal 5 2 5 8" xfId="47394" xr:uid="{00000000-0005-0000-0000-0000ABB80000}"/>
    <cellStyle name="Normal 5 2 5 9" xfId="47395" xr:uid="{00000000-0005-0000-0000-0000ACB80000}"/>
    <cellStyle name="Normal 5 2 6" xfId="47396" xr:uid="{00000000-0005-0000-0000-0000ADB80000}"/>
    <cellStyle name="Normal 5 2 6 2" xfId="47397" xr:uid="{00000000-0005-0000-0000-0000AEB80000}"/>
    <cellStyle name="Normal 5 2 6 2 2" xfId="47398" xr:uid="{00000000-0005-0000-0000-0000AFB80000}"/>
    <cellStyle name="Normal 5 2 6 2 2 2" xfId="47399" xr:uid="{00000000-0005-0000-0000-0000B0B80000}"/>
    <cellStyle name="Normal 5 2 6 2 2 3" xfId="47400" xr:uid="{00000000-0005-0000-0000-0000B1B80000}"/>
    <cellStyle name="Normal 5 2 6 2 3" xfId="47401" xr:uid="{00000000-0005-0000-0000-0000B2B80000}"/>
    <cellStyle name="Normal 5 2 6 2 4" xfId="47402" xr:uid="{00000000-0005-0000-0000-0000B3B80000}"/>
    <cellStyle name="Normal 5 2 6 3" xfId="47403" xr:uid="{00000000-0005-0000-0000-0000B4B80000}"/>
    <cellStyle name="Normal 5 2 6 3 2" xfId="47404" xr:uid="{00000000-0005-0000-0000-0000B5B80000}"/>
    <cellStyle name="Normal 5 2 6 3 3" xfId="47405" xr:uid="{00000000-0005-0000-0000-0000B6B80000}"/>
    <cellStyle name="Normal 5 2 6 4" xfId="47406" xr:uid="{00000000-0005-0000-0000-0000B7B80000}"/>
    <cellStyle name="Normal 5 2 6 5" xfId="47407" xr:uid="{00000000-0005-0000-0000-0000B8B80000}"/>
    <cellStyle name="Normal 5 2 7" xfId="47408" xr:uid="{00000000-0005-0000-0000-0000B9B80000}"/>
    <cellStyle name="Normal 5 2 7 2" xfId="47409" xr:uid="{00000000-0005-0000-0000-0000BAB80000}"/>
    <cellStyle name="Normal 5 2 7 2 2" xfId="47410" xr:uid="{00000000-0005-0000-0000-0000BBB80000}"/>
    <cellStyle name="Normal 5 2 7 2 2 2" xfId="47411" xr:uid="{00000000-0005-0000-0000-0000BCB80000}"/>
    <cellStyle name="Normal 5 2 7 2 2 3" xfId="47412" xr:uid="{00000000-0005-0000-0000-0000BDB80000}"/>
    <cellStyle name="Normal 5 2 7 2 3" xfId="47413" xr:uid="{00000000-0005-0000-0000-0000BEB80000}"/>
    <cellStyle name="Normal 5 2 7 2 4" xfId="47414" xr:uid="{00000000-0005-0000-0000-0000BFB80000}"/>
    <cellStyle name="Normal 5 2 7 3" xfId="47415" xr:uid="{00000000-0005-0000-0000-0000C0B80000}"/>
    <cellStyle name="Normal 5 2 7 3 2" xfId="47416" xr:uid="{00000000-0005-0000-0000-0000C1B80000}"/>
    <cellStyle name="Normal 5 2 7 3 3" xfId="47417" xr:uid="{00000000-0005-0000-0000-0000C2B80000}"/>
    <cellStyle name="Normal 5 2 7 4" xfId="47418" xr:uid="{00000000-0005-0000-0000-0000C3B80000}"/>
    <cellStyle name="Normal 5 2 8" xfId="47419" xr:uid="{00000000-0005-0000-0000-0000C4B80000}"/>
    <cellStyle name="Normal 5 2 8 2" xfId="47420" xr:uid="{00000000-0005-0000-0000-0000C5B80000}"/>
    <cellStyle name="Normal 5 2 8 2 2" xfId="47421" xr:uid="{00000000-0005-0000-0000-0000C6B80000}"/>
    <cellStyle name="Normal 5 2 8 2 2 2" xfId="47422" xr:uid="{00000000-0005-0000-0000-0000C7B80000}"/>
    <cellStyle name="Normal 5 2 8 2 2 3" xfId="47423" xr:uid="{00000000-0005-0000-0000-0000C8B80000}"/>
    <cellStyle name="Normal 5 2 8 2 3" xfId="47424" xr:uid="{00000000-0005-0000-0000-0000C9B80000}"/>
    <cellStyle name="Normal 5 2 8 2 4" xfId="47425" xr:uid="{00000000-0005-0000-0000-0000CAB80000}"/>
    <cellStyle name="Normal 5 2 8 3" xfId="47426" xr:uid="{00000000-0005-0000-0000-0000CBB80000}"/>
    <cellStyle name="Normal 5 2 8 3 2" xfId="47427" xr:uid="{00000000-0005-0000-0000-0000CCB80000}"/>
    <cellStyle name="Normal 5 2 8 3 3" xfId="47428" xr:uid="{00000000-0005-0000-0000-0000CDB80000}"/>
    <cellStyle name="Normal 5 2 8 4" xfId="47429" xr:uid="{00000000-0005-0000-0000-0000CEB80000}"/>
    <cellStyle name="Normal 5 2 9" xfId="47430" xr:uid="{00000000-0005-0000-0000-0000CFB80000}"/>
    <cellStyle name="Normal 5 2 9 2" xfId="47431" xr:uid="{00000000-0005-0000-0000-0000D0B80000}"/>
    <cellStyle name="Normal 5 2 9 2 2" xfId="47432" xr:uid="{00000000-0005-0000-0000-0000D1B80000}"/>
    <cellStyle name="Normal 5 2 9 2 2 2" xfId="47433" xr:uid="{00000000-0005-0000-0000-0000D2B80000}"/>
    <cellStyle name="Normal 5 2 9 2 2 3" xfId="47434" xr:uid="{00000000-0005-0000-0000-0000D3B80000}"/>
    <cellStyle name="Normal 5 2 9 2 3" xfId="47435" xr:uid="{00000000-0005-0000-0000-0000D4B80000}"/>
    <cellStyle name="Normal 5 2 9 2 4" xfId="47436" xr:uid="{00000000-0005-0000-0000-0000D5B80000}"/>
    <cellStyle name="Normal 5 2 9 3" xfId="47437" xr:uid="{00000000-0005-0000-0000-0000D6B80000}"/>
    <cellStyle name="Normal 5 2 9 3 2" xfId="47438" xr:uid="{00000000-0005-0000-0000-0000D7B80000}"/>
    <cellStyle name="Normal 5 2 9 3 3" xfId="47439" xr:uid="{00000000-0005-0000-0000-0000D8B80000}"/>
    <cellStyle name="Normal 5 2 9 4" xfId="47440" xr:uid="{00000000-0005-0000-0000-0000D9B80000}"/>
    <cellStyle name="Normal 5 2_2015 Annual Rpt" xfId="47441" xr:uid="{00000000-0005-0000-0000-0000DAB80000}"/>
    <cellStyle name="Normal 5 20" xfId="47442" xr:uid="{00000000-0005-0000-0000-0000DBB80000}"/>
    <cellStyle name="Normal 5 20 2" xfId="47443" xr:uid="{00000000-0005-0000-0000-0000DCB80000}"/>
    <cellStyle name="Normal 5 20 2 2" xfId="47444" xr:uid="{00000000-0005-0000-0000-0000DDB80000}"/>
    <cellStyle name="Normal 5 20 2 2 2" xfId="47445" xr:uid="{00000000-0005-0000-0000-0000DEB80000}"/>
    <cellStyle name="Normal 5 20 2 2 3" xfId="47446" xr:uid="{00000000-0005-0000-0000-0000DFB80000}"/>
    <cellStyle name="Normal 5 20 2 3" xfId="47447" xr:uid="{00000000-0005-0000-0000-0000E0B80000}"/>
    <cellStyle name="Normal 5 20 2 4" xfId="47448" xr:uid="{00000000-0005-0000-0000-0000E1B80000}"/>
    <cellStyle name="Normal 5 20 3" xfId="47449" xr:uid="{00000000-0005-0000-0000-0000E2B80000}"/>
    <cellStyle name="Normal 5 20 3 2" xfId="47450" xr:uid="{00000000-0005-0000-0000-0000E3B80000}"/>
    <cellStyle name="Normal 5 20 3 3" xfId="47451" xr:uid="{00000000-0005-0000-0000-0000E4B80000}"/>
    <cellStyle name="Normal 5 20 4" xfId="47452" xr:uid="{00000000-0005-0000-0000-0000E5B80000}"/>
    <cellStyle name="Normal 5 21" xfId="47453" xr:uid="{00000000-0005-0000-0000-0000E6B80000}"/>
    <cellStyle name="Normal 5 21 2" xfId="47454" xr:uid="{00000000-0005-0000-0000-0000E7B80000}"/>
    <cellStyle name="Normal 5 21 2 2" xfId="47455" xr:uid="{00000000-0005-0000-0000-0000E8B80000}"/>
    <cellStyle name="Normal 5 21 2 2 2" xfId="47456" xr:uid="{00000000-0005-0000-0000-0000E9B80000}"/>
    <cellStyle name="Normal 5 21 2 2 3" xfId="47457" xr:uid="{00000000-0005-0000-0000-0000EAB80000}"/>
    <cellStyle name="Normal 5 21 2 3" xfId="47458" xr:uid="{00000000-0005-0000-0000-0000EBB80000}"/>
    <cellStyle name="Normal 5 21 2 4" xfId="47459" xr:uid="{00000000-0005-0000-0000-0000ECB80000}"/>
    <cellStyle name="Normal 5 21 3" xfId="47460" xr:uid="{00000000-0005-0000-0000-0000EDB80000}"/>
    <cellStyle name="Normal 5 21 3 2" xfId="47461" xr:uid="{00000000-0005-0000-0000-0000EEB80000}"/>
    <cellStyle name="Normal 5 21 3 3" xfId="47462" xr:uid="{00000000-0005-0000-0000-0000EFB80000}"/>
    <cellStyle name="Normal 5 21 4" xfId="47463" xr:uid="{00000000-0005-0000-0000-0000F0B80000}"/>
    <cellStyle name="Normal 5 22" xfId="47464" xr:uid="{00000000-0005-0000-0000-0000F1B80000}"/>
    <cellStyle name="Normal 5 22 2" xfId="47465" xr:uid="{00000000-0005-0000-0000-0000F2B80000}"/>
    <cellStyle name="Normal 5 22 2 2" xfId="47466" xr:uid="{00000000-0005-0000-0000-0000F3B80000}"/>
    <cellStyle name="Normal 5 22 2 2 2" xfId="47467" xr:uid="{00000000-0005-0000-0000-0000F4B80000}"/>
    <cellStyle name="Normal 5 22 2 2 3" xfId="47468" xr:uid="{00000000-0005-0000-0000-0000F5B80000}"/>
    <cellStyle name="Normal 5 22 2 3" xfId="47469" xr:uid="{00000000-0005-0000-0000-0000F6B80000}"/>
    <cellStyle name="Normal 5 22 2 4" xfId="47470" xr:uid="{00000000-0005-0000-0000-0000F7B80000}"/>
    <cellStyle name="Normal 5 22 3" xfId="47471" xr:uid="{00000000-0005-0000-0000-0000F8B80000}"/>
    <cellStyle name="Normal 5 22 3 2" xfId="47472" xr:uid="{00000000-0005-0000-0000-0000F9B80000}"/>
    <cellStyle name="Normal 5 22 3 3" xfId="47473" xr:uid="{00000000-0005-0000-0000-0000FAB80000}"/>
    <cellStyle name="Normal 5 22 4" xfId="47474" xr:uid="{00000000-0005-0000-0000-0000FBB80000}"/>
    <cellStyle name="Normal 5 23" xfId="47475" xr:uid="{00000000-0005-0000-0000-0000FCB80000}"/>
    <cellStyle name="Normal 5 23 2" xfId="47476" xr:uid="{00000000-0005-0000-0000-0000FDB80000}"/>
    <cellStyle name="Normal 5 23 2 2" xfId="47477" xr:uid="{00000000-0005-0000-0000-0000FEB80000}"/>
    <cellStyle name="Normal 5 23 2 2 2" xfId="47478" xr:uid="{00000000-0005-0000-0000-0000FFB80000}"/>
    <cellStyle name="Normal 5 23 2 2 3" xfId="47479" xr:uid="{00000000-0005-0000-0000-000000B90000}"/>
    <cellStyle name="Normal 5 23 2 3" xfId="47480" xr:uid="{00000000-0005-0000-0000-000001B90000}"/>
    <cellStyle name="Normal 5 23 2 4" xfId="47481" xr:uid="{00000000-0005-0000-0000-000002B90000}"/>
    <cellStyle name="Normal 5 23 3" xfId="47482" xr:uid="{00000000-0005-0000-0000-000003B90000}"/>
    <cellStyle name="Normal 5 23 3 2" xfId="47483" xr:uid="{00000000-0005-0000-0000-000004B90000}"/>
    <cellStyle name="Normal 5 23 3 3" xfId="47484" xr:uid="{00000000-0005-0000-0000-000005B90000}"/>
    <cellStyle name="Normal 5 23 4" xfId="47485" xr:uid="{00000000-0005-0000-0000-000006B90000}"/>
    <cellStyle name="Normal 5 24" xfId="47486" xr:uid="{00000000-0005-0000-0000-000007B90000}"/>
    <cellStyle name="Normal 5 24 2" xfId="47487" xr:uid="{00000000-0005-0000-0000-000008B90000}"/>
    <cellStyle name="Normal 5 24 2 2" xfId="47488" xr:uid="{00000000-0005-0000-0000-000009B90000}"/>
    <cellStyle name="Normal 5 24 2 2 2" xfId="47489" xr:uid="{00000000-0005-0000-0000-00000AB90000}"/>
    <cellStyle name="Normal 5 24 2 2 3" xfId="47490" xr:uid="{00000000-0005-0000-0000-00000BB90000}"/>
    <cellStyle name="Normal 5 24 2 3" xfId="47491" xr:uid="{00000000-0005-0000-0000-00000CB90000}"/>
    <cellStyle name="Normal 5 24 2 4" xfId="47492" xr:uid="{00000000-0005-0000-0000-00000DB90000}"/>
    <cellStyle name="Normal 5 24 3" xfId="47493" xr:uid="{00000000-0005-0000-0000-00000EB90000}"/>
    <cellStyle name="Normal 5 24 3 2" xfId="47494" xr:uid="{00000000-0005-0000-0000-00000FB90000}"/>
    <cellStyle name="Normal 5 24 3 3" xfId="47495" xr:uid="{00000000-0005-0000-0000-000010B90000}"/>
    <cellStyle name="Normal 5 24 4" xfId="47496" xr:uid="{00000000-0005-0000-0000-000011B90000}"/>
    <cellStyle name="Normal 5 25" xfId="47497" xr:uid="{00000000-0005-0000-0000-000012B90000}"/>
    <cellStyle name="Normal 5 25 2" xfId="47498" xr:uid="{00000000-0005-0000-0000-000013B90000}"/>
    <cellStyle name="Normal 5 25 2 2" xfId="47499" xr:uid="{00000000-0005-0000-0000-000014B90000}"/>
    <cellStyle name="Normal 5 25 2 3" xfId="47500" xr:uid="{00000000-0005-0000-0000-000015B90000}"/>
    <cellStyle name="Normal 5 25 2 4" xfId="47501" xr:uid="{00000000-0005-0000-0000-000016B90000}"/>
    <cellStyle name="Normal 5 25 3" xfId="47502" xr:uid="{00000000-0005-0000-0000-000017B90000}"/>
    <cellStyle name="Normal 5 25 4" xfId="47503" xr:uid="{00000000-0005-0000-0000-000018B90000}"/>
    <cellStyle name="Normal 5 25 5" xfId="47504" xr:uid="{00000000-0005-0000-0000-000019B90000}"/>
    <cellStyle name="Normal 5 25 6" xfId="47505" xr:uid="{00000000-0005-0000-0000-00001AB90000}"/>
    <cellStyle name="Normal 5 26" xfId="47506" xr:uid="{00000000-0005-0000-0000-00001BB90000}"/>
    <cellStyle name="Normal 5 26 2" xfId="47507" xr:uid="{00000000-0005-0000-0000-00001CB90000}"/>
    <cellStyle name="Normal 5 26 2 2" xfId="47508" xr:uid="{00000000-0005-0000-0000-00001DB90000}"/>
    <cellStyle name="Normal 5 26 2 3" xfId="47509" xr:uid="{00000000-0005-0000-0000-00001EB90000}"/>
    <cellStyle name="Normal 5 26 3" xfId="47510" xr:uid="{00000000-0005-0000-0000-00001FB90000}"/>
    <cellStyle name="Normal 5 26 3 2" xfId="47511" xr:uid="{00000000-0005-0000-0000-000020B90000}"/>
    <cellStyle name="Normal 5 26 4" xfId="47512" xr:uid="{00000000-0005-0000-0000-000021B90000}"/>
    <cellStyle name="Normal 5 27" xfId="47513" xr:uid="{00000000-0005-0000-0000-000022B90000}"/>
    <cellStyle name="Normal 5 27 2" xfId="47514" xr:uid="{00000000-0005-0000-0000-000023B90000}"/>
    <cellStyle name="Normal 5 27 2 2" xfId="47515" xr:uid="{00000000-0005-0000-0000-000024B90000}"/>
    <cellStyle name="Normal 5 27 2 3" xfId="47516" xr:uid="{00000000-0005-0000-0000-000025B90000}"/>
    <cellStyle name="Normal 5 27 3" xfId="47517" xr:uid="{00000000-0005-0000-0000-000026B90000}"/>
    <cellStyle name="Normal 5 27 3 2" xfId="47518" xr:uid="{00000000-0005-0000-0000-000027B90000}"/>
    <cellStyle name="Normal 5 27 4" xfId="47519" xr:uid="{00000000-0005-0000-0000-000028B90000}"/>
    <cellStyle name="Normal 5 27 5" xfId="47520" xr:uid="{00000000-0005-0000-0000-000029B90000}"/>
    <cellStyle name="Normal 5 27 6" xfId="47521" xr:uid="{00000000-0005-0000-0000-00002AB90000}"/>
    <cellStyle name="Normal 5 27 7" xfId="47522" xr:uid="{00000000-0005-0000-0000-00002BB90000}"/>
    <cellStyle name="Normal 5 27 8" xfId="47523" xr:uid="{00000000-0005-0000-0000-00002CB90000}"/>
    <cellStyle name="Normal 5 28" xfId="47524" xr:uid="{00000000-0005-0000-0000-00002DB90000}"/>
    <cellStyle name="Normal 5 28 2" xfId="47525" xr:uid="{00000000-0005-0000-0000-00002EB90000}"/>
    <cellStyle name="Normal 5 29" xfId="47526" xr:uid="{00000000-0005-0000-0000-00002FB90000}"/>
    <cellStyle name="Normal 5 3" xfId="47527" xr:uid="{00000000-0005-0000-0000-000030B90000}"/>
    <cellStyle name="Normal 5 3 2" xfId="47528" xr:uid="{00000000-0005-0000-0000-000031B90000}"/>
    <cellStyle name="Normal 5 3 2 10" xfId="47529" xr:uid="{00000000-0005-0000-0000-000032B90000}"/>
    <cellStyle name="Normal 5 3 2 11" xfId="47530" xr:uid="{00000000-0005-0000-0000-000033B90000}"/>
    <cellStyle name="Normal 5 3 2 2" xfId="47531" xr:uid="{00000000-0005-0000-0000-000034B90000}"/>
    <cellStyle name="Normal 5 3 2 2 10" xfId="47532" xr:uid="{00000000-0005-0000-0000-000035B90000}"/>
    <cellStyle name="Normal 5 3 2 2 11" xfId="47533" xr:uid="{00000000-0005-0000-0000-000036B90000}"/>
    <cellStyle name="Normal 5 3 2 2 2" xfId="47534" xr:uid="{00000000-0005-0000-0000-000037B90000}"/>
    <cellStyle name="Normal 5 3 2 2 2 2" xfId="47535" xr:uid="{00000000-0005-0000-0000-000038B90000}"/>
    <cellStyle name="Normal 5 3 2 2 2 2 2" xfId="47536" xr:uid="{00000000-0005-0000-0000-000039B90000}"/>
    <cellStyle name="Normal 5 3 2 2 2 2 2 2" xfId="47537" xr:uid="{00000000-0005-0000-0000-00003AB90000}"/>
    <cellStyle name="Normal 5 3 2 2 2 2 2 3" xfId="47538" xr:uid="{00000000-0005-0000-0000-00003BB90000}"/>
    <cellStyle name="Normal 5 3 2 2 2 2 3" xfId="47539" xr:uid="{00000000-0005-0000-0000-00003CB90000}"/>
    <cellStyle name="Normal 5 3 2 2 2 2 3 2" xfId="47540" xr:uid="{00000000-0005-0000-0000-00003DB90000}"/>
    <cellStyle name="Normal 5 3 2 2 2 2 3 3" xfId="47541" xr:uid="{00000000-0005-0000-0000-00003EB90000}"/>
    <cellStyle name="Normal 5 3 2 2 2 2 4" xfId="47542" xr:uid="{00000000-0005-0000-0000-00003FB90000}"/>
    <cellStyle name="Normal 5 3 2 2 2 2 5" xfId="47543" xr:uid="{00000000-0005-0000-0000-000040B90000}"/>
    <cellStyle name="Normal 5 3 2 2 2 2 6" xfId="47544" xr:uid="{00000000-0005-0000-0000-000041B90000}"/>
    <cellStyle name="Normal 5 3 2 2 2 2 7" xfId="47545" xr:uid="{00000000-0005-0000-0000-000042B90000}"/>
    <cellStyle name="Normal 5 3 2 2 2 2 8" xfId="47546" xr:uid="{00000000-0005-0000-0000-000043B90000}"/>
    <cellStyle name="Normal 5 3 2 2 2 3" xfId="47547" xr:uid="{00000000-0005-0000-0000-000044B90000}"/>
    <cellStyle name="Normal 5 3 2 2 2 3 2" xfId="47548" xr:uid="{00000000-0005-0000-0000-000045B90000}"/>
    <cellStyle name="Normal 5 3 2 2 2 3 2 2" xfId="47549" xr:uid="{00000000-0005-0000-0000-000046B90000}"/>
    <cellStyle name="Normal 5 3 2 2 2 3 2 3" xfId="47550" xr:uid="{00000000-0005-0000-0000-000047B90000}"/>
    <cellStyle name="Normal 5 3 2 2 2 3 3" xfId="47551" xr:uid="{00000000-0005-0000-0000-000048B90000}"/>
    <cellStyle name="Normal 5 3 2 2 2 3 3 2" xfId="47552" xr:uid="{00000000-0005-0000-0000-000049B90000}"/>
    <cellStyle name="Normal 5 3 2 2 2 3 4" xfId="47553" xr:uid="{00000000-0005-0000-0000-00004AB90000}"/>
    <cellStyle name="Normal 5 3 2 2 2 4" xfId="47554" xr:uid="{00000000-0005-0000-0000-00004BB90000}"/>
    <cellStyle name="Normal 5 3 2 2 2 4 2" xfId="47555" xr:uid="{00000000-0005-0000-0000-00004CB90000}"/>
    <cellStyle name="Normal 5 3 2 2 2 4 3" xfId="47556" xr:uid="{00000000-0005-0000-0000-00004DB90000}"/>
    <cellStyle name="Normal 5 3 2 2 2 5" xfId="47557" xr:uid="{00000000-0005-0000-0000-00004EB90000}"/>
    <cellStyle name="Normal 5 3 2 2 2 6" xfId="47558" xr:uid="{00000000-0005-0000-0000-00004FB90000}"/>
    <cellStyle name="Normal 5 3 2 2 2 7" xfId="47559" xr:uid="{00000000-0005-0000-0000-000050B90000}"/>
    <cellStyle name="Normal 5 3 2 2 2 8" xfId="47560" xr:uid="{00000000-0005-0000-0000-000051B90000}"/>
    <cellStyle name="Normal 5 3 2 2 2 9" xfId="47561" xr:uid="{00000000-0005-0000-0000-000052B90000}"/>
    <cellStyle name="Normal 5 3 2 2 3" xfId="47562" xr:uid="{00000000-0005-0000-0000-000053B90000}"/>
    <cellStyle name="Normal 5 3 2 2 3 2" xfId="47563" xr:uid="{00000000-0005-0000-0000-000054B90000}"/>
    <cellStyle name="Normal 5 3 2 2 3 2 2" xfId="47564" xr:uid="{00000000-0005-0000-0000-000055B90000}"/>
    <cellStyle name="Normal 5 3 2 2 3 2 3" xfId="47565" xr:uid="{00000000-0005-0000-0000-000056B90000}"/>
    <cellStyle name="Normal 5 3 2 2 3 3" xfId="47566" xr:uid="{00000000-0005-0000-0000-000057B90000}"/>
    <cellStyle name="Normal 5 3 2 2 3 3 2" xfId="47567" xr:uid="{00000000-0005-0000-0000-000058B90000}"/>
    <cellStyle name="Normal 5 3 2 2 3 3 3" xfId="47568" xr:uid="{00000000-0005-0000-0000-000059B90000}"/>
    <cellStyle name="Normal 5 3 2 2 3 4" xfId="47569" xr:uid="{00000000-0005-0000-0000-00005AB90000}"/>
    <cellStyle name="Normal 5 3 2 2 3 5" xfId="47570" xr:uid="{00000000-0005-0000-0000-00005BB90000}"/>
    <cellStyle name="Normal 5 3 2 2 3 6" xfId="47571" xr:uid="{00000000-0005-0000-0000-00005CB90000}"/>
    <cellStyle name="Normal 5 3 2 2 3 7" xfId="47572" xr:uid="{00000000-0005-0000-0000-00005DB90000}"/>
    <cellStyle name="Normal 5 3 2 2 3 8" xfId="47573" xr:uid="{00000000-0005-0000-0000-00005EB90000}"/>
    <cellStyle name="Normal 5 3 2 2 4" xfId="47574" xr:uid="{00000000-0005-0000-0000-00005FB90000}"/>
    <cellStyle name="Normal 5 3 2 2 4 2" xfId="47575" xr:uid="{00000000-0005-0000-0000-000060B90000}"/>
    <cellStyle name="Normal 5 3 2 2 4 2 2" xfId="47576" xr:uid="{00000000-0005-0000-0000-000061B90000}"/>
    <cellStyle name="Normal 5 3 2 2 4 2 3" xfId="47577" xr:uid="{00000000-0005-0000-0000-000062B90000}"/>
    <cellStyle name="Normal 5 3 2 2 4 3" xfId="47578" xr:uid="{00000000-0005-0000-0000-000063B90000}"/>
    <cellStyle name="Normal 5 3 2 2 4 3 2" xfId="47579" xr:uid="{00000000-0005-0000-0000-000064B90000}"/>
    <cellStyle name="Normal 5 3 2 2 4 4" xfId="47580" xr:uid="{00000000-0005-0000-0000-000065B90000}"/>
    <cellStyle name="Normal 5 3 2 2 5" xfId="47581" xr:uid="{00000000-0005-0000-0000-000066B90000}"/>
    <cellStyle name="Normal 5 3 2 2 5 2" xfId="47582" xr:uid="{00000000-0005-0000-0000-000067B90000}"/>
    <cellStyle name="Normal 5 3 2 2 5 3" xfId="47583" xr:uid="{00000000-0005-0000-0000-000068B90000}"/>
    <cellStyle name="Normal 5 3 2 2 6" xfId="47584" xr:uid="{00000000-0005-0000-0000-000069B90000}"/>
    <cellStyle name="Normal 5 3 2 2 6 2" xfId="47585" xr:uid="{00000000-0005-0000-0000-00006AB90000}"/>
    <cellStyle name="Normal 5 3 2 2 6 3" xfId="47586" xr:uid="{00000000-0005-0000-0000-00006BB90000}"/>
    <cellStyle name="Normal 5 3 2 2 7" xfId="47587" xr:uid="{00000000-0005-0000-0000-00006CB90000}"/>
    <cellStyle name="Normal 5 3 2 2 8" xfId="47588" xr:uid="{00000000-0005-0000-0000-00006DB90000}"/>
    <cellStyle name="Normal 5 3 2 2 9" xfId="47589" xr:uid="{00000000-0005-0000-0000-00006EB90000}"/>
    <cellStyle name="Normal 5 3 2 3" xfId="47590" xr:uid="{00000000-0005-0000-0000-00006FB90000}"/>
    <cellStyle name="Normal 5 3 2 3 10" xfId="47591" xr:uid="{00000000-0005-0000-0000-000070B90000}"/>
    <cellStyle name="Normal 5 3 2 3 2" xfId="47592" xr:uid="{00000000-0005-0000-0000-000071B90000}"/>
    <cellStyle name="Normal 5 3 2 3 2 2" xfId="47593" xr:uid="{00000000-0005-0000-0000-000072B90000}"/>
    <cellStyle name="Normal 5 3 2 3 2 2 2" xfId="47594" xr:uid="{00000000-0005-0000-0000-000073B90000}"/>
    <cellStyle name="Normal 5 3 2 3 2 2 3" xfId="47595" xr:uid="{00000000-0005-0000-0000-000074B90000}"/>
    <cellStyle name="Normal 5 3 2 3 2 3" xfId="47596" xr:uid="{00000000-0005-0000-0000-000075B90000}"/>
    <cellStyle name="Normal 5 3 2 3 2 3 2" xfId="47597" xr:uid="{00000000-0005-0000-0000-000076B90000}"/>
    <cellStyle name="Normal 5 3 2 3 2 3 3" xfId="47598" xr:uid="{00000000-0005-0000-0000-000077B90000}"/>
    <cellStyle name="Normal 5 3 2 3 2 4" xfId="47599" xr:uid="{00000000-0005-0000-0000-000078B90000}"/>
    <cellStyle name="Normal 5 3 2 3 2 5" xfId="47600" xr:uid="{00000000-0005-0000-0000-000079B90000}"/>
    <cellStyle name="Normal 5 3 2 3 2 6" xfId="47601" xr:uid="{00000000-0005-0000-0000-00007AB90000}"/>
    <cellStyle name="Normal 5 3 2 3 2 7" xfId="47602" xr:uid="{00000000-0005-0000-0000-00007BB90000}"/>
    <cellStyle name="Normal 5 3 2 3 2 8" xfId="47603" xr:uid="{00000000-0005-0000-0000-00007CB90000}"/>
    <cellStyle name="Normal 5 3 2 3 3" xfId="47604" xr:uid="{00000000-0005-0000-0000-00007DB90000}"/>
    <cellStyle name="Normal 5 3 2 3 3 2" xfId="47605" xr:uid="{00000000-0005-0000-0000-00007EB90000}"/>
    <cellStyle name="Normal 5 3 2 3 3 2 2" xfId="47606" xr:uid="{00000000-0005-0000-0000-00007FB90000}"/>
    <cellStyle name="Normal 5 3 2 3 3 2 3" xfId="47607" xr:uid="{00000000-0005-0000-0000-000080B90000}"/>
    <cellStyle name="Normal 5 3 2 3 3 3" xfId="47608" xr:uid="{00000000-0005-0000-0000-000081B90000}"/>
    <cellStyle name="Normal 5 3 2 3 3 3 2" xfId="47609" xr:uid="{00000000-0005-0000-0000-000082B90000}"/>
    <cellStyle name="Normal 5 3 2 3 3 4" xfId="47610" xr:uid="{00000000-0005-0000-0000-000083B90000}"/>
    <cellStyle name="Normal 5 3 2 3 4" xfId="47611" xr:uid="{00000000-0005-0000-0000-000084B90000}"/>
    <cellStyle name="Normal 5 3 2 3 4 2" xfId="47612" xr:uid="{00000000-0005-0000-0000-000085B90000}"/>
    <cellStyle name="Normal 5 3 2 3 4 3" xfId="47613" xr:uid="{00000000-0005-0000-0000-000086B90000}"/>
    <cellStyle name="Normal 5 3 2 3 5" xfId="47614" xr:uid="{00000000-0005-0000-0000-000087B90000}"/>
    <cellStyle name="Normal 5 3 2 3 5 2" xfId="47615" xr:uid="{00000000-0005-0000-0000-000088B90000}"/>
    <cellStyle name="Normal 5 3 2 3 5 3" xfId="47616" xr:uid="{00000000-0005-0000-0000-000089B90000}"/>
    <cellStyle name="Normal 5 3 2 3 6" xfId="47617" xr:uid="{00000000-0005-0000-0000-00008AB90000}"/>
    <cellStyle name="Normal 5 3 2 3 7" xfId="47618" xr:uid="{00000000-0005-0000-0000-00008BB90000}"/>
    <cellStyle name="Normal 5 3 2 3 8" xfId="47619" xr:uid="{00000000-0005-0000-0000-00008CB90000}"/>
    <cellStyle name="Normal 5 3 2 3 9" xfId="47620" xr:uid="{00000000-0005-0000-0000-00008DB90000}"/>
    <cellStyle name="Normal 5 3 2 4" xfId="47621" xr:uid="{00000000-0005-0000-0000-00008EB90000}"/>
    <cellStyle name="Normal 5 3 2 4 2" xfId="47622" xr:uid="{00000000-0005-0000-0000-00008FB90000}"/>
    <cellStyle name="Normal 5 3 2 4 2 2" xfId="47623" xr:uid="{00000000-0005-0000-0000-000090B90000}"/>
    <cellStyle name="Normal 5 3 2 4 2 3" xfId="47624" xr:uid="{00000000-0005-0000-0000-000091B90000}"/>
    <cellStyle name="Normal 5 3 2 4 2 4" xfId="47625" xr:uid="{00000000-0005-0000-0000-000092B90000}"/>
    <cellStyle name="Normal 5 3 2 4 3" xfId="47626" xr:uid="{00000000-0005-0000-0000-000093B90000}"/>
    <cellStyle name="Normal 5 3 2 4 3 2" xfId="47627" xr:uid="{00000000-0005-0000-0000-000094B90000}"/>
    <cellStyle name="Normal 5 3 2 4 3 3" xfId="47628" xr:uid="{00000000-0005-0000-0000-000095B90000}"/>
    <cellStyle name="Normal 5 3 2 4 4" xfId="47629" xr:uid="{00000000-0005-0000-0000-000096B90000}"/>
    <cellStyle name="Normal 5 3 2 4 5" xfId="47630" xr:uid="{00000000-0005-0000-0000-000097B90000}"/>
    <cellStyle name="Normal 5 3 2 4 6" xfId="47631" xr:uid="{00000000-0005-0000-0000-000098B90000}"/>
    <cellStyle name="Normal 5 3 2 4 7" xfId="47632" xr:uid="{00000000-0005-0000-0000-000099B90000}"/>
    <cellStyle name="Normal 5 3 2 4 8" xfId="47633" xr:uid="{00000000-0005-0000-0000-00009AB90000}"/>
    <cellStyle name="Normal 5 3 2 5" xfId="47634" xr:uid="{00000000-0005-0000-0000-00009BB90000}"/>
    <cellStyle name="Normal 5 3 2 5 2" xfId="47635" xr:uid="{00000000-0005-0000-0000-00009CB90000}"/>
    <cellStyle name="Normal 5 3 2 5 2 2" xfId="47636" xr:uid="{00000000-0005-0000-0000-00009DB90000}"/>
    <cellStyle name="Normal 5 3 2 5 2 3" xfId="47637" xr:uid="{00000000-0005-0000-0000-00009EB90000}"/>
    <cellStyle name="Normal 5 3 2 5 3" xfId="47638" xr:uid="{00000000-0005-0000-0000-00009FB90000}"/>
    <cellStyle name="Normal 5 3 2 5 4" xfId="47639" xr:uid="{00000000-0005-0000-0000-0000A0B90000}"/>
    <cellStyle name="Normal 5 3 2 5 5" xfId="47640" xr:uid="{00000000-0005-0000-0000-0000A1B90000}"/>
    <cellStyle name="Normal 5 3 2 5 6" xfId="47641" xr:uid="{00000000-0005-0000-0000-0000A2B90000}"/>
    <cellStyle name="Normal 5 3 2 6" xfId="47642" xr:uid="{00000000-0005-0000-0000-0000A3B90000}"/>
    <cellStyle name="Normal 5 3 2 6 2" xfId="47643" xr:uid="{00000000-0005-0000-0000-0000A4B90000}"/>
    <cellStyle name="Normal 5 3 2 6 3" xfId="47644" xr:uid="{00000000-0005-0000-0000-0000A5B90000}"/>
    <cellStyle name="Normal 5 3 2 7" xfId="47645" xr:uid="{00000000-0005-0000-0000-0000A6B90000}"/>
    <cellStyle name="Normal 5 3 2 7 2" xfId="47646" xr:uid="{00000000-0005-0000-0000-0000A7B90000}"/>
    <cellStyle name="Normal 5 3 2 7 3" xfId="47647" xr:uid="{00000000-0005-0000-0000-0000A8B90000}"/>
    <cellStyle name="Normal 5 3 2 8" xfId="47648" xr:uid="{00000000-0005-0000-0000-0000A9B90000}"/>
    <cellStyle name="Normal 5 3 2 8 2" xfId="47649" xr:uid="{00000000-0005-0000-0000-0000AAB90000}"/>
    <cellStyle name="Normal 5 3 2 8 3" xfId="47650" xr:uid="{00000000-0005-0000-0000-0000ABB90000}"/>
    <cellStyle name="Normal 5 3 2 9" xfId="47651" xr:uid="{00000000-0005-0000-0000-0000ACB90000}"/>
    <cellStyle name="Normal 5 3 3" xfId="47652" xr:uid="{00000000-0005-0000-0000-0000ADB90000}"/>
    <cellStyle name="Normal 5 3 3 10" xfId="47653" xr:uid="{00000000-0005-0000-0000-0000AEB90000}"/>
    <cellStyle name="Normal 5 3 3 11" xfId="47654" xr:uid="{00000000-0005-0000-0000-0000AFB90000}"/>
    <cellStyle name="Normal 5 3 3 2" xfId="47655" xr:uid="{00000000-0005-0000-0000-0000B0B90000}"/>
    <cellStyle name="Normal 5 3 3 2 2" xfId="47656" xr:uid="{00000000-0005-0000-0000-0000B1B90000}"/>
    <cellStyle name="Normal 5 3 3 2 2 2" xfId="47657" xr:uid="{00000000-0005-0000-0000-0000B2B90000}"/>
    <cellStyle name="Normal 5 3 3 2 2 2 2" xfId="47658" xr:uid="{00000000-0005-0000-0000-0000B3B90000}"/>
    <cellStyle name="Normal 5 3 3 2 2 2 3" xfId="47659" xr:uid="{00000000-0005-0000-0000-0000B4B90000}"/>
    <cellStyle name="Normal 5 3 3 2 2 3" xfId="47660" xr:uid="{00000000-0005-0000-0000-0000B5B90000}"/>
    <cellStyle name="Normal 5 3 3 2 2 3 2" xfId="47661" xr:uid="{00000000-0005-0000-0000-0000B6B90000}"/>
    <cellStyle name="Normal 5 3 3 2 2 3 3" xfId="47662" xr:uid="{00000000-0005-0000-0000-0000B7B90000}"/>
    <cellStyle name="Normal 5 3 3 2 2 4" xfId="47663" xr:uid="{00000000-0005-0000-0000-0000B8B90000}"/>
    <cellStyle name="Normal 5 3 3 2 2 5" xfId="47664" xr:uid="{00000000-0005-0000-0000-0000B9B90000}"/>
    <cellStyle name="Normal 5 3 3 2 2 6" xfId="47665" xr:uid="{00000000-0005-0000-0000-0000BAB90000}"/>
    <cellStyle name="Normal 5 3 3 2 2 7" xfId="47666" xr:uid="{00000000-0005-0000-0000-0000BBB90000}"/>
    <cellStyle name="Normal 5 3 3 2 2 8" xfId="47667" xr:uid="{00000000-0005-0000-0000-0000BCB90000}"/>
    <cellStyle name="Normal 5 3 3 2 3" xfId="47668" xr:uid="{00000000-0005-0000-0000-0000BDB90000}"/>
    <cellStyle name="Normal 5 3 3 2 3 2" xfId="47669" xr:uid="{00000000-0005-0000-0000-0000BEB90000}"/>
    <cellStyle name="Normal 5 3 3 2 3 2 2" xfId="47670" xr:uid="{00000000-0005-0000-0000-0000BFB90000}"/>
    <cellStyle name="Normal 5 3 3 2 3 2 3" xfId="47671" xr:uid="{00000000-0005-0000-0000-0000C0B90000}"/>
    <cellStyle name="Normal 5 3 3 2 3 3" xfId="47672" xr:uid="{00000000-0005-0000-0000-0000C1B90000}"/>
    <cellStyle name="Normal 5 3 3 2 3 3 2" xfId="47673" xr:uid="{00000000-0005-0000-0000-0000C2B90000}"/>
    <cellStyle name="Normal 5 3 3 2 3 4" xfId="47674" xr:uid="{00000000-0005-0000-0000-0000C3B90000}"/>
    <cellStyle name="Normal 5 3 3 2 4" xfId="47675" xr:uid="{00000000-0005-0000-0000-0000C4B90000}"/>
    <cellStyle name="Normal 5 3 3 2 4 2" xfId="47676" xr:uid="{00000000-0005-0000-0000-0000C5B90000}"/>
    <cellStyle name="Normal 5 3 3 2 4 3" xfId="47677" xr:uid="{00000000-0005-0000-0000-0000C6B90000}"/>
    <cellStyle name="Normal 5 3 3 2 5" xfId="47678" xr:uid="{00000000-0005-0000-0000-0000C7B90000}"/>
    <cellStyle name="Normal 5 3 3 2 6" xfId="47679" xr:uid="{00000000-0005-0000-0000-0000C8B90000}"/>
    <cellStyle name="Normal 5 3 3 2 7" xfId="47680" xr:uid="{00000000-0005-0000-0000-0000C9B90000}"/>
    <cellStyle name="Normal 5 3 3 2 8" xfId="47681" xr:uid="{00000000-0005-0000-0000-0000CAB90000}"/>
    <cellStyle name="Normal 5 3 3 2 9" xfId="47682" xr:uid="{00000000-0005-0000-0000-0000CBB90000}"/>
    <cellStyle name="Normal 5 3 3 3" xfId="47683" xr:uid="{00000000-0005-0000-0000-0000CCB90000}"/>
    <cellStyle name="Normal 5 3 3 3 2" xfId="47684" xr:uid="{00000000-0005-0000-0000-0000CDB90000}"/>
    <cellStyle name="Normal 5 3 3 3 2 2" xfId="47685" xr:uid="{00000000-0005-0000-0000-0000CEB90000}"/>
    <cellStyle name="Normal 5 3 3 3 2 3" xfId="47686" xr:uid="{00000000-0005-0000-0000-0000CFB90000}"/>
    <cellStyle name="Normal 5 3 3 3 3" xfId="47687" xr:uid="{00000000-0005-0000-0000-0000D0B90000}"/>
    <cellStyle name="Normal 5 3 3 3 3 2" xfId="47688" xr:uid="{00000000-0005-0000-0000-0000D1B90000}"/>
    <cellStyle name="Normal 5 3 3 3 3 3" xfId="47689" xr:uid="{00000000-0005-0000-0000-0000D2B90000}"/>
    <cellStyle name="Normal 5 3 3 3 4" xfId="47690" xr:uid="{00000000-0005-0000-0000-0000D3B90000}"/>
    <cellStyle name="Normal 5 3 3 3 5" xfId="47691" xr:uid="{00000000-0005-0000-0000-0000D4B90000}"/>
    <cellStyle name="Normal 5 3 3 3 6" xfId="47692" xr:uid="{00000000-0005-0000-0000-0000D5B90000}"/>
    <cellStyle name="Normal 5 3 3 3 7" xfId="47693" xr:uid="{00000000-0005-0000-0000-0000D6B90000}"/>
    <cellStyle name="Normal 5 3 3 3 8" xfId="47694" xr:uid="{00000000-0005-0000-0000-0000D7B90000}"/>
    <cellStyle name="Normal 5 3 3 4" xfId="47695" xr:uid="{00000000-0005-0000-0000-0000D8B90000}"/>
    <cellStyle name="Normal 5 3 3 4 2" xfId="47696" xr:uid="{00000000-0005-0000-0000-0000D9B90000}"/>
    <cellStyle name="Normal 5 3 3 4 2 2" xfId="47697" xr:uid="{00000000-0005-0000-0000-0000DAB90000}"/>
    <cellStyle name="Normal 5 3 3 4 2 3" xfId="47698" xr:uid="{00000000-0005-0000-0000-0000DBB90000}"/>
    <cellStyle name="Normal 5 3 3 4 3" xfId="47699" xr:uid="{00000000-0005-0000-0000-0000DCB90000}"/>
    <cellStyle name="Normal 5 3 3 4 3 2" xfId="47700" xr:uid="{00000000-0005-0000-0000-0000DDB90000}"/>
    <cellStyle name="Normal 5 3 3 4 4" xfId="47701" xr:uid="{00000000-0005-0000-0000-0000DEB90000}"/>
    <cellStyle name="Normal 5 3 3 5" xfId="47702" xr:uid="{00000000-0005-0000-0000-0000DFB90000}"/>
    <cellStyle name="Normal 5 3 3 5 2" xfId="47703" xr:uid="{00000000-0005-0000-0000-0000E0B90000}"/>
    <cellStyle name="Normal 5 3 3 5 3" xfId="47704" xr:uid="{00000000-0005-0000-0000-0000E1B90000}"/>
    <cellStyle name="Normal 5 3 3 6" xfId="47705" xr:uid="{00000000-0005-0000-0000-0000E2B90000}"/>
    <cellStyle name="Normal 5 3 3 6 2" xfId="47706" xr:uid="{00000000-0005-0000-0000-0000E3B90000}"/>
    <cellStyle name="Normal 5 3 3 6 3" xfId="47707" xr:uid="{00000000-0005-0000-0000-0000E4B90000}"/>
    <cellStyle name="Normal 5 3 3 7" xfId="47708" xr:uid="{00000000-0005-0000-0000-0000E5B90000}"/>
    <cellStyle name="Normal 5 3 3 8" xfId="47709" xr:uid="{00000000-0005-0000-0000-0000E6B90000}"/>
    <cellStyle name="Normal 5 3 3 9" xfId="47710" xr:uid="{00000000-0005-0000-0000-0000E7B90000}"/>
    <cellStyle name="Normal 5 3 4" xfId="47711" xr:uid="{00000000-0005-0000-0000-0000E8B90000}"/>
    <cellStyle name="Normal 5 3 4 10" xfId="47712" xr:uid="{00000000-0005-0000-0000-0000E9B90000}"/>
    <cellStyle name="Normal 5 3 4 2" xfId="47713" xr:uid="{00000000-0005-0000-0000-0000EAB90000}"/>
    <cellStyle name="Normal 5 3 4 2 2" xfId="47714" xr:uid="{00000000-0005-0000-0000-0000EBB90000}"/>
    <cellStyle name="Normal 5 3 4 2 2 2" xfId="47715" xr:uid="{00000000-0005-0000-0000-0000ECB90000}"/>
    <cellStyle name="Normal 5 3 4 2 2 3" xfId="47716" xr:uid="{00000000-0005-0000-0000-0000EDB90000}"/>
    <cellStyle name="Normal 5 3 4 2 3" xfId="47717" xr:uid="{00000000-0005-0000-0000-0000EEB90000}"/>
    <cellStyle name="Normal 5 3 4 2 3 2" xfId="47718" xr:uid="{00000000-0005-0000-0000-0000EFB90000}"/>
    <cellStyle name="Normal 5 3 4 2 3 3" xfId="47719" xr:uid="{00000000-0005-0000-0000-0000F0B90000}"/>
    <cellStyle name="Normal 5 3 4 2 4" xfId="47720" xr:uid="{00000000-0005-0000-0000-0000F1B90000}"/>
    <cellStyle name="Normal 5 3 4 2 5" xfId="47721" xr:uid="{00000000-0005-0000-0000-0000F2B90000}"/>
    <cellStyle name="Normal 5 3 4 2 6" xfId="47722" xr:uid="{00000000-0005-0000-0000-0000F3B90000}"/>
    <cellStyle name="Normal 5 3 4 2 7" xfId="47723" xr:uid="{00000000-0005-0000-0000-0000F4B90000}"/>
    <cellStyle name="Normal 5 3 4 2 8" xfId="47724" xr:uid="{00000000-0005-0000-0000-0000F5B90000}"/>
    <cellStyle name="Normal 5 3 4 3" xfId="47725" xr:uid="{00000000-0005-0000-0000-0000F6B90000}"/>
    <cellStyle name="Normal 5 3 4 3 2" xfId="47726" xr:uid="{00000000-0005-0000-0000-0000F7B90000}"/>
    <cellStyle name="Normal 5 3 4 3 2 2" xfId="47727" xr:uid="{00000000-0005-0000-0000-0000F8B90000}"/>
    <cellStyle name="Normal 5 3 4 3 2 3" xfId="47728" xr:uid="{00000000-0005-0000-0000-0000F9B90000}"/>
    <cellStyle name="Normal 5 3 4 3 3" xfId="47729" xr:uid="{00000000-0005-0000-0000-0000FAB90000}"/>
    <cellStyle name="Normal 5 3 4 3 3 2" xfId="47730" xr:uid="{00000000-0005-0000-0000-0000FBB90000}"/>
    <cellStyle name="Normal 5 3 4 3 4" xfId="47731" xr:uid="{00000000-0005-0000-0000-0000FCB90000}"/>
    <cellStyle name="Normal 5 3 4 4" xfId="47732" xr:uid="{00000000-0005-0000-0000-0000FDB90000}"/>
    <cellStyle name="Normal 5 3 4 4 2" xfId="47733" xr:uid="{00000000-0005-0000-0000-0000FEB90000}"/>
    <cellStyle name="Normal 5 3 4 4 3" xfId="47734" xr:uid="{00000000-0005-0000-0000-0000FFB90000}"/>
    <cellStyle name="Normal 5 3 4 5" xfId="47735" xr:uid="{00000000-0005-0000-0000-000000BA0000}"/>
    <cellStyle name="Normal 5 3 4 5 2" xfId="47736" xr:uid="{00000000-0005-0000-0000-000001BA0000}"/>
    <cellStyle name="Normal 5 3 4 5 3" xfId="47737" xr:uid="{00000000-0005-0000-0000-000002BA0000}"/>
    <cellStyle name="Normal 5 3 4 6" xfId="47738" xr:uid="{00000000-0005-0000-0000-000003BA0000}"/>
    <cellStyle name="Normal 5 3 4 7" xfId="47739" xr:uid="{00000000-0005-0000-0000-000004BA0000}"/>
    <cellStyle name="Normal 5 3 4 8" xfId="47740" xr:uid="{00000000-0005-0000-0000-000005BA0000}"/>
    <cellStyle name="Normal 5 3 4 9" xfId="47741" xr:uid="{00000000-0005-0000-0000-000006BA0000}"/>
    <cellStyle name="Normal 5 3 5" xfId="47742" xr:uid="{00000000-0005-0000-0000-000007BA0000}"/>
    <cellStyle name="Normal 5 3 5 2" xfId="47743" xr:uid="{00000000-0005-0000-0000-000008BA0000}"/>
    <cellStyle name="Normal 5 3 5 2 2" xfId="47744" xr:uid="{00000000-0005-0000-0000-000009BA0000}"/>
    <cellStyle name="Normal 5 3 5 2 3" xfId="47745" xr:uid="{00000000-0005-0000-0000-00000ABA0000}"/>
    <cellStyle name="Normal 5 3 5 3" xfId="47746" xr:uid="{00000000-0005-0000-0000-00000BBA0000}"/>
    <cellStyle name="Normal 5 3 5 3 2" xfId="47747" xr:uid="{00000000-0005-0000-0000-00000CBA0000}"/>
    <cellStyle name="Normal 5 3 5 4" xfId="47748" xr:uid="{00000000-0005-0000-0000-00000DBA0000}"/>
    <cellStyle name="Normal 5 3 6" xfId="47749" xr:uid="{00000000-0005-0000-0000-00000EBA0000}"/>
    <cellStyle name="Normal 5 3 7" xfId="47750" xr:uid="{00000000-0005-0000-0000-00000FBA0000}"/>
    <cellStyle name="Normal 5 30" xfId="47751" xr:uid="{00000000-0005-0000-0000-000010BA0000}"/>
    <cellStyle name="Normal 5 4" xfId="47752" xr:uid="{00000000-0005-0000-0000-000011BA0000}"/>
    <cellStyle name="Normal 5 4 10" xfId="47753" xr:uid="{00000000-0005-0000-0000-000012BA0000}"/>
    <cellStyle name="Normal 5 4 11" xfId="47754" xr:uid="{00000000-0005-0000-0000-000013BA0000}"/>
    <cellStyle name="Normal 5 4 2" xfId="47755" xr:uid="{00000000-0005-0000-0000-000014BA0000}"/>
    <cellStyle name="Normal 5 4 2 2" xfId="47756" xr:uid="{00000000-0005-0000-0000-000015BA0000}"/>
    <cellStyle name="Normal 5 4 2 2 10" xfId="47757" xr:uid="{00000000-0005-0000-0000-000016BA0000}"/>
    <cellStyle name="Normal 5 4 2 2 2" xfId="47758" xr:uid="{00000000-0005-0000-0000-000017BA0000}"/>
    <cellStyle name="Normal 5 4 2 2 2 2" xfId="47759" xr:uid="{00000000-0005-0000-0000-000018BA0000}"/>
    <cellStyle name="Normal 5 4 2 2 2 2 2" xfId="47760" xr:uid="{00000000-0005-0000-0000-000019BA0000}"/>
    <cellStyle name="Normal 5 4 2 2 2 2 3" xfId="47761" xr:uid="{00000000-0005-0000-0000-00001ABA0000}"/>
    <cellStyle name="Normal 5 4 2 2 2 3" xfId="47762" xr:uid="{00000000-0005-0000-0000-00001BBA0000}"/>
    <cellStyle name="Normal 5 4 2 2 2 3 2" xfId="47763" xr:uid="{00000000-0005-0000-0000-00001CBA0000}"/>
    <cellStyle name="Normal 5 4 2 2 2 3 3" xfId="47764" xr:uid="{00000000-0005-0000-0000-00001DBA0000}"/>
    <cellStyle name="Normal 5 4 2 2 2 4" xfId="47765" xr:uid="{00000000-0005-0000-0000-00001EBA0000}"/>
    <cellStyle name="Normal 5 4 2 2 2 5" xfId="47766" xr:uid="{00000000-0005-0000-0000-00001FBA0000}"/>
    <cellStyle name="Normal 5 4 2 2 2 6" xfId="47767" xr:uid="{00000000-0005-0000-0000-000020BA0000}"/>
    <cellStyle name="Normal 5 4 2 2 2 7" xfId="47768" xr:uid="{00000000-0005-0000-0000-000021BA0000}"/>
    <cellStyle name="Normal 5 4 2 2 2 8" xfId="47769" xr:uid="{00000000-0005-0000-0000-000022BA0000}"/>
    <cellStyle name="Normal 5 4 2 2 3" xfId="47770" xr:uid="{00000000-0005-0000-0000-000023BA0000}"/>
    <cellStyle name="Normal 5 4 2 2 3 2" xfId="47771" xr:uid="{00000000-0005-0000-0000-000024BA0000}"/>
    <cellStyle name="Normal 5 4 2 2 3 2 2" xfId="47772" xr:uid="{00000000-0005-0000-0000-000025BA0000}"/>
    <cellStyle name="Normal 5 4 2 2 3 2 3" xfId="47773" xr:uid="{00000000-0005-0000-0000-000026BA0000}"/>
    <cellStyle name="Normal 5 4 2 2 3 3" xfId="47774" xr:uid="{00000000-0005-0000-0000-000027BA0000}"/>
    <cellStyle name="Normal 5 4 2 2 3 3 2" xfId="47775" xr:uid="{00000000-0005-0000-0000-000028BA0000}"/>
    <cellStyle name="Normal 5 4 2 2 3 4" xfId="47776" xr:uid="{00000000-0005-0000-0000-000029BA0000}"/>
    <cellStyle name="Normal 5 4 2 2 4" xfId="47777" xr:uid="{00000000-0005-0000-0000-00002ABA0000}"/>
    <cellStyle name="Normal 5 4 2 2 4 2" xfId="47778" xr:uid="{00000000-0005-0000-0000-00002BBA0000}"/>
    <cellStyle name="Normal 5 4 2 2 4 3" xfId="47779" xr:uid="{00000000-0005-0000-0000-00002CBA0000}"/>
    <cellStyle name="Normal 5 4 2 2 5" xfId="47780" xr:uid="{00000000-0005-0000-0000-00002DBA0000}"/>
    <cellStyle name="Normal 5 4 2 2 5 2" xfId="47781" xr:uid="{00000000-0005-0000-0000-00002EBA0000}"/>
    <cellStyle name="Normal 5 4 2 2 5 3" xfId="47782" xr:uid="{00000000-0005-0000-0000-00002FBA0000}"/>
    <cellStyle name="Normal 5 4 2 2 6" xfId="47783" xr:uid="{00000000-0005-0000-0000-000030BA0000}"/>
    <cellStyle name="Normal 5 4 2 2 7" xfId="47784" xr:uid="{00000000-0005-0000-0000-000031BA0000}"/>
    <cellStyle name="Normal 5 4 2 2 8" xfId="47785" xr:uid="{00000000-0005-0000-0000-000032BA0000}"/>
    <cellStyle name="Normal 5 4 2 2 9" xfId="47786" xr:uid="{00000000-0005-0000-0000-000033BA0000}"/>
    <cellStyle name="Normal 5 4 2 3" xfId="47787" xr:uid="{00000000-0005-0000-0000-000034BA0000}"/>
    <cellStyle name="Normal 5 4 2 3 2" xfId="47788" xr:uid="{00000000-0005-0000-0000-000035BA0000}"/>
    <cellStyle name="Normal 5 4 2 3 2 2" xfId="47789" xr:uid="{00000000-0005-0000-0000-000036BA0000}"/>
    <cellStyle name="Normal 5 4 2 3 2 3" xfId="47790" xr:uid="{00000000-0005-0000-0000-000037BA0000}"/>
    <cellStyle name="Normal 5 4 2 3 2 4" xfId="47791" xr:uid="{00000000-0005-0000-0000-000038BA0000}"/>
    <cellStyle name="Normal 5 4 2 3 3" xfId="47792" xr:uid="{00000000-0005-0000-0000-000039BA0000}"/>
    <cellStyle name="Normal 5 4 2 3 3 2" xfId="47793" xr:uid="{00000000-0005-0000-0000-00003ABA0000}"/>
    <cellStyle name="Normal 5 4 2 3 3 3" xfId="47794" xr:uid="{00000000-0005-0000-0000-00003BBA0000}"/>
    <cellStyle name="Normal 5 4 2 3 4" xfId="47795" xr:uid="{00000000-0005-0000-0000-00003CBA0000}"/>
    <cellStyle name="Normal 5 4 2 3 5" xfId="47796" xr:uid="{00000000-0005-0000-0000-00003DBA0000}"/>
    <cellStyle name="Normal 5 4 2 3 6" xfId="47797" xr:uid="{00000000-0005-0000-0000-00003EBA0000}"/>
    <cellStyle name="Normal 5 4 2 3 7" xfId="47798" xr:uid="{00000000-0005-0000-0000-00003FBA0000}"/>
    <cellStyle name="Normal 5 4 2 3 8" xfId="47799" xr:uid="{00000000-0005-0000-0000-000040BA0000}"/>
    <cellStyle name="Normal 5 4 2 4" xfId="47800" xr:uid="{00000000-0005-0000-0000-000041BA0000}"/>
    <cellStyle name="Normal 5 4 2 4 2" xfId="47801" xr:uid="{00000000-0005-0000-0000-000042BA0000}"/>
    <cellStyle name="Normal 5 4 2 4 2 2" xfId="47802" xr:uid="{00000000-0005-0000-0000-000043BA0000}"/>
    <cellStyle name="Normal 5 4 2 4 2 3" xfId="47803" xr:uid="{00000000-0005-0000-0000-000044BA0000}"/>
    <cellStyle name="Normal 5 4 2 4 3" xfId="47804" xr:uid="{00000000-0005-0000-0000-000045BA0000}"/>
    <cellStyle name="Normal 5 4 2 4 4" xfId="47805" xr:uid="{00000000-0005-0000-0000-000046BA0000}"/>
    <cellStyle name="Normal 5 4 2 4 5" xfId="47806" xr:uid="{00000000-0005-0000-0000-000047BA0000}"/>
    <cellStyle name="Normal 5 4 2 4 6" xfId="47807" xr:uid="{00000000-0005-0000-0000-000048BA0000}"/>
    <cellStyle name="Normal 5 4 2 5" xfId="47808" xr:uid="{00000000-0005-0000-0000-000049BA0000}"/>
    <cellStyle name="Normal 5 4 2 5 2" xfId="47809" xr:uid="{00000000-0005-0000-0000-00004ABA0000}"/>
    <cellStyle name="Normal 5 4 2 5 3" xfId="47810" xr:uid="{00000000-0005-0000-0000-00004BBA0000}"/>
    <cellStyle name="Normal 5 4 2 6" xfId="47811" xr:uid="{00000000-0005-0000-0000-00004CBA0000}"/>
    <cellStyle name="Normal 5 4 2 6 2" xfId="47812" xr:uid="{00000000-0005-0000-0000-00004DBA0000}"/>
    <cellStyle name="Normal 5 4 2 6 3" xfId="47813" xr:uid="{00000000-0005-0000-0000-00004EBA0000}"/>
    <cellStyle name="Normal 5 4 2 7" xfId="47814" xr:uid="{00000000-0005-0000-0000-00004FBA0000}"/>
    <cellStyle name="Normal 5 4 2 8" xfId="47815" xr:uid="{00000000-0005-0000-0000-000050BA0000}"/>
    <cellStyle name="Normal 5 4 2 9" xfId="47816" xr:uid="{00000000-0005-0000-0000-000051BA0000}"/>
    <cellStyle name="Normal 5 4 3" xfId="47817" xr:uid="{00000000-0005-0000-0000-000052BA0000}"/>
    <cellStyle name="Normal 5 4 3 10" xfId="47818" xr:uid="{00000000-0005-0000-0000-000053BA0000}"/>
    <cellStyle name="Normal 5 4 3 2" xfId="47819" xr:uid="{00000000-0005-0000-0000-000054BA0000}"/>
    <cellStyle name="Normal 5 4 3 2 2" xfId="47820" xr:uid="{00000000-0005-0000-0000-000055BA0000}"/>
    <cellStyle name="Normal 5 4 3 2 2 2" xfId="47821" xr:uid="{00000000-0005-0000-0000-000056BA0000}"/>
    <cellStyle name="Normal 5 4 3 2 2 3" xfId="47822" xr:uid="{00000000-0005-0000-0000-000057BA0000}"/>
    <cellStyle name="Normal 5 4 3 2 2 4" xfId="47823" xr:uid="{00000000-0005-0000-0000-000058BA0000}"/>
    <cellStyle name="Normal 5 4 3 2 3" xfId="47824" xr:uid="{00000000-0005-0000-0000-000059BA0000}"/>
    <cellStyle name="Normal 5 4 3 2 3 2" xfId="47825" xr:uid="{00000000-0005-0000-0000-00005ABA0000}"/>
    <cellStyle name="Normal 5 4 3 2 3 3" xfId="47826" xr:uid="{00000000-0005-0000-0000-00005BBA0000}"/>
    <cellStyle name="Normal 5 4 3 2 4" xfId="47827" xr:uid="{00000000-0005-0000-0000-00005CBA0000}"/>
    <cellStyle name="Normal 5 4 3 2 5" xfId="47828" xr:uid="{00000000-0005-0000-0000-00005DBA0000}"/>
    <cellStyle name="Normal 5 4 3 2 6" xfId="47829" xr:uid="{00000000-0005-0000-0000-00005EBA0000}"/>
    <cellStyle name="Normal 5 4 3 2 7" xfId="47830" xr:uid="{00000000-0005-0000-0000-00005FBA0000}"/>
    <cellStyle name="Normal 5 4 3 2 8" xfId="47831" xr:uid="{00000000-0005-0000-0000-000060BA0000}"/>
    <cellStyle name="Normal 5 4 3 3" xfId="47832" xr:uid="{00000000-0005-0000-0000-000061BA0000}"/>
    <cellStyle name="Normal 5 4 3 3 2" xfId="47833" xr:uid="{00000000-0005-0000-0000-000062BA0000}"/>
    <cellStyle name="Normal 5 4 3 3 2 2" xfId="47834" xr:uid="{00000000-0005-0000-0000-000063BA0000}"/>
    <cellStyle name="Normal 5 4 3 3 2 3" xfId="47835" xr:uid="{00000000-0005-0000-0000-000064BA0000}"/>
    <cellStyle name="Normal 5 4 3 3 3" xfId="47836" xr:uid="{00000000-0005-0000-0000-000065BA0000}"/>
    <cellStyle name="Normal 5 4 3 3 4" xfId="47837" xr:uid="{00000000-0005-0000-0000-000066BA0000}"/>
    <cellStyle name="Normal 5 4 3 3 5" xfId="47838" xr:uid="{00000000-0005-0000-0000-000067BA0000}"/>
    <cellStyle name="Normal 5 4 3 3 6" xfId="47839" xr:uid="{00000000-0005-0000-0000-000068BA0000}"/>
    <cellStyle name="Normal 5 4 3 4" xfId="47840" xr:uid="{00000000-0005-0000-0000-000069BA0000}"/>
    <cellStyle name="Normal 5 4 3 4 2" xfId="47841" xr:uid="{00000000-0005-0000-0000-00006ABA0000}"/>
    <cellStyle name="Normal 5 4 3 4 3" xfId="47842" xr:uid="{00000000-0005-0000-0000-00006BBA0000}"/>
    <cellStyle name="Normal 5 4 3 5" xfId="47843" xr:uid="{00000000-0005-0000-0000-00006CBA0000}"/>
    <cellStyle name="Normal 5 4 3 5 2" xfId="47844" xr:uid="{00000000-0005-0000-0000-00006DBA0000}"/>
    <cellStyle name="Normal 5 4 3 5 3" xfId="47845" xr:uid="{00000000-0005-0000-0000-00006EBA0000}"/>
    <cellStyle name="Normal 5 4 3 6" xfId="47846" xr:uid="{00000000-0005-0000-0000-00006FBA0000}"/>
    <cellStyle name="Normal 5 4 3 7" xfId="47847" xr:uid="{00000000-0005-0000-0000-000070BA0000}"/>
    <cellStyle name="Normal 5 4 3 8" xfId="47848" xr:uid="{00000000-0005-0000-0000-000071BA0000}"/>
    <cellStyle name="Normal 5 4 3 9" xfId="47849" xr:uid="{00000000-0005-0000-0000-000072BA0000}"/>
    <cellStyle name="Normal 5 4 4" xfId="47850" xr:uid="{00000000-0005-0000-0000-000073BA0000}"/>
    <cellStyle name="Normal 5 4 4 2" xfId="47851" xr:uid="{00000000-0005-0000-0000-000074BA0000}"/>
    <cellStyle name="Normal 5 4 4 2 2" xfId="47852" xr:uid="{00000000-0005-0000-0000-000075BA0000}"/>
    <cellStyle name="Normal 5 4 4 3" xfId="47853" xr:uid="{00000000-0005-0000-0000-000076BA0000}"/>
    <cellStyle name="Normal 5 4 4 4" xfId="47854" xr:uid="{00000000-0005-0000-0000-000077BA0000}"/>
    <cellStyle name="Normal 5 4 4 5" xfId="47855" xr:uid="{00000000-0005-0000-0000-000078BA0000}"/>
    <cellStyle name="Normal 5 4 5" xfId="47856" xr:uid="{00000000-0005-0000-0000-000079BA0000}"/>
    <cellStyle name="Normal 5 4 5 2" xfId="47857" xr:uid="{00000000-0005-0000-0000-00007ABA0000}"/>
    <cellStyle name="Normal 5 4 5 2 2" xfId="47858" xr:uid="{00000000-0005-0000-0000-00007BBA0000}"/>
    <cellStyle name="Normal 5 4 5 2 3" xfId="47859" xr:uid="{00000000-0005-0000-0000-00007CBA0000}"/>
    <cellStyle name="Normal 5 4 5 3" xfId="47860" xr:uid="{00000000-0005-0000-0000-00007DBA0000}"/>
    <cellStyle name="Normal 5 4 5 3 2" xfId="47861" xr:uid="{00000000-0005-0000-0000-00007EBA0000}"/>
    <cellStyle name="Normal 5 4 5 3 3" xfId="47862" xr:uid="{00000000-0005-0000-0000-00007FBA0000}"/>
    <cellStyle name="Normal 5 4 5 4" xfId="47863" xr:uid="{00000000-0005-0000-0000-000080BA0000}"/>
    <cellStyle name="Normal 5 4 5 5" xfId="47864" xr:uid="{00000000-0005-0000-0000-000081BA0000}"/>
    <cellStyle name="Normal 5 4 5 6" xfId="47865" xr:uid="{00000000-0005-0000-0000-000082BA0000}"/>
    <cellStyle name="Normal 5 4 5 7" xfId="47866" xr:uid="{00000000-0005-0000-0000-000083BA0000}"/>
    <cellStyle name="Normal 5 4 5 8" xfId="47867" xr:uid="{00000000-0005-0000-0000-000084BA0000}"/>
    <cellStyle name="Normal 5 4 6" xfId="47868" xr:uid="{00000000-0005-0000-0000-000085BA0000}"/>
    <cellStyle name="Normal 5 4 6 2" xfId="47869" xr:uid="{00000000-0005-0000-0000-000086BA0000}"/>
    <cellStyle name="Normal 5 4 6 2 2" xfId="47870" xr:uid="{00000000-0005-0000-0000-000087BA0000}"/>
    <cellStyle name="Normal 5 4 6 2 3" xfId="47871" xr:uid="{00000000-0005-0000-0000-000088BA0000}"/>
    <cellStyle name="Normal 5 4 6 3" xfId="47872" xr:uid="{00000000-0005-0000-0000-000089BA0000}"/>
    <cellStyle name="Normal 5 4 6 4" xfId="47873" xr:uid="{00000000-0005-0000-0000-00008ABA0000}"/>
    <cellStyle name="Normal 5 4 6 5" xfId="47874" xr:uid="{00000000-0005-0000-0000-00008BBA0000}"/>
    <cellStyle name="Normal 5 4 6 6" xfId="47875" xr:uid="{00000000-0005-0000-0000-00008CBA0000}"/>
    <cellStyle name="Normal 5 4 7" xfId="47876" xr:uid="{00000000-0005-0000-0000-00008DBA0000}"/>
    <cellStyle name="Normal 5 4 7 2" xfId="47877" xr:uid="{00000000-0005-0000-0000-00008EBA0000}"/>
    <cellStyle name="Normal 5 4 7 3" xfId="47878" xr:uid="{00000000-0005-0000-0000-00008FBA0000}"/>
    <cellStyle name="Normal 5 4 8" xfId="47879" xr:uid="{00000000-0005-0000-0000-000090BA0000}"/>
    <cellStyle name="Normal 5 4 8 2" xfId="47880" xr:uid="{00000000-0005-0000-0000-000091BA0000}"/>
    <cellStyle name="Normal 5 4 8 3" xfId="47881" xr:uid="{00000000-0005-0000-0000-000092BA0000}"/>
    <cellStyle name="Normal 5 4 9" xfId="47882" xr:uid="{00000000-0005-0000-0000-000093BA0000}"/>
    <cellStyle name="Normal 5 5" xfId="47883" xr:uid="{00000000-0005-0000-0000-000094BA0000}"/>
    <cellStyle name="Normal 5 5 10" xfId="47884" xr:uid="{00000000-0005-0000-0000-000095BA0000}"/>
    <cellStyle name="Normal 5 5 2" xfId="47885" xr:uid="{00000000-0005-0000-0000-000096BA0000}"/>
    <cellStyle name="Normal 5 5 2 2" xfId="47886" xr:uid="{00000000-0005-0000-0000-000097BA0000}"/>
    <cellStyle name="Normal 5 5 2 2 2" xfId="47887" xr:uid="{00000000-0005-0000-0000-000098BA0000}"/>
    <cellStyle name="Normal 5 5 2 2 2 2" xfId="47888" xr:uid="{00000000-0005-0000-0000-000099BA0000}"/>
    <cellStyle name="Normal 5 5 2 2 2 2 2" xfId="47889" xr:uid="{00000000-0005-0000-0000-00009ABA0000}"/>
    <cellStyle name="Normal 5 5 2 2 2 2 3" xfId="47890" xr:uid="{00000000-0005-0000-0000-00009BBA0000}"/>
    <cellStyle name="Normal 5 5 2 2 2 3" xfId="47891" xr:uid="{00000000-0005-0000-0000-00009CBA0000}"/>
    <cellStyle name="Normal 5 5 2 2 2 3 2" xfId="47892" xr:uid="{00000000-0005-0000-0000-00009DBA0000}"/>
    <cellStyle name="Normal 5 5 2 2 2 3 3" xfId="47893" xr:uid="{00000000-0005-0000-0000-00009EBA0000}"/>
    <cellStyle name="Normal 5 5 2 2 2 4" xfId="47894" xr:uid="{00000000-0005-0000-0000-00009FBA0000}"/>
    <cellStyle name="Normal 5 5 2 2 2 5" xfId="47895" xr:uid="{00000000-0005-0000-0000-0000A0BA0000}"/>
    <cellStyle name="Normal 5 5 2 2 2 6" xfId="47896" xr:uid="{00000000-0005-0000-0000-0000A1BA0000}"/>
    <cellStyle name="Normal 5 5 2 2 2 7" xfId="47897" xr:uid="{00000000-0005-0000-0000-0000A2BA0000}"/>
    <cellStyle name="Normal 5 5 2 2 2 8" xfId="47898" xr:uid="{00000000-0005-0000-0000-0000A3BA0000}"/>
    <cellStyle name="Normal 5 5 2 2 3" xfId="47899" xr:uid="{00000000-0005-0000-0000-0000A4BA0000}"/>
    <cellStyle name="Normal 5 5 2 2 3 2" xfId="47900" xr:uid="{00000000-0005-0000-0000-0000A5BA0000}"/>
    <cellStyle name="Normal 5 5 2 2 3 3" xfId="47901" xr:uid="{00000000-0005-0000-0000-0000A6BA0000}"/>
    <cellStyle name="Normal 5 5 2 2 4" xfId="47902" xr:uid="{00000000-0005-0000-0000-0000A7BA0000}"/>
    <cellStyle name="Normal 5 5 2 2 4 2" xfId="47903" xr:uid="{00000000-0005-0000-0000-0000A8BA0000}"/>
    <cellStyle name="Normal 5 5 2 2 4 3" xfId="47904" xr:uid="{00000000-0005-0000-0000-0000A9BA0000}"/>
    <cellStyle name="Normal 5 5 2 2 5" xfId="47905" xr:uid="{00000000-0005-0000-0000-0000AABA0000}"/>
    <cellStyle name="Normal 5 5 2 2 6" xfId="47906" xr:uid="{00000000-0005-0000-0000-0000ABBA0000}"/>
    <cellStyle name="Normal 5 5 2 2 7" xfId="47907" xr:uid="{00000000-0005-0000-0000-0000ACBA0000}"/>
    <cellStyle name="Normal 5 5 2 2 8" xfId="47908" xr:uid="{00000000-0005-0000-0000-0000ADBA0000}"/>
    <cellStyle name="Normal 5 5 2 2 9" xfId="47909" xr:uid="{00000000-0005-0000-0000-0000AEBA0000}"/>
    <cellStyle name="Normal 5 5 2 3" xfId="47910" xr:uid="{00000000-0005-0000-0000-0000AFBA0000}"/>
    <cellStyle name="Normal 5 5 2 3 2" xfId="47911" xr:uid="{00000000-0005-0000-0000-0000B0BA0000}"/>
    <cellStyle name="Normal 5 5 2 3 2 2" xfId="47912" xr:uid="{00000000-0005-0000-0000-0000B1BA0000}"/>
    <cellStyle name="Normal 5 5 2 3 2 3" xfId="47913" xr:uid="{00000000-0005-0000-0000-0000B2BA0000}"/>
    <cellStyle name="Normal 5 5 2 3 3" xfId="47914" xr:uid="{00000000-0005-0000-0000-0000B3BA0000}"/>
    <cellStyle name="Normal 5 5 2 3 3 2" xfId="47915" xr:uid="{00000000-0005-0000-0000-0000B4BA0000}"/>
    <cellStyle name="Normal 5 5 2 3 4" xfId="47916" xr:uid="{00000000-0005-0000-0000-0000B5BA0000}"/>
    <cellStyle name="Normal 5 5 2 4" xfId="47917" xr:uid="{00000000-0005-0000-0000-0000B6BA0000}"/>
    <cellStyle name="Normal 5 5 2 5" xfId="47918" xr:uid="{00000000-0005-0000-0000-0000B7BA0000}"/>
    <cellStyle name="Normal 5 5 2 6" xfId="47919" xr:uid="{00000000-0005-0000-0000-0000B8BA0000}"/>
    <cellStyle name="Normal 5 5 2_Dec monthly report" xfId="47920" xr:uid="{00000000-0005-0000-0000-0000B9BA0000}"/>
    <cellStyle name="Normal 5 5 3" xfId="47921" xr:uid="{00000000-0005-0000-0000-0000BABA0000}"/>
    <cellStyle name="Normal 5 5 3 2" xfId="47922" xr:uid="{00000000-0005-0000-0000-0000BBBA0000}"/>
    <cellStyle name="Normal 5 5 3 2 2" xfId="47923" xr:uid="{00000000-0005-0000-0000-0000BCBA0000}"/>
    <cellStyle name="Normal 5 5 3 2 3" xfId="47924" xr:uid="{00000000-0005-0000-0000-0000BDBA0000}"/>
    <cellStyle name="Normal 5 5 3 2 4" xfId="47925" xr:uid="{00000000-0005-0000-0000-0000BEBA0000}"/>
    <cellStyle name="Normal 5 5 3 3" xfId="47926" xr:uid="{00000000-0005-0000-0000-0000BFBA0000}"/>
    <cellStyle name="Normal 5 5 3 3 2" xfId="47927" xr:uid="{00000000-0005-0000-0000-0000C0BA0000}"/>
    <cellStyle name="Normal 5 5 3 3 3" xfId="47928" xr:uid="{00000000-0005-0000-0000-0000C1BA0000}"/>
    <cellStyle name="Normal 5 5 3 4" xfId="47929" xr:uid="{00000000-0005-0000-0000-0000C2BA0000}"/>
    <cellStyle name="Normal 5 5 3 5" xfId="47930" xr:uid="{00000000-0005-0000-0000-0000C3BA0000}"/>
    <cellStyle name="Normal 5 5 3 6" xfId="47931" xr:uid="{00000000-0005-0000-0000-0000C4BA0000}"/>
    <cellStyle name="Normal 5 5 3 7" xfId="47932" xr:uid="{00000000-0005-0000-0000-0000C5BA0000}"/>
    <cellStyle name="Normal 5 5 3 8" xfId="47933" xr:uid="{00000000-0005-0000-0000-0000C6BA0000}"/>
    <cellStyle name="Normal 5 5 4" xfId="47934" xr:uid="{00000000-0005-0000-0000-0000C7BA0000}"/>
    <cellStyle name="Normal 5 5 4 2" xfId="47935" xr:uid="{00000000-0005-0000-0000-0000C8BA0000}"/>
    <cellStyle name="Normal 5 5 4 2 2" xfId="47936" xr:uid="{00000000-0005-0000-0000-0000C9BA0000}"/>
    <cellStyle name="Normal 5 5 4 2 3" xfId="47937" xr:uid="{00000000-0005-0000-0000-0000CABA0000}"/>
    <cellStyle name="Normal 5 5 4 3" xfId="47938" xr:uid="{00000000-0005-0000-0000-0000CBBA0000}"/>
    <cellStyle name="Normal 5 5 4 3 2" xfId="47939" xr:uid="{00000000-0005-0000-0000-0000CCBA0000}"/>
    <cellStyle name="Normal 5 5 4 4" xfId="47940" xr:uid="{00000000-0005-0000-0000-0000CDBA0000}"/>
    <cellStyle name="Normal 5 5 5" xfId="47941" xr:uid="{00000000-0005-0000-0000-0000CEBA0000}"/>
    <cellStyle name="Normal 5 5 5 2" xfId="47942" xr:uid="{00000000-0005-0000-0000-0000CFBA0000}"/>
    <cellStyle name="Normal 5 5 5 3" xfId="47943" xr:uid="{00000000-0005-0000-0000-0000D0BA0000}"/>
    <cellStyle name="Normal 5 5 6" xfId="47944" xr:uid="{00000000-0005-0000-0000-0000D1BA0000}"/>
    <cellStyle name="Normal 5 5 6 2" xfId="47945" xr:uid="{00000000-0005-0000-0000-0000D2BA0000}"/>
    <cellStyle name="Normal 5 5 6 3" xfId="47946" xr:uid="{00000000-0005-0000-0000-0000D3BA0000}"/>
    <cellStyle name="Normal 5 5 7" xfId="47947" xr:uid="{00000000-0005-0000-0000-0000D4BA0000}"/>
    <cellStyle name="Normal 5 5 7 2" xfId="47948" xr:uid="{00000000-0005-0000-0000-0000D5BA0000}"/>
    <cellStyle name="Normal 5 5 7 3" xfId="47949" xr:uid="{00000000-0005-0000-0000-0000D6BA0000}"/>
    <cellStyle name="Normal 5 5 8" xfId="47950" xr:uid="{00000000-0005-0000-0000-0000D7BA0000}"/>
    <cellStyle name="Normal 5 5 9" xfId="47951" xr:uid="{00000000-0005-0000-0000-0000D8BA0000}"/>
    <cellStyle name="Normal 5 5_Dec monthly report" xfId="47952" xr:uid="{00000000-0005-0000-0000-0000D9BA0000}"/>
    <cellStyle name="Normal 5 6" xfId="47953" xr:uid="{00000000-0005-0000-0000-0000DABA0000}"/>
    <cellStyle name="Normal 5 6 10" xfId="47954" xr:uid="{00000000-0005-0000-0000-0000DBBA0000}"/>
    <cellStyle name="Normal 5 6 2" xfId="47955" xr:uid="{00000000-0005-0000-0000-0000DCBA0000}"/>
    <cellStyle name="Normal 5 6 2 2" xfId="47956" xr:uid="{00000000-0005-0000-0000-0000DDBA0000}"/>
    <cellStyle name="Normal 5 6 2 2 2" xfId="47957" xr:uid="{00000000-0005-0000-0000-0000DEBA0000}"/>
    <cellStyle name="Normal 5 6 2 2 2 2" xfId="47958" xr:uid="{00000000-0005-0000-0000-0000DFBA0000}"/>
    <cellStyle name="Normal 5 6 2 2 2 2 2" xfId="47959" xr:uid="{00000000-0005-0000-0000-0000E0BA0000}"/>
    <cellStyle name="Normal 5 6 2 2 2 2 3" xfId="47960" xr:uid="{00000000-0005-0000-0000-0000E1BA0000}"/>
    <cellStyle name="Normal 5 6 2 2 2 3" xfId="47961" xr:uid="{00000000-0005-0000-0000-0000E2BA0000}"/>
    <cellStyle name="Normal 5 6 2 2 2 3 2" xfId="47962" xr:uid="{00000000-0005-0000-0000-0000E3BA0000}"/>
    <cellStyle name="Normal 5 6 2 2 2 3 3" xfId="47963" xr:uid="{00000000-0005-0000-0000-0000E4BA0000}"/>
    <cellStyle name="Normal 5 6 2 2 2 4" xfId="47964" xr:uid="{00000000-0005-0000-0000-0000E5BA0000}"/>
    <cellStyle name="Normal 5 6 2 2 2 5" xfId="47965" xr:uid="{00000000-0005-0000-0000-0000E6BA0000}"/>
    <cellStyle name="Normal 5 6 2 2 2 6" xfId="47966" xr:uid="{00000000-0005-0000-0000-0000E7BA0000}"/>
    <cellStyle name="Normal 5 6 2 2 2 7" xfId="47967" xr:uid="{00000000-0005-0000-0000-0000E8BA0000}"/>
    <cellStyle name="Normal 5 6 2 2 2 8" xfId="47968" xr:uid="{00000000-0005-0000-0000-0000E9BA0000}"/>
    <cellStyle name="Normal 5 6 2 2 3" xfId="47969" xr:uid="{00000000-0005-0000-0000-0000EABA0000}"/>
    <cellStyle name="Normal 5 6 2 2 3 2" xfId="47970" xr:uid="{00000000-0005-0000-0000-0000EBBA0000}"/>
    <cellStyle name="Normal 5 6 2 2 3 3" xfId="47971" xr:uid="{00000000-0005-0000-0000-0000ECBA0000}"/>
    <cellStyle name="Normal 5 6 2 2 4" xfId="47972" xr:uid="{00000000-0005-0000-0000-0000EDBA0000}"/>
    <cellStyle name="Normal 5 6 2 2 4 2" xfId="47973" xr:uid="{00000000-0005-0000-0000-0000EEBA0000}"/>
    <cellStyle name="Normal 5 6 2 2 4 3" xfId="47974" xr:uid="{00000000-0005-0000-0000-0000EFBA0000}"/>
    <cellStyle name="Normal 5 6 2 2 5" xfId="47975" xr:uid="{00000000-0005-0000-0000-0000F0BA0000}"/>
    <cellStyle name="Normal 5 6 2 2 6" xfId="47976" xr:uid="{00000000-0005-0000-0000-0000F1BA0000}"/>
    <cellStyle name="Normal 5 6 2 2 7" xfId="47977" xr:uid="{00000000-0005-0000-0000-0000F2BA0000}"/>
    <cellStyle name="Normal 5 6 2 2 8" xfId="47978" xr:uid="{00000000-0005-0000-0000-0000F3BA0000}"/>
    <cellStyle name="Normal 5 6 2 2 9" xfId="47979" xr:uid="{00000000-0005-0000-0000-0000F4BA0000}"/>
    <cellStyle name="Normal 5 6 2 3" xfId="47980" xr:uid="{00000000-0005-0000-0000-0000F5BA0000}"/>
    <cellStyle name="Normal 5 6 2 3 2" xfId="47981" xr:uid="{00000000-0005-0000-0000-0000F6BA0000}"/>
    <cellStyle name="Normal 5 6 2 3 2 2" xfId="47982" xr:uid="{00000000-0005-0000-0000-0000F7BA0000}"/>
    <cellStyle name="Normal 5 6 2 3 2 3" xfId="47983" xr:uid="{00000000-0005-0000-0000-0000F8BA0000}"/>
    <cellStyle name="Normal 5 6 2 3 3" xfId="47984" xr:uid="{00000000-0005-0000-0000-0000F9BA0000}"/>
    <cellStyle name="Normal 5 6 2 3 3 2" xfId="47985" xr:uid="{00000000-0005-0000-0000-0000FABA0000}"/>
    <cellStyle name="Normal 5 6 2 3 4" xfId="47986" xr:uid="{00000000-0005-0000-0000-0000FBBA0000}"/>
    <cellStyle name="Normal 5 6 2 4" xfId="47987" xr:uid="{00000000-0005-0000-0000-0000FCBA0000}"/>
    <cellStyle name="Normal 5 6 2 5" xfId="47988" xr:uid="{00000000-0005-0000-0000-0000FDBA0000}"/>
    <cellStyle name="Normal 5 6 2 6" xfId="47989" xr:uid="{00000000-0005-0000-0000-0000FEBA0000}"/>
    <cellStyle name="Normal 5 6 3" xfId="47990" xr:uid="{00000000-0005-0000-0000-0000FFBA0000}"/>
    <cellStyle name="Normal 5 6 3 2" xfId="47991" xr:uid="{00000000-0005-0000-0000-000000BB0000}"/>
    <cellStyle name="Normal 5 6 3 2 2" xfId="47992" xr:uid="{00000000-0005-0000-0000-000001BB0000}"/>
    <cellStyle name="Normal 5 6 3 2 3" xfId="47993" xr:uid="{00000000-0005-0000-0000-000002BB0000}"/>
    <cellStyle name="Normal 5 6 3 3" xfId="47994" xr:uid="{00000000-0005-0000-0000-000003BB0000}"/>
    <cellStyle name="Normal 5 6 3 3 2" xfId="47995" xr:uid="{00000000-0005-0000-0000-000004BB0000}"/>
    <cellStyle name="Normal 5 6 3 3 3" xfId="47996" xr:uid="{00000000-0005-0000-0000-000005BB0000}"/>
    <cellStyle name="Normal 5 6 3 4" xfId="47997" xr:uid="{00000000-0005-0000-0000-000006BB0000}"/>
    <cellStyle name="Normal 5 6 3 5" xfId="47998" xr:uid="{00000000-0005-0000-0000-000007BB0000}"/>
    <cellStyle name="Normal 5 6 3 6" xfId="47999" xr:uid="{00000000-0005-0000-0000-000008BB0000}"/>
    <cellStyle name="Normal 5 6 3 7" xfId="48000" xr:uid="{00000000-0005-0000-0000-000009BB0000}"/>
    <cellStyle name="Normal 5 6 3 8" xfId="48001" xr:uid="{00000000-0005-0000-0000-00000ABB0000}"/>
    <cellStyle name="Normal 5 6 4" xfId="48002" xr:uid="{00000000-0005-0000-0000-00000BBB0000}"/>
    <cellStyle name="Normal 5 6 4 2" xfId="48003" xr:uid="{00000000-0005-0000-0000-00000CBB0000}"/>
    <cellStyle name="Normal 5 6 4 2 2" xfId="48004" xr:uid="{00000000-0005-0000-0000-00000DBB0000}"/>
    <cellStyle name="Normal 5 6 4 2 3" xfId="48005" xr:uid="{00000000-0005-0000-0000-00000EBB0000}"/>
    <cellStyle name="Normal 5 6 4 3" xfId="48006" xr:uid="{00000000-0005-0000-0000-00000FBB0000}"/>
    <cellStyle name="Normal 5 6 4 3 2" xfId="48007" xr:uid="{00000000-0005-0000-0000-000010BB0000}"/>
    <cellStyle name="Normal 5 6 4 4" xfId="48008" xr:uid="{00000000-0005-0000-0000-000011BB0000}"/>
    <cellStyle name="Normal 5 6 5" xfId="48009" xr:uid="{00000000-0005-0000-0000-000012BB0000}"/>
    <cellStyle name="Normal 5 6 5 2" xfId="48010" xr:uid="{00000000-0005-0000-0000-000013BB0000}"/>
    <cellStyle name="Normal 5 6 5 3" xfId="48011" xr:uid="{00000000-0005-0000-0000-000014BB0000}"/>
    <cellStyle name="Normal 5 6 6" xfId="48012" xr:uid="{00000000-0005-0000-0000-000015BB0000}"/>
    <cellStyle name="Normal 5 6 6 2" xfId="48013" xr:uid="{00000000-0005-0000-0000-000016BB0000}"/>
    <cellStyle name="Normal 5 6 6 3" xfId="48014" xr:uid="{00000000-0005-0000-0000-000017BB0000}"/>
    <cellStyle name="Normal 5 6 7" xfId="48015" xr:uid="{00000000-0005-0000-0000-000018BB0000}"/>
    <cellStyle name="Normal 5 6 7 2" xfId="48016" xr:uid="{00000000-0005-0000-0000-000019BB0000}"/>
    <cellStyle name="Normal 5 6 7 3" xfId="48017" xr:uid="{00000000-0005-0000-0000-00001ABB0000}"/>
    <cellStyle name="Normal 5 6 8" xfId="48018" xr:uid="{00000000-0005-0000-0000-00001BBB0000}"/>
    <cellStyle name="Normal 5 6 9" xfId="48019" xr:uid="{00000000-0005-0000-0000-00001CBB0000}"/>
    <cellStyle name="Normal 5 7" xfId="48020" xr:uid="{00000000-0005-0000-0000-00001DBB0000}"/>
    <cellStyle name="Normal 5 7 10" xfId="48021" xr:uid="{00000000-0005-0000-0000-00001EBB0000}"/>
    <cellStyle name="Normal 5 7 2" xfId="48022" xr:uid="{00000000-0005-0000-0000-00001FBB0000}"/>
    <cellStyle name="Normal 5 7 2 2" xfId="48023" xr:uid="{00000000-0005-0000-0000-000020BB0000}"/>
    <cellStyle name="Normal 5 7 2 2 2" xfId="48024" xr:uid="{00000000-0005-0000-0000-000021BB0000}"/>
    <cellStyle name="Normal 5 7 2 2 2 2" xfId="48025" xr:uid="{00000000-0005-0000-0000-000022BB0000}"/>
    <cellStyle name="Normal 5 7 2 2 2 2 2" xfId="48026" xr:uid="{00000000-0005-0000-0000-000023BB0000}"/>
    <cellStyle name="Normal 5 7 2 2 2 2 3" xfId="48027" xr:uid="{00000000-0005-0000-0000-000024BB0000}"/>
    <cellStyle name="Normal 5 7 2 2 2 3" xfId="48028" xr:uid="{00000000-0005-0000-0000-000025BB0000}"/>
    <cellStyle name="Normal 5 7 2 2 2 3 2" xfId="48029" xr:uid="{00000000-0005-0000-0000-000026BB0000}"/>
    <cellStyle name="Normal 5 7 2 2 2 3 3" xfId="48030" xr:uid="{00000000-0005-0000-0000-000027BB0000}"/>
    <cellStyle name="Normal 5 7 2 2 2 4" xfId="48031" xr:uid="{00000000-0005-0000-0000-000028BB0000}"/>
    <cellStyle name="Normal 5 7 2 2 2 5" xfId="48032" xr:uid="{00000000-0005-0000-0000-000029BB0000}"/>
    <cellStyle name="Normal 5 7 2 2 2 6" xfId="48033" xr:uid="{00000000-0005-0000-0000-00002ABB0000}"/>
    <cellStyle name="Normal 5 7 2 2 2 7" xfId="48034" xr:uid="{00000000-0005-0000-0000-00002BBB0000}"/>
    <cellStyle name="Normal 5 7 2 2 2 8" xfId="48035" xr:uid="{00000000-0005-0000-0000-00002CBB0000}"/>
    <cellStyle name="Normal 5 7 2 2 3" xfId="48036" xr:uid="{00000000-0005-0000-0000-00002DBB0000}"/>
    <cellStyle name="Normal 5 7 2 2 3 2" xfId="48037" xr:uid="{00000000-0005-0000-0000-00002EBB0000}"/>
    <cellStyle name="Normal 5 7 2 2 3 3" xfId="48038" xr:uid="{00000000-0005-0000-0000-00002FBB0000}"/>
    <cellStyle name="Normal 5 7 2 2 4" xfId="48039" xr:uid="{00000000-0005-0000-0000-000030BB0000}"/>
    <cellStyle name="Normal 5 7 2 2 4 2" xfId="48040" xr:uid="{00000000-0005-0000-0000-000031BB0000}"/>
    <cellStyle name="Normal 5 7 2 2 4 3" xfId="48041" xr:uid="{00000000-0005-0000-0000-000032BB0000}"/>
    <cellStyle name="Normal 5 7 2 2 5" xfId="48042" xr:uid="{00000000-0005-0000-0000-000033BB0000}"/>
    <cellStyle name="Normal 5 7 2 2 6" xfId="48043" xr:uid="{00000000-0005-0000-0000-000034BB0000}"/>
    <cellStyle name="Normal 5 7 2 2 7" xfId="48044" xr:uid="{00000000-0005-0000-0000-000035BB0000}"/>
    <cellStyle name="Normal 5 7 2 2 8" xfId="48045" xr:uid="{00000000-0005-0000-0000-000036BB0000}"/>
    <cellStyle name="Normal 5 7 2 2 9" xfId="48046" xr:uid="{00000000-0005-0000-0000-000037BB0000}"/>
    <cellStyle name="Normal 5 7 2 3" xfId="48047" xr:uid="{00000000-0005-0000-0000-000038BB0000}"/>
    <cellStyle name="Normal 5 7 2 3 2" xfId="48048" xr:uid="{00000000-0005-0000-0000-000039BB0000}"/>
    <cellStyle name="Normal 5 7 2 3 2 2" xfId="48049" xr:uid="{00000000-0005-0000-0000-00003ABB0000}"/>
    <cellStyle name="Normal 5 7 2 3 2 3" xfId="48050" xr:uid="{00000000-0005-0000-0000-00003BBB0000}"/>
    <cellStyle name="Normal 5 7 2 3 3" xfId="48051" xr:uid="{00000000-0005-0000-0000-00003CBB0000}"/>
    <cellStyle name="Normal 5 7 2 3 3 2" xfId="48052" xr:uid="{00000000-0005-0000-0000-00003DBB0000}"/>
    <cellStyle name="Normal 5 7 2 3 4" xfId="48053" xr:uid="{00000000-0005-0000-0000-00003EBB0000}"/>
    <cellStyle name="Normal 5 7 2 4" xfId="48054" xr:uid="{00000000-0005-0000-0000-00003FBB0000}"/>
    <cellStyle name="Normal 5 7 2 5" xfId="48055" xr:uid="{00000000-0005-0000-0000-000040BB0000}"/>
    <cellStyle name="Normal 5 7 2 6" xfId="48056" xr:uid="{00000000-0005-0000-0000-000041BB0000}"/>
    <cellStyle name="Normal 5 7 3" xfId="48057" xr:uid="{00000000-0005-0000-0000-000042BB0000}"/>
    <cellStyle name="Normal 5 7 3 2" xfId="48058" xr:uid="{00000000-0005-0000-0000-000043BB0000}"/>
    <cellStyle name="Normal 5 7 3 2 2" xfId="48059" xr:uid="{00000000-0005-0000-0000-000044BB0000}"/>
    <cellStyle name="Normal 5 7 3 2 3" xfId="48060" xr:uid="{00000000-0005-0000-0000-000045BB0000}"/>
    <cellStyle name="Normal 5 7 3 3" xfId="48061" xr:uid="{00000000-0005-0000-0000-000046BB0000}"/>
    <cellStyle name="Normal 5 7 3 3 2" xfId="48062" xr:uid="{00000000-0005-0000-0000-000047BB0000}"/>
    <cellStyle name="Normal 5 7 3 3 3" xfId="48063" xr:uid="{00000000-0005-0000-0000-000048BB0000}"/>
    <cellStyle name="Normal 5 7 3 4" xfId="48064" xr:uid="{00000000-0005-0000-0000-000049BB0000}"/>
    <cellStyle name="Normal 5 7 3 5" xfId="48065" xr:uid="{00000000-0005-0000-0000-00004ABB0000}"/>
    <cellStyle name="Normal 5 7 3 6" xfId="48066" xr:uid="{00000000-0005-0000-0000-00004BBB0000}"/>
    <cellStyle name="Normal 5 7 3 7" xfId="48067" xr:uid="{00000000-0005-0000-0000-00004CBB0000}"/>
    <cellStyle name="Normal 5 7 3 8" xfId="48068" xr:uid="{00000000-0005-0000-0000-00004DBB0000}"/>
    <cellStyle name="Normal 5 7 4" xfId="48069" xr:uid="{00000000-0005-0000-0000-00004EBB0000}"/>
    <cellStyle name="Normal 5 7 4 2" xfId="48070" xr:uid="{00000000-0005-0000-0000-00004FBB0000}"/>
    <cellStyle name="Normal 5 7 4 2 2" xfId="48071" xr:uid="{00000000-0005-0000-0000-000050BB0000}"/>
    <cellStyle name="Normal 5 7 4 2 3" xfId="48072" xr:uid="{00000000-0005-0000-0000-000051BB0000}"/>
    <cellStyle name="Normal 5 7 4 3" xfId="48073" xr:uid="{00000000-0005-0000-0000-000052BB0000}"/>
    <cellStyle name="Normal 5 7 4 3 2" xfId="48074" xr:uid="{00000000-0005-0000-0000-000053BB0000}"/>
    <cellStyle name="Normal 5 7 4 4" xfId="48075" xr:uid="{00000000-0005-0000-0000-000054BB0000}"/>
    <cellStyle name="Normal 5 7 5" xfId="48076" xr:uid="{00000000-0005-0000-0000-000055BB0000}"/>
    <cellStyle name="Normal 5 7 5 2" xfId="48077" xr:uid="{00000000-0005-0000-0000-000056BB0000}"/>
    <cellStyle name="Normal 5 7 5 3" xfId="48078" xr:uid="{00000000-0005-0000-0000-000057BB0000}"/>
    <cellStyle name="Normal 5 7 6" xfId="48079" xr:uid="{00000000-0005-0000-0000-000058BB0000}"/>
    <cellStyle name="Normal 5 7 6 2" xfId="48080" xr:uid="{00000000-0005-0000-0000-000059BB0000}"/>
    <cellStyle name="Normal 5 7 6 3" xfId="48081" xr:uid="{00000000-0005-0000-0000-00005ABB0000}"/>
    <cellStyle name="Normal 5 7 7" xfId="48082" xr:uid="{00000000-0005-0000-0000-00005BBB0000}"/>
    <cellStyle name="Normal 5 7 7 2" xfId="48083" xr:uid="{00000000-0005-0000-0000-00005CBB0000}"/>
    <cellStyle name="Normal 5 7 7 3" xfId="48084" xr:uid="{00000000-0005-0000-0000-00005DBB0000}"/>
    <cellStyle name="Normal 5 7 8" xfId="48085" xr:uid="{00000000-0005-0000-0000-00005EBB0000}"/>
    <cellStyle name="Normal 5 7 9" xfId="48086" xr:uid="{00000000-0005-0000-0000-00005FBB0000}"/>
    <cellStyle name="Normal 5 8" xfId="48087" xr:uid="{00000000-0005-0000-0000-000060BB0000}"/>
    <cellStyle name="Normal 5 8 10" xfId="48088" xr:uid="{00000000-0005-0000-0000-000061BB0000}"/>
    <cellStyle name="Normal 5 8 2" xfId="48089" xr:uid="{00000000-0005-0000-0000-000062BB0000}"/>
    <cellStyle name="Normal 5 8 2 2" xfId="48090" xr:uid="{00000000-0005-0000-0000-000063BB0000}"/>
    <cellStyle name="Normal 5 8 2 2 2" xfId="48091" xr:uid="{00000000-0005-0000-0000-000064BB0000}"/>
    <cellStyle name="Normal 5 8 2 2 2 2" xfId="48092" xr:uid="{00000000-0005-0000-0000-000065BB0000}"/>
    <cellStyle name="Normal 5 8 2 2 2 2 2" xfId="48093" xr:uid="{00000000-0005-0000-0000-000066BB0000}"/>
    <cellStyle name="Normal 5 8 2 2 2 2 3" xfId="48094" xr:uid="{00000000-0005-0000-0000-000067BB0000}"/>
    <cellStyle name="Normal 5 8 2 2 2 3" xfId="48095" xr:uid="{00000000-0005-0000-0000-000068BB0000}"/>
    <cellStyle name="Normal 5 8 2 2 2 3 2" xfId="48096" xr:uid="{00000000-0005-0000-0000-000069BB0000}"/>
    <cellStyle name="Normal 5 8 2 2 2 3 3" xfId="48097" xr:uid="{00000000-0005-0000-0000-00006ABB0000}"/>
    <cellStyle name="Normal 5 8 2 2 2 4" xfId="48098" xr:uid="{00000000-0005-0000-0000-00006BBB0000}"/>
    <cellStyle name="Normal 5 8 2 2 2 5" xfId="48099" xr:uid="{00000000-0005-0000-0000-00006CBB0000}"/>
    <cellStyle name="Normal 5 8 2 2 2 6" xfId="48100" xr:uid="{00000000-0005-0000-0000-00006DBB0000}"/>
    <cellStyle name="Normal 5 8 2 2 2 7" xfId="48101" xr:uid="{00000000-0005-0000-0000-00006EBB0000}"/>
    <cellStyle name="Normal 5 8 2 2 2 8" xfId="48102" xr:uid="{00000000-0005-0000-0000-00006FBB0000}"/>
    <cellStyle name="Normal 5 8 2 2 3" xfId="48103" xr:uid="{00000000-0005-0000-0000-000070BB0000}"/>
    <cellStyle name="Normal 5 8 2 2 3 2" xfId="48104" xr:uid="{00000000-0005-0000-0000-000071BB0000}"/>
    <cellStyle name="Normal 5 8 2 2 3 3" xfId="48105" xr:uid="{00000000-0005-0000-0000-000072BB0000}"/>
    <cellStyle name="Normal 5 8 2 2 4" xfId="48106" xr:uid="{00000000-0005-0000-0000-000073BB0000}"/>
    <cellStyle name="Normal 5 8 2 2 4 2" xfId="48107" xr:uid="{00000000-0005-0000-0000-000074BB0000}"/>
    <cellStyle name="Normal 5 8 2 2 4 3" xfId="48108" xr:uid="{00000000-0005-0000-0000-000075BB0000}"/>
    <cellStyle name="Normal 5 8 2 2 5" xfId="48109" xr:uid="{00000000-0005-0000-0000-000076BB0000}"/>
    <cellStyle name="Normal 5 8 2 2 6" xfId="48110" xr:uid="{00000000-0005-0000-0000-000077BB0000}"/>
    <cellStyle name="Normal 5 8 2 2 7" xfId="48111" xr:uid="{00000000-0005-0000-0000-000078BB0000}"/>
    <cellStyle name="Normal 5 8 2 2 8" xfId="48112" xr:uid="{00000000-0005-0000-0000-000079BB0000}"/>
    <cellStyle name="Normal 5 8 2 2 9" xfId="48113" xr:uid="{00000000-0005-0000-0000-00007ABB0000}"/>
    <cellStyle name="Normal 5 8 2 3" xfId="48114" xr:uid="{00000000-0005-0000-0000-00007BBB0000}"/>
    <cellStyle name="Normal 5 8 2 3 2" xfId="48115" xr:uid="{00000000-0005-0000-0000-00007CBB0000}"/>
    <cellStyle name="Normal 5 8 2 3 2 2" xfId="48116" xr:uid="{00000000-0005-0000-0000-00007DBB0000}"/>
    <cellStyle name="Normal 5 8 2 3 2 3" xfId="48117" xr:uid="{00000000-0005-0000-0000-00007EBB0000}"/>
    <cellStyle name="Normal 5 8 2 3 3" xfId="48118" xr:uid="{00000000-0005-0000-0000-00007FBB0000}"/>
    <cellStyle name="Normal 5 8 2 3 3 2" xfId="48119" xr:uid="{00000000-0005-0000-0000-000080BB0000}"/>
    <cellStyle name="Normal 5 8 2 3 4" xfId="48120" xr:uid="{00000000-0005-0000-0000-000081BB0000}"/>
    <cellStyle name="Normal 5 8 2 4" xfId="48121" xr:uid="{00000000-0005-0000-0000-000082BB0000}"/>
    <cellStyle name="Normal 5 8 2 5" xfId="48122" xr:uid="{00000000-0005-0000-0000-000083BB0000}"/>
    <cellStyle name="Normal 5 8 2 6" xfId="48123" xr:uid="{00000000-0005-0000-0000-000084BB0000}"/>
    <cellStyle name="Normal 5 8 3" xfId="48124" xr:uid="{00000000-0005-0000-0000-000085BB0000}"/>
    <cellStyle name="Normal 5 8 3 2" xfId="48125" xr:uid="{00000000-0005-0000-0000-000086BB0000}"/>
    <cellStyle name="Normal 5 8 3 2 2" xfId="48126" xr:uid="{00000000-0005-0000-0000-000087BB0000}"/>
    <cellStyle name="Normal 5 8 3 2 3" xfId="48127" xr:uid="{00000000-0005-0000-0000-000088BB0000}"/>
    <cellStyle name="Normal 5 8 3 3" xfId="48128" xr:uid="{00000000-0005-0000-0000-000089BB0000}"/>
    <cellStyle name="Normal 5 8 3 3 2" xfId="48129" xr:uid="{00000000-0005-0000-0000-00008ABB0000}"/>
    <cellStyle name="Normal 5 8 3 3 3" xfId="48130" xr:uid="{00000000-0005-0000-0000-00008BBB0000}"/>
    <cellStyle name="Normal 5 8 3 4" xfId="48131" xr:uid="{00000000-0005-0000-0000-00008CBB0000}"/>
    <cellStyle name="Normal 5 8 3 5" xfId="48132" xr:uid="{00000000-0005-0000-0000-00008DBB0000}"/>
    <cellStyle name="Normal 5 8 3 6" xfId="48133" xr:uid="{00000000-0005-0000-0000-00008EBB0000}"/>
    <cellStyle name="Normal 5 8 3 7" xfId="48134" xr:uid="{00000000-0005-0000-0000-00008FBB0000}"/>
    <cellStyle name="Normal 5 8 3 8" xfId="48135" xr:uid="{00000000-0005-0000-0000-000090BB0000}"/>
    <cellStyle name="Normal 5 8 4" xfId="48136" xr:uid="{00000000-0005-0000-0000-000091BB0000}"/>
    <cellStyle name="Normal 5 8 4 2" xfId="48137" xr:uid="{00000000-0005-0000-0000-000092BB0000}"/>
    <cellStyle name="Normal 5 8 4 2 2" xfId="48138" xr:uid="{00000000-0005-0000-0000-000093BB0000}"/>
    <cellStyle name="Normal 5 8 4 2 3" xfId="48139" xr:uid="{00000000-0005-0000-0000-000094BB0000}"/>
    <cellStyle name="Normal 5 8 4 3" xfId="48140" xr:uid="{00000000-0005-0000-0000-000095BB0000}"/>
    <cellStyle name="Normal 5 8 4 3 2" xfId="48141" xr:uid="{00000000-0005-0000-0000-000096BB0000}"/>
    <cellStyle name="Normal 5 8 4 4" xfId="48142" xr:uid="{00000000-0005-0000-0000-000097BB0000}"/>
    <cellStyle name="Normal 5 8 5" xfId="48143" xr:uid="{00000000-0005-0000-0000-000098BB0000}"/>
    <cellStyle name="Normal 5 8 5 2" xfId="48144" xr:uid="{00000000-0005-0000-0000-000099BB0000}"/>
    <cellStyle name="Normal 5 8 5 3" xfId="48145" xr:uid="{00000000-0005-0000-0000-00009ABB0000}"/>
    <cellStyle name="Normal 5 8 6" xfId="48146" xr:uid="{00000000-0005-0000-0000-00009BBB0000}"/>
    <cellStyle name="Normal 5 8 6 2" xfId="48147" xr:uid="{00000000-0005-0000-0000-00009CBB0000}"/>
    <cellStyle name="Normal 5 8 6 3" xfId="48148" xr:uid="{00000000-0005-0000-0000-00009DBB0000}"/>
    <cellStyle name="Normal 5 8 7" xfId="48149" xr:uid="{00000000-0005-0000-0000-00009EBB0000}"/>
    <cellStyle name="Normal 5 8 7 2" xfId="48150" xr:uid="{00000000-0005-0000-0000-00009FBB0000}"/>
    <cellStyle name="Normal 5 8 7 3" xfId="48151" xr:uid="{00000000-0005-0000-0000-0000A0BB0000}"/>
    <cellStyle name="Normal 5 8 8" xfId="48152" xr:uid="{00000000-0005-0000-0000-0000A1BB0000}"/>
    <cellStyle name="Normal 5 8 9" xfId="48153" xr:uid="{00000000-0005-0000-0000-0000A2BB0000}"/>
    <cellStyle name="Normal 5 9" xfId="48154" xr:uid="{00000000-0005-0000-0000-0000A3BB0000}"/>
    <cellStyle name="Normal 5 9 10" xfId="48155" xr:uid="{00000000-0005-0000-0000-0000A4BB0000}"/>
    <cellStyle name="Normal 5 9 2" xfId="48156" xr:uid="{00000000-0005-0000-0000-0000A5BB0000}"/>
    <cellStyle name="Normal 5 9 2 2" xfId="48157" xr:uid="{00000000-0005-0000-0000-0000A6BB0000}"/>
    <cellStyle name="Normal 5 9 2 2 2" xfId="48158" xr:uid="{00000000-0005-0000-0000-0000A7BB0000}"/>
    <cellStyle name="Normal 5 9 2 2 2 2" xfId="48159" xr:uid="{00000000-0005-0000-0000-0000A8BB0000}"/>
    <cellStyle name="Normal 5 9 2 2 2 2 2" xfId="48160" xr:uid="{00000000-0005-0000-0000-0000A9BB0000}"/>
    <cellStyle name="Normal 5 9 2 2 2 2 3" xfId="48161" xr:uid="{00000000-0005-0000-0000-0000AABB0000}"/>
    <cellStyle name="Normal 5 9 2 2 2 3" xfId="48162" xr:uid="{00000000-0005-0000-0000-0000ABBB0000}"/>
    <cellStyle name="Normal 5 9 2 2 2 3 2" xfId="48163" xr:uid="{00000000-0005-0000-0000-0000ACBB0000}"/>
    <cellStyle name="Normal 5 9 2 2 2 3 3" xfId="48164" xr:uid="{00000000-0005-0000-0000-0000ADBB0000}"/>
    <cellStyle name="Normal 5 9 2 2 2 4" xfId="48165" xr:uid="{00000000-0005-0000-0000-0000AEBB0000}"/>
    <cellStyle name="Normal 5 9 2 2 2 5" xfId="48166" xr:uid="{00000000-0005-0000-0000-0000AFBB0000}"/>
    <cellStyle name="Normal 5 9 2 2 2 6" xfId="48167" xr:uid="{00000000-0005-0000-0000-0000B0BB0000}"/>
    <cellStyle name="Normal 5 9 2 2 2 7" xfId="48168" xr:uid="{00000000-0005-0000-0000-0000B1BB0000}"/>
    <cellStyle name="Normal 5 9 2 2 2 8" xfId="48169" xr:uid="{00000000-0005-0000-0000-0000B2BB0000}"/>
    <cellStyle name="Normal 5 9 2 2 3" xfId="48170" xr:uid="{00000000-0005-0000-0000-0000B3BB0000}"/>
    <cellStyle name="Normal 5 9 2 2 3 2" xfId="48171" xr:uid="{00000000-0005-0000-0000-0000B4BB0000}"/>
    <cellStyle name="Normal 5 9 2 2 3 3" xfId="48172" xr:uid="{00000000-0005-0000-0000-0000B5BB0000}"/>
    <cellStyle name="Normal 5 9 2 2 4" xfId="48173" xr:uid="{00000000-0005-0000-0000-0000B6BB0000}"/>
    <cellStyle name="Normal 5 9 2 2 4 2" xfId="48174" xr:uid="{00000000-0005-0000-0000-0000B7BB0000}"/>
    <cellStyle name="Normal 5 9 2 2 4 3" xfId="48175" xr:uid="{00000000-0005-0000-0000-0000B8BB0000}"/>
    <cellStyle name="Normal 5 9 2 2 5" xfId="48176" xr:uid="{00000000-0005-0000-0000-0000B9BB0000}"/>
    <cellStyle name="Normal 5 9 2 2 6" xfId="48177" xr:uid="{00000000-0005-0000-0000-0000BABB0000}"/>
    <cellStyle name="Normal 5 9 2 2 7" xfId="48178" xr:uid="{00000000-0005-0000-0000-0000BBBB0000}"/>
    <cellStyle name="Normal 5 9 2 2 8" xfId="48179" xr:uid="{00000000-0005-0000-0000-0000BCBB0000}"/>
    <cellStyle name="Normal 5 9 2 2 9" xfId="48180" xr:uid="{00000000-0005-0000-0000-0000BDBB0000}"/>
    <cellStyle name="Normal 5 9 2 3" xfId="48181" xr:uid="{00000000-0005-0000-0000-0000BEBB0000}"/>
    <cellStyle name="Normal 5 9 2 3 2" xfId="48182" xr:uid="{00000000-0005-0000-0000-0000BFBB0000}"/>
    <cellStyle name="Normal 5 9 2 3 2 2" xfId="48183" xr:uid="{00000000-0005-0000-0000-0000C0BB0000}"/>
    <cellStyle name="Normal 5 9 2 3 2 3" xfId="48184" xr:uid="{00000000-0005-0000-0000-0000C1BB0000}"/>
    <cellStyle name="Normal 5 9 2 3 3" xfId="48185" xr:uid="{00000000-0005-0000-0000-0000C2BB0000}"/>
    <cellStyle name="Normal 5 9 2 3 3 2" xfId="48186" xr:uid="{00000000-0005-0000-0000-0000C3BB0000}"/>
    <cellStyle name="Normal 5 9 2 3 4" xfId="48187" xr:uid="{00000000-0005-0000-0000-0000C4BB0000}"/>
    <cellStyle name="Normal 5 9 2 4" xfId="48188" xr:uid="{00000000-0005-0000-0000-0000C5BB0000}"/>
    <cellStyle name="Normal 5 9 2 5" xfId="48189" xr:uid="{00000000-0005-0000-0000-0000C6BB0000}"/>
    <cellStyle name="Normal 5 9 2 6" xfId="48190" xr:uid="{00000000-0005-0000-0000-0000C7BB0000}"/>
    <cellStyle name="Normal 5 9 3" xfId="48191" xr:uid="{00000000-0005-0000-0000-0000C8BB0000}"/>
    <cellStyle name="Normal 5 9 3 2" xfId="48192" xr:uid="{00000000-0005-0000-0000-0000C9BB0000}"/>
    <cellStyle name="Normal 5 9 3 2 2" xfId="48193" xr:uid="{00000000-0005-0000-0000-0000CABB0000}"/>
    <cellStyle name="Normal 5 9 3 2 3" xfId="48194" xr:uid="{00000000-0005-0000-0000-0000CBBB0000}"/>
    <cellStyle name="Normal 5 9 3 3" xfId="48195" xr:uid="{00000000-0005-0000-0000-0000CCBB0000}"/>
    <cellStyle name="Normal 5 9 3 3 2" xfId="48196" xr:uid="{00000000-0005-0000-0000-0000CDBB0000}"/>
    <cellStyle name="Normal 5 9 3 3 3" xfId="48197" xr:uid="{00000000-0005-0000-0000-0000CEBB0000}"/>
    <cellStyle name="Normal 5 9 3 4" xfId="48198" xr:uid="{00000000-0005-0000-0000-0000CFBB0000}"/>
    <cellStyle name="Normal 5 9 3 5" xfId="48199" xr:uid="{00000000-0005-0000-0000-0000D0BB0000}"/>
    <cellStyle name="Normal 5 9 3 6" xfId="48200" xr:uid="{00000000-0005-0000-0000-0000D1BB0000}"/>
    <cellStyle name="Normal 5 9 3 7" xfId="48201" xr:uid="{00000000-0005-0000-0000-0000D2BB0000}"/>
    <cellStyle name="Normal 5 9 3 8" xfId="48202" xr:uid="{00000000-0005-0000-0000-0000D3BB0000}"/>
    <cellStyle name="Normal 5 9 4" xfId="48203" xr:uid="{00000000-0005-0000-0000-0000D4BB0000}"/>
    <cellStyle name="Normal 5 9 4 2" xfId="48204" xr:uid="{00000000-0005-0000-0000-0000D5BB0000}"/>
    <cellStyle name="Normal 5 9 4 2 2" xfId="48205" xr:uid="{00000000-0005-0000-0000-0000D6BB0000}"/>
    <cellStyle name="Normal 5 9 4 2 3" xfId="48206" xr:uid="{00000000-0005-0000-0000-0000D7BB0000}"/>
    <cellStyle name="Normal 5 9 4 3" xfId="48207" xr:uid="{00000000-0005-0000-0000-0000D8BB0000}"/>
    <cellStyle name="Normal 5 9 4 3 2" xfId="48208" xr:uid="{00000000-0005-0000-0000-0000D9BB0000}"/>
    <cellStyle name="Normal 5 9 4 4" xfId="48209" xr:uid="{00000000-0005-0000-0000-0000DABB0000}"/>
    <cellStyle name="Normal 5 9 5" xfId="48210" xr:uid="{00000000-0005-0000-0000-0000DBBB0000}"/>
    <cellStyle name="Normal 5 9 5 2" xfId="48211" xr:uid="{00000000-0005-0000-0000-0000DCBB0000}"/>
    <cellStyle name="Normal 5 9 5 3" xfId="48212" xr:uid="{00000000-0005-0000-0000-0000DDBB0000}"/>
    <cellStyle name="Normal 5 9 6" xfId="48213" xr:uid="{00000000-0005-0000-0000-0000DEBB0000}"/>
    <cellStyle name="Normal 5 9 6 2" xfId="48214" xr:uid="{00000000-0005-0000-0000-0000DFBB0000}"/>
    <cellStyle name="Normal 5 9 6 3" xfId="48215" xr:uid="{00000000-0005-0000-0000-0000E0BB0000}"/>
    <cellStyle name="Normal 5 9 7" xfId="48216" xr:uid="{00000000-0005-0000-0000-0000E1BB0000}"/>
    <cellStyle name="Normal 5 9 7 2" xfId="48217" xr:uid="{00000000-0005-0000-0000-0000E2BB0000}"/>
    <cellStyle name="Normal 5 9 7 3" xfId="48218" xr:uid="{00000000-0005-0000-0000-0000E3BB0000}"/>
    <cellStyle name="Normal 5 9 8" xfId="48219" xr:uid="{00000000-0005-0000-0000-0000E4BB0000}"/>
    <cellStyle name="Normal 5 9 9" xfId="48220" xr:uid="{00000000-0005-0000-0000-0000E5BB0000}"/>
    <cellStyle name="Normal 5_2015 Annual Rpt" xfId="48221" xr:uid="{00000000-0005-0000-0000-0000E6BB0000}"/>
    <cellStyle name="Normal 50" xfId="327" xr:uid="{00000000-0005-0000-0000-0000E7BB0000}"/>
    <cellStyle name="Normal 50 2" xfId="48222" xr:uid="{00000000-0005-0000-0000-0000E8BB0000}"/>
    <cellStyle name="Normal 50 2 2" xfId="48223" xr:uid="{00000000-0005-0000-0000-0000E9BB0000}"/>
    <cellStyle name="Normal 50 2 2 2" xfId="48224" xr:uid="{00000000-0005-0000-0000-0000EABB0000}"/>
    <cellStyle name="Normal 50 2 2 3" xfId="48225" xr:uid="{00000000-0005-0000-0000-0000EBBB0000}"/>
    <cellStyle name="Normal 50 2 3" xfId="48226" xr:uid="{00000000-0005-0000-0000-0000ECBB0000}"/>
    <cellStyle name="Normal 50 2 4" xfId="48227" xr:uid="{00000000-0005-0000-0000-0000EDBB0000}"/>
    <cellStyle name="Normal 50 2 5" xfId="48228" xr:uid="{00000000-0005-0000-0000-0000EEBB0000}"/>
    <cellStyle name="Normal 50 3" xfId="48229" xr:uid="{00000000-0005-0000-0000-0000EFBB0000}"/>
    <cellStyle name="Normal 50 3 2" xfId="48230" xr:uid="{00000000-0005-0000-0000-0000F0BB0000}"/>
    <cellStyle name="Normal 50 3 3" xfId="48231" xr:uid="{00000000-0005-0000-0000-0000F1BB0000}"/>
    <cellStyle name="Normal 50 4" xfId="48232" xr:uid="{00000000-0005-0000-0000-0000F2BB0000}"/>
    <cellStyle name="Normal 50 4 2" xfId="48233" xr:uid="{00000000-0005-0000-0000-0000F3BB0000}"/>
    <cellStyle name="Normal 50 5" xfId="48234" xr:uid="{00000000-0005-0000-0000-0000F4BB0000}"/>
    <cellStyle name="Normal 51" xfId="328" xr:uid="{00000000-0005-0000-0000-0000F5BB0000}"/>
    <cellStyle name="Normal 51 10" xfId="48235" xr:uid="{00000000-0005-0000-0000-0000F6BB0000}"/>
    <cellStyle name="Normal 51 11" xfId="48236" xr:uid="{00000000-0005-0000-0000-0000F7BB0000}"/>
    <cellStyle name="Normal 51 12" xfId="48237" xr:uid="{00000000-0005-0000-0000-0000F8BB0000}"/>
    <cellStyle name="Normal 51 2" xfId="48238" xr:uid="{00000000-0005-0000-0000-0000F9BB0000}"/>
    <cellStyle name="Normal 51 2 2" xfId="48239" xr:uid="{00000000-0005-0000-0000-0000FABB0000}"/>
    <cellStyle name="Normal 51 2 2 2" xfId="48240" xr:uid="{00000000-0005-0000-0000-0000FBBB0000}"/>
    <cellStyle name="Normal 51 2 2 3" xfId="48241" xr:uid="{00000000-0005-0000-0000-0000FCBB0000}"/>
    <cellStyle name="Normal 51 2 3" xfId="48242" xr:uid="{00000000-0005-0000-0000-0000FDBB0000}"/>
    <cellStyle name="Normal 51 2 3 2" xfId="48243" xr:uid="{00000000-0005-0000-0000-0000FEBB0000}"/>
    <cellStyle name="Normal 51 2 3 3" xfId="48244" xr:uid="{00000000-0005-0000-0000-0000FFBB0000}"/>
    <cellStyle name="Normal 51 2 4" xfId="48245" xr:uid="{00000000-0005-0000-0000-000000BC0000}"/>
    <cellStyle name="Normal 51 2 4 2" xfId="48246" xr:uid="{00000000-0005-0000-0000-000001BC0000}"/>
    <cellStyle name="Normal 51 2 4 3" xfId="48247" xr:uid="{00000000-0005-0000-0000-000002BC0000}"/>
    <cellStyle name="Normal 51 2 5" xfId="48248" xr:uid="{00000000-0005-0000-0000-000003BC0000}"/>
    <cellStyle name="Normal 51 2 6" xfId="48249" xr:uid="{00000000-0005-0000-0000-000004BC0000}"/>
    <cellStyle name="Normal 51 2 7" xfId="48250" xr:uid="{00000000-0005-0000-0000-000005BC0000}"/>
    <cellStyle name="Normal 51 2 8" xfId="48251" xr:uid="{00000000-0005-0000-0000-000006BC0000}"/>
    <cellStyle name="Normal 51 2 9" xfId="48252" xr:uid="{00000000-0005-0000-0000-000007BC0000}"/>
    <cellStyle name="Normal 51 3" xfId="48253" xr:uid="{00000000-0005-0000-0000-000008BC0000}"/>
    <cellStyle name="Normal 51 3 2" xfId="48254" xr:uid="{00000000-0005-0000-0000-000009BC0000}"/>
    <cellStyle name="Normal 51 3 2 2" xfId="48255" xr:uid="{00000000-0005-0000-0000-00000ABC0000}"/>
    <cellStyle name="Normal 51 3 2 3" xfId="48256" xr:uid="{00000000-0005-0000-0000-00000BBC0000}"/>
    <cellStyle name="Normal 51 3 3" xfId="48257" xr:uid="{00000000-0005-0000-0000-00000CBC0000}"/>
    <cellStyle name="Normal 51 3 3 2" xfId="48258" xr:uid="{00000000-0005-0000-0000-00000DBC0000}"/>
    <cellStyle name="Normal 51 3 4" xfId="48259" xr:uid="{00000000-0005-0000-0000-00000EBC0000}"/>
    <cellStyle name="Normal 51 3 5" xfId="48260" xr:uid="{00000000-0005-0000-0000-00000FBC0000}"/>
    <cellStyle name="Normal 51 3 6" xfId="48261" xr:uid="{00000000-0005-0000-0000-000010BC0000}"/>
    <cellStyle name="Normal 51 3 7" xfId="48262" xr:uid="{00000000-0005-0000-0000-000011BC0000}"/>
    <cellStyle name="Normal 51 3 8" xfId="48263" xr:uid="{00000000-0005-0000-0000-000012BC0000}"/>
    <cellStyle name="Normal 51 4" xfId="48264" xr:uid="{00000000-0005-0000-0000-000013BC0000}"/>
    <cellStyle name="Normal 51 4 2" xfId="48265" xr:uid="{00000000-0005-0000-0000-000014BC0000}"/>
    <cellStyle name="Normal 51 4 2 2" xfId="48266" xr:uid="{00000000-0005-0000-0000-000015BC0000}"/>
    <cellStyle name="Normal 51 4 3" xfId="48267" xr:uid="{00000000-0005-0000-0000-000016BC0000}"/>
    <cellStyle name="Normal 51 4 3 2" xfId="48268" xr:uid="{00000000-0005-0000-0000-000017BC0000}"/>
    <cellStyle name="Normal 51 4 4" xfId="48269" xr:uid="{00000000-0005-0000-0000-000018BC0000}"/>
    <cellStyle name="Normal 51 4 5" xfId="48270" xr:uid="{00000000-0005-0000-0000-000019BC0000}"/>
    <cellStyle name="Normal 51 4 6" xfId="48271" xr:uid="{00000000-0005-0000-0000-00001ABC0000}"/>
    <cellStyle name="Normal 51 4 7" xfId="48272" xr:uid="{00000000-0005-0000-0000-00001BBC0000}"/>
    <cellStyle name="Normal 51 4 8" xfId="48273" xr:uid="{00000000-0005-0000-0000-00001CBC0000}"/>
    <cellStyle name="Normal 51 5" xfId="48274" xr:uid="{00000000-0005-0000-0000-00001DBC0000}"/>
    <cellStyle name="Normal 51 6" xfId="48275" xr:uid="{00000000-0005-0000-0000-00001EBC0000}"/>
    <cellStyle name="Normal 51 6 2" xfId="48276" xr:uid="{00000000-0005-0000-0000-00001FBC0000}"/>
    <cellStyle name="Normal 51 7" xfId="48277" xr:uid="{00000000-0005-0000-0000-000020BC0000}"/>
    <cellStyle name="Normal 51 7 2" xfId="48278" xr:uid="{00000000-0005-0000-0000-000021BC0000}"/>
    <cellStyle name="Normal 51 8" xfId="48279" xr:uid="{00000000-0005-0000-0000-000022BC0000}"/>
    <cellStyle name="Normal 51 8 2" xfId="48280" xr:uid="{00000000-0005-0000-0000-000023BC0000}"/>
    <cellStyle name="Normal 51 9" xfId="48281" xr:uid="{00000000-0005-0000-0000-000024BC0000}"/>
    <cellStyle name="Normal 52" xfId="388" xr:uid="{00000000-0005-0000-0000-000025BC0000}"/>
    <cellStyle name="Normal 52 10" xfId="48282" xr:uid="{00000000-0005-0000-0000-000026BC0000}"/>
    <cellStyle name="Normal 52 11" xfId="48283" xr:uid="{00000000-0005-0000-0000-000027BC0000}"/>
    <cellStyle name="Normal 52 12" xfId="48284" xr:uid="{00000000-0005-0000-0000-000028BC0000}"/>
    <cellStyle name="Normal 52 2" xfId="391" xr:uid="{00000000-0005-0000-0000-000029BC0000}"/>
    <cellStyle name="Normal 52 2 2" xfId="48285" xr:uid="{00000000-0005-0000-0000-00002ABC0000}"/>
    <cellStyle name="Normal 52 2 2 2" xfId="48286" xr:uid="{00000000-0005-0000-0000-00002BBC0000}"/>
    <cellStyle name="Normal 52 2 2 3" xfId="48287" xr:uid="{00000000-0005-0000-0000-00002CBC0000}"/>
    <cellStyle name="Normal 52 2 3" xfId="48288" xr:uid="{00000000-0005-0000-0000-00002DBC0000}"/>
    <cellStyle name="Normal 52 2 3 2" xfId="48289" xr:uid="{00000000-0005-0000-0000-00002EBC0000}"/>
    <cellStyle name="Normal 52 2 3 3" xfId="48290" xr:uid="{00000000-0005-0000-0000-00002FBC0000}"/>
    <cellStyle name="Normal 52 2 4" xfId="48291" xr:uid="{00000000-0005-0000-0000-000030BC0000}"/>
    <cellStyle name="Normal 52 2 4 2" xfId="48292" xr:uid="{00000000-0005-0000-0000-000031BC0000}"/>
    <cellStyle name="Normal 52 2 4 3" xfId="48293" xr:uid="{00000000-0005-0000-0000-000032BC0000}"/>
    <cellStyle name="Normal 52 2 5" xfId="48294" xr:uid="{00000000-0005-0000-0000-000033BC0000}"/>
    <cellStyle name="Normal 52 2 6" xfId="48295" xr:uid="{00000000-0005-0000-0000-000034BC0000}"/>
    <cellStyle name="Normal 52 2 7" xfId="48296" xr:uid="{00000000-0005-0000-0000-000035BC0000}"/>
    <cellStyle name="Normal 52 2 8" xfId="48297" xr:uid="{00000000-0005-0000-0000-000036BC0000}"/>
    <cellStyle name="Normal 52 2 9" xfId="48298" xr:uid="{00000000-0005-0000-0000-000037BC0000}"/>
    <cellStyle name="Normal 52 3" xfId="48299" xr:uid="{00000000-0005-0000-0000-000038BC0000}"/>
    <cellStyle name="Normal 52 3 2" xfId="48300" xr:uid="{00000000-0005-0000-0000-000039BC0000}"/>
    <cellStyle name="Normal 52 3 2 2" xfId="48301" xr:uid="{00000000-0005-0000-0000-00003ABC0000}"/>
    <cellStyle name="Normal 52 3 2 3" xfId="48302" xr:uid="{00000000-0005-0000-0000-00003BBC0000}"/>
    <cellStyle name="Normal 52 3 3" xfId="48303" xr:uid="{00000000-0005-0000-0000-00003CBC0000}"/>
    <cellStyle name="Normal 52 3 3 2" xfId="48304" xr:uid="{00000000-0005-0000-0000-00003DBC0000}"/>
    <cellStyle name="Normal 52 3 3 3" xfId="48305" xr:uid="{00000000-0005-0000-0000-00003EBC0000}"/>
    <cellStyle name="Normal 52 3 4" xfId="48306" xr:uid="{00000000-0005-0000-0000-00003FBC0000}"/>
    <cellStyle name="Normal 52 3 5" xfId="48307" xr:uid="{00000000-0005-0000-0000-000040BC0000}"/>
    <cellStyle name="Normal 52 3 6" xfId="48308" xr:uid="{00000000-0005-0000-0000-000041BC0000}"/>
    <cellStyle name="Normal 52 3 7" xfId="48309" xr:uid="{00000000-0005-0000-0000-000042BC0000}"/>
    <cellStyle name="Normal 52 3 8" xfId="48310" xr:uid="{00000000-0005-0000-0000-000043BC0000}"/>
    <cellStyle name="Normal 52 4" xfId="48311" xr:uid="{00000000-0005-0000-0000-000044BC0000}"/>
    <cellStyle name="Normal 52 4 2" xfId="48312" xr:uid="{00000000-0005-0000-0000-000045BC0000}"/>
    <cellStyle name="Normal 52 4 2 2" xfId="48313" xr:uid="{00000000-0005-0000-0000-000046BC0000}"/>
    <cellStyle name="Normal 52 4 3" xfId="48314" xr:uid="{00000000-0005-0000-0000-000047BC0000}"/>
    <cellStyle name="Normal 52 4 3 2" xfId="48315" xr:uid="{00000000-0005-0000-0000-000048BC0000}"/>
    <cellStyle name="Normal 52 4 4" xfId="48316" xr:uid="{00000000-0005-0000-0000-000049BC0000}"/>
    <cellStyle name="Normal 52 4 5" xfId="48317" xr:uid="{00000000-0005-0000-0000-00004ABC0000}"/>
    <cellStyle name="Normal 52 4 6" xfId="48318" xr:uid="{00000000-0005-0000-0000-00004BBC0000}"/>
    <cellStyle name="Normal 52 4 7" xfId="48319" xr:uid="{00000000-0005-0000-0000-00004CBC0000}"/>
    <cellStyle name="Normal 52 4 8" xfId="48320" xr:uid="{00000000-0005-0000-0000-00004DBC0000}"/>
    <cellStyle name="Normal 52 5" xfId="48321" xr:uid="{00000000-0005-0000-0000-00004EBC0000}"/>
    <cellStyle name="Normal 52 6" xfId="48322" xr:uid="{00000000-0005-0000-0000-00004FBC0000}"/>
    <cellStyle name="Normal 52 6 2" xfId="48323" xr:uid="{00000000-0005-0000-0000-000050BC0000}"/>
    <cellStyle name="Normal 52 7" xfId="48324" xr:uid="{00000000-0005-0000-0000-000051BC0000}"/>
    <cellStyle name="Normal 52 7 2" xfId="48325" xr:uid="{00000000-0005-0000-0000-000052BC0000}"/>
    <cellStyle name="Normal 52 8" xfId="48326" xr:uid="{00000000-0005-0000-0000-000053BC0000}"/>
    <cellStyle name="Normal 52 8 2" xfId="48327" xr:uid="{00000000-0005-0000-0000-000054BC0000}"/>
    <cellStyle name="Normal 52 9" xfId="48328" xr:uid="{00000000-0005-0000-0000-000055BC0000}"/>
    <cellStyle name="Normal 52_2015 Annual Rpt" xfId="48329" xr:uid="{00000000-0005-0000-0000-000056BC0000}"/>
    <cellStyle name="Normal 53" xfId="394" xr:uid="{00000000-0005-0000-0000-000057BC0000}"/>
    <cellStyle name="Normal 53 2" xfId="48330" xr:uid="{00000000-0005-0000-0000-000058BC0000}"/>
    <cellStyle name="Normal 53 2 2" xfId="48331" xr:uid="{00000000-0005-0000-0000-000059BC0000}"/>
    <cellStyle name="Normal 53 2 2 2" xfId="48332" xr:uid="{00000000-0005-0000-0000-00005ABC0000}"/>
    <cellStyle name="Normal 53 2 2 3" xfId="48333" xr:uid="{00000000-0005-0000-0000-00005BBC0000}"/>
    <cellStyle name="Normal 53 2 3" xfId="48334" xr:uid="{00000000-0005-0000-0000-00005CBC0000}"/>
    <cellStyle name="Normal 53 2 4" xfId="48335" xr:uid="{00000000-0005-0000-0000-00005DBC0000}"/>
    <cellStyle name="Normal 53 2 5" xfId="48336" xr:uid="{00000000-0005-0000-0000-00005EBC0000}"/>
    <cellStyle name="Normal 53 3" xfId="48337" xr:uid="{00000000-0005-0000-0000-00005FBC0000}"/>
    <cellStyle name="Normal 53 3 2" xfId="48338" xr:uid="{00000000-0005-0000-0000-000060BC0000}"/>
    <cellStyle name="Normal 53 3 3" xfId="48339" xr:uid="{00000000-0005-0000-0000-000061BC0000}"/>
    <cellStyle name="Normal 53 4" xfId="48340" xr:uid="{00000000-0005-0000-0000-000062BC0000}"/>
    <cellStyle name="Normal 53 4 2" xfId="48341" xr:uid="{00000000-0005-0000-0000-000063BC0000}"/>
    <cellStyle name="Normal 53 5" xfId="48342" xr:uid="{00000000-0005-0000-0000-000064BC0000}"/>
    <cellStyle name="Normal 53 6" xfId="48343" xr:uid="{00000000-0005-0000-0000-000065BC0000}"/>
    <cellStyle name="Normal 54" xfId="400" xr:uid="{00000000-0005-0000-0000-000066BC0000}"/>
    <cellStyle name="Normal 54 10" xfId="48344" xr:uid="{00000000-0005-0000-0000-000067BC0000}"/>
    <cellStyle name="Normal 54 11" xfId="48345" xr:uid="{00000000-0005-0000-0000-000068BC0000}"/>
    <cellStyle name="Normal 54 12" xfId="48346" xr:uid="{00000000-0005-0000-0000-000069BC0000}"/>
    <cellStyle name="Normal 54 13 2" xfId="61186" xr:uid="{276E1612-75C7-4768-B6B7-C3B5AAECD91C}"/>
    <cellStyle name="Normal 54 14" xfId="61184" xr:uid="{270B5CA4-B56A-4F09-B69E-CF2763099659}"/>
    <cellStyle name="Normal 54 2" xfId="48347" xr:uid="{00000000-0005-0000-0000-00006ABC0000}"/>
    <cellStyle name="Normal 54 2 2" xfId="48348" xr:uid="{00000000-0005-0000-0000-00006BBC0000}"/>
    <cellStyle name="Normal 54 2 2 2" xfId="48349" xr:uid="{00000000-0005-0000-0000-00006CBC0000}"/>
    <cellStyle name="Normal 54 2 2 3" xfId="48350" xr:uid="{00000000-0005-0000-0000-00006DBC0000}"/>
    <cellStyle name="Normal 54 2 3" xfId="48351" xr:uid="{00000000-0005-0000-0000-00006EBC0000}"/>
    <cellStyle name="Normal 54 2 3 2" xfId="48352" xr:uid="{00000000-0005-0000-0000-00006FBC0000}"/>
    <cellStyle name="Normal 54 2 3 3" xfId="48353" xr:uid="{00000000-0005-0000-0000-000070BC0000}"/>
    <cellStyle name="Normal 54 2 4" xfId="48354" xr:uid="{00000000-0005-0000-0000-000071BC0000}"/>
    <cellStyle name="Normal 54 2 4 2" xfId="48355" xr:uid="{00000000-0005-0000-0000-000072BC0000}"/>
    <cellStyle name="Normal 54 2 4 3" xfId="48356" xr:uid="{00000000-0005-0000-0000-000073BC0000}"/>
    <cellStyle name="Normal 54 2 5" xfId="48357" xr:uid="{00000000-0005-0000-0000-000074BC0000}"/>
    <cellStyle name="Normal 54 2 6" xfId="48358" xr:uid="{00000000-0005-0000-0000-000075BC0000}"/>
    <cellStyle name="Normal 54 2 7" xfId="48359" xr:uid="{00000000-0005-0000-0000-000076BC0000}"/>
    <cellStyle name="Normal 54 2 8" xfId="48360" xr:uid="{00000000-0005-0000-0000-000077BC0000}"/>
    <cellStyle name="Normal 54 2 9" xfId="48361" xr:uid="{00000000-0005-0000-0000-000078BC0000}"/>
    <cellStyle name="Normal 54 3" xfId="48362" xr:uid="{00000000-0005-0000-0000-000079BC0000}"/>
    <cellStyle name="Normal 54 3 2" xfId="48363" xr:uid="{00000000-0005-0000-0000-00007ABC0000}"/>
    <cellStyle name="Normal 54 3 2 2" xfId="48364" xr:uid="{00000000-0005-0000-0000-00007BBC0000}"/>
    <cellStyle name="Normal 54 3 2 3" xfId="48365" xr:uid="{00000000-0005-0000-0000-00007CBC0000}"/>
    <cellStyle name="Normal 54 3 3" xfId="48366" xr:uid="{00000000-0005-0000-0000-00007DBC0000}"/>
    <cellStyle name="Normal 54 3 3 2" xfId="48367" xr:uid="{00000000-0005-0000-0000-00007EBC0000}"/>
    <cellStyle name="Normal 54 3 3 3" xfId="48368" xr:uid="{00000000-0005-0000-0000-00007FBC0000}"/>
    <cellStyle name="Normal 54 3 4" xfId="48369" xr:uid="{00000000-0005-0000-0000-000080BC0000}"/>
    <cellStyle name="Normal 54 3 5" xfId="48370" xr:uid="{00000000-0005-0000-0000-000081BC0000}"/>
    <cellStyle name="Normal 54 3 6" xfId="48371" xr:uid="{00000000-0005-0000-0000-000082BC0000}"/>
    <cellStyle name="Normal 54 3 7" xfId="48372" xr:uid="{00000000-0005-0000-0000-000083BC0000}"/>
    <cellStyle name="Normal 54 3 8" xfId="48373" xr:uid="{00000000-0005-0000-0000-000084BC0000}"/>
    <cellStyle name="Normal 54 4" xfId="48374" xr:uid="{00000000-0005-0000-0000-000085BC0000}"/>
    <cellStyle name="Normal 54 4 2" xfId="48375" xr:uid="{00000000-0005-0000-0000-000086BC0000}"/>
    <cellStyle name="Normal 54 4 2 2" xfId="48376" xr:uid="{00000000-0005-0000-0000-000087BC0000}"/>
    <cellStyle name="Normal 54 4 3" xfId="48377" xr:uid="{00000000-0005-0000-0000-000088BC0000}"/>
    <cellStyle name="Normal 54 4 3 2" xfId="48378" xr:uid="{00000000-0005-0000-0000-000089BC0000}"/>
    <cellStyle name="Normal 54 4 4" xfId="48379" xr:uid="{00000000-0005-0000-0000-00008ABC0000}"/>
    <cellStyle name="Normal 54 4 5" xfId="48380" xr:uid="{00000000-0005-0000-0000-00008BBC0000}"/>
    <cellStyle name="Normal 54 4 6" xfId="48381" xr:uid="{00000000-0005-0000-0000-00008CBC0000}"/>
    <cellStyle name="Normal 54 4 7" xfId="48382" xr:uid="{00000000-0005-0000-0000-00008DBC0000}"/>
    <cellStyle name="Normal 54 4 8" xfId="48383" xr:uid="{00000000-0005-0000-0000-00008EBC0000}"/>
    <cellStyle name="Normal 54 5" xfId="48384" xr:uid="{00000000-0005-0000-0000-00008FBC0000}"/>
    <cellStyle name="Normal 54 6" xfId="48385" xr:uid="{00000000-0005-0000-0000-000090BC0000}"/>
    <cellStyle name="Normal 54 6 2" xfId="48386" xr:uid="{00000000-0005-0000-0000-000091BC0000}"/>
    <cellStyle name="Normal 54 6 3" xfId="48387" xr:uid="{00000000-0005-0000-0000-000092BC0000}"/>
    <cellStyle name="Normal 54 7" xfId="48388" xr:uid="{00000000-0005-0000-0000-000093BC0000}"/>
    <cellStyle name="Normal 54 7 2" xfId="48389" xr:uid="{00000000-0005-0000-0000-000094BC0000}"/>
    <cellStyle name="Normal 54 8" xfId="48390" xr:uid="{00000000-0005-0000-0000-000095BC0000}"/>
    <cellStyle name="Normal 54 8 2" xfId="48391" xr:uid="{00000000-0005-0000-0000-000096BC0000}"/>
    <cellStyle name="Normal 54 9" xfId="48392" xr:uid="{00000000-0005-0000-0000-000097BC0000}"/>
    <cellStyle name="Normal 55" xfId="48393" xr:uid="{00000000-0005-0000-0000-000098BC0000}"/>
    <cellStyle name="Normal 55 10" xfId="48394" xr:uid="{00000000-0005-0000-0000-000099BC0000}"/>
    <cellStyle name="Normal 55 11" xfId="48395" xr:uid="{00000000-0005-0000-0000-00009ABC0000}"/>
    <cellStyle name="Normal 55 12" xfId="48396" xr:uid="{00000000-0005-0000-0000-00009BBC0000}"/>
    <cellStyle name="Normal 55 2" xfId="48397" xr:uid="{00000000-0005-0000-0000-00009CBC0000}"/>
    <cellStyle name="Normal 55 2 2" xfId="48398" xr:uid="{00000000-0005-0000-0000-00009DBC0000}"/>
    <cellStyle name="Normal 55 2 2 2" xfId="48399" xr:uid="{00000000-0005-0000-0000-00009EBC0000}"/>
    <cellStyle name="Normal 55 2 2 3" xfId="48400" xr:uid="{00000000-0005-0000-0000-00009FBC0000}"/>
    <cellStyle name="Normal 55 2 3" xfId="48401" xr:uid="{00000000-0005-0000-0000-0000A0BC0000}"/>
    <cellStyle name="Normal 55 2 3 2" xfId="48402" xr:uid="{00000000-0005-0000-0000-0000A1BC0000}"/>
    <cellStyle name="Normal 55 2 3 3" xfId="48403" xr:uid="{00000000-0005-0000-0000-0000A2BC0000}"/>
    <cellStyle name="Normal 55 2 4" xfId="48404" xr:uid="{00000000-0005-0000-0000-0000A3BC0000}"/>
    <cellStyle name="Normal 55 2 4 2" xfId="48405" xr:uid="{00000000-0005-0000-0000-0000A4BC0000}"/>
    <cellStyle name="Normal 55 2 4 3" xfId="48406" xr:uid="{00000000-0005-0000-0000-0000A5BC0000}"/>
    <cellStyle name="Normal 55 2 5" xfId="48407" xr:uid="{00000000-0005-0000-0000-0000A6BC0000}"/>
    <cellStyle name="Normal 55 2 6" xfId="48408" xr:uid="{00000000-0005-0000-0000-0000A7BC0000}"/>
    <cellStyle name="Normal 55 2 7" xfId="48409" xr:uid="{00000000-0005-0000-0000-0000A8BC0000}"/>
    <cellStyle name="Normal 55 2 8" xfId="48410" xr:uid="{00000000-0005-0000-0000-0000A9BC0000}"/>
    <cellStyle name="Normal 55 2 9" xfId="48411" xr:uid="{00000000-0005-0000-0000-0000AABC0000}"/>
    <cellStyle name="Normal 55 3" xfId="48412" xr:uid="{00000000-0005-0000-0000-0000ABBC0000}"/>
    <cellStyle name="Normal 55 3 2" xfId="48413" xr:uid="{00000000-0005-0000-0000-0000ACBC0000}"/>
    <cellStyle name="Normal 55 3 2 2" xfId="48414" xr:uid="{00000000-0005-0000-0000-0000ADBC0000}"/>
    <cellStyle name="Normal 55 3 2 3" xfId="48415" xr:uid="{00000000-0005-0000-0000-0000AEBC0000}"/>
    <cellStyle name="Normal 55 3 3" xfId="48416" xr:uid="{00000000-0005-0000-0000-0000AFBC0000}"/>
    <cellStyle name="Normal 55 3 3 2" xfId="48417" xr:uid="{00000000-0005-0000-0000-0000B0BC0000}"/>
    <cellStyle name="Normal 55 3 4" xfId="48418" xr:uid="{00000000-0005-0000-0000-0000B1BC0000}"/>
    <cellStyle name="Normal 55 3 5" xfId="48419" xr:uid="{00000000-0005-0000-0000-0000B2BC0000}"/>
    <cellStyle name="Normal 55 3 6" xfId="48420" xr:uid="{00000000-0005-0000-0000-0000B3BC0000}"/>
    <cellStyle name="Normal 55 3 7" xfId="48421" xr:uid="{00000000-0005-0000-0000-0000B4BC0000}"/>
    <cellStyle name="Normal 55 3 8" xfId="48422" xr:uid="{00000000-0005-0000-0000-0000B5BC0000}"/>
    <cellStyle name="Normal 55 4" xfId="48423" xr:uid="{00000000-0005-0000-0000-0000B6BC0000}"/>
    <cellStyle name="Normal 55 4 2" xfId="48424" xr:uid="{00000000-0005-0000-0000-0000B7BC0000}"/>
    <cellStyle name="Normal 55 4 2 2" xfId="48425" xr:uid="{00000000-0005-0000-0000-0000B8BC0000}"/>
    <cellStyle name="Normal 55 4 3" xfId="48426" xr:uid="{00000000-0005-0000-0000-0000B9BC0000}"/>
    <cellStyle name="Normal 55 4 3 2" xfId="48427" xr:uid="{00000000-0005-0000-0000-0000BABC0000}"/>
    <cellStyle name="Normal 55 4 4" xfId="48428" xr:uid="{00000000-0005-0000-0000-0000BBBC0000}"/>
    <cellStyle name="Normal 55 4 5" xfId="48429" xr:uid="{00000000-0005-0000-0000-0000BCBC0000}"/>
    <cellStyle name="Normal 55 4 6" xfId="48430" xr:uid="{00000000-0005-0000-0000-0000BDBC0000}"/>
    <cellStyle name="Normal 55 4 7" xfId="48431" xr:uid="{00000000-0005-0000-0000-0000BEBC0000}"/>
    <cellStyle name="Normal 55 4 8" xfId="48432" xr:uid="{00000000-0005-0000-0000-0000BFBC0000}"/>
    <cellStyle name="Normal 55 5" xfId="48433" xr:uid="{00000000-0005-0000-0000-0000C0BC0000}"/>
    <cellStyle name="Normal 55 6" xfId="48434" xr:uid="{00000000-0005-0000-0000-0000C1BC0000}"/>
    <cellStyle name="Normal 55 6 2" xfId="48435" xr:uid="{00000000-0005-0000-0000-0000C2BC0000}"/>
    <cellStyle name="Normal 55 7" xfId="48436" xr:uid="{00000000-0005-0000-0000-0000C3BC0000}"/>
    <cellStyle name="Normal 55 7 2" xfId="48437" xr:uid="{00000000-0005-0000-0000-0000C4BC0000}"/>
    <cellStyle name="Normal 55 8" xfId="48438" xr:uid="{00000000-0005-0000-0000-0000C5BC0000}"/>
    <cellStyle name="Normal 55 8 2" xfId="48439" xr:uid="{00000000-0005-0000-0000-0000C6BC0000}"/>
    <cellStyle name="Normal 55 9" xfId="48440" xr:uid="{00000000-0005-0000-0000-0000C7BC0000}"/>
    <cellStyle name="Normal 56" xfId="48441" xr:uid="{00000000-0005-0000-0000-0000C8BC0000}"/>
    <cellStyle name="Normal 56 2" xfId="48442" xr:uid="{00000000-0005-0000-0000-0000C9BC0000}"/>
    <cellStyle name="Normal 56 2 2" xfId="48443" xr:uid="{00000000-0005-0000-0000-0000CABC0000}"/>
    <cellStyle name="Normal 56 2 2 2" xfId="48444" xr:uid="{00000000-0005-0000-0000-0000CBBC0000}"/>
    <cellStyle name="Normal 56 2 2 3" xfId="48445" xr:uid="{00000000-0005-0000-0000-0000CCBC0000}"/>
    <cellStyle name="Normal 56 2 3" xfId="48446" xr:uid="{00000000-0005-0000-0000-0000CDBC0000}"/>
    <cellStyle name="Normal 56 2 4" xfId="48447" xr:uid="{00000000-0005-0000-0000-0000CEBC0000}"/>
    <cellStyle name="Normal 56 2 5" xfId="48448" xr:uid="{00000000-0005-0000-0000-0000CFBC0000}"/>
    <cellStyle name="Normal 56 3" xfId="48449" xr:uid="{00000000-0005-0000-0000-0000D0BC0000}"/>
    <cellStyle name="Normal 56 3 2" xfId="48450" xr:uid="{00000000-0005-0000-0000-0000D1BC0000}"/>
    <cellStyle name="Normal 56 3 3" xfId="48451" xr:uid="{00000000-0005-0000-0000-0000D2BC0000}"/>
    <cellStyle name="Normal 56 4" xfId="48452" xr:uid="{00000000-0005-0000-0000-0000D3BC0000}"/>
    <cellStyle name="Normal 56 4 2" xfId="48453" xr:uid="{00000000-0005-0000-0000-0000D4BC0000}"/>
    <cellStyle name="Normal 56 5" xfId="48454" xr:uid="{00000000-0005-0000-0000-0000D5BC0000}"/>
    <cellStyle name="Normal 57" xfId="48455" xr:uid="{00000000-0005-0000-0000-0000D6BC0000}"/>
    <cellStyle name="Normal 57 10" xfId="48456" xr:uid="{00000000-0005-0000-0000-0000D7BC0000}"/>
    <cellStyle name="Normal 57 11" xfId="48457" xr:uid="{00000000-0005-0000-0000-0000D8BC0000}"/>
    <cellStyle name="Normal 57 12" xfId="48458" xr:uid="{00000000-0005-0000-0000-0000D9BC0000}"/>
    <cellStyle name="Normal 57 2" xfId="48459" xr:uid="{00000000-0005-0000-0000-0000DABC0000}"/>
    <cellStyle name="Normal 57 2 2" xfId="48460" xr:uid="{00000000-0005-0000-0000-0000DBBC0000}"/>
    <cellStyle name="Normal 57 2 2 2" xfId="48461" xr:uid="{00000000-0005-0000-0000-0000DCBC0000}"/>
    <cellStyle name="Normal 57 2 2 3" xfId="48462" xr:uid="{00000000-0005-0000-0000-0000DDBC0000}"/>
    <cellStyle name="Normal 57 2 3" xfId="48463" xr:uid="{00000000-0005-0000-0000-0000DEBC0000}"/>
    <cellStyle name="Normal 57 2 3 2" xfId="48464" xr:uid="{00000000-0005-0000-0000-0000DFBC0000}"/>
    <cellStyle name="Normal 57 2 3 3" xfId="48465" xr:uid="{00000000-0005-0000-0000-0000E0BC0000}"/>
    <cellStyle name="Normal 57 2 4" xfId="48466" xr:uid="{00000000-0005-0000-0000-0000E1BC0000}"/>
    <cellStyle name="Normal 57 2 4 2" xfId="48467" xr:uid="{00000000-0005-0000-0000-0000E2BC0000}"/>
    <cellStyle name="Normal 57 2 4 3" xfId="48468" xr:uid="{00000000-0005-0000-0000-0000E3BC0000}"/>
    <cellStyle name="Normal 57 2 5" xfId="48469" xr:uid="{00000000-0005-0000-0000-0000E4BC0000}"/>
    <cellStyle name="Normal 57 2 6" xfId="48470" xr:uid="{00000000-0005-0000-0000-0000E5BC0000}"/>
    <cellStyle name="Normal 57 2 7" xfId="48471" xr:uid="{00000000-0005-0000-0000-0000E6BC0000}"/>
    <cellStyle name="Normal 57 2 8" xfId="48472" xr:uid="{00000000-0005-0000-0000-0000E7BC0000}"/>
    <cellStyle name="Normal 57 2 9" xfId="48473" xr:uid="{00000000-0005-0000-0000-0000E8BC0000}"/>
    <cellStyle name="Normal 57 3" xfId="48474" xr:uid="{00000000-0005-0000-0000-0000E9BC0000}"/>
    <cellStyle name="Normal 57 3 2" xfId="48475" xr:uid="{00000000-0005-0000-0000-0000EABC0000}"/>
    <cellStyle name="Normal 57 3 2 2" xfId="48476" xr:uid="{00000000-0005-0000-0000-0000EBBC0000}"/>
    <cellStyle name="Normal 57 3 2 3" xfId="48477" xr:uid="{00000000-0005-0000-0000-0000ECBC0000}"/>
    <cellStyle name="Normal 57 3 3" xfId="48478" xr:uid="{00000000-0005-0000-0000-0000EDBC0000}"/>
    <cellStyle name="Normal 57 3 3 2" xfId="48479" xr:uid="{00000000-0005-0000-0000-0000EEBC0000}"/>
    <cellStyle name="Normal 57 3 4" xfId="48480" xr:uid="{00000000-0005-0000-0000-0000EFBC0000}"/>
    <cellStyle name="Normal 57 3 5" xfId="48481" xr:uid="{00000000-0005-0000-0000-0000F0BC0000}"/>
    <cellStyle name="Normal 57 3 6" xfId="48482" xr:uid="{00000000-0005-0000-0000-0000F1BC0000}"/>
    <cellStyle name="Normal 57 3 7" xfId="48483" xr:uid="{00000000-0005-0000-0000-0000F2BC0000}"/>
    <cellStyle name="Normal 57 3 8" xfId="48484" xr:uid="{00000000-0005-0000-0000-0000F3BC0000}"/>
    <cellStyle name="Normal 57 4" xfId="48485" xr:uid="{00000000-0005-0000-0000-0000F4BC0000}"/>
    <cellStyle name="Normal 57 4 2" xfId="48486" xr:uid="{00000000-0005-0000-0000-0000F5BC0000}"/>
    <cellStyle name="Normal 57 4 2 2" xfId="48487" xr:uid="{00000000-0005-0000-0000-0000F6BC0000}"/>
    <cellStyle name="Normal 57 4 2 3" xfId="48488" xr:uid="{00000000-0005-0000-0000-0000F7BC0000}"/>
    <cellStyle name="Normal 57 4 3" xfId="48489" xr:uid="{00000000-0005-0000-0000-0000F8BC0000}"/>
    <cellStyle name="Normal 57 4 3 2" xfId="48490" xr:uid="{00000000-0005-0000-0000-0000F9BC0000}"/>
    <cellStyle name="Normal 57 4 4" xfId="48491" xr:uid="{00000000-0005-0000-0000-0000FABC0000}"/>
    <cellStyle name="Normal 57 4 5" xfId="48492" xr:uid="{00000000-0005-0000-0000-0000FBBC0000}"/>
    <cellStyle name="Normal 57 4 6" xfId="48493" xr:uid="{00000000-0005-0000-0000-0000FCBC0000}"/>
    <cellStyle name="Normal 57 4 7" xfId="48494" xr:uid="{00000000-0005-0000-0000-0000FDBC0000}"/>
    <cellStyle name="Normal 57 4 8" xfId="48495" xr:uid="{00000000-0005-0000-0000-0000FEBC0000}"/>
    <cellStyle name="Normal 57 5" xfId="48496" xr:uid="{00000000-0005-0000-0000-0000FFBC0000}"/>
    <cellStyle name="Normal 57 6" xfId="48497" xr:uid="{00000000-0005-0000-0000-000000BD0000}"/>
    <cellStyle name="Normal 57 6 2" xfId="48498" xr:uid="{00000000-0005-0000-0000-000001BD0000}"/>
    <cellStyle name="Normal 57 7" xfId="48499" xr:uid="{00000000-0005-0000-0000-000002BD0000}"/>
    <cellStyle name="Normal 57 7 2" xfId="48500" xr:uid="{00000000-0005-0000-0000-000003BD0000}"/>
    <cellStyle name="Normal 57 8" xfId="48501" xr:uid="{00000000-0005-0000-0000-000004BD0000}"/>
    <cellStyle name="Normal 57 8 2" xfId="48502" xr:uid="{00000000-0005-0000-0000-000005BD0000}"/>
    <cellStyle name="Normal 57 9" xfId="48503" xr:uid="{00000000-0005-0000-0000-000006BD0000}"/>
    <cellStyle name="Normal 58" xfId="48504" xr:uid="{00000000-0005-0000-0000-000007BD0000}"/>
    <cellStyle name="Normal 58 10" xfId="48505" xr:uid="{00000000-0005-0000-0000-000008BD0000}"/>
    <cellStyle name="Normal 58 11" xfId="48506" xr:uid="{00000000-0005-0000-0000-000009BD0000}"/>
    <cellStyle name="Normal 58 12" xfId="48507" xr:uid="{00000000-0005-0000-0000-00000ABD0000}"/>
    <cellStyle name="Normal 58 2" xfId="48508" xr:uid="{00000000-0005-0000-0000-00000BBD0000}"/>
    <cellStyle name="Normal 58 2 2" xfId="48509" xr:uid="{00000000-0005-0000-0000-00000CBD0000}"/>
    <cellStyle name="Normal 58 2 2 2" xfId="48510" xr:uid="{00000000-0005-0000-0000-00000DBD0000}"/>
    <cellStyle name="Normal 58 2 2 3" xfId="48511" xr:uid="{00000000-0005-0000-0000-00000EBD0000}"/>
    <cellStyle name="Normal 58 2 3" xfId="48512" xr:uid="{00000000-0005-0000-0000-00000FBD0000}"/>
    <cellStyle name="Normal 58 2 3 2" xfId="48513" xr:uid="{00000000-0005-0000-0000-000010BD0000}"/>
    <cellStyle name="Normal 58 2 3 3" xfId="48514" xr:uid="{00000000-0005-0000-0000-000011BD0000}"/>
    <cellStyle name="Normal 58 2 4" xfId="48515" xr:uid="{00000000-0005-0000-0000-000012BD0000}"/>
    <cellStyle name="Normal 58 2 4 2" xfId="48516" xr:uid="{00000000-0005-0000-0000-000013BD0000}"/>
    <cellStyle name="Normal 58 2 4 3" xfId="48517" xr:uid="{00000000-0005-0000-0000-000014BD0000}"/>
    <cellStyle name="Normal 58 2 5" xfId="48518" xr:uid="{00000000-0005-0000-0000-000015BD0000}"/>
    <cellStyle name="Normal 58 2 6" xfId="48519" xr:uid="{00000000-0005-0000-0000-000016BD0000}"/>
    <cellStyle name="Normal 58 2 7" xfId="48520" xr:uid="{00000000-0005-0000-0000-000017BD0000}"/>
    <cellStyle name="Normal 58 2 8" xfId="48521" xr:uid="{00000000-0005-0000-0000-000018BD0000}"/>
    <cellStyle name="Normal 58 2 9" xfId="48522" xr:uid="{00000000-0005-0000-0000-000019BD0000}"/>
    <cellStyle name="Normal 58 3" xfId="48523" xr:uid="{00000000-0005-0000-0000-00001ABD0000}"/>
    <cellStyle name="Normal 58 3 2" xfId="48524" xr:uid="{00000000-0005-0000-0000-00001BBD0000}"/>
    <cellStyle name="Normal 58 3 2 2" xfId="48525" xr:uid="{00000000-0005-0000-0000-00001CBD0000}"/>
    <cellStyle name="Normal 58 3 2 3" xfId="48526" xr:uid="{00000000-0005-0000-0000-00001DBD0000}"/>
    <cellStyle name="Normal 58 3 3" xfId="48527" xr:uid="{00000000-0005-0000-0000-00001EBD0000}"/>
    <cellStyle name="Normal 58 3 3 2" xfId="48528" xr:uid="{00000000-0005-0000-0000-00001FBD0000}"/>
    <cellStyle name="Normal 58 3 4" xfId="48529" xr:uid="{00000000-0005-0000-0000-000020BD0000}"/>
    <cellStyle name="Normal 58 3 5" xfId="48530" xr:uid="{00000000-0005-0000-0000-000021BD0000}"/>
    <cellStyle name="Normal 58 3 6" xfId="48531" xr:uid="{00000000-0005-0000-0000-000022BD0000}"/>
    <cellStyle name="Normal 58 3 7" xfId="48532" xr:uid="{00000000-0005-0000-0000-000023BD0000}"/>
    <cellStyle name="Normal 58 3 8" xfId="48533" xr:uid="{00000000-0005-0000-0000-000024BD0000}"/>
    <cellStyle name="Normal 58 4" xfId="48534" xr:uid="{00000000-0005-0000-0000-000025BD0000}"/>
    <cellStyle name="Normal 58 4 2" xfId="48535" xr:uid="{00000000-0005-0000-0000-000026BD0000}"/>
    <cellStyle name="Normal 58 4 2 2" xfId="48536" xr:uid="{00000000-0005-0000-0000-000027BD0000}"/>
    <cellStyle name="Normal 58 4 3" xfId="48537" xr:uid="{00000000-0005-0000-0000-000028BD0000}"/>
    <cellStyle name="Normal 58 4 3 2" xfId="48538" xr:uid="{00000000-0005-0000-0000-000029BD0000}"/>
    <cellStyle name="Normal 58 4 4" xfId="48539" xr:uid="{00000000-0005-0000-0000-00002ABD0000}"/>
    <cellStyle name="Normal 58 4 5" xfId="48540" xr:uid="{00000000-0005-0000-0000-00002BBD0000}"/>
    <cellStyle name="Normal 58 4 6" xfId="48541" xr:uid="{00000000-0005-0000-0000-00002CBD0000}"/>
    <cellStyle name="Normal 58 4 7" xfId="48542" xr:uid="{00000000-0005-0000-0000-00002DBD0000}"/>
    <cellStyle name="Normal 58 4 8" xfId="48543" xr:uid="{00000000-0005-0000-0000-00002EBD0000}"/>
    <cellStyle name="Normal 58 5" xfId="48544" xr:uid="{00000000-0005-0000-0000-00002FBD0000}"/>
    <cellStyle name="Normal 58 6" xfId="48545" xr:uid="{00000000-0005-0000-0000-000030BD0000}"/>
    <cellStyle name="Normal 58 6 2" xfId="48546" xr:uid="{00000000-0005-0000-0000-000031BD0000}"/>
    <cellStyle name="Normal 58 7" xfId="48547" xr:uid="{00000000-0005-0000-0000-000032BD0000}"/>
    <cellStyle name="Normal 58 7 2" xfId="48548" xr:uid="{00000000-0005-0000-0000-000033BD0000}"/>
    <cellStyle name="Normal 58 8" xfId="48549" xr:uid="{00000000-0005-0000-0000-000034BD0000}"/>
    <cellStyle name="Normal 58 8 2" xfId="48550" xr:uid="{00000000-0005-0000-0000-000035BD0000}"/>
    <cellStyle name="Normal 58 9" xfId="48551" xr:uid="{00000000-0005-0000-0000-000036BD0000}"/>
    <cellStyle name="Normal 59" xfId="48552" xr:uid="{00000000-0005-0000-0000-000037BD0000}"/>
    <cellStyle name="Normal 59 2" xfId="48553" xr:uid="{00000000-0005-0000-0000-000038BD0000}"/>
    <cellStyle name="Normal 59 2 2" xfId="48554" xr:uid="{00000000-0005-0000-0000-000039BD0000}"/>
    <cellStyle name="Normal 59 2 2 2" xfId="48555" xr:uid="{00000000-0005-0000-0000-00003ABD0000}"/>
    <cellStyle name="Normal 59 2 2 3" xfId="48556" xr:uid="{00000000-0005-0000-0000-00003BBD0000}"/>
    <cellStyle name="Normal 59 2 3" xfId="48557" xr:uid="{00000000-0005-0000-0000-00003CBD0000}"/>
    <cellStyle name="Normal 59 2 4" xfId="48558" xr:uid="{00000000-0005-0000-0000-00003DBD0000}"/>
    <cellStyle name="Normal 59 2 5" xfId="48559" xr:uid="{00000000-0005-0000-0000-00003EBD0000}"/>
    <cellStyle name="Normal 59 3" xfId="48560" xr:uid="{00000000-0005-0000-0000-00003FBD0000}"/>
    <cellStyle name="Normal 59 3 2" xfId="48561" xr:uid="{00000000-0005-0000-0000-000040BD0000}"/>
    <cellStyle name="Normal 59 3 3" xfId="48562" xr:uid="{00000000-0005-0000-0000-000041BD0000}"/>
    <cellStyle name="Normal 59 4" xfId="48563" xr:uid="{00000000-0005-0000-0000-000042BD0000}"/>
    <cellStyle name="Normal 59 4 2" xfId="48564" xr:uid="{00000000-0005-0000-0000-000043BD0000}"/>
    <cellStyle name="Normal 59 5" xfId="48565" xr:uid="{00000000-0005-0000-0000-000044BD0000}"/>
    <cellStyle name="Normal 6" xfId="329" xr:uid="{00000000-0005-0000-0000-000045BD0000}"/>
    <cellStyle name="Normal 6 2" xfId="330" xr:uid="{00000000-0005-0000-0000-000046BD0000}"/>
    <cellStyle name="Normal 6 2 10" xfId="48566" xr:uid="{00000000-0005-0000-0000-000047BD0000}"/>
    <cellStyle name="Normal 6 2 10 2" xfId="48567" xr:uid="{00000000-0005-0000-0000-000048BD0000}"/>
    <cellStyle name="Normal 6 2 10 3" xfId="48568" xr:uid="{00000000-0005-0000-0000-000049BD0000}"/>
    <cellStyle name="Normal 6 2 11" xfId="48569" xr:uid="{00000000-0005-0000-0000-00004ABD0000}"/>
    <cellStyle name="Normal 6 2 11 2" xfId="48570" xr:uid="{00000000-0005-0000-0000-00004BBD0000}"/>
    <cellStyle name="Normal 6 2 11 3" xfId="48571" xr:uid="{00000000-0005-0000-0000-00004CBD0000}"/>
    <cellStyle name="Normal 6 2 12" xfId="48572" xr:uid="{00000000-0005-0000-0000-00004DBD0000}"/>
    <cellStyle name="Normal 6 2 13" xfId="48573" xr:uid="{00000000-0005-0000-0000-00004EBD0000}"/>
    <cellStyle name="Normal 6 2 14" xfId="48574" xr:uid="{00000000-0005-0000-0000-00004FBD0000}"/>
    <cellStyle name="Normal 6 2 2" xfId="48575" xr:uid="{00000000-0005-0000-0000-000050BD0000}"/>
    <cellStyle name="Normal 6 2 2 2" xfId="48576" xr:uid="{00000000-0005-0000-0000-000051BD0000}"/>
    <cellStyle name="Normal 6 2 2 2 2" xfId="48577" xr:uid="{00000000-0005-0000-0000-000052BD0000}"/>
    <cellStyle name="Normal 6 2 2 2 3" xfId="48578" xr:uid="{00000000-0005-0000-0000-000053BD0000}"/>
    <cellStyle name="Normal 6 2 2 2 4" xfId="48579" xr:uid="{00000000-0005-0000-0000-000054BD0000}"/>
    <cellStyle name="Normal 6 2 2 3" xfId="48580" xr:uid="{00000000-0005-0000-0000-000055BD0000}"/>
    <cellStyle name="Normal 6 2 2 3 2" xfId="48581" xr:uid="{00000000-0005-0000-0000-000056BD0000}"/>
    <cellStyle name="Normal 6 2 2 3 3" xfId="48582" xr:uid="{00000000-0005-0000-0000-000057BD0000}"/>
    <cellStyle name="Normal 6 2 2 4" xfId="48583" xr:uid="{00000000-0005-0000-0000-000058BD0000}"/>
    <cellStyle name="Normal 6 2 2 4 2" xfId="48584" xr:uid="{00000000-0005-0000-0000-000059BD0000}"/>
    <cellStyle name="Normal 6 2 2 4 3" xfId="48585" xr:uid="{00000000-0005-0000-0000-00005ABD0000}"/>
    <cellStyle name="Normal 6 2 2 5" xfId="48586" xr:uid="{00000000-0005-0000-0000-00005BBD0000}"/>
    <cellStyle name="Normal 6 2 2 6" xfId="48587" xr:uid="{00000000-0005-0000-0000-00005CBD0000}"/>
    <cellStyle name="Normal 6 2 2 7" xfId="48588" xr:uid="{00000000-0005-0000-0000-00005DBD0000}"/>
    <cellStyle name="Normal 6 2 2 8" xfId="48589" xr:uid="{00000000-0005-0000-0000-00005EBD0000}"/>
    <cellStyle name="Normal 6 2 3" xfId="48590" xr:uid="{00000000-0005-0000-0000-00005FBD0000}"/>
    <cellStyle name="Normal 6 2 3 2" xfId="48591" xr:uid="{00000000-0005-0000-0000-000060BD0000}"/>
    <cellStyle name="Normal 6 2 3 2 2" xfId="48592" xr:uid="{00000000-0005-0000-0000-000061BD0000}"/>
    <cellStyle name="Normal 6 2 3 2 3" xfId="48593" xr:uid="{00000000-0005-0000-0000-000062BD0000}"/>
    <cellStyle name="Normal 6 2 3 3" xfId="48594" xr:uid="{00000000-0005-0000-0000-000063BD0000}"/>
    <cellStyle name="Normal 6 2 3 3 2" xfId="48595" xr:uid="{00000000-0005-0000-0000-000064BD0000}"/>
    <cellStyle name="Normal 6 2 3 3 3" xfId="48596" xr:uid="{00000000-0005-0000-0000-000065BD0000}"/>
    <cellStyle name="Normal 6 2 3 4" xfId="48597" xr:uid="{00000000-0005-0000-0000-000066BD0000}"/>
    <cellStyle name="Normal 6 2 3 5" xfId="48598" xr:uid="{00000000-0005-0000-0000-000067BD0000}"/>
    <cellStyle name="Normal 6 2 3 6" xfId="48599" xr:uid="{00000000-0005-0000-0000-000068BD0000}"/>
    <cellStyle name="Normal 6 2 3 7" xfId="48600" xr:uid="{00000000-0005-0000-0000-000069BD0000}"/>
    <cellStyle name="Normal 6 2 3 8" xfId="48601" xr:uid="{00000000-0005-0000-0000-00006ABD0000}"/>
    <cellStyle name="Normal 6 2 4" xfId="48602" xr:uid="{00000000-0005-0000-0000-00006BBD0000}"/>
    <cellStyle name="Normal 6 2 4 2" xfId="48603" xr:uid="{00000000-0005-0000-0000-00006CBD0000}"/>
    <cellStyle name="Normal 6 2 4 2 2" xfId="48604" xr:uid="{00000000-0005-0000-0000-00006DBD0000}"/>
    <cellStyle name="Normal 6 2 4 2 3" xfId="48605" xr:uid="{00000000-0005-0000-0000-00006EBD0000}"/>
    <cellStyle name="Normal 6 2 4 3" xfId="48606" xr:uid="{00000000-0005-0000-0000-00006FBD0000}"/>
    <cellStyle name="Normal 6 2 4 3 2" xfId="48607" xr:uid="{00000000-0005-0000-0000-000070BD0000}"/>
    <cellStyle name="Normal 6 2 4 3 3" xfId="48608" xr:uid="{00000000-0005-0000-0000-000071BD0000}"/>
    <cellStyle name="Normal 6 2 4 4" xfId="48609" xr:uid="{00000000-0005-0000-0000-000072BD0000}"/>
    <cellStyle name="Normal 6 2 4 5" xfId="48610" xr:uid="{00000000-0005-0000-0000-000073BD0000}"/>
    <cellStyle name="Normal 6 2 4 6" xfId="48611" xr:uid="{00000000-0005-0000-0000-000074BD0000}"/>
    <cellStyle name="Normal 6 2 4 7" xfId="48612" xr:uid="{00000000-0005-0000-0000-000075BD0000}"/>
    <cellStyle name="Normal 6 2 5" xfId="48613" xr:uid="{00000000-0005-0000-0000-000076BD0000}"/>
    <cellStyle name="Normal 6 2 5 2" xfId="48614" xr:uid="{00000000-0005-0000-0000-000077BD0000}"/>
    <cellStyle name="Normal 6 2 5 3" xfId="48615" xr:uid="{00000000-0005-0000-0000-000078BD0000}"/>
    <cellStyle name="Normal 6 2 6" xfId="48616" xr:uid="{00000000-0005-0000-0000-000079BD0000}"/>
    <cellStyle name="Normal 6 2 6 2" xfId="48617" xr:uid="{00000000-0005-0000-0000-00007ABD0000}"/>
    <cellStyle name="Normal 6 2 6 3" xfId="48618" xr:uid="{00000000-0005-0000-0000-00007BBD0000}"/>
    <cellStyle name="Normal 6 2 7" xfId="48619" xr:uid="{00000000-0005-0000-0000-00007CBD0000}"/>
    <cellStyle name="Normal 6 2 7 2" xfId="48620" xr:uid="{00000000-0005-0000-0000-00007DBD0000}"/>
    <cellStyle name="Normal 6 2 7 3" xfId="48621" xr:uid="{00000000-0005-0000-0000-00007EBD0000}"/>
    <cellStyle name="Normal 6 2 8" xfId="48622" xr:uid="{00000000-0005-0000-0000-00007FBD0000}"/>
    <cellStyle name="Normal 6 2 8 2" xfId="48623" xr:uid="{00000000-0005-0000-0000-000080BD0000}"/>
    <cellStyle name="Normal 6 2 8 3" xfId="48624" xr:uid="{00000000-0005-0000-0000-000081BD0000}"/>
    <cellStyle name="Normal 6 2 9" xfId="48625" xr:uid="{00000000-0005-0000-0000-000082BD0000}"/>
    <cellStyle name="Normal 6 2 9 2" xfId="48626" xr:uid="{00000000-0005-0000-0000-000083BD0000}"/>
    <cellStyle name="Normal 6 2 9 3" xfId="48627" xr:uid="{00000000-0005-0000-0000-000084BD0000}"/>
    <cellStyle name="Normal 6 2_2015 Annual Rpt" xfId="48628" xr:uid="{00000000-0005-0000-0000-000085BD0000}"/>
    <cellStyle name="Normal 6 3" xfId="48629" xr:uid="{00000000-0005-0000-0000-000086BD0000}"/>
    <cellStyle name="Normal 6 3 2" xfId="48630" xr:uid="{00000000-0005-0000-0000-000087BD0000}"/>
    <cellStyle name="Normal 6 3 2 2" xfId="48631" xr:uid="{00000000-0005-0000-0000-000088BD0000}"/>
    <cellStyle name="Normal 6 3 2 2 2" xfId="48632" xr:uid="{00000000-0005-0000-0000-000089BD0000}"/>
    <cellStyle name="Normal 6 3 2 2 3" xfId="48633" xr:uid="{00000000-0005-0000-0000-00008ABD0000}"/>
    <cellStyle name="Normal 6 3 2 3" xfId="48634" xr:uid="{00000000-0005-0000-0000-00008BBD0000}"/>
    <cellStyle name="Normal 6 3 2 3 2" xfId="48635" xr:uid="{00000000-0005-0000-0000-00008CBD0000}"/>
    <cellStyle name="Normal 6 3 2 4" xfId="48636" xr:uid="{00000000-0005-0000-0000-00008DBD0000}"/>
    <cellStyle name="Normal 6 3 2 5" xfId="48637" xr:uid="{00000000-0005-0000-0000-00008EBD0000}"/>
    <cellStyle name="Normal 6 3 2 6" xfId="48638" xr:uid="{00000000-0005-0000-0000-00008FBD0000}"/>
    <cellStyle name="Normal 6 3 2 7" xfId="48639" xr:uid="{00000000-0005-0000-0000-000090BD0000}"/>
    <cellStyle name="Normal 6 3 3" xfId="48640" xr:uid="{00000000-0005-0000-0000-000091BD0000}"/>
    <cellStyle name="Normal 6 3 3 2" xfId="48641" xr:uid="{00000000-0005-0000-0000-000092BD0000}"/>
    <cellStyle name="Normal 6 3 3 3" xfId="48642" xr:uid="{00000000-0005-0000-0000-000093BD0000}"/>
    <cellStyle name="Normal 6 3 4" xfId="48643" xr:uid="{00000000-0005-0000-0000-000094BD0000}"/>
    <cellStyle name="Normal 6 3 4 2" xfId="48644" xr:uid="{00000000-0005-0000-0000-000095BD0000}"/>
    <cellStyle name="Normal 6 3 4 3" xfId="48645" xr:uid="{00000000-0005-0000-0000-000096BD0000}"/>
    <cellStyle name="Normal 6 3 5" xfId="48646" xr:uid="{00000000-0005-0000-0000-000097BD0000}"/>
    <cellStyle name="Normal 6 3 6" xfId="48647" xr:uid="{00000000-0005-0000-0000-000098BD0000}"/>
    <cellStyle name="Normal 6 3 7" xfId="48648" xr:uid="{00000000-0005-0000-0000-000099BD0000}"/>
    <cellStyle name="Normal 6 3 8" xfId="48649" xr:uid="{00000000-0005-0000-0000-00009ABD0000}"/>
    <cellStyle name="Normal 6 3 9" xfId="48650" xr:uid="{00000000-0005-0000-0000-00009BBD0000}"/>
    <cellStyle name="Normal 6 4" xfId="48651" xr:uid="{00000000-0005-0000-0000-00009CBD0000}"/>
    <cellStyle name="Normal 6 4 2" xfId="48652" xr:uid="{00000000-0005-0000-0000-00009DBD0000}"/>
    <cellStyle name="Normal 6 4 2 2" xfId="48653" xr:uid="{00000000-0005-0000-0000-00009EBD0000}"/>
    <cellStyle name="Normal 6 4 2 3" xfId="48654" xr:uid="{00000000-0005-0000-0000-00009FBD0000}"/>
    <cellStyle name="Normal 6 4 3" xfId="48655" xr:uid="{00000000-0005-0000-0000-0000A0BD0000}"/>
    <cellStyle name="Normal 6 4 3 2" xfId="48656" xr:uid="{00000000-0005-0000-0000-0000A1BD0000}"/>
    <cellStyle name="Normal 6 4 4" xfId="48657" xr:uid="{00000000-0005-0000-0000-0000A2BD0000}"/>
    <cellStyle name="Normal 6 4 4 2" xfId="48658" xr:uid="{00000000-0005-0000-0000-0000A3BD0000}"/>
    <cellStyle name="Normal 6 4 5" xfId="48659" xr:uid="{00000000-0005-0000-0000-0000A4BD0000}"/>
    <cellStyle name="Normal 6 4 5 2" xfId="48660" xr:uid="{00000000-0005-0000-0000-0000A5BD0000}"/>
    <cellStyle name="Normal 6 4 6" xfId="48661" xr:uid="{00000000-0005-0000-0000-0000A6BD0000}"/>
    <cellStyle name="Normal 6 5" xfId="48662" xr:uid="{00000000-0005-0000-0000-0000A7BD0000}"/>
    <cellStyle name="Normal 6 5 2" xfId="48663" xr:uid="{00000000-0005-0000-0000-0000A8BD0000}"/>
    <cellStyle name="Normal 6 5 2 2" xfId="48664" xr:uid="{00000000-0005-0000-0000-0000A9BD0000}"/>
    <cellStyle name="Normal 6 5 3" xfId="48665" xr:uid="{00000000-0005-0000-0000-0000AABD0000}"/>
    <cellStyle name="Normal 6 6" xfId="48666" xr:uid="{00000000-0005-0000-0000-0000ABBD0000}"/>
    <cellStyle name="Normal 6 6 2" xfId="48667" xr:uid="{00000000-0005-0000-0000-0000ACBD0000}"/>
    <cellStyle name="Normal 6 7" xfId="48668" xr:uid="{00000000-0005-0000-0000-0000ADBD0000}"/>
    <cellStyle name="Normal 6 8" xfId="48669" xr:uid="{00000000-0005-0000-0000-0000AEBD0000}"/>
    <cellStyle name="Normal 6_2015 Annual Rpt" xfId="48670" xr:uid="{00000000-0005-0000-0000-0000AFBD0000}"/>
    <cellStyle name="Normal 60" xfId="48671" xr:uid="{00000000-0005-0000-0000-0000B0BD0000}"/>
    <cellStyle name="Normal 60 10" xfId="48672" xr:uid="{00000000-0005-0000-0000-0000B1BD0000}"/>
    <cellStyle name="Normal 60 11" xfId="48673" xr:uid="{00000000-0005-0000-0000-0000B2BD0000}"/>
    <cellStyle name="Normal 60 12" xfId="48674" xr:uid="{00000000-0005-0000-0000-0000B3BD0000}"/>
    <cellStyle name="Normal 60 2" xfId="48675" xr:uid="{00000000-0005-0000-0000-0000B4BD0000}"/>
    <cellStyle name="Normal 60 2 2" xfId="48676" xr:uid="{00000000-0005-0000-0000-0000B5BD0000}"/>
    <cellStyle name="Normal 60 2 2 2" xfId="48677" xr:uid="{00000000-0005-0000-0000-0000B6BD0000}"/>
    <cellStyle name="Normal 60 2 2 3" xfId="48678" xr:uid="{00000000-0005-0000-0000-0000B7BD0000}"/>
    <cellStyle name="Normal 60 2 3" xfId="48679" xr:uid="{00000000-0005-0000-0000-0000B8BD0000}"/>
    <cellStyle name="Normal 60 2 3 2" xfId="48680" xr:uid="{00000000-0005-0000-0000-0000B9BD0000}"/>
    <cellStyle name="Normal 60 2 3 3" xfId="48681" xr:uid="{00000000-0005-0000-0000-0000BABD0000}"/>
    <cellStyle name="Normal 60 2 4" xfId="48682" xr:uid="{00000000-0005-0000-0000-0000BBBD0000}"/>
    <cellStyle name="Normal 60 2 4 2" xfId="48683" xr:uid="{00000000-0005-0000-0000-0000BCBD0000}"/>
    <cellStyle name="Normal 60 2 4 3" xfId="48684" xr:uid="{00000000-0005-0000-0000-0000BDBD0000}"/>
    <cellStyle name="Normal 60 2 5" xfId="48685" xr:uid="{00000000-0005-0000-0000-0000BEBD0000}"/>
    <cellStyle name="Normal 60 2 6" xfId="48686" xr:uid="{00000000-0005-0000-0000-0000BFBD0000}"/>
    <cellStyle name="Normal 60 2 7" xfId="48687" xr:uid="{00000000-0005-0000-0000-0000C0BD0000}"/>
    <cellStyle name="Normal 60 2 8" xfId="48688" xr:uid="{00000000-0005-0000-0000-0000C1BD0000}"/>
    <cellStyle name="Normal 60 2 9" xfId="48689" xr:uid="{00000000-0005-0000-0000-0000C2BD0000}"/>
    <cellStyle name="Normal 60 3" xfId="48690" xr:uid="{00000000-0005-0000-0000-0000C3BD0000}"/>
    <cellStyle name="Normal 60 3 2" xfId="48691" xr:uid="{00000000-0005-0000-0000-0000C4BD0000}"/>
    <cellStyle name="Normal 60 3 2 2" xfId="48692" xr:uid="{00000000-0005-0000-0000-0000C5BD0000}"/>
    <cellStyle name="Normal 60 3 2 3" xfId="48693" xr:uid="{00000000-0005-0000-0000-0000C6BD0000}"/>
    <cellStyle name="Normal 60 3 3" xfId="48694" xr:uid="{00000000-0005-0000-0000-0000C7BD0000}"/>
    <cellStyle name="Normal 60 3 3 2" xfId="48695" xr:uid="{00000000-0005-0000-0000-0000C8BD0000}"/>
    <cellStyle name="Normal 60 3 4" xfId="48696" xr:uid="{00000000-0005-0000-0000-0000C9BD0000}"/>
    <cellStyle name="Normal 60 3 5" xfId="48697" xr:uid="{00000000-0005-0000-0000-0000CABD0000}"/>
    <cellStyle name="Normal 60 3 6" xfId="48698" xr:uid="{00000000-0005-0000-0000-0000CBBD0000}"/>
    <cellStyle name="Normal 60 3 7" xfId="48699" xr:uid="{00000000-0005-0000-0000-0000CCBD0000}"/>
    <cellStyle name="Normal 60 3 8" xfId="48700" xr:uid="{00000000-0005-0000-0000-0000CDBD0000}"/>
    <cellStyle name="Normal 60 4" xfId="48701" xr:uid="{00000000-0005-0000-0000-0000CEBD0000}"/>
    <cellStyle name="Normal 60 4 2" xfId="48702" xr:uid="{00000000-0005-0000-0000-0000CFBD0000}"/>
    <cellStyle name="Normal 60 4 2 2" xfId="48703" xr:uid="{00000000-0005-0000-0000-0000D0BD0000}"/>
    <cellStyle name="Normal 60 4 3" xfId="48704" xr:uid="{00000000-0005-0000-0000-0000D1BD0000}"/>
    <cellStyle name="Normal 60 4 3 2" xfId="48705" xr:uid="{00000000-0005-0000-0000-0000D2BD0000}"/>
    <cellStyle name="Normal 60 4 4" xfId="48706" xr:uid="{00000000-0005-0000-0000-0000D3BD0000}"/>
    <cellStyle name="Normal 60 4 5" xfId="48707" xr:uid="{00000000-0005-0000-0000-0000D4BD0000}"/>
    <cellStyle name="Normal 60 4 6" xfId="48708" xr:uid="{00000000-0005-0000-0000-0000D5BD0000}"/>
    <cellStyle name="Normal 60 4 7" xfId="48709" xr:uid="{00000000-0005-0000-0000-0000D6BD0000}"/>
    <cellStyle name="Normal 60 4 8" xfId="48710" xr:uid="{00000000-0005-0000-0000-0000D7BD0000}"/>
    <cellStyle name="Normal 60 5" xfId="48711" xr:uid="{00000000-0005-0000-0000-0000D8BD0000}"/>
    <cellStyle name="Normal 60 6" xfId="48712" xr:uid="{00000000-0005-0000-0000-0000D9BD0000}"/>
    <cellStyle name="Normal 60 6 2" xfId="48713" xr:uid="{00000000-0005-0000-0000-0000DABD0000}"/>
    <cellStyle name="Normal 60 7" xfId="48714" xr:uid="{00000000-0005-0000-0000-0000DBBD0000}"/>
    <cellStyle name="Normal 60 7 2" xfId="48715" xr:uid="{00000000-0005-0000-0000-0000DCBD0000}"/>
    <cellStyle name="Normal 60 8" xfId="48716" xr:uid="{00000000-0005-0000-0000-0000DDBD0000}"/>
    <cellStyle name="Normal 60 8 2" xfId="48717" xr:uid="{00000000-0005-0000-0000-0000DEBD0000}"/>
    <cellStyle name="Normal 60 9" xfId="48718" xr:uid="{00000000-0005-0000-0000-0000DFBD0000}"/>
    <cellStyle name="Normal 61" xfId="48719" xr:uid="{00000000-0005-0000-0000-0000E0BD0000}"/>
    <cellStyle name="Normal 61 10" xfId="48720" xr:uid="{00000000-0005-0000-0000-0000E1BD0000}"/>
    <cellStyle name="Normal 61 11" xfId="48721" xr:uid="{00000000-0005-0000-0000-0000E2BD0000}"/>
    <cellStyle name="Normal 61 12" xfId="48722" xr:uid="{00000000-0005-0000-0000-0000E3BD0000}"/>
    <cellStyle name="Normal 61 2" xfId="48723" xr:uid="{00000000-0005-0000-0000-0000E4BD0000}"/>
    <cellStyle name="Normal 61 2 2" xfId="48724" xr:uid="{00000000-0005-0000-0000-0000E5BD0000}"/>
    <cellStyle name="Normal 61 2 2 2" xfId="48725" xr:uid="{00000000-0005-0000-0000-0000E6BD0000}"/>
    <cellStyle name="Normal 61 2 2 3" xfId="48726" xr:uid="{00000000-0005-0000-0000-0000E7BD0000}"/>
    <cellStyle name="Normal 61 2 3" xfId="48727" xr:uid="{00000000-0005-0000-0000-0000E8BD0000}"/>
    <cellStyle name="Normal 61 2 3 2" xfId="48728" xr:uid="{00000000-0005-0000-0000-0000E9BD0000}"/>
    <cellStyle name="Normal 61 2 3 3" xfId="48729" xr:uid="{00000000-0005-0000-0000-0000EABD0000}"/>
    <cellStyle name="Normal 61 2 4" xfId="48730" xr:uid="{00000000-0005-0000-0000-0000EBBD0000}"/>
    <cellStyle name="Normal 61 2 4 2" xfId="48731" xr:uid="{00000000-0005-0000-0000-0000ECBD0000}"/>
    <cellStyle name="Normal 61 2 4 3" xfId="48732" xr:uid="{00000000-0005-0000-0000-0000EDBD0000}"/>
    <cellStyle name="Normal 61 2 5" xfId="48733" xr:uid="{00000000-0005-0000-0000-0000EEBD0000}"/>
    <cellStyle name="Normal 61 2 6" xfId="48734" xr:uid="{00000000-0005-0000-0000-0000EFBD0000}"/>
    <cellStyle name="Normal 61 2 7" xfId="48735" xr:uid="{00000000-0005-0000-0000-0000F0BD0000}"/>
    <cellStyle name="Normal 61 2 8" xfId="48736" xr:uid="{00000000-0005-0000-0000-0000F1BD0000}"/>
    <cellStyle name="Normal 61 2 9" xfId="48737" xr:uid="{00000000-0005-0000-0000-0000F2BD0000}"/>
    <cellStyle name="Normal 61 3" xfId="48738" xr:uid="{00000000-0005-0000-0000-0000F3BD0000}"/>
    <cellStyle name="Normal 61 3 2" xfId="48739" xr:uid="{00000000-0005-0000-0000-0000F4BD0000}"/>
    <cellStyle name="Normal 61 3 2 2" xfId="48740" xr:uid="{00000000-0005-0000-0000-0000F5BD0000}"/>
    <cellStyle name="Normal 61 3 3" xfId="48741" xr:uid="{00000000-0005-0000-0000-0000F6BD0000}"/>
    <cellStyle name="Normal 61 3 3 2" xfId="48742" xr:uid="{00000000-0005-0000-0000-0000F7BD0000}"/>
    <cellStyle name="Normal 61 3 4" xfId="48743" xr:uid="{00000000-0005-0000-0000-0000F8BD0000}"/>
    <cellStyle name="Normal 61 3 5" xfId="48744" xr:uid="{00000000-0005-0000-0000-0000F9BD0000}"/>
    <cellStyle name="Normal 61 3 6" xfId="48745" xr:uid="{00000000-0005-0000-0000-0000FABD0000}"/>
    <cellStyle name="Normal 61 3 7" xfId="48746" xr:uid="{00000000-0005-0000-0000-0000FBBD0000}"/>
    <cellStyle name="Normal 61 3 8" xfId="48747" xr:uid="{00000000-0005-0000-0000-0000FCBD0000}"/>
    <cellStyle name="Normal 61 4" xfId="48748" xr:uid="{00000000-0005-0000-0000-0000FDBD0000}"/>
    <cellStyle name="Normal 61 4 2" xfId="48749" xr:uid="{00000000-0005-0000-0000-0000FEBD0000}"/>
    <cellStyle name="Normal 61 4 2 2" xfId="48750" xr:uid="{00000000-0005-0000-0000-0000FFBD0000}"/>
    <cellStyle name="Normal 61 4 3" xfId="48751" xr:uid="{00000000-0005-0000-0000-000000BE0000}"/>
    <cellStyle name="Normal 61 4 3 2" xfId="48752" xr:uid="{00000000-0005-0000-0000-000001BE0000}"/>
    <cellStyle name="Normal 61 4 4" xfId="48753" xr:uid="{00000000-0005-0000-0000-000002BE0000}"/>
    <cellStyle name="Normal 61 4 5" xfId="48754" xr:uid="{00000000-0005-0000-0000-000003BE0000}"/>
    <cellStyle name="Normal 61 4 6" xfId="48755" xr:uid="{00000000-0005-0000-0000-000004BE0000}"/>
    <cellStyle name="Normal 61 4 7" xfId="48756" xr:uid="{00000000-0005-0000-0000-000005BE0000}"/>
    <cellStyle name="Normal 61 4 8" xfId="48757" xr:uid="{00000000-0005-0000-0000-000006BE0000}"/>
    <cellStyle name="Normal 61 5" xfId="48758" xr:uid="{00000000-0005-0000-0000-000007BE0000}"/>
    <cellStyle name="Normal 61 6" xfId="48759" xr:uid="{00000000-0005-0000-0000-000008BE0000}"/>
    <cellStyle name="Normal 61 6 2" xfId="48760" xr:uid="{00000000-0005-0000-0000-000009BE0000}"/>
    <cellStyle name="Normal 61 7" xfId="48761" xr:uid="{00000000-0005-0000-0000-00000ABE0000}"/>
    <cellStyle name="Normal 61 7 2" xfId="48762" xr:uid="{00000000-0005-0000-0000-00000BBE0000}"/>
    <cellStyle name="Normal 61 8" xfId="48763" xr:uid="{00000000-0005-0000-0000-00000CBE0000}"/>
    <cellStyle name="Normal 61 8 2" xfId="48764" xr:uid="{00000000-0005-0000-0000-00000DBE0000}"/>
    <cellStyle name="Normal 61 9" xfId="48765" xr:uid="{00000000-0005-0000-0000-00000EBE0000}"/>
    <cellStyle name="Normal 62" xfId="48766" xr:uid="{00000000-0005-0000-0000-00000FBE0000}"/>
    <cellStyle name="Normal 62 2" xfId="48767" xr:uid="{00000000-0005-0000-0000-000010BE0000}"/>
    <cellStyle name="Normal 62 2 2" xfId="48768" xr:uid="{00000000-0005-0000-0000-000011BE0000}"/>
    <cellStyle name="Normal 62 2 2 2" xfId="48769" xr:uid="{00000000-0005-0000-0000-000012BE0000}"/>
    <cellStyle name="Normal 62 2 2 3" xfId="48770" xr:uid="{00000000-0005-0000-0000-000013BE0000}"/>
    <cellStyle name="Normal 62 2 3" xfId="48771" xr:uid="{00000000-0005-0000-0000-000014BE0000}"/>
    <cellStyle name="Normal 62 2 4" xfId="48772" xr:uid="{00000000-0005-0000-0000-000015BE0000}"/>
    <cellStyle name="Normal 62 2 5" xfId="48773" xr:uid="{00000000-0005-0000-0000-000016BE0000}"/>
    <cellStyle name="Normal 62 3" xfId="48774" xr:uid="{00000000-0005-0000-0000-000017BE0000}"/>
    <cellStyle name="Normal 62 3 2" xfId="48775" xr:uid="{00000000-0005-0000-0000-000018BE0000}"/>
    <cellStyle name="Normal 62 3 3" xfId="48776" xr:uid="{00000000-0005-0000-0000-000019BE0000}"/>
    <cellStyle name="Normal 62 4" xfId="48777" xr:uid="{00000000-0005-0000-0000-00001ABE0000}"/>
    <cellStyle name="Normal 62 5" xfId="48778" xr:uid="{00000000-0005-0000-0000-00001BBE0000}"/>
    <cellStyle name="Normal 63" xfId="48779" xr:uid="{00000000-0005-0000-0000-00001CBE0000}"/>
    <cellStyle name="Normal 63 10" xfId="48780" xr:uid="{00000000-0005-0000-0000-00001DBE0000}"/>
    <cellStyle name="Normal 63 11" xfId="48781" xr:uid="{00000000-0005-0000-0000-00001EBE0000}"/>
    <cellStyle name="Normal 63 2" xfId="48782" xr:uid="{00000000-0005-0000-0000-00001FBE0000}"/>
    <cellStyle name="Normal 63 2 2" xfId="48783" xr:uid="{00000000-0005-0000-0000-000020BE0000}"/>
    <cellStyle name="Normal 63 2 2 2" xfId="48784" xr:uid="{00000000-0005-0000-0000-000021BE0000}"/>
    <cellStyle name="Normal 63 2 2 3" xfId="48785" xr:uid="{00000000-0005-0000-0000-000022BE0000}"/>
    <cellStyle name="Normal 63 2 3" xfId="48786" xr:uid="{00000000-0005-0000-0000-000023BE0000}"/>
    <cellStyle name="Normal 63 2 3 2" xfId="48787" xr:uid="{00000000-0005-0000-0000-000024BE0000}"/>
    <cellStyle name="Normal 63 2 3 3" xfId="48788" xr:uid="{00000000-0005-0000-0000-000025BE0000}"/>
    <cellStyle name="Normal 63 2 4" xfId="48789" xr:uid="{00000000-0005-0000-0000-000026BE0000}"/>
    <cellStyle name="Normal 63 2 4 2" xfId="48790" xr:uid="{00000000-0005-0000-0000-000027BE0000}"/>
    <cellStyle name="Normal 63 2 5" xfId="48791" xr:uid="{00000000-0005-0000-0000-000028BE0000}"/>
    <cellStyle name="Normal 63 2 6" xfId="48792" xr:uid="{00000000-0005-0000-0000-000029BE0000}"/>
    <cellStyle name="Normal 63 2 7" xfId="48793" xr:uid="{00000000-0005-0000-0000-00002ABE0000}"/>
    <cellStyle name="Normal 63 2 8" xfId="48794" xr:uid="{00000000-0005-0000-0000-00002BBE0000}"/>
    <cellStyle name="Normal 63 2 9" xfId="48795" xr:uid="{00000000-0005-0000-0000-00002CBE0000}"/>
    <cellStyle name="Normal 63 3" xfId="48796" xr:uid="{00000000-0005-0000-0000-00002DBE0000}"/>
    <cellStyle name="Normal 63 3 2" xfId="48797" xr:uid="{00000000-0005-0000-0000-00002EBE0000}"/>
    <cellStyle name="Normal 63 3 2 2" xfId="48798" xr:uid="{00000000-0005-0000-0000-00002FBE0000}"/>
    <cellStyle name="Normal 63 3 2 3" xfId="48799" xr:uid="{00000000-0005-0000-0000-000030BE0000}"/>
    <cellStyle name="Normal 63 3 3" xfId="48800" xr:uid="{00000000-0005-0000-0000-000031BE0000}"/>
    <cellStyle name="Normal 63 3 3 2" xfId="48801" xr:uid="{00000000-0005-0000-0000-000032BE0000}"/>
    <cellStyle name="Normal 63 3 4" xfId="48802" xr:uid="{00000000-0005-0000-0000-000033BE0000}"/>
    <cellStyle name="Normal 63 3 5" xfId="48803" xr:uid="{00000000-0005-0000-0000-000034BE0000}"/>
    <cellStyle name="Normal 63 3 6" xfId="48804" xr:uid="{00000000-0005-0000-0000-000035BE0000}"/>
    <cellStyle name="Normal 63 3 7" xfId="48805" xr:uid="{00000000-0005-0000-0000-000036BE0000}"/>
    <cellStyle name="Normal 63 3 8" xfId="48806" xr:uid="{00000000-0005-0000-0000-000037BE0000}"/>
    <cellStyle name="Normal 63 4" xfId="48807" xr:uid="{00000000-0005-0000-0000-000038BE0000}"/>
    <cellStyle name="Normal 63 4 2" xfId="48808" xr:uid="{00000000-0005-0000-0000-000039BE0000}"/>
    <cellStyle name="Normal 63 4 2 2" xfId="48809" xr:uid="{00000000-0005-0000-0000-00003ABE0000}"/>
    <cellStyle name="Normal 63 4 3" xfId="48810" xr:uid="{00000000-0005-0000-0000-00003BBE0000}"/>
    <cellStyle name="Normal 63 4 3 2" xfId="48811" xr:uid="{00000000-0005-0000-0000-00003CBE0000}"/>
    <cellStyle name="Normal 63 4 4" xfId="48812" xr:uid="{00000000-0005-0000-0000-00003DBE0000}"/>
    <cellStyle name="Normal 63 4 5" xfId="48813" xr:uid="{00000000-0005-0000-0000-00003EBE0000}"/>
    <cellStyle name="Normal 63 4 6" xfId="48814" xr:uid="{00000000-0005-0000-0000-00003FBE0000}"/>
    <cellStyle name="Normal 63 4 7" xfId="48815" xr:uid="{00000000-0005-0000-0000-000040BE0000}"/>
    <cellStyle name="Normal 63 4 8" xfId="48816" xr:uid="{00000000-0005-0000-0000-000041BE0000}"/>
    <cellStyle name="Normal 63 5" xfId="48817" xr:uid="{00000000-0005-0000-0000-000042BE0000}"/>
    <cellStyle name="Normal 63 6" xfId="48818" xr:uid="{00000000-0005-0000-0000-000043BE0000}"/>
    <cellStyle name="Normal 63 6 2" xfId="48819" xr:uid="{00000000-0005-0000-0000-000044BE0000}"/>
    <cellStyle name="Normal 63 7" xfId="48820" xr:uid="{00000000-0005-0000-0000-000045BE0000}"/>
    <cellStyle name="Normal 63 7 2" xfId="48821" xr:uid="{00000000-0005-0000-0000-000046BE0000}"/>
    <cellStyle name="Normal 63 8" xfId="48822" xr:uid="{00000000-0005-0000-0000-000047BE0000}"/>
    <cellStyle name="Normal 63 8 2" xfId="48823" xr:uid="{00000000-0005-0000-0000-000048BE0000}"/>
    <cellStyle name="Normal 63 9" xfId="48824" xr:uid="{00000000-0005-0000-0000-000049BE0000}"/>
    <cellStyle name="Normal 64" xfId="48825" xr:uid="{00000000-0005-0000-0000-00004ABE0000}"/>
    <cellStyle name="Normal 64 10" xfId="48826" xr:uid="{00000000-0005-0000-0000-00004BBE0000}"/>
    <cellStyle name="Normal 64 11" xfId="48827" xr:uid="{00000000-0005-0000-0000-00004CBE0000}"/>
    <cellStyle name="Normal 64 12" xfId="48828" xr:uid="{00000000-0005-0000-0000-00004DBE0000}"/>
    <cellStyle name="Normal 64 2" xfId="48829" xr:uid="{00000000-0005-0000-0000-00004EBE0000}"/>
    <cellStyle name="Normal 64 2 2" xfId="48830" xr:uid="{00000000-0005-0000-0000-00004FBE0000}"/>
    <cellStyle name="Normal 64 2 2 2" xfId="48831" xr:uid="{00000000-0005-0000-0000-000050BE0000}"/>
    <cellStyle name="Normal 64 2 2 3" xfId="48832" xr:uid="{00000000-0005-0000-0000-000051BE0000}"/>
    <cellStyle name="Normal 64 2 3" xfId="48833" xr:uid="{00000000-0005-0000-0000-000052BE0000}"/>
    <cellStyle name="Normal 64 2 3 2" xfId="48834" xr:uid="{00000000-0005-0000-0000-000053BE0000}"/>
    <cellStyle name="Normal 64 2 3 3" xfId="48835" xr:uid="{00000000-0005-0000-0000-000054BE0000}"/>
    <cellStyle name="Normal 64 2 4" xfId="48836" xr:uid="{00000000-0005-0000-0000-000055BE0000}"/>
    <cellStyle name="Normal 64 2 4 2" xfId="48837" xr:uid="{00000000-0005-0000-0000-000056BE0000}"/>
    <cellStyle name="Normal 64 2 4 3" xfId="48838" xr:uid="{00000000-0005-0000-0000-000057BE0000}"/>
    <cellStyle name="Normal 64 2 5" xfId="48839" xr:uid="{00000000-0005-0000-0000-000058BE0000}"/>
    <cellStyle name="Normal 64 2 6" xfId="48840" xr:uid="{00000000-0005-0000-0000-000059BE0000}"/>
    <cellStyle name="Normal 64 2 7" xfId="48841" xr:uid="{00000000-0005-0000-0000-00005ABE0000}"/>
    <cellStyle name="Normal 64 2 8" xfId="48842" xr:uid="{00000000-0005-0000-0000-00005BBE0000}"/>
    <cellStyle name="Normal 64 2 9" xfId="48843" xr:uid="{00000000-0005-0000-0000-00005CBE0000}"/>
    <cellStyle name="Normal 64 3" xfId="48844" xr:uid="{00000000-0005-0000-0000-00005DBE0000}"/>
    <cellStyle name="Normal 64 3 2" xfId="48845" xr:uid="{00000000-0005-0000-0000-00005EBE0000}"/>
    <cellStyle name="Normal 64 3 2 2" xfId="48846" xr:uid="{00000000-0005-0000-0000-00005FBE0000}"/>
    <cellStyle name="Normal 64 3 3" xfId="48847" xr:uid="{00000000-0005-0000-0000-000060BE0000}"/>
    <cellStyle name="Normal 64 3 3 2" xfId="48848" xr:uid="{00000000-0005-0000-0000-000061BE0000}"/>
    <cellStyle name="Normal 64 3 4" xfId="48849" xr:uid="{00000000-0005-0000-0000-000062BE0000}"/>
    <cellStyle name="Normal 64 3 5" xfId="48850" xr:uid="{00000000-0005-0000-0000-000063BE0000}"/>
    <cellStyle name="Normal 64 3 6" xfId="48851" xr:uid="{00000000-0005-0000-0000-000064BE0000}"/>
    <cellStyle name="Normal 64 3 7" xfId="48852" xr:uid="{00000000-0005-0000-0000-000065BE0000}"/>
    <cellStyle name="Normal 64 3 8" xfId="48853" xr:uid="{00000000-0005-0000-0000-000066BE0000}"/>
    <cellStyle name="Normal 64 4" xfId="48854" xr:uid="{00000000-0005-0000-0000-000067BE0000}"/>
    <cellStyle name="Normal 64 4 2" xfId="48855" xr:uid="{00000000-0005-0000-0000-000068BE0000}"/>
    <cellStyle name="Normal 64 4 2 2" xfId="48856" xr:uid="{00000000-0005-0000-0000-000069BE0000}"/>
    <cellStyle name="Normal 64 4 3" xfId="48857" xr:uid="{00000000-0005-0000-0000-00006ABE0000}"/>
    <cellStyle name="Normal 64 4 3 2" xfId="48858" xr:uid="{00000000-0005-0000-0000-00006BBE0000}"/>
    <cellStyle name="Normal 64 4 4" xfId="48859" xr:uid="{00000000-0005-0000-0000-00006CBE0000}"/>
    <cellStyle name="Normal 64 4 5" xfId="48860" xr:uid="{00000000-0005-0000-0000-00006DBE0000}"/>
    <cellStyle name="Normal 64 4 6" xfId="48861" xr:uid="{00000000-0005-0000-0000-00006EBE0000}"/>
    <cellStyle name="Normal 64 4 7" xfId="48862" xr:uid="{00000000-0005-0000-0000-00006FBE0000}"/>
    <cellStyle name="Normal 64 4 8" xfId="48863" xr:uid="{00000000-0005-0000-0000-000070BE0000}"/>
    <cellStyle name="Normal 64 5" xfId="48864" xr:uid="{00000000-0005-0000-0000-000071BE0000}"/>
    <cellStyle name="Normal 64 6" xfId="48865" xr:uid="{00000000-0005-0000-0000-000072BE0000}"/>
    <cellStyle name="Normal 64 6 2" xfId="48866" xr:uid="{00000000-0005-0000-0000-000073BE0000}"/>
    <cellStyle name="Normal 64 7" xfId="48867" xr:uid="{00000000-0005-0000-0000-000074BE0000}"/>
    <cellStyle name="Normal 64 7 2" xfId="48868" xr:uid="{00000000-0005-0000-0000-000075BE0000}"/>
    <cellStyle name="Normal 64 8" xfId="48869" xr:uid="{00000000-0005-0000-0000-000076BE0000}"/>
    <cellStyle name="Normal 64 8 2" xfId="48870" xr:uid="{00000000-0005-0000-0000-000077BE0000}"/>
    <cellStyle name="Normal 64 9" xfId="48871" xr:uid="{00000000-0005-0000-0000-000078BE0000}"/>
    <cellStyle name="Normal 65" xfId="48872" xr:uid="{00000000-0005-0000-0000-000079BE0000}"/>
    <cellStyle name="Normal 65 10" xfId="48873" xr:uid="{00000000-0005-0000-0000-00007ABE0000}"/>
    <cellStyle name="Normal 65 11" xfId="48874" xr:uid="{00000000-0005-0000-0000-00007BBE0000}"/>
    <cellStyle name="Normal 65 2" xfId="48875" xr:uid="{00000000-0005-0000-0000-00007CBE0000}"/>
    <cellStyle name="Normal 65 2 2" xfId="48876" xr:uid="{00000000-0005-0000-0000-00007DBE0000}"/>
    <cellStyle name="Normal 65 2 2 2" xfId="48877" xr:uid="{00000000-0005-0000-0000-00007EBE0000}"/>
    <cellStyle name="Normal 65 2 2 3" xfId="48878" xr:uid="{00000000-0005-0000-0000-00007FBE0000}"/>
    <cellStyle name="Normal 65 2 3" xfId="48879" xr:uid="{00000000-0005-0000-0000-000080BE0000}"/>
    <cellStyle name="Normal 65 2 3 2" xfId="48880" xr:uid="{00000000-0005-0000-0000-000081BE0000}"/>
    <cellStyle name="Normal 65 2 3 3" xfId="48881" xr:uid="{00000000-0005-0000-0000-000082BE0000}"/>
    <cellStyle name="Normal 65 2 4" xfId="48882" xr:uid="{00000000-0005-0000-0000-000083BE0000}"/>
    <cellStyle name="Normal 65 2 4 2" xfId="48883" xr:uid="{00000000-0005-0000-0000-000084BE0000}"/>
    <cellStyle name="Normal 65 2 4 3" xfId="48884" xr:uid="{00000000-0005-0000-0000-000085BE0000}"/>
    <cellStyle name="Normal 65 2 5" xfId="48885" xr:uid="{00000000-0005-0000-0000-000086BE0000}"/>
    <cellStyle name="Normal 65 2 6" xfId="48886" xr:uid="{00000000-0005-0000-0000-000087BE0000}"/>
    <cellStyle name="Normal 65 2 7" xfId="48887" xr:uid="{00000000-0005-0000-0000-000088BE0000}"/>
    <cellStyle name="Normal 65 2 8" xfId="48888" xr:uid="{00000000-0005-0000-0000-000089BE0000}"/>
    <cellStyle name="Normal 65 2 9" xfId="48889" xr:uid="{00000000-0005-0000-0000-00008ABE0000}"/>
    <cellStyle name="Normal 65 3" xfId="48890" xr:uid="{00000000-0005-0000-0000-00008BBE0000}"/>
    <cellStyle name="Normal 65 3 2" xfId="48891" xr:uid="{00000000-0005-0000-0000-00008CBE0000}"/>
    <cellStyle name="Normal 65 3 2 2" xfId="48892" xr:uid="{00000000-0005-0000-0000-00008DBE0000}"/>
    <cellStyle name="Normal 65 3 2 3" xfId="48893" xr:uid="{00000000-0005-0000-0000-00008EBE0000}"/>
    <cellStyle name="Normal 65 3 3" xfId="48894" xr:uid="{00000000-0005-0000-0000-00008FBE0000}"/>
    <cellStyle name="Normal 65 3 3 2" xfId="48895" xr:uid="{00000000-0005-0000-0000-000090BE0000}"/>
    <cellStyle name="Normal 65 3 4" xfId="48896" xr:uid="{00000000-0005-0000-0000-000091BE0000}"/>
    <cellStyle name="Normal 65 3 5" xfId="48897" xr:uid="{00000000-0005-0000-0000-000092BE0000}"/>
    <cellStyle name="Normal 65 3 6" xfId="48898" xr:uid="{00000000-0005-0000-0000-000093BE0000}"/>
    <cellStyle name="Normal 65 3 7" xfId="48899" xr:uid="{00000000-0005-0000-0000-000094BE0000}"/>
    <cellStyle name="Normal 65 3 8" xfId="48900" xr:uid="{00000000-0005-0000-0000-000095BE0000}"/>
    <cellStyle name="Normal 65 4" xfId="48901" xr:uid="{00000000-0005-0000-0000-000096BE0000}"/>
    <cellStyle name="Normal 65 4 2" xfId="48902" xr:uid="{00000000-0005-0000-0000-000097BE0000}"/>
    <cellStyle name="Normal 65 4 2 2" xfId="48903" xr:uid="{00000000-0005-0000-0000-000098BE0000}"/>
    <cellStyle name="Normal 65 4 3" xfId="48904" xr:uid="{00000000-0005-0000-0000-000099BE0000}"/>
    <cellStyle name="Normal 65 4 3 2" xfId="48905" xr:uid="{00000000-0005-0000-0000-00009ABE0000}"/>
    <cellStyle name="Normal 65 4 4" xfId="48906" xr:uid="{00000000-0005-0000-0000-00009BBE0000}"/>
    <cellStyle name="Normal 65 4 5" xfId="48907" xr:uid="{00000000-0005-0000-0000-00009CBE0000}"/>
    <cellStyle name="Normal 65 4 6" xfId="48908" xr:uid="{00000000-0005-0000-0000-00009DBE0000}"/>
    <cellStyle name="Normal 65 4 7" xfId="48909" xr:uid="{00000000-0005-0000-0000-00009EBE0000}"/>
    <cellStyle name="Normal 65 4 8" xfId="48910" xr:uid="{00000000-0005-0000-0000-00009FBE0000}"/>
    <cellStyle name="Normal 65 5" xfId="48911" xr:uid="{00000000-0005-0000-0000-0000A0BE0000}"/>
    <cellStyle name="Normal 65 6" xfId="48912" xr:uid="{00000000-0005-0000-0000-0000A1BE0000}"/>
    <cellStyle name="Normal 65 6 2" xfId="48913" xr:uid="{00000000-0005-0000-0000-0000A2BE0000}"/>
    <cellStyle name="Normal 65 7" xfId="48914" xr:uid="{00000000-0005-0000-0000-0000A3BE0000}"/>
    <cellStyle name="Normal 65 7 2" xfId="48915" xr:uid="{00000000-0005-0000-0000-0000A4BE0000}"/>
    <cellStyle name="Normal 65 8" xfId="48916" xr:uid="{00000000-0005-0000-0000-0000A5BE0000}"/>
    <cellStyle name="Normal 65 8 2" xfId="48917" xr:uid="{00000000-0005-0000-0000-0000A6BE0000}"/>
    <cellStyle name="Normal 65 9" xfId="48918" xr:uid="{00000000-0005-0000-0000-0000A7BE0000}"/>
    <cellStyle name="Normal 66" xfId="48919" xr:uid="{00000000-0005-0000-0000-0000A8BE0000}"/>
    <cellStyle name="Normal 66 10" xfId="48920" xr:uid="{00000000-0005-0000-0000-0000A9BE0000}"/>
    <cellStyle name="Normal 66 11" xfId="48921" xr:uid="{00000000-0005-0000-0000-0000AABE0000}"/>
    <cellStyle name="Normal 66 12" xfId="48922" xr:uid="{00000000-0005-0000-0000-0000ABBE0000}"/>
    <cellStyle name="Normal 66 2" xfId="48923" xr:uid="{00000000-0005-0000-0000-0000ACBE0000}"/>
    <cellStyle name="Normal 66 2 2" xfId="48924" xr:uid="{00000000-0005-0000-0000-0000ADBE0000}"/>
    <cellStyle name="Normal 66 2 2 2" xfId="48925" xr:uid="{00000000-0005-0000-0000-0000AEBE0000}"/>
    <cellStyle name="Normal 66 2 2 3" xfId="48926" xr:uid="{00000000-0005-0000-0000-0000AFBE0000}"/>
    <cellStyle name="Normal 66 2 3" xfId="48927" xr:uid="{00000000-0005-0000-0000-0000B0BE0000}"/>
    <cellStyle name="Normal 66 2 3 2" xfId="48928" xr:uid="{00000000-0005-0000-0000-0000B1BE0000}"/>
    <cellStyle name="Normal 66 2 3 3" xfId="48929" xr:uid="{00000000-0005-0000-0000-0000B2BE0000}"/>
    <cellStyle name="Normal 66 2 4" xfId="48930" xr:uid="{00000000-0005-0000-0000-0000B3BE0000}"/>
    <cellStyle name="Normal 66 2 4 2" xfId="48931" xr:uid="{00000000-0005-0000-0000-0000B4BE0000}"/>
    <cellStyle name="Normal 66 2 4 3" xfId="48932" xr:uid="{00000000-0005-0000-0000-0000B5BE0000}"/>
    <cellStyle name="Normal 66 2 5" xfId="48933" xr:uid="{00000000-0005-0000-0000-0000B6BE0000}"/>
    <cellStyle name="Normal 66 2 6" xfId="48934" xr:uid="{00000000-0005-0000-0000-0000B7BE0000}"/>
    <cellStyle name="Normal 66 2 7" xfId="48935" xr:uid="{00000000-0005-0000-0000-0000B8BE0000}"/>
    <cellStyle name="Normal 66 2 8" xfId="48936" xr:uid="{00000000-0005-0000-0000-0000B9BE0000}"/>
    <cellStyle name="Normal 66 2 9" xfId="48937" xr:uid="{00000000-0005-0000-0000-0000BABE0000}"/>
    <cellStyle name="Normal 66 3" xfId="48938" xr:uid="{00000000-0005-0000-0000-0000BBBE0000}"/>
    <cellStyle name="Normal 66 3 2" xfId="48939" xr:uid="{00000000-0005-0000-0000-0000BCBE0000}"/>
    <cellStyle name="Normal 66 3 2 2" xfId="48940" xr:uid="{00000000-0005-0000-0000-0000BDBE0000}"/>
    <cellStyle name="Normal 66 3 2 3" xfId="48941" xr:uid="{00000000-0005-0000-0000-0000BEBE0000}"/>
    <cellStyle name="Normal 66 3 3" xfId="48942" xr:uid="{00000000-0005-0000-0000-0000BFBE0000}"/>
    <cellStyle name="Normal 66 3 3 2" xfId="48943" xr:uid="{00000000-0005-0000-0000-0000C0BE0000}"/>
    <cellStyle name="Normal 66 3 4" xfId="48944" xr:uid="{00000000-0005-0000-0000-0000C1BE0000}"/>
    <cellStyle name="Normal 66 3 5" xfId="48945" xr:uid="{00000000-0005-0000-0000-0000C2BE0000}"/>
    <cellStyle name="Normal 66 3 6" xfId="48946" xr:uid="{00000000-0005-0000-0000-0000C3BE0000}"/>
    <cellStyle name="Normal 66 3 7" xfId="48947" xr:uid="{00000000-0005-0000-0000-0000C4BE0000}"/>
    <cellStyle name="Normal 66 3 8" xfId="48948" xr:uid="{00000000-0005-0000-0000-0000C5BE0000}"/>
    <cellStyle name="Normal 66 4" xfId="48949" xr:uid="{00000000-0005-0000-0000-0000C6BE0000}"/>
    <cellStyle name="Normal 66 4 2" xfId="48950" xr:uid="{00000000-0005-0000-0000-0000C7BE0000}"/>
    <cellStyle name="Normal 66 4 2 2" xfId="48951" xr:uid="{00000000-0005-0000-0000-0000C8BE0000}"/>
    <cellStyle name="Normal 66 4 3" xfId="48952" xr:uid="{00000000-0005-0000-0000-0000C9BE0000}"/>
    <cellStyle name="Normal 66 4 3 2" xfId="48953" xr:uid="{00000000-0005-0000-0000-0000CABE0000}"/>
    <cellStyle name="Normal 66 4 4" xfId="48954" xr:uid="{00000000-0005-0000-0000-0000CBBE0000}"/>
    <cellStyle name="Normal 66 4 5" xfId="48955" xr:uid="{00000000-0005-0000-0000-0000CCBE0000}"/>
    <cellStyle name="Normal 66 4 6" xfId="48956" xr:uid="{00000000-0005-0000-0000-0000CDBE0000}"/>
    <cellStyle name="Normal 66 4 7" xfId="48957" xr:uid="{00000000-0005-0000-0000-0000CEBE0000}"/>
    <cellStyle name="Normal 66 4 8" xfId="48958" xr:uid="{00000000-0005-0000-0000-0000CFBE0000}"/>
    <cellStyle name="Normal 66 5" xfId="48959" xr:uid="{00000000-0005-0000-0000-0000D0BE0000}"/>
    <cellStyle name="Normal 66 6" xfId="48960" xr:uid="{00000000-0005-0000-0000-0000D1BE0000}"/>
    <cellStyle name="Normal 66 6 2" xfId="48961" xr:uid="{00000000-0005-0000-0000-0000D2BE0000}"/>
    <cellStyle name="Normal 66 7" xfId="48962" xr:uid="{00000000-0005-0000-0000-0000D3BE0000}"/>
    <cellStyle name="Normal 66 7 2" xfId="48963" xr:uid="{00000000-0005-0000-0000-0000D4BE0000}"/>
    <cellStyle name="Normal 66 8" xfId="48964" xr:uid="{00000000-0005-0000-0000-0000D5BE0000}"/>
    <cellStyle name="Normal 66 8 2" xfId="48965" xr:uid="{00000000-0005-0000-0000-0000D6BE0000}"/>
    <cellStyle name="Normal 66 9" xfId="48966" xr:uid="{00000000-0005-0000-0000-0000D7BE0000}"/>
    <cellStyle name="Normal 67" xfId="48967" xr:uid="{00000000-0005-0000-0000-0000D8BE0000}"/>
    <cellStyle name="Normal 67 10" xfId="48968" xr:uid="{00000000-0005-0000-0000-0000D9BE0000}"/>
    <cellStyle name="Normal 67 11" xfId="48969" xr:uid="{00000000-0005-0000-0000-0000DABE0000}"/>
    <cellStyle name="Normal 67 12" xfId="48970" xr:uid="{00000000-0005-0000-0000-0000DBBE0000}"/>
    <cellStyle name="Normal 67 2" xfId="48971" xr:uid="{00000000-0005-0000-0000-0000DCBE0000}"/>
    <cellStyle name="Normal 67 2 2" xfId="48972" xr:uid="{00000000-0005-0000-0000-0000DDBE0000}"/>
    <cellStyle name="Normal 67 2 2 2" xfId="48973" xr:uid="{00000000-0005-0000-0000-0000DEBE0000}"/>
    <cellStyle name="Normal 67 2 2 3" xfId="48974" xr:uid="{00000000-0005-0000-0000-0000DFBE0000}"/>
    <cellStyle name="Normal 67 2 3" xfId="48975" xr:uid="{00000000-0005-0000-0000-0000E0BE0000}"/>
    <cellStyle name="Normal 67 2 3 2" xfId="48976" xr:uid="{00000000-0005-0000-0000-0000E1BE0000}"/>
    <cellStyle name="Normal 67 2 3 3" xfId="48977" xr:uid="{00000000-0005-0000-0000-0000E2BE0000}"/>
    <cellStyle name="Normal 67 2 4" xfId="48978" xr:uid="{00000000-0005-0000-0000-0000E3BE0000}"/>
    <cellStyle name="Normal 67 2 4 2" xfId="48979" xr:uid="{00000000-0005-0000-0000-0000E4BE0000}"/>
    <cellStyle name="Normal 67 2 5" xfId="48980" xr:uid="{00000000-0005-0000-0000-0000E5BE0000}"/>
    <cellStyle name="Normal 67 2 6" xfId="48981" xr:uid="{00000000-0005-0000-0000-0000E6BE0000}"/>
    <cellStyle name="Normal 67 2 7" xfId="48982" xr:uid="{00000000-0005-0000-0000-0000E7BE0000}"/>
    <cellStyle name="Normal 67 2 8" xfId="48983" xr:uid="{00000000-0005-0000-0000-0000E8BE0000}"/>
    <cellStyle name="Normal 67 2 9" xfId="48984" xr:uid="{00000000-0005-0000-0000-0000E9BE0000}"/>
    <cellStyle name="Normal 67 3" xfId="48985" xr:uid="{00000000-0005-0000-0000-0000EABE0000}"/>
    <cellStyle name="Normal 67 3 2" xfId="48986" xr:uid="{00000000-0005-0000-0000-0000EBBE0000}"/>
    <cellStyle name="Normal 67 3 2 2" xfId="48987" xr:uid="{00000000-0005-0000-0000-0000ECBE0000}"/>
    <cellStyle name="Normal 67 3 3" xfId="48988" xr:uid="{00000000-0005-0000-0000-0000EDBE0000}"/>
    <cellStyle name="Normal 67 3 3 2" xfId="48989" xr:uid="{00000000-0005-0000-0000-0000EEBE0000}"/>
    <cellStyle name="Normal 67 3 4" xfId="48990" xr:uid="{00000000-0005-0000-0000-0000EFBE0000}"/>
    <cellStyle name="Normal 67 3 5" xfId="48991" xr:uid="{00000000-0005-0000-0000-0000F0BE0000}"/>
    <cellStyle name="Normal 67 3 6" xfId="48992" xr:uid="{00000000-0005-0000-0000-0000F1BE0000}"/>
    <cellStyle name="Normal 67 3 7" xfId="48993" xr:uid="{00000000-0005-0000-0000-0000F2BE0000}"/>
    <cellStyle name="Normal 67 3 8" xfId="48994" xr:uid="{00000000-0005-0000-0000-0000F3BE0000}"/>
    <cellStyle name="Normal 67 4" xfId="48995" xr:uid="{00000000-0005-0000-0000-0000F4BE0000}"/>
    <cellStyle name="Normal 67 4 2" xfId="48996" xr:uid="{00000000-0005-0000-0000-0000F5BE0000}"/>
    <cellStyle name="Normal 67 4 2 2" xfId="48997" xr:uid="{00000000-0005-0000-0000-0000F6BE0000}"/>
    <cellStyle name="Normal 67 4 3" xfId="48998" xr:uid="{00000000-0005-0000-0000-0000F7BE0000}"/>
    <cellStyle name="Normal 67 4 3 2" xfId="48999" xr:uid="{00000000-0005-0000-0000-0000F8BE0000}"/>
    <cellStyle name="Normal 67 4 4" xfId="49000" xr:uid="{00000000-0005-0000-0000-0000F9BE0000}"/>
    <cellStyle name="Normal 67 4 5" xfId="49001" xr:uid="{00000000-0005-0000-0000-0000FABE0000}"/>
    <cellStyle name="Normal 67 4 6" xfId="49002" xr:uid="{00000000-0005-0000-0000-0000FBBE0000}"/>
    <cellStyle name="Normal 67 4 7" xfId="49003" xr:uid="{00000000-0005-0000-0000-0000FCBE0000}"/>
    <cellStyle name="Normal 67 4 8" xfId="49004" xr:uid="{00000000-0005-0000-0000-0000FDBE0000}"/>
    <cellStyle name="Normal 67 5" xfId="49005" xr:uid="{00000000-0005-0000-0000-0000FEBE0000}"/>
    <cellStyle name="Normal 67 6" xfId="49006" xr:uid="{00000000-0005-0000-0000-0000FFBE0000}"/>
    <cellStyle name="Normal 67 6 2" xfId="49007" xr:uid="{00000000-0005-0000-0000-000000BF0000}"/>
    <cellStyle name="Normal 67 7" xfId="49008" xr:uid="{00000000-0005-0000-0000-000001BF0000}"/>
    <cellStyle name="Normal 67 7 2" xfId="49009" xr:uid="{00000000-0005-0000-0000-000002BF0000}"/>
    <cellStyle name="Normal 67 8" xfId="49010" xr:uid="{00000000-0005-0000-0000-000003BF0000}"/>
    <cellStyle name="Normal 67 8 2" xfId="49011" xr:uid="{00000000-0005-0000-0000-000004BF0000}"/>
    <cellStyle name="Normal 67 9" xfId="49012" xr:uid="{00000000-0005-0000-0000-000005BF0000}"/>
    <cellStyle name="Normal 68" xfId="49013" xr:uid="{00000000-0005-0000-0000-000006BF0000}"/>
    <cellStyle name="Normal 68 10" xfId="49014" xr:uid="{00000000-0005-0000-0000-000007BF0000}"/>
    <cellStyle name="Normal 68 11" xfId="49015" xr:uid="{00000000-0005-0000-0000-000008BF0000}"/>
    <cellStyle name="Normal 68 12" xfId="49016" xr:uid="{00000000-0005-0000-0000-000009BF0000}"/>
    <cellStyle name="Normal 68 2" xfId="49017" xr:uid="{00000000-0005-0000-0000-00000ABF0000}"/>
    <cellStyle name="Normal 68 2 2" xfId="49018" xr:uid="{00000000-0005-0000-0000-00000BBF0000}"/>
    <cellStyle name="Normal 68 2 2 2" xfId="49019" xr:uid="{00000000-0005-0000-0000-00000CBF0000}"/>
    <cellStyle name="Normal 68 2 2 3" xfId="49020" xr:uid="{00000000-0005-0000-0000-00000DBF0000}"/>
    <cellStyle name="Normal 68 2 3" xfId="49021" xr:uid="{00000000-0005-0000-0000-00000EBF0000}"/>
    <cellStyle name="Normal 68 2 3 2" xfId="49022" xr:uid="{00000000-0005-0000-0000-00000FBF0000}"/>
    <cellStyle name="Normal 68 2 3 3" xfId="49023" xr:uid="{00000000-0005-0000-0000-000010BF0000}"/>
    <cellStyle name="Normal 68 2 4" xfId="49024" xr:uid="{00000000-0005-0000-0000-000011BF0000}"/>
    <cellStyle name="Normal 68 2 4 2" xfId="49025" xr:uid="{00000000-0005-0000-0000-000012BF0000}"/>
    <cellStyle name="Normal 68 2 5" xfId="49026" xr:uid="{00000000-0005-0000-0000-000013BF0000}"/>
    <cellStyle name="Normal 68 2 6" xfId="49027" xr:uid="{00000000-0005-0000-0000-000014BF0000}"/>
    <cellStyle name="Normal 68 2 7" xfId="49028" xr:uid="{00000000-0005-0000-0000-000015BF0000}"/>
    <cellStyle name="Normal 68 2 8" xfId="49029" xr:uid="{00000000-0005-0000-0000-000016BF0000}"/>
    <cellStyle name="Normal 68 2 9" xfId="49030" xr:uid="{00000000-0005-0000-0000-000017BF0000}"/>
    <cellStyle name="Normal 68 3" xfId="49031" xr:uid="{00000000-0005-0000-0000-000018BF0000}"/>
    <cellStyle name="Normal 68 3 2" xfId="49032" xr:uid="{00000000-0005-0000-0000-000019BF0000}"/>
    <cellStyle name="Normal 68 3 2 2" xfId="49033" xr:uid="{00000000-0005-0000-0000-00001ABF0000}"/>
    <cellStyle name="Normal 68 3 3" xfId="49034" xr:uid="{00000000-0005-0000-0000-00001BBF0000}"/>
    <cellStyle name="Normal 68 3 3 2" xfId="49035" xr:uid="{00000000-0005-0000-0000-00001CBF0000}"/>
    <cellStyle name="Normal 68 3 4" xfId="49036" xr:uid="{00000000-0005-0000-0000-00001DBF0000}"/>
    <cellStyle name="Normal 68 3 5" xfId="49037" xr:uid="{00000000-0005-0000-0000-00001EBF0000}"/>
    <cellStyle name="Normal 68 3 6" xfId="49038" xr:uid="{00000000-0005-0000-0000-00001FBF0000}"/>
    <cellStyle name="Normal 68 3 7" xfId="49039" xr:uid="{00000000-0005-0000-0000-000020BF0000}"/>
    <cellStyle name="Normal 68 3 8" xfId="49040" xr:uid="{00000000-0005-0000-0000-000021BF0000}"/>
    <cellStyle name="Normal 68 4" xfId="49041" xr:uid="{00000000-0005-0000-0000-000022BF0000}"/>
    <cellStyle name="Normal 68 4 2" xfId="49042" xr:uid="{00000000-0005-0000-0000-000023BF0000}"/>
    <cellStyle name="Normal 68 4 2 2" xfId="49043" xr:uid="{00000000-0005-0000-0000-000024BF0000}"/>
    <cellStyle name="Normal 68 4 3" xfId="49044" xr:uid="{00000000-0005-0000-0000-000025BF0000}"/>
    <cellStyle name="Normal 68 4 3 2" xfId="49045" xr:uid="{00000000-0005-0000-0000-000026BF0000}"/>
    <cellStyle name="Normal 68 4 4" xfId="49046" xr:uid="{00000000-0005-0000-0000-000027BF0000}"/>
    <cellStyle name="Normal 68 4 5" xfId="49047" xr:uid="{00000000-0005-0000-0000-000028BF0000}"/>
    <cellStyle name="Normal 68 4 6" xfId="49048" xr:uid="{00000000-0005-0000-0000-000029BF0000}"/>
    <cellStyle name="Normal 68 4 7" xfId="49049" xr:uid="{00000000-0005-0000-0000-00002ABF0000}"/>
    <cellStyle name="Normal 68 4 8" xfId="49050" xr:uid="{00000000-0005-0000-0000-00002BBF0000}"/>
    <cellStyle name="Normal 68 5" xfId="49051" xr:uid="{00000000-0005-0000-0000-00002CBF0000}"/>
    <cellStyle name="Normal 68 6" xfId="49052" xr:uid="{00000000-0005-0000-0000-00002DBF0000}"/>
    <cellStyle name="Normal 68 6 2" xfId="49053" xr:uid="{00000000-0005-0000-0000-00002EBF0000}"/>
    <cellStyle name="Normal 68 7" xfId="49054" xr:uid="{00000000-0005-0000-0000-00002FBF0000}"/>
    <cellStyle name="Normal 68 7 2" xfId="49055" xr:uid="{00000000-0005-0000-0000-000030BF0000}"/>
    <cellStyle name="Normal 68 8" xfId="49056" xr:uid="{00000000-0005-0000-0000-000031BF0000}"/>
    <cellStyle name="Normal 68 8 2" xfId="49057" xr:uid="{00000000-0005-0000-0000-000032BF0000}"/>
    <cellStyle name="Normal 68 9" xfId="49058" xr:uid="{00000000-0005-0000-0000-000033BF0000}"/>
    <cellStyle name="Normal 69" xfId="49059" xr:uid="{00000000-0005-0000-0000-000034BF0000}"/>
    <cellStyle name="Normal 69 10" xfId="49060" xr:uid="{00000000-0005-0000-0000-000035BF0000}"/>
    <cellStyle name="Normal 69 11" xfId="49061" xr:uid="{00000000-0005-0000-0000-000036BF0000}"/>
    <cellStyle name="Normal 69 12" xfId="49062" xr:uid="{00000000-0005-0000-0000-000037BF0000}"/>
    <cellStyle name="Normal 69 2" xfId="49063" xr:uid="{00000000-0005-0000-0000-000038BF0000}"/>
    <cellStyle name="Normal 69 2 2" xfId="49064" xr:uid="{00000000-0005-0000-0000-000039BF0000}"/>
    <cellStyle name="Normal 69 2 2 2" xfId="49065" xr:uid="{00000000-0005-0000-0000-00003ABF0000}"/>
    <cellStyle name="Normal 69 2 2 3" xfId="49066" xr:uid="{00000000-0005-0000-0000-00003BBF0000}"/>
    <cellStyle name="Normal 69 2 3" xfId="49067" xr:uid="{00000000-0005-0000-0000-00003CBF0000}"/>
    <cellStyle name="Normal 69 2 3 2" xfId="49068" xr:uid="{00000000-0005-0000-0000-00003DBF0000}"/>
    <cellStyle name="Normal 69 2 3 3" xfId="49069" xr:uid="{00000000-0005-0000-0000-00003EBF0000}"/>
    <cellStyle name="Normal 69 2 4" xfId="49070" xr:uid="{00000000-0005-0000-0000-00003FBF0000}"/>
    <cellStyle name="Normal 69 2 4 2" xfId="49071" xr:uid="{00000000-0005-0000-0000-000040BF0000}"/>
    <cellStyle name="Normal 69 2 5" xfId="49072" xr:uid="{00000000-0005-0000-0000-000041BF0000}"/>
    <cellStyle name="Normal 69 2 6" xfId="49073" xr:uid="{00000000-0005-0000-0000-000042BF0000}"/>
    <cellStyle name="Normal 69 2 7" xfId="49074" xr:uid="{00000000-0005-0000-0000-000043BF0000}"/>
    <cellStyle name="Normal 69 2 8" xfId="49075" xr:uid="{00000000-0005-0000-0000-000044BF0000}"/>
    <cellStyle name="Normal 69 2 9" xfId="49076" xr:uid="{00000000-0005-0000-0000-000045BF0000}"/>
    <cellStyle name="Normal 69 3" xfId="49077" xr:uid="{00000000-0005-0000-0000-000046BF0000}"/>
    <cellStyle name="Normal 69 3 2" xfId="49078" xr:uid="{00000000-0005-0000-0000-000047BF0000}"/>
    <cellStyle name="Normal 69 3 2 2" xfId="49079" xr:uid="{00000000-0005-0000-0000-000048BF0000}"/>
    <cellStyle name="Normal 69 3 3" xfId="49080" xr:uid="{00000000-0005-0000-0000-000049BF0000}"/>
    <cellStyle name="Normal 69 3 3 2" xfId="49081" xr:uid="{00000000-0005-0000-0000-00004ABF0000}"/>
    <cellStyle name="Normal 69 3 4" xfId="49082" xr:uid="{00000000-0005-0000-0000-00004BBF0000}"/>
    <cellStyle name="Normal 69 3 5" xfId="49083" xr:uid="{00000000-0005-0000-0000-00004CBF0000}"/>
    <cellStyle name="Normal 69 3 6" xfId="49084" xr:uid="{00000000-0005-0000-0000-00004DBF0000}"/>
    <cellStyle name="Normal 69 3 7" xfId="49085" xr:uid="{00000000-0005-0000-0000-00004EBF0000}"/>
    <cellStyle name="Normal 69 3 8" xfId="49086" xr:uid="{00000000-0005-0000-0000-00004FBF0000}"/>
    <cellStyle name="Normal 69 4" xfId="49087" xr:uid="{00000000-0005-0000-0000-000050BF0000}"/>
    <cellStyle name="Normal 69 4 2" xfId="49088" xr:uid="{00000000-0005-0000-0000-000051BF0000}"/>
    <cellStyle name="Normal 69 4 2 2" xfId="49089" xr:uid="{00000000-0005-0000-0000-000052BF0000}"/>
    <cellStyle name="Normal 69 4 3" xfId="49090" xr:uid="{00000000-0005-0000-0000-000053BF0000}"/>
    <cellStyle name="Normal 69 4 3 2" xfId="49091" xr:uid="{00000000-0005-0000-0000-000054BF0000}"/>
    <cellStyle name="Normal 69 4 4" xfId="49092" xr:uid="{00000000-0005-0000-0000-000055BF0000}"/>
    <cellStyle name="Normal 69 4 5" xfId="49093" xr:uid="{00000000-0005-0000-0000-000056BF0000}"/>
    <cellStyle name="Normal 69 4 6" xfId="49094" xr:uid="{00000000-0005-0000-0000-000057BF0000}"/>
    <cellStyle name="Normal 69 4 7" xfId="49095" xr:uid="{00000000-0005-0000-0000-000058BF0000}"/>
    <cellStyle name="Normal 69 4 8" xfId="49096" xr:uid="{00000000-0005-0000-0000-000059BF0000}"/>
    <cellStyle name="Normal 69 5" xfId="49097" xr:uid="{00000000-0005-0000-0000-00005ABF0000}"/>
    <cellStyle name="Normal 69 6" xfId="49098" xr:uid="{00000000-0005-0000-0000-00005BBF0000}"/>
    <cellStyle name="Normal 69 6 2" xfId="49099" xr:uid="{00000000-0005-0000-0000-00005CBF0000}"/>
    <cellStyle name="Normal 69 7" xfId="49100" xr:uid="{00000000-0005-0000-0000-00005DBF0000}"/>
    <cellStyle name="Normal 69 7 2" xfId="49101" xr:uid="{00000000-0005-0000-0000-00005EBF0000}"/>
    <cellStyle name="Normal 69 8" xfId="49102" xr:uid="{00000000-0005-0000-0000-00005FBF0000}"/>
    <cellStyle name="Normal 69 8 2" xfId="49103" xr:uid="{00000000-0005-0000-0000-000060BF0000}"/>
    <cellStyle name="Normal 69 9" xfId="49104" xr:uid="{00000000-0005-0000-0000-000061BF0000}"/>
    <cellStyle name="Normal 7" xfId="331" xr:uid="{00000000-0005-0000-0000-000062BF0000}"/>
    <cellStyle name="Normal 7 10" xfId="49105" xr:uid="{00000000-0005-0000-0000-000063BF0000}"/>
    <cellStyle name="Normal 7 10 2" xfId="49106" xr:uid="{00000000-0005-0000-0000-000064BF0000}"/>
    <cellStyle name="Normal 7 10 2 2" xfId="49107" xr:uid="{00000000-0005-0000-0000-000065BF0000}"/>
    <cellStyle name="Normal 7 10 2 2 2" xfId="49108" xr:uid="{00000000-0005-0000-0000-000066BF0000}"/>
    <cellStyle name="Normal 7 10 2 2 3" xfId="49109" xr:uid="{00000000-0005-0000-0000-000067BF0000}"/>
    <cellStyle name="Normal 7 10 2 3" xfId="49110" xr:uid="{00000000-0005-0000-0000-000068BF0000}"/>
    <cellStyle name="Normal 7 10 2 4" xfId="49111" xr:uid="{00000000-0005-0000-0000-000069BF0000}"/>
    <cellStyle name="Normal 7 10 3" xfId="49112" xr:uid="{00000000-0005-0000-0000-00006ABF0000}"/>
    <cellStyle name="Normal 7 10 3 2" xfId="49113" xr:uid="{00000000-0005-0000-0000-00006BBF0000}"/>
    <cellStyle name="Normal 7 10 3 3" xfId="49114" xr:uid="{00000000-0005-0000-0000-00006CBF0000}"/>
    <cellStyle name="Normal 7 10 4" xfId="49115" xr:uid="{00000000-0005-0000-0000-00006DBF0000}"/>
    <cellStyle name="Normal 7 11" xfId="49116" xr:uid="{00000000-0005-0000-0000-00006EBF0000}"/>
    <cellStyle name="Normal 7 11 2" xfId="49117" xr:uid="{00000000-0005-0000-0000-00006FBF0000}"/>
    <cellStyle name="Normal 7 11 2 2" xfId="49118" xr:uid="{00000000-0005-0000-0000-000070BF0000}"/>
    <cellStyle name="Normal 7 11 2 2 2" xfId="49119" xr:uid="{00000000-0005-0000-0000-000071BF0000}"/>
    <cellStyle name="Normal 7 11 2 2 3" xfId="49120" xr:uid="{00000000-0005-0000-0000-000072BF0000}"/>
    <cellStyle name="Normal 7 11 2 3" xfId="49121" xr:uid="{00000000-0005-0000-0000-000073BF0000}"/>
    <cellStyle name="Normal 7 11 2 4" xfId="49122" xr:uid="{00000000-0005-0000-0000-000074BF0000}"/>
    <cellStyle name="Normal 7 11 3" xfId="49123" xr:uid="{00000000-0005-0000-0000-000075BF0000}"/>
    <cellStyle name="Normal 7 11 3 2" xfId="49124" xr:uid="{00000000-0005-0000-0000-000076BF0000}"/>
    <cellStyle name="Normal 7 11 3 3" xfId="49125" xr:uid="{00000000-0005-0000-0000-000077BF0000}"/>
    <cellStyle name="Normal 7 11 4" xfId="49126" xr:uid="{00000000-0005-0000-0000-000078BF0000}"/>
    <cellStyle name="Normal 7 12" xfId="49127" xr:uid="{00000000-0005-0000-0000-000079BF0000}"/>
    <cellStyle name="Normal 7 12 2" xfId="49128" xr:uid="{00000000-0005-0000-0000-00007ABF0000}"/>
    <cellStyle name="Normal 7 12 2 2" xfId="49129" xr:uid="{00000000-0005-0000-0000-00007BBF0000}"/>
    <cellStyle name="Normal 7 12 2 2 2" xfId="49130" xr:uid="{00000000-0005-0000-0000-00007CBF0000}"/>
    <cellStyle name="Normal 7 12 2 2 3" xfId="49131" xr:uid="{00000000-0005-0000-0000-00007DBF0000}"/>
    <cellStyle name="Normal 7 12 2 3" xfId="49132" xr:uid="{00000000-0005-0000-0000-00007EBF0000}"/>
    <cellStyle name="Normal 7 12 2 4" xfId="49133" xr:uid="{00000000-0005-0000-0000-00007FBF0000}"/>
    <cellStyle name="Normal 7 12 3" xfId="49134" xr:uid="{00000000-0005-0000-0000-000080BF0000}"/>
    <cellStyle name="Normal 7 12 3 2" xfId="49135" xr:uid="{00000000-0005-0000-0000-000081BF0000}"/>
    <cellStyle name="Normal 7 12 3 3" xfId="49136" xr:uid="{00000000-0005-0000-0000-000082BF0000}"/>
    <cellStyle name="Normal 7 12 4" xfId="49137" xr:uid="{00000000-0005-0000-0000-000083BF0000}"/>
    <cellStyle name="Normal 7 13" xfId="49138" xr:uid="{00000000-0005-0000-0000-000084BF0000}"/>
    <cellStyle name="Normal 7 13 2" xfId="49139" xr:uid="{00000000-0005-0000-0000-000085BF0000}"/>
    <cellStyle name="Normal 7 13 2 2" xfId="49140" xr:uid="{00000000-0005-0000-0000-000086BF0000}"/>
    <cellStyle name="Normal 7 13 2 2 2" xfId="49141" xr:uid="{00000000-0005-0000-0000-000087BF0000}"/>
    <cellStyle name="Normal 7 13 2 2 3" xfId="49142" xr:uid="{00000000-0005-0000-0000-000088BF0000}"/>
    <cellStyle name="Normal 7 13 2 3" xfId="49143" xr:uid="{00000000-0005-0000-0000-000089BF0000}"/>
    <cellStyle name="Normal 7 13 2 4" xfId="49144" xr:uid="{00000000-0005-0000-0000-00008ABF0000}"/>
    <cellStyle name="Normal 7 13 3" xfId="49145" xr:uid="{00000000-0005-0000-0000-00008BBF0000}"/>
    <cellStyle name="Normal 7 13 3 2" xfId="49146" xr:uid="{00000000-0005-0000-0000-00008CBF0000}"/>
    <cellStyle name="Normal 7 13 3 3" xfId="49147" xr:uid="{00000000-0005-0000-0000-00008DBF0000}"/>
    <cellStyle name="Normal 7 13 4" xfId="49148" xr:uid="{00000000-0005-0000-0000-00008EBF0000}"/>
    <cellStyle name="Normal 7 14" xfId="49149" xr:uid="{00000000-0005-0000-0000-00008FBF0000}"/>
    <cellStyle name="Normal 7 14 2" xfId="49150" xr:uid="{00000000-0005-0000-0000-000090BF0000}"/>
    <cellStyle name="Normal 7 14 2 2" xfId="49151" xr:uid="{00000000-0005-0000-0000-000091BF0000}"/>
    <cellStyle name="Normal 7 14 2 2 2" xfId="49152" xr:uid="{00000000-0005-0000-0000-000092BF0000}"/>
    <cellStyle name="Normal 7 14 2 2 3" xfId="49153" xr:uid="{00000000-0005-0000-0000-000093BF0000}"/>
    <cellStyle name="Normal 7 14 2 3" xfId="49154" xr:uid="{00000000-0005-0000-0000-000094BF0000}"/>
    <cellStyle name="Normal 7 14 2 4" xfId="49155" xr:uid="{00000000-0005-0000-0000-000095BF0000}"/>
    <cellStyle name="Normal 7 14 3" xfId="49156" xr:uid="{00000000-0005-0000-0000-000096BF0000}"/>
    <cellStyle name="Normal 7 14 3 2" xfId="49157" xr:uid="{00000000-0005-0000-0000-000097BF0000}"/>
    <cellStyle name="Normal 7 14 3 3" xfId="49158" xr:uid="{00000000-0005-0000-0000-000098BF0000}"/>
    <cellStyle name="Normal 7 14 4" xfId="49159" xr:uid="{00000000-0005-0000-0000-000099BF0000}"/>
    <cellStyle name="Normal 7 15" xfId="49160" xr:uid="{00000000-0005-0000-0000-00009ABF0000}"/>
    <cellStyle name="Normal 7 15 2" xfId="49161" xr:uid="{00000000-0005-0000-0000-00009BBF0000}"/>
    <cellStyle name="Normal 7 15 2 2" xfId="49162" xr:uid="{00000000-0005-0000-0000-00009CBF0000}"/>
    <cellStyle name="Normal 7 15 2 2 2" xfId="49163" xr:uid="{00000000-0005-0000-0000-00009DBF0000}"/>
    <cellStyle name="Normal 7 15 2 2 3" xfId="49164" xr:uid="{00000000-0005-0000-0000-00009EBF0000}"/>
    <cellStyle name="Normal 7 15 2 3" xfId="49165" xr:uid="{00000000-0005-0000-0000-00009FBF0000}"/>
    <cellStyle name="Normal 7 15 2 4" xfId="49166" xr:uid="{00000000-0005-0000-0000-0000A0BF0000}"/>
    <cellStyle name="Normal 7 15 3" xfId="49167" xr:uid="{00000000-0005-0000-0000-0000A1BF0000}"/>
    <cellStyle name="Normal 7 15 3 2" xfId="49168" xr:uid="{00000000-0005-0000-0000-0000A2BF0000}"/>
    <cellStyle name="Normal 7 15 3 3" xfId="49169" xr:uid="{00000000-0005-0000-0000-0000A3BF0000}"/>
    <cellStyle name="Normal 7 15 4" xfId="49170" xr:uid="{00000000-0005-0000-0000-0000A4BF0000}"/>
    <cellStyle name="Normal 7 16" xfId="49171" xr:uid="{00000000-0005-0000-0000-0000A5BF0000}"/>
    <cellStyle name="Normal 7 16 2" xfId="49172" xr:uid="{00000000-0005-0000-0000-0000A6BF0000}"/>
    <cellStyle name="Normal 7 16 2 2" xfId="49173" xr:uid="{00000000-0005-0000-0000-0000A7BF0000}"/>
    <cellStyle name="Normal 7 16 2 2 2" xfId="49174" xr:uid="{00000000-0005-0000-0000-0000A8BF0000}"/>
    <cellStyle name="Normal 7 16 2 2 3" xfId="49175" xr:uid="{00000000-0005-0000-0000-0000A9BF0000}"/>
    <cellStyle name="Normal 7 16 2 3" xfId="49176" xr:uid="{00000000-0005-0000-0000-0000AABF0000}"/>
    <cellStyle name="Normal 7 16 2 4" xfId="49177" xr:uid="{00000000-0005-0000-0000-0000ABBF0000}"/>
    <cellStyle name="Normal 7 16 3" xfId="49178" xr:uid="{00000000-0005-0000-0000-0000ACBF0000}"/>
    <cellStyle name="Normal 7 16 3 2" xfId="49179" xr:uid="{00000000-0005-0000-0000-0000ADBF0000}"/>
    <cellStyle name="Normal 7 16 3 3" xfId="49180" xr:uid="{00000000-0005-0000-0000-0000AEBF0000}"/>
    <cellStyle name="Normal 7 16 4" xfId="49181" xr:uid="{00000000-0005-0000-0000-0000AFBF0000}"/>
    <cellStyle name="Normal 7 17" xfId="49182" xr:uid="{00000000-0005-0000-0000-0000B0BF0000}"/>
    <cellStyle name="Normal 7 17 2" xfId="49183" xr:uid="{00000000-0005-0000-0000-0000B1BF0000}"/>
    <cellStyle name="Normal 7 17 2 2" xfId="49184" xr:uid="{00000000-0005-0000-0000-0000B2BF0000}"/>
    <cellStyle name="Normal 7 17 2 2 2" xfId="49185" xr:uid="{00000000-0005-0000-0000-0000B3BF0000}"/>
    <cellStyle name="Normal 7 17 2 2 3" xfId="49186" xr:uid="{00000000-0005-0000-0000-0000B4BF0000}"/>
    <cellStyle name="Normal 7 17 2 3" xfId="49187" xr:uid="{00000000-0005-0000-0000-0000B5BF0000}"/>
    <cellStyle name="Normal 7 17 2 4" xfId="49188" xr:uid="{00000000-0005-0000-0000-0000B6BF0000}"/>
    <cellStyle name="Normal 7 17 3" xfId="49189" xr:uid="{00000000-0005-0000-0000-0000B7BF0000}"/>
    <cellStyle name="Normal 7 17 3 2" xfId="49190" xr:uid="{00000000-0005-0000-0000-0000B8BF0000}"/>
    <cellStyle name="Normal 7 17 3 3" xfId="49191" xr:uid="{00000000-0005-0000-0000-0000B9BF0000}"/>
    <cellStyle name="Normal 7 17 4" xfId="49192" xr:uid="{00000000-0005-0000-0000-0000BABF0000}"/>
    <cellStyle name="Normal 7 18" xfId="49193" xr:uid="{00000000-0005-0000-0000-0000BBBF0000}"/>
    <cellStyle name="Normal 7 18 2" xfId="49194" xr:uid="{00000000-0005-0000-0000-0000BCBF0000}"/>
    <cellStyle name="Normal 7 18 2 2" xfId="49195" xr:uid="{00000000-0005-0000-0000-0000BDBF0000}"/>
    <cellStyle name="Normal 7 18 2 2 2" xfId="49196" xr:uid="{00000000-0005-0000-0000-0000BEBF0000}"/>
    <cellStyle name="Normal 7 18 2 2 3" xfId="49197" xr:uid="{00000000-0005-0000-0000-0000BFBF0000}"/>
    <cellStyle name="Normal 7 18 2 3" xfId="49198" xr:uid="{00000000-0005-0000-0000-0000C0BF0000}"/>
    <cellStyle name="Normal 7 18 2 4" xfId="49199" xr:uid="{00000000-0005-0000-0000-0000C1BF0000}"/>
    <cellStyle name="Normal 7 18 3" xfId="49200" xr:uid="{00000000-0005-0000-0000-0000C2BF0000}"/>
    <cellStyle name="Normal 7 18 3 2" xfId="49201" xr:uid="{00000000-0005-0000-0000-0000C3BF0000}"/>
    <cellStyle name="Normal 7 18 3 3" xfId="49202" xr:uid="{00000000-0005-0000-0000-0000C4BF0000}"/>
    <cellStyle name="Normal 7 18 4" xfId="49203" xr:uid="{00000000-0005-0000-0000-0000C5BF0000}"/>
    <cellStyle name="Normal 7 19" xfId="49204" xr:uid="{00000000-0005-0000-0000-0000C6BF0000}"/>
    <cellStyle name="Normal 7 19 2" xfId="49205" xr:uid="{00000000-0005-0000-0000-0000C7BF0000}"/>
    <cellStyle name="Normal 7 19 2 2" xfId="49206" xr:uid="{00000000-0005-0000-0000-0000C8BF0000}"/>
    <cellStyle name="Normal 7 19 2 2 2" xfId="49207" xr:uid="{00000000-0005-0000-0000-0000C9BF0000}"/>
    <cellStyle name="Normal 7 19 2 2 3" xfId="49208" xr:uid="{00000000-0005-0000-0000-0000CABF0000}"/>
    <cellStyle name="Normal 7 19 2 3" xfId="49209" xr:uid="{00000000-0005-0000-0000-0000CBBF0000}"/>
    <cellStyle name="Normal 7 19 2 4" xfId="49210" xr:uid="{00000000-0005-0000-0000-0000CCBF0000}"/>
    <cellStyle name="Normal 7 19 3" xfId="49211" xr:uid="{00000000-0005-0000-0000-0000CDBF0000}"/>
    <cellStyle name="Normal 7 19 3 2" xfId="49212" xr:uid="{00000000-0005-0000-0000-0000CEBF0000}"/>
    <cellStyle name="Normal 7 19 3 3" xfId="49213" xr:uid="{00000000-0005-0000-0000-0000CFBF0000}"/>
    <cellStyle name="Normal 7 19 4" xfId="49214" xr:uid="{00000000-0005-0000-0000-0000D0BF0000}"/>
    <cellStyle name="Normal 7 2" xfId="332" xr:uid="{00000000-0005-0000-0000-0000D1BF0000}"/>
    <cellStyle name="Normal 7 2 10" xfId="49215" xr:uid="{00000000-0005-0000-0000-0000D2BF0000}"/>
    <cellStyle name="Normal 7 2 10 2" xfId="49216" xr:uid="{00000000-0005-0000-0000-0000D3BF0000}"/>
    <cellStyle name="Normal 7 2 10 2 2" xfId="49217" xr:uid="{00000000-0005-0000-0000-0000D4BF0000}"/>
    <cellStyle name="Normal 7 2 10 2 2 2" xfId="49218" xr:uid="{00000000-0005-0000-0000-0000D5BF0000}"/>
    <cellStyle name="Normal 7 2 10 2 2 3" xfId="49219" xr:uid="{00000000-0005-0000-0000-0000D6BF0000}"/>
    <cellStyle name="Normal 7 2 10 2 3" xfId="49220" xr:uid="{00000000-0005-0000-0000-0000D7BF0000}"/>
    <cellStyle name="Normal 7 2 10 2 4" xfId="49221" xr:uid="{00000000-0005-0000-0000-0000D8BF0000}"/>
    <cellStyle name="Normal 7 2 10 3" xfId="49222" xr:uid="{00000000-0005-0000-0000-0000D9BF0000}"/>
    <cellStyle name="Normal 7 2 10 3 2" xfId="49223" xr:uid="{00000000-0005-0000-0000-0000DABF0000}"/>
    <cellStyle name="Normal 7 2 10 3 3" xfId="49224" xr:uid="{00000000-0005-0000-0000-0000DBBF0000}"/>
    <cellStyle name="Normal 7 2 10 4" xfId="49225" xr:uid="{00000000-0005-0000-0000-0000DCBF0000}"/>
    <cellStyle name="Normal 7 2 11" xfId="49226" xr:uid="{00000000-0005-0000-0000-0000DDBF0000}"/>
    <cellStyle name="Normal 7 2 11 2" xfId="49227" xr:uid="{00000000-0005-0000-0000-0000DEBF0000}"/>
    <cellStyle name="Normal 7 2 11 2 2" xfId="49228" xr:uid="{00000000-0005-0000-0000-0000DFBF0000}"/>
    <cellStyle name="Normal 7 2 11 2 2 2" xfId="49229" xr:uid="{00000000-0005-0000-0000-0000E0BF0000}"/>
    <cellStyle name="Normal 7 2 11 2 2 3" xfId="49230" xr:uid="{00000000-0005-0000-0000-0000E1BF0000}"/>
    <cellStyle name="Normal 7 2 11 2 3" xfId="49231" xr:uid="{00000000-0005-0000-0000-0000E2BF0000}"/>
    <cellStyle name="Normal 7 2 11 2 4" xfId="49232" xr:uid="{00000000-0005-0000-0000-0000E3BF0000}"/>
    <cellStyle name="Normal 7 2 11 3" xfId="49233" xr:uid="{00000000-0005-0000-0000-0000E4BF0000}"/>
    <cellStyle name="Normal 7 2 11 3 2" xfId="49234" xr:uid="{00000000-0005-0000-0000-0000E5BF0000}"/>
    <cellStyle name="Normal 7 2 11 3 3" xfId="49235" xr:uid="{00000000-0005-0000-0000-0000E6BF0000}"/>
    <cellStyle name="Normal 7 2 11 4" xfId="49236" xr:uid="{00000000-0005-0000-0000-0000E7BF0000}"/>
    <cellStyle name="Normal 7 2 12" xfId="49237" xr:uid="{00000000-0005-0000-0000-0000E8BF0000}"/>
    <cellStyle name="Normal 7 2 12 2" xfId="49238" xr:uid="{00000000-0005-0000-0000-0000E9BF0000}"/>
    <cellStyle name="Normal 7 2 12 2 2" xfId="49239" xr:uid="{00000000-0005-0000-0000-0000EABF0000}"/>
    <cellStyle name="Normal 7 2 12 2 2 2" xfId="49240" xr:uid="{00000000-0005-0000-0000-0000EBBF0000}"/>
    <cellStyle name="Normal 7 2 12 2 2 3" xfId="49241" xr:uid="{00000000-0005-0000-0000-0000ECBF0000}"/>
    <cellStyle name="Normal 7 2 12 2 3" xfId="49242" xr:uid="{00000000-0005-0000-0000-0000EDBF0000}"/>
    <cellStyle name="Normal 7 2 12 2 4" xfId="49243" xr:uid="{00000000-0005-0000-0000-0000EEBF0000}"/>
    <cellStyle name="Normal 7 2 12 3" xfId="49244" xr:uid="{00000000-0005-0000-0000-0000EFBF0000}"/>
    <cellStyle name="Normal 7 2 12 3 2" xfId="49245" xr:uid="{00000000-0005-0000-0000-0000F0BF0000}"/>
    <cellStyle name="Normal 7 2 12 3 3" xfId="49246" xr:uid="{00000000-0005-0000-0000-0000F1BF0000}"/>
    <cellStyle name="Normal 7 2 12 4" xfId="49247" xr:uid="{00000000-0005-0000-0000-0000F2BF0000}"/>
    <cellStyle name="Normal 7 2 13" xfId="49248" xr:uid="{00000000-0005-0000-0000-0000F3BF0000}"/>
    <cellStyle name="Normal 7 2 13 2" xfId="49249" xr:uid="{00000000-0005-0000-0000-0000F4BF0000}"/>
    <cellStyle name="Normal 7 2 13 2 2" xfId="49250" xr:uid="{00000000-0005-0000-0000-0000F5BF0000}"/>
    <cellStyle name="Normal 7 2 13 2 2 2" xfId="49251" xr:uid="{00000000-0005-0000-0000-0000F6BF0000}"/>
    <cellStyle name="Normal 7 2 13 2 2 3" xfId="49252" xr:uid="{00000000-0005-0000-0000-0000F7BF0000}"/>
    <cellStyle name="Normal 7 2 13 2 3" xfId="49253" xr:uid="{00000000-0005-0000-0000-0000F8BF0000}"/>
    <cellStyle name="Normal 7 2 13 2 4" xfId="49254" xr:uid="{00000000-0005-0000-0000-0000F9BF0000}"/>
    <cellStyle name="Normal 7 2 13 3" xfId="49255" xr:uid="{00000000-0005-0000-0000-0000FABF0000}"/>
    <cellStyle name="Normal 7 2 13 3 2" xfId="49256" xr:uid="{00000000-0005-0000-0000-0000FBBF0000}"/>
    <cellStyle name="Normal 7 2 13 3 3" xfId="49257" xr:uid="{00000000-0005-0000-0000-0000FCBF0000}"/>
    <cellStyle name="Normal 7 2 13 4" xfId="49258" xr:uid="{00000000-0005-0000-0000-0000FDBF0000}"/>
    <cellStyle name="Normal 7 2 14" xfId="49259" xr:uid="{00000000-0005-0000-0000-0000FEBF0000}"/>
    <cellStyle name="Normal 7 2 14 2" xfId="49260" xr:uid="{00000000-0005-0000-0000-0000FFBF0000}"/>
    <cellStyle name="Normal 7 2 14 2 2" xfId="49261" xr:uid="{00000000-0005-0000-0000-000000C00000}"/>
    <cellStyle name="Normal 7 2 14 2 2 2" xfId="49262" xr:uid="{00000000-0005-0000-0000-000001C00000}"/>
    <cellStyle name="Normal 7 2 14 2 2 3" xfId="49263" xr:uid="{00000000-0005-0000-0000-000002C00000}"/>
    <cellStyle name="Normal 7 2 14 2 3" xfId="49264" xr:uid="{00000000-0005-0000-0000-000003C00000}"/>
    <cellStyle name="Normal 7 2 14 2 4" xfId="49265" xr:uid="{00000000-0005-0000-0000-000004C00000}"/>
    <cellStyle name="Normal 7 2 14 3" xfId="49266" xr:uid="{00000000-0005-0000-0000-000005C00000}"/>
    <cellStyle name="Normal 7 2 14 3 2" xfId="49267" xr:uid="{00000000-0005-0000-0000-000006C00000}"/>
    <cellStyle name="Normal 7 2 14 3 3" xfId="49268" xr:uid="{00000000-0005-0000-0000-000007C00000}"/>
    <cellStyle name="Normal 7 2 14 4" xfId="49269" xr:uid="{00000000-0005-0000-0000-000008C00000}"/>
    <cellStyle name="Normal 7 2 15" xfId="49270" xr:uid="{00000000-0005-0000-0000-000009C00000}"/>
    <cellStyle name="Normal 7 2 15 2" xfId="49271" xr:uid="{00000000-0005-0000-0000-00000AC00000}"/>
    <cellStyle name="Normal 7 2 15 2 2" xfId="49272" xr:uid="{00000000-0005-0000-0000-00000BC00000}"/>
    <cellStyle name="Normal 7 2 15 2 2 2" xfId="49273" xr:uid="{00000000-0005-0000-0000-00000CC00000}"/>
    <cellStyle name="Normal 7 2 15 2 2 3" xfId="49274" xr:uid="{00000000-0005-0000-0000-00000DC00000}"/>
    <cellStyle name="Normal 7 2 15 2 3" xfId="49275" xr:uid="{00000000-0005-0000-0000-00000EC00000}"/>
    <cellStyle name="Normal 7 2 15 2 4" xfId="49276" xr:uid="{00000000-0005-0000-0000-00000FC00000}"/>
    <cellStyle name="Normal 7 2 15 3" xfId="49277" xr:uid="{00000000-0005-0000-0000-000010C00000}"/>
    <cellStyle name="Normal 7 2 15 3 2" xfId="49278" xr:uid="{00000000-0005-0000-0000-000011C00000}"/>
    <cellStyle name="Normal 7 2 15 3 3" xfId="49279" xr:uid="{00000000-0005-0000-0000-000012C00000}"/>
    <cellStyle name="Normal 7 2 15 4" xfId="49280" xr:uid="{00000000-0005-0000-0000-000013C00000}"/>
    <cellStyle name="Normal 7 2 16" xfId="49281" xr:uid="{00000000-0005-0000-0000-000014C00000}"/>
    <cellStyle name="Normal 7 2 16 2" xfId="49282" xr:uid="{00000000-0005-0000-0000-000015C00000}"/>
    <cellStyle name="Normal 7 2 16 2 2" xfId="49283" xr:uid="{00000000-0005-0000-0000-000016C00000}"/>
    <cellStyle name="Normal 7 2 16 2 2 2" xfId="49284" xr:uid="{00000000-0005-0000-0000-000017C00000}"/>
    <cellStyle name="Normal 7 2 16 2 2 3" xfId="49285" xr:uid="{00000000-0005-0000-0000-000018C00000}"/>
    <cellStyle name="Normal 7 2 16 2 3" xfId="49286" xr:uid="{00000000-0005-0000-0000-000019C00000}"/>
    <cellStyle name="Normal 7 2 16 2 4" xfId="49287" xr:uid="{00000000-0005-0000-0000-00001AC00000}"/>
    <cellStyle name="Normal 7 2 16 3" xfId="49288" xr:uid="{00000000-0005-0000-0000-00001BC00000}"/>
    <cellStyle name="Normal 7 2 16 3 2" xfId="49289" xr:uid="{00000000-0005-0000-0000-00001CC00000}"/>
    <cellStyle name="Normal 7 2 16 3 3" xfId="49290" xr:uid="{00000000-0005-0000-0000-00001DC00000}"/>
    <cellStyle name="Normal 7 2 16 4" xfId="49291" xr:uid="{00000000-0005-0000-0000-00001EC00000}"/>
    <cellStyle name="Normal 7 2 17" xfId="49292" xr:uid="{00000000-0005-0000-0000-00001FC00000}"/>
    <cellStyle name="Normal 7 2 17 2" xfId="49293" xr:uid="{00000000-0005-0000-0000-000020C00000}"/>
    <cellStyle name="Normal 7 2 17 2 2" xfId="49294" xr:uid="{00000000-0005-0000-0000-000021C00000}"/>
    <cellStyle name="Normal 7 2 17 2 2 2" xfId="49295" xr:uid="{00000000-0005-0000-0000-000022C00000}"/>
    <cellStyle name="Normal 7 2 17 2 2 3" xfId="49296" xr:uid="{00000000-0005-0000-0000-000023C00000}"/>
    <cellStyle name="Normal 7 2 17 2 3" xfId="49297" xr:uid="{00000000-0005-0000-0000-000024C00000}"/>
    <cellStyle name="Normal 7 2 17 2 4" xfId="49298" xr:uid="{00000000-0005-0000-0000-000025C00000}"/>
    <cellStyle name="Normal 7 2 17 3" xfId="49299" xr:uid="{00000000-0005-0000-0000-000026C00000}"/>
    <cellStyle name="Normal 7 2 17 3 2" xfId="49300" xr:uid="{00000000-0005-0000-0000-000027C00000}"/>
    <cellStyle name="Normal 7 2 17 3 3" xfId="49301" xr:uid="{00000000-0005-0000-0000-000028C00000}"/>
    <cellStyle name="Normal 7 2 17 4" xfId="49302" xr:uid="{00000000-0005-0000-0000-000029C00000}"/>
    <cellStyle name="Normal 7 2 18" xfId="49303" xr:uid="{00000000-0005-0000-0000-00002AC00000}"/>
    <cellStyle name="Normal 7 2 18 2" xfId="49304" xr:uid="{00000000-0005-0000-0000-00002BC00000}"/>
    <cellStyle name="Normal 7 2 18 2 2" xfId="49305" xr:uid="{00000000-0005-0000-0000-00002CC00000}"/>
    <cellStyle name="Normal 7 2 18 2 2 2" xfId="49306" xr:uid="{00000000-0005-0000-0000-00002DC00000}"/>
    <cellStyle name="Normal 7 2 18 2 2 3" xfId="49307" xr:uid="{00000000-0005-0000-0000-00002EC00000}"/>
    <cellStyle name="Normal 7 2 18 2 3" xfId="49308" xr:uid="{00000000-0005-0000-0000-00002FC00000}"/>
    <cellStyle name="Normal 7 2 18 2 4" xfId="49309" xr:uid="{00000000-0005-0000-0000-000030C00000}"/>
    <cellStyle name="Normal 7 2 18 3" xfId="49310" xr:uid="{00000000-0005-0000-0000-000031C00000}"/>
    <cellStyle name="Normal 7 2 18 3 2" xfId="49311" xr:uid="{00000000-0005-0000-0000-000032C00000}"/>
    <cellStyle name="Normal 7 2 18 3 3" xfId="49312" xr:uid="{00000000-0005-0000-0000-000033C00000}"/>
    <cellStyle name="Normal 7 2 18 4" xfId="49313" xr:uid="{00000000-0005-0000-0000-000034C00000}"/>
    <cellStyle name="Normal 7 2 19" xfId="49314" xr:uid="{00000000-0005-0000-0000-000035C00000}"/>
    <cellStyle name="Normal 7 2 19 2" xfId="49315" xr:uid="{00000000-0005-0000-0000-000036C00000}"/>
    <cellStyle name="Normal 7 2 19 2 2" xfId="49316" xr:uid="{00000000-0005-0000-0000-000037C00000}"/>
    <cellStyle name="Normal 7 2 19 2 2 2" xfId="49317" xr:uid="{00000000-0005-0000-0000-000038C00000}"/>
    <cellStyle name="Normal 7 2 19 2 2 3" xfId="49318" xr:uid="{00000000-0005-0000-0000-000039C00000}"/>
    <cellStyle name="Normal 7 2 19 2 3" xfId="49319" xr:uid="{00000000-0005-0000-0000-00003AC00000}"/>
    <cellStyle name="Normal 7 2 19 2 4" xfId="49320" xr:uid="{00000000-0005-0000-0000-00003BC00000}"/>
    <cellStyle name="Normal 7 2 19 3" xfId="49321" xr:uid="{00000000-0005-0000-0000-00003CC00000}"/>
    <cellStyle name="Normal 7 2 19 3 2" xfId="49322" xr:uid="{00000000-0005-0000-0000-00003DC00000}"/>
    <cellStyle name="Normal 7 2 19 3 3" xfId="49323" xr:uid="{00000000-0005-0000-0000-00003EC00000}"/>
    <cellStyle name="Normal 7 2 19 4" xfId="49324" xr:uid="{00000000-0005-0000-0000-00003FC00000}"/>
    <cellStyle name="Normal 7 2 2" xfId="49325" xr:uid="{00000000-0005-0000-0000-000040C00000}"/>
    <cellStyle name="Normal 7 2 2 10" xfId="49326" xr:uid="{00000000-0005-0000-0000-000041C00000}"/>
    <cellStyle name="Normal 7 2 2 11" xfId="49327" xr:uid="{00000000-0005-0000-0000-000042C00000}"/>
    <cellStyle name="Normal 7 2 2 12" xfId="49328" xr:uid="{00000000-0005-0000-0000-000043C00000}"/>
    <cellStyle name="Normal 7 2 2 2" xfId="49329" xr:uid="{00000000-0005-0000-0000-000044C00000}"/>
    <cellStyle name="Normal 7 2 2 2 10" xfId="49330" xr:uid="{00000000-0005-0000-0000-000045C00000}"/>
    <cellStyle name="Normal 7 2 2 2 11" xfId="49331" xr:uid="{00000000-0005-0000-0000-000046C00000}"/>
    <cellStyle name="Normal 7 2 2 2 2" xfId="49332" xr:uid="{00000000-0005-0000-0000-000047C00000}"/>
    <cellStyle name="Normal 7 2 2 2 2 10" xfId="49333" xr:uid="{00000000-0005-0000-0000-000048C00000}"/>
    <cellStyle name="Normal 7 2 2 2 2 11" xfId="49334" xr:uid="{00000000-0005-0000-0000-000049C00000}"/>
    <cellStyle name="Normal 7 2 2 2 2 2" xfId="49335" xr:uid="{00000000-0005-0000-0000-00004AC00000}"/>
    <cellStyle name="Normal 7 2 2 2 2 2 2" xfId="49336" xr:uid="{00000000-0005-0000-0000-00004BC00000}"/>
    <cellStyle name="Normal 7 2 2 2 2 2 2 2" xfId="49337" xr:uid="{00000000-0005-0000-0000-00004CC00000}"/>
    <cellStyle name="Normal 7 2 2 2 2 2 2 2 2" xfId="49338" xr:uid="{00000000-0005-0000-0000-00004DC00000}"/>
    <cellStyle name="Normal 7 2 2 2 2 2 2 2 3" xfId="49339" xr:uid="{00000000-0005-0000-0000-00004EC00000}"/>
    <cellStyle name="Normal 7 2 2 2 2 2 2 3" xfId="49340" xr:uid="{00000000-0005-0000-0000-00004FC00000}"/>
    <cellStyle name="Normal 7 2 2 2 2 2 2 3 2" xfId="49341" xr:uid="{00000000-0005-0000-0000-000050C00000}"/>
    <cellStyle name="Normal 7 2 2 2 2 2 2 3 3" xfId="49342" xr:uid="{00000000-0005-0000-0000-000051C00000}"/>
    <cellStyle name="Normal 7 2 2 2 2 2 2 4" xfId="49343" xr:uid="{00000000-0005-0000-0000-000052C00000}"/>
    <cellStyle name="Normal 7 2 2 2 2 2 2 5" xfId="49344" xr:uid="{00000000-0005-0000-0000-000053C00000}"/>
    <cellStyle name="Normal 7 2 2 2 2 2 2 6" xfId="49345" xr:uid="{00000000-0005-0000-0000-000054C00000}"/>
    <cellStyle name="Normal 7 2 2 2 2 2 2 7" xfId="49346" xr:uid="{00000000-0005-0000-0000-000055C00000}"/>
    <cellStyle name="Normal 7 2 2 2 2 2 2 8" xfId="49347" xr:uid="{00000000-0005-0000-0000-000056C00000}"/>
    <cellStyle name="Normal 7 2 2 2 2 2 3" xfId="49348" xr:uid="{00000000-0005-0000-0000-000057C00000}"/>
    <cellStyle name="Normal 7 2 2 2 2 2 3 2" xfId="49349" xr:uid="{00000000-0005-0000-0000-000058C00000}"/>
    <cellStyle name="Normal 7 2 2 2 2 2 3 2 2" xfId="49350" xr:uid="{00000000-0005-0000-0000-000059C00000}"/>
    <cellStyle name="Normal 7 2 2 2 2 2 3 2 3" xfId="49351" xr:uid="{00000000-0005-0000-0000-00005AC00000}"/>
    <cellStyle name="Normal 7 2 2 2 2 2 3 3" xfId="49352" xr:uid="{00000000-0005-0000-0000-00005BC00000}"/>
    <cellStyle name="Normal 7 2 2 2 2 2 3 3 2" xfId="49353" xr:uid="{00000000-0005-0000-0000-00005CC00000}"/>
    <cellStyle name="Normal 7 2 2 2 2 2 3 4" xfId="49354" xr:uid="{00000000-0005-0000-0000-00005DC00000}"/>
    <cellStyle name="Normal 7 2 2 2 2 2 4" xfId="49355" xr:uid="{00000000-0005-0000-0000-00005EC00000}"/>
    <cellStyle name="Normal 7 2 2 2 2 2 4 2" xfId="49356" xr:uid="{00000000-0005-0000-0000-00005FC00000}"/>
    <cellStyle name="Normal 7 2 2 2 2 2 4 3" xfId="49357" xr:uid="{00000000-0005-0000-0000-000060C00000}"/>
    <cellStyle name="Normal 7 2 2 2 2 2 5" xfId="49358" xr:uid="{00000000-0005-0000-0000-000061C00000}"/>
    <cellStyle name="Normal 7 2 2 2 2 2 6" xfId="49359" xr:uid="{00000000-0005-0000-0000-000062C00000}"/>
    <cellStyle name="Normal 7 2 2 2 2 2 7" xfId="49360" xr:uid="{00000000-0005-0000-0000-000063C00000}"/>
    <cellStyle name="Normal 7 2 2 2 2 2 8" xfId="49361" xr:uid="{00000000-0005-0000-0000-000064C00000}"/>
    <cellStyle name="Normal 7 2 2 2 2 2 9" xfId="49362" xr:uid="{00000000-0005-0000-0000-000065C00000}"/>
    <cellStyle name="Normal 7 2 2 2 2 3" xfId="49363" xr:uid="{00000000-0005-0000-0000-000066C00000}"/>
    <cellStyle name="Normal 7 2 2 2 2 3 2" xfId="49364" xr:uid="{00000000-0005-0000-0000-000067C00000}"/>
    <cellStyle name="Normal 7 2 2 2 2 3 2 2" xfId="49365" xr:uid="{00000000-0005-0000-0000-000068C00000}"/>
    <cellStyle name="Normal 7 2 2 2 2 3 2 3" xfId="49366" xr:uid="{00000000-0005-0000-0000-000069C00000}"/>
    <cellStyle name="Normal 7 2 2 2 2 3 3" xfId="49367" xr:uid="{00000000-0005-0000-0000-00006AC00000}"/>
    <cellStyle name="Normal 7 2 2 2 2 3 3 2" xfId="49368" xr:uid="{00000000-0005-0000-0000-00006BC00000}"/>
    <cellStyle name="Normal 7 2 2 2 2 3 3 3" xfId="49369" xr:uid="{00000000-0005-0000-0000-00006CC00000}"/>
    <cellStyle name="Normal 7 2 2 2 2 3 4" xfId="49370" xr:uid="{00000000-0005-0000-0000-00006DC00000}"/>
    <cellStyle name="Normal 7 2 2 2 2 3 5" xfId="49371" xr:uid="{00000000-0005-0000-0000-00006EC00000}"/>
    <cellStyle name="Normal 7 2 2 2 2 3 6" xfId="49372" xr:uid="{00000000-0005-0000-0000-00006FC00000}"/>
    <cellStyle name="Normal 7 2 2 2 2 3 7" xfId="49373" xr:uid="{00000000-0005-0000-0000-000070C00000}"/>
    <cellStyle name="Normal 7 2 2 2 2 3 8" xfId="49374" xr:uid="{00000000-0005-0000-0000-000071C00000}"/>
    <cellStyle name="Normal 7 2 2 2 2 4" xfId="49375" xr:uid="{00000000-0005-0000-0000-000072C00000}"/>
    <cellStyle name="Normal 7 2 2 2 2 4 2" xfId="49376" xr:uid="{00000000-0005-0000-0000-000073C00000}"/>
    <cellStyle name="Normal 7 2 2 2 2 4 2 2" xfId="49377" xr:uid="{00000000-0005-0000-0000-000074C00000}"/>
    <cellStyle name="Normal 7 2 2 2 2 4 2 3" xfId="49378" xr:uid="{00000000-0005-0000-0000-000075C00000}"/>
    <cellStyle name="Normal 7 2 2 2 2 4 3" xfId="49379" xr:uid="{00000000-0005-0000-0000-000076C00000}"/>
    <cellStyle name="Normal 7 2 2 2 2 4 3 2" xfId="49380" xr:uid="{00000000-0005-0000-0000-000077C00000}"/>
    <cellStyle name="Normal 7 2 2 2 2 4 4" xfId="49381" xr:uid="{00000000-0005-0000-0000-000078C00000}"/>
    <cellStyle name="Normal 7 2 2 2 2 5" xfId="49382" xr:uid="{00000000-0005-0000-0000-000079C00000}"/>
    <cellStyle name="Normal 7 2 2 2 2 5 2" xfId="49383" xr:uid="{00000000-0005-0000-0000-00007AC00000}"/>
    <cellStyle name="Normal 7 2 2 2 2 5 3" xfId="49384" xr:uid="{00000000-0005-0000-0000-00007BC00000}"/>
    <cellStyle name="Normal 7 2 2 2 2 6" xfId="49385" xr:uid="{00000000-0005-0000-0000-00007CC00000}"/>
    <cellStyle name="Normal 7 2 2 2 2 6 2" xfId="49386" xr:uid="{00000000-0005-0000-0000-00007DC00000}"/>
    <cellStyle name="Normal 7 2 2 2 2 6 3" xfId="49387" xr:uid="{00000000-0005-0000-0000-00007EC00000}"/>
    <cellStyle name="Normal 7 2 2 2 2 7" xfId="49388" xr:uid="{00000000-0005-0000-0000-00007FC00000}"/>
    <cellStyle name="Normal 7 2 2 2 2 8" xfId="49389" xr:uid="{00000000-0005-0000-0000-000080C00000}"/>
    <cellStyle name="Normal 7 2 2 2 2 9" xfId="49390" xr:uid="{00000000-0005-0000-0000-000081C00000}"/>
    <cellStyle name="Normal 7 2 2 2 3" xfId="49391" xr:uid="{00000000-0005-0000-0000-000082C00000}"/>
    <cellStyle name="Normal 7 2 2 2 3 10" xfId="49392" xr:uid="{00000000-0005-0000-0000-000083C00000}"/>
    <cellStyle name="Normal 7 2 2 2 3 2" xfId="49393" xr:uid="{00000000-0005-0000-0000-000084C00000}"/>
    <cellStyle name="Normal 7 2 2 2 3 2 2" xfId="49394" xr:uid="{00000000-0005-0000-0000-000085C00000}"/>
    <cellStyle name="Normal 7 2 2 2 3 2 2 2" xfId="49395" xr:uid="{00000000-0005-0000-0000-000086C00000}"/>
    <cellStyle name="Normal 7 2 2 2 3 2 2 3" xfId="49396" xr:uid="{00000000-0005-0000-0000-000087C00000}"/>
    <cellStyle name="Normal 7 2 2 2 3 2 3" xfId="49397" xr:uid="{00000000-0005-0000-0000-000088C00000}"/>
    <cellStyle name="Normal 7 2 2 2 3 2 3 2" xfId="49398" xr:uid="{00000000-0005-0000-0000-000089C00000}"/>
    <cellStyle name="Normal 7 2 2 2 3 2 3 3" xfId="49399" xr:uid="{00000000-0005-0000-0000-00008AC00000}"/>
    <cellStyle name="Normal 7 2 2 2 3 2 4" xfId="49400" xr:uid="{00000000-0005-0000-0000-00008BC00000}"/>
    <cellStyle name="Normal 7 2 2 2 3 2 5" xfId="49401" xr:uid="{00000000-0005-0000-0000-00008CC00000}"/>
    <cellStyle name="Normal 7 2 2 2 3 2 6" xfId="49402" xr:uid="{00000000-0005-0000-0000-00008DC00000}"/>
    <cellStyle name="Normal 7 2 2 2 3 2 7" xfId="49403" xr:uid="{00000000-0005-0000-0000-00008EC00000}"/>
    <cellStyle name="Normal 7 2 2 2 3 2 8" xfId="49404" xr:uid="{00000000-0005-0000-0000-00008FC00000}"/>
    <cellStyle name="Normal 7 2 2 2 3 3" xfId="49405" xr:uid="{00000000-0005-0000-0000-000090C00000}"/>
    <cellStyle name="Normal 7 2 2 2 3 3 2" xfId="49406" xr:uid="{00000000-0005-0000-0000-000091C00000}"/>
    <cellStyle name="Normal 7 2 2 2 3 3 2 2" xfId="49407" xr:uid="{00000000-0005-0000-0000-000092C00000}"/>
    <cellStyle name="Normal 7 2 2 2 3 3 2 3" xfId="49408" xr:uid="{00000000-0005-0000-0000-000093C00000}"/>
    <cellStyle name="Normal 7 2 2 2 3 3 3" xfId="49409" xr:uid="{00000000-0005-0000-0000-000094C00000}"/>
    <cellStyle name="Normal 7 2 2 2 3 3 3 2" xfId="49410" xr:uid="{00000000-0005-0000-0000-000095C00000}"/>
    <cellStyle name="Normal 7 2 2 2 3 3 4" xfId="49411" xr:uid="{00000000-0005-0000-0000-000096C00000}"/>
    <cellStyle name="Normal 7 2 2 2 3 4" xfId="49412" xr:uid="{00000000-0005-0000-0000-000097C00000}"/>
    <cellStyle name="Normal 7 2 2 2 3 4 2" xfId="49413" xr:uid="{00000000-0005-0000-0000-000098C00000}"/>
    <cellStyle name="Normal 7 2 2 2 3 4 3" xfId="49414" xr:uid="{00000000-0005-0000-0000-000099C00000}"/>
    <cellStyle name="Normal 7 2 2 2 3 5" xfId="49415" xr:uid="{00000000-0005-0000-0000-00009AC00000}"/>
    <cellStyle name="Normal 7 2 2 2 3 5 2" xfId="49416" xr:uid="{00000000-0005-0000-0000-00009BC00000}"/>
    <cellStyle name="Normal 7 2 2 2 3 5 3" xfId="49417" xr:uid="{00000000-0005-0000-0000-00009CC00000}"/>
    <cellStyle name="Normal 7 2 2 2 3 6" xfId="49418" xr:uid="{00000000-0005-0000-0000-00009DC00000}"/>
    <cellStyle name="Normal 7 2 2 2 3 7" xfId="49419" xr:uid="{00000000-0005-0000-0000-00009EC00000}"/>
    <cellStyle name="Normal 7 2 2 2 3 8" xfId="49420" xr:uid="{00000000-0005-0000-0000-00009FC00000}"/>
    <cellStyle name="Normal 7 2 2 2 3 9" xfId="49421" xr:uid="{00000000-0005-0000-0000-0000A0C00000}"/>
    <cellStyle name="Normal 7 2 2 2 4" xfId="49422" xr:uid="{00000000-0005-0000-0000-0000A1C00000}"/>
    <cellStyle name="Normal 7 2 2 2 4 2" xfId="49423" xr:uid="{00000000-0005-0000-0000-0000A2C00000}"/>
    <cellStyle name="Normal 7 2 2 2 4 2 2" xfId="49424" xr:uid="{00000000-0005-0000-0000-0000A3C00000}"/>
    <cellStyle name="Normal 7 2 2 2 4 2 3" xfId="49425" xr:uid="{00000000-0005-0000-0000-0000A4C00000}"/>
    <cellStyle name="Normal 7 2 2 2 4 2 4" xfId="49426" xr:uid="{00000000-0005-0000-0000-0000A5C00000}"/>
    <cellStyle name="Normal 7 2 2 2 4 3" xfId="49427" xr:uid="{00000000-0005-0000-0000-0000A6C00000}"/>
    <cellStyle name="Normal 7 2 2 2 4 3 2" xfId="49428" xr:uid="{00000000-0005-0000-0000-0000A7C00000}"/>
    <cellStyle name="Normal 7 2 2 2 4 3 3" xfId="49429" xr:uid="{00000000-0005-0000-0000-0000A8C00000}"/>
    <cellStyle name="Normal 7 2 2 2 4 4" xfId="49430" xr:uid="{00000000-0005-0000-0000-0000A9C00000}"/>
    <cellStyle name="Normal 7 2 2 2 4 5" xfId="49431" xr:uid="{00000000-0005-0000-0000-0000AAC00000}"/>
    <cellStyle name="Normal 7 2 2 2 4 6" xfId="49432" xr:uid="{00000000-0005-0000-0000-0000ABC00000}"/>
    <cellStyle name="Normal 7 2 2 2 4 7" xfId="49433" xr:uid="{00000000-0005-0000-0000-0000ACC00000}"/>
    <cellStyle name="Normal 7 2 2 2 4 8" xfId="49434" xr:uid="{00000000-0005-0000-0000-0000ADC00000}"/>
    <cellStyle name="Normal 7 2 2 2 5" xfId="49435" xr:uid="{00000000-0005-0000-0000-0000AEC00000}"/>
    <cellStyle name="Normal 7 2 2 2 5 2" xfId="49436" xr:uid="{00000000-0005-0000-0000-0000AFC00000}"/>
    <cellStyle name="Normal 7 2 2 2 5 2 2" xfId="49437" xr:uid="{00000000-0005-0000-0000-0000B0C00000}"/>
    <cellStyle name="Normal 7 2 2 2 5 2 3" xfId="49438" xr:uid="{00000000-0005-0000-0000-0000B1C00000}"/>
    <cellStyle name="Normal 7 2 2 2 5 3" xfId="49439" xr:uid="{00000000-0005-0000-0000-0000B2C00000}"/>
    <cellStyle name="Normal 7 2 2 2 5 4" xfId="49440" xr:uid="{00000000-0005-0000-0000-0000B3C00000}"/>
    <cellStyle name="Normal 7 2 2 2 5 5" xfId="49441" xr:uid="{00000000-0005-0000-0000-0000B4C00000}"/>
    <cellStyle name="Normal 7 2 2 2 5 6" xfId="49442" xr:uid="{00000000-0005-0000-0000-0000B5C00000}"/>
    <cellStyle name="Normal 7 2 2 2 6" xfId="49443" xr:uid="{00000000-0005-0000-0000-0000B6C00000}"/>
    <cellStyle name="Normal 7 2 2 2 6 2" xfId="49444" xr:uid="{00000000-0005-0000-0000-0000B7C00000}"/>
    <cellStyle name="Normal 7 2 2 2 6 3" xfId="49445" xr:uid="{00000000-0005-0000-0000-0000B8C00000}"/>
    <cellStyle name="Normal 7 2 2 2 7" xfId="49446" xr:uid="{00000000-0005-0000-0000-0000B9C00000}"/>
    <cellStyle name="Normal 7 2 2 2 7 2" xfId="49447" xr:uid="{00000000-0005-0000-0000-0000BAC00000}"/>
    <cellStyle name="Normal 7 2 2 2 7 3" xfId="49448" xr:uid="{00000000-0005-0000-0000-0000BBC00000}"/>
    <cellStyle name="Normal 7 2 2 2 8" xfId="49449" xr:uid="{00000000-0005-0000-0000-0000BCC00000}"/>
    <cellStyle name="Normal 7 2 2 2 8 2" xfId="49450" xr:uid="{00000000-0005-0000-0000-0000BDC00000}"/>
    <cellStyle name="Normal 7 2 2 2 8 3" xfId="49451" xr:uid="{00000000-0005-0000-0000-0000BEC00000}"/>
    <cellStyle name="Normal 7 2 2 2 9" xfId="49452" xr:uid="{00000000-0005-0000-0000-0000BFC00000}"/>
    <cellStyle name="Normal 7 2 2 3" xfId="49453" xr:uid="{00000000-0005-0000-0000-0000C0C00000}"/>
    <cellStyle name="Normal 7 2 2 3 10" xfId="49454" xr:uid="{00000000-0005-0000-0000-0000C1C00000}"/>
    <cellStyle name="Normal 7 2 2 3 11" xfId="49455" xr:uid="{00000000-0005-0000-0000-0000C2C00000}"/>
    <cellStyle name="Normal 7 2 2 3 2" xfId="49456" xr:uid="{00000000-0005-0000-0000-0000C3C00000}"/>
    <cellStyle name="Normal 7 2 2 3 2 2" xfId="49457" xr:uid="{00000000-0005-0000-0000-0000C4C00000}"/>
    <cellStyle name="Normal 7 2 2 3 2 2 2" xfId="49458" xr:uid="{00000000-0005-0000-0000-0000C5C00000}"/>
    <cellStyle name="Normal 7 2 2 3 2 2 2 2" xfId="49459" xr:uid="{00000000-0005-0000-0000-0000C6C00000}"/>
    <cellStyle name="Normal 7 2 2 3 2 2 2 3" xfId="49460" xr:uid="{00000000-0005-0000-0000-0000C7C00000}"/>
    <cellStyle name="Normal 7 2 2 3 2 2 3" xfId="49461" xr:uid="{00000000-0005-0000-0000-0000C8C00000}"/>
    <cellStyle name="Normal 7 2 2 3 2 2 3 2" xfId="49462" xr:uid="{00000000-0005-0000-0000-0000C9C00000}"/>
    <cellStyle name="Normal 7 2 2 3 2 2 3 3" xfId="49463" xr:uid="{00000000-0005-0000-0000-0000CAC00000}"/>
    <cellStyle name="Normal 7 2 2 3 2 2 4" xfId="49464" xr:uid="{00000000-0005-0000-0000-0000CBC00000}"/>
    <cellStyle name="Normal 7 2 2 3 2 2 5" xfId="49465" xr:uid="{00000000-0005-0000-0000-0000CCC00000}"/>
    <cellStyle name="Normal 7 2 2 3 2 2 6" xfId="49466" xr:uid="{00000000-0005-0000-0000-0000CDC00000}"/>
    <cellStyle name="Normal 7 2 2 3 2 2 7" xfId="49467" xr:uid="{00000000-0005-0000-0000-0000CEC00000}"/>
    <cellStyle name="Normal 7 2 2 3 2 2 8" xfId="49468" xr:uid="{00000000-0005-0000-0000-0000CFC00000}"/>
    <cellStyle name="Normal 7 2 2 3 2 3" xfId="49469" xr:uid="{00000000-0005-0000-0000-0000D0C00000}"/>
    <cellStyle name="Normal 7 2 2 3 2 3 2" xfId="49470" xr:uid="{00000000-0005-0000-0000-0000D1C00000}"/>
    <cellStyle name="Normal 7 2 2 3 2 3 2 2" xfId="49471" xr:uid="{00000000-0005-0000-0000-0000D2C00000}"/>
    <cellStyle name="Normal 7 2 2 3 2 3 2 3" xfId="49472" xr:uid="{00000000-0005-0000-0000-0000D3C00000}"/>
    <cellStyle name="Normal 7 2 2 3 2 3 3" xfId="49473" xr:uid="{00000000-0005-0000-0000-0000D4C00000}"/>
    <cellStyle name="Normal 7 2 2 3 2 3 3 2" xfId="49474" xr:uid="{00000000-0005-0000-0000-0000D5C00000}"/>
    <cellStyle name="Normal 7 2 2 3 2 3 4" xfId="49475" xr:uid="{00000000-0005-0000-0000-0000D6C00000}"/>
    <cellStyle name="Normal 7 2 2 3 2 4" xfId="49476" xr:uid="{00000000-0005-0000-0000-0000D7C00000}"/>
    <cellStyle name="Normal 7 2 2 3 2 4 2" xfId="49477" xr:uid="{00000000-0005-0000-0000-0000D8C00000}"/>
    <cellStyle name="Normal 7 2 2 3 2 4 3" xfId="49478" xr:uid="{00000000-0005-0000-0000-0000D9C00000}"/>
    <cellStyle name="Normal 7 2 2 3 2 5" xfId="49479" xr:uid="{00000000-0005-0000-0000-0000DAC00000}"/>
    <cellStyle name="Normal 7 2 2 3 2 6" xfId="49480" xr:uid="{00000000-0005-0000-0000-0000DBC00000}"/>
    <cellStyle name="Normal 7 2 2 3 2 7" xfId="49481" xr:uid="{00000000-0005-0000-0000-0000DCC00000}"/>
    <cellStyle name="Normal 7 2 2 3 2 8" xfId="49482" xr:uid="{00000000-0005-0000-0000-0000DDC00000}"/>
    <cellStyle name="Normal 7 2 2 3 2 9" xfId="49483" xr:uid="{00000000-0005-0000-0000-0000DEC00000}"/>
    <cellStyle name="Normal 7 2 2 3 3" xfId="49484" xr:uid="{00000000-0005-0000-0000-0000DFC00000}"/>
    <cellStyle name="Normal 7 2 2 3 3 2" xfId="49485" xr:uid="{00000000-0005-0000-0000-0000E0C00000}"/>
    <cellStyle name="Normal 7 2 2 3 3 2 2" xfId="49486" xr:uid="{00000000-0005-0000-0000-0000E1C00000}"/>
    <cellStyle name="Normal 7 2 2 3 3 2 3" xfId="49487" xr:uid="{00000000-0005-0000-0000-0000E2C00000}"/>
    <cellStyle name="Normal 7 2 2 3 3 3" xfId="49488" xr:uid="{00000000-0005-0000-0000-0000E3C00000}"/>
    <cellStyle name="Normal 7 2 2 3 3 3 2" xfId="49489" xr:uid="{00000000-0005-0000-0000-0000E4C00000}"/>
    <cellStyle name="Normal 7 2 2 3 3 3 3" xfId="49490" xr:uid="{00000000-0005-0000-0000-0000E5C00000}"/>
    <cellStyle name="Normal 7 2 2 3 3 4" xfId="49491" xr:uid="{00000000-0005-0000-0000-0000E6C00000}"/>
    <cellStyle name="Normal 7 2 2 3 3 5" xfId="49492" xr:uid="{00000000-0005-0000-0000-0000E7C00000}"/>
    <cellStyle name="Normal 7 2 2 3 3 6" xfId="49493" xr:uid="{00000000-0005-0000-0000-0000E8C00000}"/>
    <cellStyle name="Normal 7 2 2 3 3 7" xfId="49494" xr:uid="{00000000-0005-0000-0000-0000E9C00000}"/>
    <cellStyle name="Normal 7 2 2 3 3 8" xfId="49495" xr:uid="{00000000-0005-0000-0000-0000EAC00000}"/>
    <cellStyle name="Normal 7 2 2 3 4" xfId="49496" xr:uid="{00000000-0005-0000-0000-0000EBC00000}"/>
    <cellStyle name="Normal 7 2 2 3 4 2" xfId="49497" xr:uid="{00000000-0005-0000-0000-0000ECC00000}"/>
    <cellStyle name="Normal 7 2 2 3 4 2 2" xfId="49498" xr:uid="{00000000-0005-0000-0000-0000EDC00000}"/>
    <cellStyle name="Normal 7 2 2 3 4 2 3" xfId="49499" xr:uid="{00000000-0005-0000-0000-0000EEC00000}"/>
    <cellStyle name="Normal 7 2 2 3 4 3" xfId="49500" xr:uid="{00000000-0005-0000-0000-0000EFC00000}"/>
    <cellStyle name="Normal 7 2 2 3 4 3 2" xfId="49501" xr:uid="{00000000-0005-0000-0000-0000F0C00000}"/>
    <cellStyle name="Normal 7 2 2 3 4 4" xfId="49502" xr:uid="{00000000-0005-0000-0000-0000F1C00000}"/>
    <cellStyle name="Normal 7 2 2 3 5" xfId="49503" xr:uid="{00000000-0005-0000-0000-0000F2C00000}"/>
    <cellStyle name="Normal 7 2 2 3 5 2" xfId="49504" xr:uid="{00000000-0005-0000-0000-0000F3C00000}"/>
    <cellStyle name="Normal 7 2 2 3 5 3" xfId="49505" xr:uid="{00000000-0005-0000-0000-0000F4C00000}"/>
    <cellStyle name="Normal 7 2 2 3 6" xfId="49506" xr:uid="{00000000-0005-0000-0000-0000F5C00000}"/>
    <cellStyle name="Normal 7 2 2 3 6 2" xfId="49507" xr:uid="{00000000-0005-0000-0000-0000F6C00000}"/>
    <cellStyle name="Normal 7 2 2 3 6 3" xfId="49508" xr:uid="{00000000-0005-0000-0000-0000F7C00000}"/>
    <cellStyle name="Normal 7 2 2 3 7" xfId="49509" xr:uid="{00000000-0005-0000-0000-0000F8C00000}"/>
    <cellStyle name="Normal 7 2 2 3 8" xfId="49510" xr:uid="{00000000-0005-0000-0000-0000F9C00000}"/>
    <cellStyle name="Normal 7 2 2 3 9" xfId="49511" xr:uid="{00000000-0005-0000-0000-0000FAC00000}"/>
    <cellStyle name="Normal 7 2 2 4" xfId="49512" xr:uid="{00000000-0005-0000-0000-0000FBC00000}"/>
    <cellStyle name="Normal 7 2 2 4 10" xfId="49513" xr:uid="{00000000-0005-0000-0000-0000FCC00000}"/>
    <cellStyle name="Normal 7 2 2 4 2" xfId="49514" xr:uid="{00000000-0005-0000-0000-0000FDC00000}"/>
    <cellStyle name="Normal 7 2 2 4 2 2" xfId="49515" xr:uid="{00000000-0005-0000-0000-0000FEC00000}"/>
    <cellStyle name="Normal 7 2 2 4 2 2 2" xfId="49516" xr:uid="{00000000-0005-0000-0000-0000FFC00000}"/>
    <cellStyle name="Normal 7 2 2 4 2 2 3" xfId="49517" xr:uid="{00000000-0005-0000-0000-000000C10000}"/>
    <cellStyle name="Normal 7 2 2 4 2 2 4" xfId="49518" xr:uid="{00000000-0005-0000-0000-000001C10000}"/>
    <cellStyle name="Normal 7 2 2 4 2 3" xfId="49519" xr:uid="{00000000-0005-0000-0000-000002C10000}"/>
    <cellStyle name="Normal 7 2 2 4 2 3 2" xfId="49520" xr:uid="{00000000-0005-0000-0000-000003C10000}"/>
    <cellStyle name="Normal 7 2 2 4 2 3 3" xfId="49521" xr:uid="{00000000-0005-0000-0000-000004C10000}"/>
    <cellStyle name="Normal 7 2 2 4 2 4" xfId="49522" xr:uid="{00000000-0005-0000-0000-000005C10000}"/>
    <cellStyle name="Normal 7 2 2 4 2 5" xfId="49523" xr:uid="{00000000-0005-0000-0000-000006C10000}"/>
    <cellStyle name="Normal 7 2 2 4 2 6" xfId="49524" xr:uid="{00000000-0005-0000-0000-000007C10000}"/>
    <cellStyle name="Normal 7 2 2 4 2 7" xfId="49525" xr:uid="{00000000-0005-0000-0000-000008C10000}"/>
    <cellStyle name="Normal 7 2 2 4 2 8" xfId="49526" xr:uid="{00000000-0005-0000-0000-000009C10000}"/>
    <cellStyle name="Normal 7 2 2 4 3" xfId="49527" xr:uid="{00000000-0005-0000-0000-00000AC10000}"/>
    <cellStyle name="Normal 7 2 2 4 3 2" xfId="49528" xr:uid="{00000000-0005-0000-0000-00000BC10000}"/>
    <cellStyle name="Normal 7 2 2 4 3 2 2" xfId="49529" xr:uid="{00000000-0005-0000-0000-00000CC10000}"/>
    <cellStyle name="Normal 7 2 2 4 3 2 3" xfId="49530" xr:uid="{00000000-0005-0000-0000-00000DC10000}"/>
    <cellStyle name="Normal 7 2 2 4 3 3" xfId="49531" xr:uid="{00000000-0005-0000-0000-00000EC10000}"/>
    <cellStyle name="Normal 7 2 2 4 3 4" xfId="49532" xr:uid="{00000000-0005-0000-0000-00000FC10000}"/>
    <cellStyle name="Normal 7 2 2 4 3 5" xfId="49533" xr:uid="{00000000-0005-0000-0000-000010C10000}"/>
    <cellStyle name="Normal 7 2 2 4 3 6" xfId="49534" xr:uid="{00000000-0005-0000-0000-000011C10000}"/>
    <cellStyle name="Normal 7 2 2 4 4" xfId="49535" xr:uid="{00000000-0005-0000-0000-000012C10000}"/>
    <cellStyle name="Normal 7 2 2 4 4 2" xfId="49536" xr:uid="{00000000-0005-0000-0000-000013C10000}"/>
    <cellStyle name="Normal 7 2 2 4 4 3" xfId="49537" xr:uid="{00000000-0005-0000-0000-000014C10000}"/>
    <cellStyle name="Normal 7 2 2 4 5" xfId="49538" xr:uid="{00000000-0005-0000-0000-000015C10000}"/>
    <cellStyle name="Normal 7 2 2 4 5 2" xfId="49539" xr:uid="{00000000-0005-0000-0000-000016C10000}"/>
    <cellStyle name="Normal 7 2 2 4 5 3" xfId="49540" xr:uid="{00000000-0005-0000-0000-000017C10000}"/>
    <cellStyle name="Normal 7 2 2 4 6" xfId="49541" xr:uid="{00000000-0005-0000-0000-000018C10000}"/>
    <cellStyle name="Normal 7 2 2 4 7" xfId="49542" xr:uid="{00000000-0005-0000-0000-000019C10000}"/>
    <cellStyle name="Normal 7 2 2 4 8" xfId="49543" xr:uid="{00000000-0005-0000-0000-00001AC10000}"/>
    <cellStyle name="Normal 7 2 2 4 9" xfId="49544" xr:uid="{00000000-0005-0000-0000-00001BC10000}"/>
    <cellStyle name="Normal 7 2 2 5" xfId="49545" xr:uid="{00000000-0005-0000-0000-00001CC10000}"/>
    <cellStyle name="Normal 7 2 2 5 2" xfId="49546" xr:uid="{00000000-0005-0000-0000-00001DC10000}"/>
    <cellStyle name="Normal 7 2 2 5 2 2" xfId="49547" xr:uid="{00000000-0005-0000-0000-00001EC10000}"/>
    <cellStyle name="Normal 7 2 2 5 3" xfId="49548" xr:uid="{00000000-0005-0000-0000-00001FC10000}"/>
    <cellStyle name="Normal 7 2 2 5 4" xfId="49549" xr:uid="{00000000-0005-0000-0000-000020C10000}"/>
    <cellStyle name="Normal 7 2 2 5 5" xfId="49550" xr:uid="{00000000-0005-0000-0000-000021C10000}"/>
    <cellStyle name="Normal 7 2 2 6" xfId="49551" xr:uid="{00000000-0005-0000-0000-000022C10000}"/>
    <cellStyle name="Normal 7 2 2 6 2" xfId="49552" xr:uid="{00000000-0005-0000-0000-000023C10000}"/>
    <cellStyle name="Normal 7 2 2 6 2 2" xfId="49553" xr:uid="{00000000-0005-0000-0000-000024C10000}"/>
    <cellStyle name="Normal 7 2 2 6 2 3" xfId="49554" xr:uid="{00000000-0005-0000-0000-000025C10000}"/>
    <cellStyle name="Normal 7 2 2 6 3" xfId="49555" xr:uid="{00000000-0005-0000-0000-000026C10000}"/>
    <cellStyle name="Normal 7 2 2 6 3 2" xfId="49556" xr:uid="{00000000-0005-0000-0000-000027C10000}"/>
    <cellStyle name="Normal 7 2 2 6 3 3" xfId="49557" xr:uid="{00000000-0005-0000-0000-000028C10000}"/>
    <cellStyle name="Normal 7 2 2 6 4" xfId="49558" xr:uid="{00000000-0005-0000-0000-000029C10000}"/>
    <cellStyle name="Normal 7 2 2 6 5" xfId="49559" xr:uid="{00000000-0005-0000-0000-00002AC10000}"/>
    <cellStyle name="Normal 7 2 2 6 6" xfId="49560" xr:uid="{00000000-0005-0000-0000-00002BC10000}"/>
    <cellStyle name="Normal 7 2 2 6 7" xfId="49561" xr:uid="{00000000-0005-0000-0000-00002CC10000}"/>
    <cellStyle name="Normal 7 2 2 6 8" xfId="49562" xr:uid="{00000000-0005-0000-0000-00002DC10000}"/>
    <cellStyle name="Normal 7 2 2 7" xfId="49563" xr:uid="{00000000-0005-0000-0000-00002EC10000}"/>
    <cellStyle name="Normal 7 2 2 7 2" xfId="49564" xr:uid="{00000000-0005-0000-0000-00002FC10000}"/>
    <cellStyle name="Normal 7 2 2 7 2 2" xfId="49565" xr:uid="{00000000-0005-0000-0000-000030C10000}"/>
    <cellStyle name="Normal 7 2 2 7 2 3" xfId="49566" xr:uid="{00000000-0005-0000-0000-000031C10000}"/>
    <cellStyle name="Normal 7 2 2 7 3" xfId="49567" xr:uid="{00000000-0005-0000-0000-000032C10000}"/>
    <cellStyle name="Normal 7 2 2 7 3 2" xfId="49568" xr:uid="{00000000-0005-0000-0000-000033C10000}"/>
    <cellStyle name="Normal 7 2 2 7 3 3" xfId="49569" xr:uid="{00000000-0005-0000-0000-000034C10000}"/>
    <cellStyle name="Normal 7 2 2 7 4" xfId="49570" xr:uid="{00000000-0005-0000-0000-000035C10000}"/>
    <cellStyle name="Normal 7 2 2 7 5" xfId="49571" xr:uid="{00000000-0005-0000-0000-000036C10000}"/>
    <cellStyle name="Normal 7 2 2 7 6" xfId="49572" xr:uid="{00000000-0005-0000-0000-000037C10000}"/>
    <cellStyle name="Normal 7 2 2 7 7" xfId="49573" xr:uid="{00000000-0005-0000-0000-000038C10000}"/>
    <cellStyle name="Normal 7 2 2 7 8" xfId="49574" xr:uid="{00000000-0005-0000-0000-000039C10000}"/>
    <cellStyle name="Normal 7 2 2 8" xfId="49575" xr:uid="{00000000-0005-0000-0000-00003AC10000}"/>
    <cellStyle name="Normal 7 2 2 8 2" xfId="49576" xr:uid="{00000000-0005-0000-0000-00003BC10000}"/>
    <cellStyle name="Normal 7 2 2 8 3" xfId="49577" xr:uid="{00000000-0005-0000-0000-00003CC10000}"/>
    <cellStyle name="Normal 7 2 2 9" xfId="49578" xr:uid="{00000000-0005-0000-0000-00003DC10000}"/>
    <cellStyle name="Normal 7 2 2 9 2" xfId="49579" xr:uid="{00000000-0005-0000-0000-00003EC10000}"/>
    <cellStyle name="Normal 7 2 2 9 3" xfId="49580" xr:uid="{00000000-0005-0000-0000-00003FC10000}"/>
    <cellStyle name="Normal 7 2 20" xfId="49581" xr:uid="{00000000-0005-0000-0000-000040C10000}"/>
    <cellStyle name="Normal 7 2 20 2" xfId="49582" xr:uid="{00000000-0005-0000-0000-000041C10000}"/>
    <cellStyle name="Normal 7 2 20 2 2" xfId="49583" xr:uid="{00000000-0005-0000-0000-000042C10000}"/>
    <cellStyle name="Normal 7 2 20 2 2 2" xfId="49584" xr:uid="{00000000-0005-0000-0000-000043C10000}"/>
    <cellStyle name="Normal 7 2 20 2 2 3" xfId="49585" xr:uid="{00000000-0005-0000-0000-000044C10000}"/>
    <cellStyle name="Normal 7 2 20 2 3" xfId="49586" xr:uid="{00000000-0005-0000-0000-000045C10000}"/>
    <cellStyle name="Normal 7 2 20 2 4" xfId="49587" xr:uid="{00000000-0005-0000-0000-000046C10000}"/>
    <cellStyle name="Normal 7 2 20 3" xfId="49588" xr:uid="{00000000-0005-0000-0000-000047C10000}"/>
    <cellStyle name="Normal 7 2 20 3 2" xfId="49589" xr:uid="{00000000-0005-0000-0000-000048C10000}"/>
    <cellStyle name="Normal 7 2 20 3 3" xfId="49590" xr:uid="{00000000-0005-0000-0000-000049C10000}"/>
    <cellStyle name="Normal 7 2 20 4" xfId="49591" xr:uid="{00000000-0005-0000-0000-00004AC10000}"/>
    <cellStyle name="Normal 7 2 21" xfId="49592" xr:uid="{00000000-0005-0000-0000-00004BC10000}"/>
    <cellStyle name="Normal 7 2 21 2" xfId="49593" xr:uid="{00000000-0005-0000-0000-00004CC10000}"/>
    <cellStyle name="Normal 7 2 21 2 2" xfId="49594" xr:uid="{00000000-0005-0000-0000-00004DC10000}"/>
    <cellStyle name="Normal 7 2 21 2 2 2" xfId="49595" xr:uid="{00000000-0005-0000-0000-00004EC10000}"/>
    <cellStyle name="Normal 7 2 21 2 2 3" xfId="49596" xr:uid="{00000000-0005-0000-0000-00004FC10000}"/>
    <cellStyle name="Normal 7 2 21 2 3" xfId="49597" xr:uid="{00000000-0005-0000-0000-000050C10000}"/>
    <cellStyle name="Normal 7 2 21 2 4" xfId="49598" xr:uid="{00000000-0005-0000-0000-000051C10000}"/>
    <cellStyle name="Normal 7 2 21 3" xfId="49599" xr:uid="{00000000-0005-0000-0000-000052C10000}"/>
    <cellStyle name="Normal 7 2 21 3 2" xfId="49600" xr:uid="{00000000-0005-0000-0000-000053C10000}"/>
    <cellStyle name="Normal 7 2 21 3 3" xfId="49601" xr:uid="{00000000-0005-0000-0000-000054C10000}"/>
    <cellStyle name="Normal 7 2 21 4" xfId="49602" xr:uid="{00000000-0005-0000-0000-000055C10000}"/>
    <cellStyle name="Normal 7 2 22" xfId="49603" xr:uid="{00000000-0005-0000-0000-000056C10000}"/>
    <cellStyle name="Normal 7 2 22 2" xfId="49604" xr:uid="{00000000-0005-0000-0000-000057C10000}"/>
    <cellStyle name="Normal 7 2 22 2 2" xfId="49605" xr:uid="{00000000-0005-0000-0000-000058C10000}"/>
    <cellStyle name="Normal 7 2 22 2 2 2" xfId="49606" xr:uid="{00000000-0005-0000-0000-000059C10000}"/>
    <cellStyle name="Normal 7 2 22 2 2 3" xfId="49607" xr:uid="{00000000-0005-0000-0000-00005AC10000}"/>
    <cellStyle name="Normal 7 2 22 2 3" xfId="49608" xr:uid="{00000000-0005-0000-0000-00005BC10000}"/>
    <cellStyle name="Normal 7 2 22 2 4" xfId="49609" xr:uid="{00000000-0005-0000-0000-00005CC10000}"/>
    <cellStyle name="Normal 7 2 22 3" xfId="49610" xr:uid="{00000000-0005-0000-0000-00005DC10000}"/>
    <cellStyle name="Normal 7 2 22 3 2" xfId="49611" xr:uid="{00000000-0005-0000-0000-00005EC10000}"/>
    <cellStyle name="Normal 7 2 22 3 3" xfId="49612" xr:uid="{00000000-0005-0000-0000-00005FC10000}"/>
    <cellStyle name="Normal 7 2 22 4" xfId="49613" xr:uid="{00000000-0005-0000-0000-000060C10000}"/>
    <cellStyle name="Normal 7 2 23" xfId="49614" xr:uid="{00000000-0005-0000-0000-000061C10000}"/>
    <cellStyle name="Normal 7 2 23 2" xfId="49615" xr:uid="{00000000-0005-0000-0000-000062C10000}"/>
    <cellStyle name="Normal 7 2 23 2 2" xfId="49616" xr:uid="{00000000-0005-0000-0000-000063C10000}"/>
    <cellStyle name="Normal 7 2 23 2 2 2" xfId="49617" xr:uid="{00000000-0005-0000-0000-000064C10000}"/>
    <cellStyle name="Normal 7 2 23 2 2 3" xfId="49618" xr:uid="{00000000-0005-0000-0000-000065C10000}"/>
    <cellStyle name="Normal 7 2 23 2 3" xfId="49619" xr:uid="{00000000-0005-0000-0000-000066C10000}"/>
    <cellStyle name="Normal 7 2 23 2 4" xfId="49620" xr:uid="{00000000-0005-0000-0000-000067C10000}"/>
    <cellStyle name="Normal 7 2 23 3" xfId="49621" xr:uid="{00000000-0005-0000-0000-000068C10000}"/>
    <cellStyle name="Normal 7 2 23 3 2" xfId="49622" xr:uid="{00000000-0005-0000-0000-000069C10000}"/>
    <cellStyle name="Normal 7 2 23 3 3" xfId="49623" xr:uid="{00000000-0005-0000-0000-00006AC10000}"/>
    <cellStyle name="Normal 7 2 23 4" xfId="49624" xr:uid="{00000000-0005-0000-0000-00006BC10000}"/>
    <cellStyle name="Normal 7 2 24" xfId="49625" xr:uid="{00000000-0005-0000-0000-00006CC10000}"/>
    <cellStyle name="Normal 7 2 24 2" xfId="49626" xr:uid="{00000000-0005-0000-0000-00006DC10000}"/>
    <cellStyle name="Normal 7 2 24 2 2" xfId="49627" xr:uid="{00000000-0005-0000-0000-00006EC10000}"/>
    <cellStyle name="Normal 7 2 24 2 3" xfId="49628" xr:uid="{00000000-0005-0000-0000-00006FC10000}"/>
    <cellStyle name="Normal 7 2 24 3" xfId="49629" xr:uid="{00000000-0005-0000-0000-000070C10000}"/>
    <cellStyle name="Normal 7 2 24 4" xfId="49630" xr:uid="{00000000-0005-0000-0000-000071C10000}"/>
    <cellStyle name="Normal 7 2 25" xfId="49631" xr:uid="{00000000-0005-0000-0000-000072C10000}"/>
    <cellStyle name="Normal 7 2 25 2" xfId="49632" xr:uid="{00000000-0005-0000-0000-000073C10000}"/>
    <cellStyle name="Normal 7 2 25 2 2" xfId="49633" xr:uid="{00000000-0005-0000-0000-000074C10000}"/>
    <cellStyle name="Normal 7 2 25 2 3" xfId="49634" xr:uid="{00000000-0005-0000-0000-000075C10000}"/>
    <cellStyle name="Normal 7 2 25 3" xfId="49635" xr:uid="{00000000-0005-0000-0000-000076C10000}"/>
    <cellStyle name="Normal 7 2 25 3 2" xfId="49636" xr:uid="{00000000-0005-0000-0000-000077C10000}"/>
    <cellStyle name="Normal 7 2 25 3 3" xfId="49637" xr:uid="{00000000-0005-0000-0000-000078C10000}"/>
    <cellStyle name="Normal 7 2 25 4" xfId="49638" xr:uid="{00000000-0005-0000-0000-000079C10000}"/>
    <cellStyle name="Normal 7 2 25 5" xfId="49639" xr:uid="{00000000-0005-0000-0000-00007AC10000}"/>
    <cellStyle name="Normal 7 2 25 6" xfId="49640" xr:uid="{00000000-0005-0000-0000-00007BC10000}"/>
    <cellStyle name="Normal 7 2 25 7" xfId="49641" xr:uid="{00000000-0005-0000-0000-00007CC10000}"/>
    <cellStyle name="Normal 7 2 25 8" xfId="49642" xr:uid="{00000000-0005-0000-0000-00007DC10000}"/>
    <cellStyle name="Normal 7 2 26" xfId="49643" xr:uid="{00000000-0005-0000-0000-00007EC10000}"/>
    <cellStyle name="Normal 7 2 26 2" xfId="49644" xr:uid="{00000000-0005-0000-0000-00007FC10000}"/>
    <cellStyle name="Normal 7 2 26 2 2" xfId="49645" xr:uid="{00000000-0005-0000-0000-000080C10000}"/>
    <cellStyle name="Normal 7 2 26 2 3" xfId="49646" xr:uid="{00000000-0005-0000-0000-000081C10000}"/>
    <cellStyle name="Normal 7 2 26 3" xfId="49647" xr:uid="{00000000-0005-0000-0000-000082C10000}"/>
    <cellStyle name="Normal 7 2 26 3 2" xfId="49648" xr:uid="{00000000-0005-0000-0000-000083C10000}"/>
    <cellStyle name="Normal 7 2 26 3 3" xfId="49649" xr:uid="{00000000-0005-0000-0000-000084C10000}"/>
    <cellStyle name="Normal 7 2 26 4" xfId="49650" xr:uid="{00000000-0005-0000-0000-000085C10000}"/>
    <cellStyle name="Normal 7 2 26 5" xfId="49651" xr:uid="{00000000-0005-0000-0000-000086C10000}"/>
    <cellStyle name="Normal 7 2 26 6" xfId="49652" xr:uid="{00000000-0005-0000-0000-000087C10000}"/>
    <cellStyle name="Normal 7 2 26 7" xfId="49653" xr:uid="{00000000-0005-0000-0000-000088C10000}"/>
    <cellStyle name="Normal 7 2 26 8" xfId="49654" xr:uid="{00000000-0005-0000-0000-000089C10000}"/>
    <cellStyle name="Normal 7 2 27" xfId="49655" xr:uid="{00000000-0005-0000-0000-00008AC10000}"/>
    <cellStyle name="Normal 7 2 27 2" xfId="49656" xr:uid="{00000000-0005-0000-0000-00008BC10000}"/>
    <cellStyle name="Normal 7 2 27 3" xfId="49657" xr:uid="{00000000-0005-0000-0000-00008CC10000}"/>
    <cellStyle name="Normal 7 2 28" xfId="49658" xr:uid="{00000000-0005-0000-0000-00008DC10000}"/>
    <cellStyle name="Normal 7 2 28 2" xfId="49659" xr:uid="{00000000-0005-0000-0000-00008EC10000}"/>
    <cellStyle name="Normal 7 2 28 3" xfId="49660" xr:uid="{00000000-0005-0000-0000-00008FC10000}"/>
    <cellStyle name="Normal 7 2 29" xfId="49661" xr:uid="{00000000-0005-0000-0000-000090C10000}"/>
    <cellStyle name="Normal 7 2 29 2" xfId="49662" xr:uid="{00000000-0005-0000-0000-000091C10000}"/>
    <cellStyle name="Normal 7 2 29 3" xfId="49663" xr:uid="{00000000-0005-0000-0000-000092C10000}"/>
    <cellStyle name="Normal 7 2 3" xfId="49664" xr:uid="{00000000-0005-0000-0000-000093C10000}"/>
    <cellStyle name="Normal 7 2 3 10" xfId="49665" xr:uid="{00000000-0005-0000-0000-000094C10000}"/>
    <cellStyle name="Normal 7 2 3 11" xfId="49666" xr:uid="{00000000-0005-0000-0000-000095C10000}"/>
    <cellStyle name="Normal 7 2 3 2" xfId="49667" xr:uid="{00000000-0005-0000-0000-000096C10000}"/>
    <cellStyle name="Normal 7 2 3 2 2" xfId="49668" xr:uid="{00000000-0005-0000-0000-000097C10000}"/>
    <cellStyle name="Normal 7 2 3 2 2 10" xfId="49669" xr:uid="{00000000-0005-0000-0000-000098C10000}"/>
    <cellStyle name="Normal 7 2 3 2 2 2" xfId="49670" xr:uid="{00000000-0005-0000-0000-000099C10000}"/>
    <cellStyle name="Normal 7 2 3 2 2 2 2" xfId="49671" xr:uid="{00000000-0005-0000-0000-00009AC10000}"/>
    <cellStyle name="Normal 7 2 3 2 2 2 2 2" xfId="49672" xr:uid="{00000000-0005-0000-0000-00009BC10000}"/>
    <cellStyle name="Normal 7 2 3 2 2 2 2 3" xfId="49673" xr:uid="{00000000-0005-0000-0000-00009CC10000}"/>
    <cellStyle name="Normal 7 2 3 2 2 2 3" xfId="49674" xr:uid="{00000000-0005-0000-0000-00009DC10000}"/>
    <cellStyle name="Normal 7 2 3 2 2 2 3 2" xfId="49675" xr:uid="{00000000-0005-0000-0000-00009EC10000}"/>
    <cellStyle name="Normal 7 2 3 2 2 2 3 3" xfId="49676" xr:uid="{00000000-0005-0000-0000-00009FC10000}"/>
    <cellStyle name="Normal 7 2 3 2 2 2 4" xfId="49677" xr:uid="{00000000-0005-0000-0000-0000A0C10000}"/>
    <cellStyle name="Normal 7 2 3 2 2 2 5" xfId="49678" xr:uid="{00000000-0005-0000-0000-0000A1C10000}"/>
    <cellStyle name="Normal 7 2 3 2 2 2 6" xfId="49679" xr:uid="{00000000-0005-0000-0000-0000A2C10000}"/>
    <cellStyle name="Normal 7 2 3 2 2 2 7" xfId="49680" xr:uid="{00000000-0005-0000-0000-0000A3C10000}"/>
    <cellStyle name="Normal 7 2 3 2 2 2 8" xfId="49681" xr:uid="{00000000-0005-0000-0000-0000A4C10000}"/>
    <cellStyle name="Normal 7 2 3 2 2 3" xfId="49682" xr:uid="{00000000-0005-0000-0000-0000A5C10000}"/>
    <cellStyle name="Normal 7 2 3 2 2 3 2" xfId="49683" xr:uid="{00000000-0005-0000-0000-0000A6C10000}"/>
    <cellStyle name="Normal 7 2 3 2 2 3 2 2" xfId="49684" xr:uid="{00000000-0005-0000-0000-0000A7C10000}"/>
    <cellStyle name="Normal 7 2 3 2 2 3 2 3" xfId="49685" xr:uid="{00000000-0005-0000-0000-0000A8C10000}"/>
    <cellStyle name="Normal 7 2 3 2 2 3 3" xfId="49686" xr:uid="{00000000-0005-0000-0000-0000A9C10000}"/>
    <cellStyle name="Normal 7 2 3 2 2 3 3 2" xfId="49687" xr:uid="{00000000-0005-0000-0000-0000AAC10000}"/>
    <cellStyle name="Normal 7 2 3 2 2 3 4" xfId="49688" xr:uid="{00000000-0005-0000-0000-0000ABC10000}"/>
    <cellStyle name="Normal 7 2 3 2 2 4" xfId="49689" xr:uid="{00000000-0005-0000-0000-0000ACC10000}"/>
    <cellStyle name="Normal 7 2 3 2 2 4 2" xfId="49690" xr:uid="{00000000-0005-0000-0000-0000ADC10000}"/>
    <cellStyle name="Normal 7 2 3 2 2 4 3" xfId="49691" xr:uid="{00000000-0005-0000-0000-0000AEC10000}"/>
    <cellStyle name="Normal 7 2 3 2 2 5" xfId="49692" xr:uid="{00000000-0005-0000-0000-0000AFC10000}"/>
    <cellStyle name="Normal 7 2 3 2 2 5 2" xfId="49693" xr:uid="{00000000-0005-0000-0000-0000B0C10000}"/>
    <cellStyle name="Normal 7 2 3 2 2 5 3" xfId="49694" xr:uid="{00000000-0005-0000-0000-0000B1C10000}"/>
    <cellStyle name="Normal 7 2 3 2 2 6" xfId="49695" xr:uid="{00000000-0005-0000-0000-0000B2C10000}"/>
    <cellStyle name="Normal 7 2 3 2 2 7" xfId="49696" xr:uid="{00000000-0005-0000-0000-0000B3C10000}"/>
    <cellStyle name="Normal 7 2 3 2 2 8" xfId="49697" xr:uid="{00000000-0005-0000-0000-0000B4C10000}"/>
    <cellStyle name="Normal 7 2 3 2 2 9" xfId="49698" xr:uid="{00000000-0005-0000-0000-0000B5C10000}"/>
    <cellStyle name="Normal 7 2 3 2 3" xfId="49699" xr:uid="{00000000-0005-0000-0000-0000B6C10000}"/>
    <cellStyle name="Normal 7 2 3 2 3 2" xfId="49700" xr:uid="{00000000-0005-0000-0000-0000B7C10000}"/>
    <cellStyle name="Normal 7 2 3 2 3 2 2" xfId="49701" xr:uid="{00000000-0005-0000-0000-0000B8C10000}"/>
    <cellStyle name="Normal 7 2 3 2 3 2 3" xfId="49702" xr:uid="{00000000-0005-0000-0000-0000B9C10000}"/>
    <cellStyle name="Normal 7 2 3 2 3 3" xfId="49703" xr:uid="{00000000-0005-0000-0000-0000BAC10000}"/>
    <cellStyle name="Normal 7 2 3 2 3 3 2" xfId="49704" xr:uid="{00000000-0005-0000-0000-0000BBC10000}"/>
    <cellStyle name="Normal 7 2 3 2 3 3 3" xfId="49705" xr:uid="{00000000-0005-0000-0000-0000BCC10000}"/>
    <cellStyle name="Normal 7 2 3 2 3 4" xfId="49706" xr:uid="{00000000-0005-0000-0000-0000BDC10000}"/>
    <cellStyle name="Normal 7 2 3 2 3 5" xfId="49707" xr:uid="{00000000-0005-0000-0000-0000BEC10000}"/>
    <cellStyle name="Normal 7 2 3 2 3 6" xfId="49708" xr:uid="{00000000-0005-0000-0000-0000BFC10000}"/>
    <cellStyle name="Normal 7 2 3 2 3 7" xfId="49709" xr:uid="{00000000-0005-0000-0000-0000C0C10000}"/>
    <cellStyle name="Normal 7 2 3 2 3 8" xfId="49710" xr:uid="{00000000-0005-0000-0000-0000C1C10000}"/>
    <cellStyle name="Normal 7 2 3 2 4" xfId="49711" xr:uid="{00000000-0005-0000-0000-0000C2C10000}"/>
    <cellStyle name="Normal 7 2 3 2 4 2" xfId="49712" xr:uid="{00000000-0005-0000-0000-0000C3C10000}"/>
    <cellStyle name="Normal 7 2 3 2 4 2 2" xfId="49713" xr:uid="{00000000-0005-0000-0000-0000C4C10000}"/>
    <cellStyle name="Normal 7 2 3 2 4 2 3" xfId="49714" xr:uid="{00000000-0005-0000-0000-0000C5C10000}"/>
    <cellStyle name="Normal 7 2 3 2 4 3" xfId="49715" xr:uid="{00000000-0005-0000-0000-0000C6C10000}"/>
    <cellStyle name="Normal 7 2 3 2 4 3 2" xfId="49716" xr:uid="{00000000-0005-0000-0000-0000C7C10000}"/>
    <cellStyle name="Normal 7 2 3 2 4 4" xfId="49717" xr:uid="{00000000-0005-0000-0000-0000C8C10000}"/>
    <cellStyle name="Normal 7 2 3 2 5" xfId="49718" xr:uid="{00000000-0005-0000-0000-0000C9C10000}"/>
    <cellStyle name="Normal 7 2 3 2 5 2" xfId="49719" xr:uid="{00000000-0005-0000-0000-0000CAC10000}"/>
    <cellStyle name="Normal 7 2 3 2 5 3" xfId="49720" xr:uid="{00000000-0005-0000-0000-0000CBC10000}"/>
    <cellStyle name="Normal 7 2 3 2 6" xfId="49721" xr:uid="{00000000-0005-0000-0000-0000CCC10000}"/>
    <cellStyle name="Normal 7 2 3 2 6 2" xfId="49722" xr:uid="{00000000-0005-0000-0000-0000CDC10000}"/>
    <cellStyle name="Normal 7 2 3 2 6 3" xfId="49723" xr:uid="{00000000-0005-0000-0000-0000CEC10000}"/>
    <cellStyle name="Normal 7 2 3 2 7" xfId="49724" xr:uid="{00000000-0005-0000-0000-0000CFC10000}"/>
    <cellStyle name="Normal 7 2 3 2 8" xfId="49725" xr:uid="{00000000-0005-0000-0000-0000D0C10000}"/>
    <cellStyle name="Normal 7 2 3 2 9" xfId="49726" xr:uid="{00000000-0005-0000-0000-0000D1C10000}"/>
    <cellStyle name="Normal 7 2 3 3" xfId="49727" xr:uid="{00000000-0005-0000-0000-0000D2C10000}"/>
    <cellStyle name="Normal 7 2 3 3 10" xfId="49728" xr:uid="{00000000-0005-0000-0000-0000D3C10000}"/>
    <cellStyle name="Normal 7 2 3 3 2" xfId="49729" xr:uid="{00000000-0005-0000-0000-0000D4C10000}"/>
    <cellStyle name="Normal 7 2 3 3 2 2" xfId="49730" xr:uid="{00000000-0005-0000-0000-0000D5C10000}"/>
    <cellStyle name="Normal 7 2 3 3 2 2 2" xfId="49731" xr:uid="{00000000-0005-0000-0000-0000D6C10000}"/>
    <cellStyle name="Normal 7 2 3 3 2 2 3" xfId="49732" xr:uid="{00000000-0005-0000-0000-0000D7C10000}"/>
    <cellStyle name="Normal 7 2 3 3 2 2 4" xfId="49733" xr:uid="{00000000-0005-0000-0000-0000D8C10000}"/>
    <cellStyle name="Normal 7 2 3 3 2 3" xfId="49734" xr:uid="{00000000-0005-0000-0000-0000D9C10000}"/>
    <cellStyle name="Normal 7 2 3 3 2 3 2" xfId="49735" xr:uid="{00000000-0005-0000-0000-0000DAC10000}"/>
    <cellStyle name="Normal 7 2 3 3 2 3 3" xfId="49736" xr:uid="{00000000-0005-0000-0000-0000DBC10000}"/>
    <cellStyle name="Normal 7 2 3 3 2 4" xfId="49737" xr:uid="{00000000-0005-0000-0000-0000DCC10000}"/>
    <cellStyle name="Normal 7 2 3 3 2 5" xfId="49738" xr:uid="{00000000-0005-0000-0000-0000DDC10000}"/>
    <cellStyle name="Normal 7 2 3 3 2 6" xfId="49739" xr:uid="{00000000-0005-0000-0000-0000DEC10000}"/>
    <cellStyle name="Normal 7 2 3 3 2 7" xfId="49740" xr:uid="{00000000-0005-0000-0000-0000DFC10000}"/>
    <cellStyle name="Normal 7 2 3 3 2 8" xfId="49741" xr:uid="{00000000-0005-0000-0000-0000E0C10000}"/>
    <cellStyle name="Normal 7 2 3 3 3" xfId="49742" xr:uid="{00000000-0005-0000-0000-0000E1C10000}"/>
    <cellStyle name="Normal 7 2 3 3 3 2" xfId="49743" xr:uid="{00000000-0005-0000-0000-0000E2C10000}"/>
    <cellStyle name="Normal 7 2 3 3 3 2 2" xfId="49744" xr:uid="{00000000-0005-0000-0000-0000E3C10000}"/>
    <cellStyle name="Normal 7 2 3 3 3 2 3" xfId="49745" xr:uid="{00000000-0005-0000-0000-0000E4C10000}"/>
    <cellStyle name="Normal 7 2 3 3 3 3" xfId="49746" xr:uid="{00000000-0005-0000-0000-0000E5C10000}"/>
    <cellStyle name="Normal 7 2 3 3 3 4" xfId="49747" xr:uid="{00000000-0005-0000-0000-0000E6C10000}"/>
    <cellStyle name="Normal 7 2 3 3 3 5" xfId="49748" xr:uid="{00000000-0005-0000-0000-0000E7C10000}"/>
    <cellStyle name="Normal 7 2 3 3 3 6" xfId="49749" xr:uid="{00000000-0005-0000-0000-0000E8C10000}"/>
    <cellStyle name="Normal 7 2 3 3 4" xfId="49750" xr:uid="{00000000-0005-0000-0000-0000E9C10000}"/>
    <cellStyle name="Normal 7 2 3 3 4 2" xfId="49751" xr:uid="{00000000-0005-0000-0000-0000EAC10000}"/>
    <cellStyle name="Normal 7 2 3 3 4 3" xfId="49752" xr:uid="{00000000-0005-0000-0000-0000EBC10000}"/>
    <cellStyle name="Normal 7 2 3 3 5" xfId="49753" xr:uid="{00000000-0005-0000-0000-0000ECC10000}"/>
    <cellStyle name="Normal 7 2 3 3 5 2" xfId="49754" xr:uid="{00000000-0005-0000-0000-0000EDC10000}"/>
    <cellStyle name="Normal 7 2 3 3 5 3" xfId="49755" xr:uid="{00000000-0005-0000-0000-0000EEC10000}"/>
    <cellStyle name="Normal 7 2 3 3 6" xfId="49756" xr:uid="{00000000-0005-0000-0000-0000EFC10000}"/>
    <cellStyle name="Normal 7 2 3 3 7" xfId="49757" xr:uid="{00000000-0005-0000-0000-0000F0C10000}"/>
    <cellStyle name="Normal 7 2 3 3 8" xfId="49758" xr:uid="{00000000-0005-0000-0000-0000F1C10000}"/>
    <cellStyle name="Normal 7 2 3 3 9" xfId="49759" xr:uid="{00000000-0005-0000-0000-0000F2C10000}"/>
    <cellStyle name="Normal 7 2 3 4" xfId="49760" xr:uid="{00000000-0005-0000-0000-0000F3C10000}"/>
    <cellStyle name="Normal 7 2 3 4 2" xfId="49761" xr:uid="{00000000-0005-0000-0000-0000F4C10000}"/>
    <cellStyle name="Normal 7 2 3 4 2 2" xfId="49762" xr:uid="{00000000-0005-0000-0000-0000F5C10000}"/>
    <cellStyle name="Normal 7 2 3 4 3" xfId="49763" xr:uid="{00000000-0005-0000-0000-0000F6C10000}"/>
    <cellStyle name="Normal 7 2 3 4 4" xfId="49764" xr:uid="{00000000-0005-0000-0000-0000F7C10000}"/>
    <cellStyle name="Normal 7 2 3 4 5" xfId="49765" xr:uid="{00000000-0005-0000-0000-0000F8C10000}"/>
    <cellStyle name="Normal 7 2 3 5" xfId="49766" xr:uid="{00000000-0005-0000-0000-0000F9C10000}"/>
    <cellStyle name="Normal 7 2 3 5 2" xfId="49767" xr:uid="{00000000-0005-0000-0000-0000FAC10000}"/>
    <cellStyle name="Normal 7 2 3 5 2 2" xfId="49768" xr:uid="{00000000-0005-0000-0000-0000FBC10000}"/>
    <cellStyle name="Normal 7 2 3 5 2 3" xfId="49769" xr:uid="{00000000-0005-0000-0000-0000FCC10000}"/>
    <cellStyle name="Normal 7 2 3 5 3" xfId="49770" xr:uid="{00000000-0005-0000-0000-0000FDC10000}"/>
    <cellStyle name="Normal 7 2 3 5 3 2" xfId="49771" xr:uid="{00000000-0005-0000-0000-0000FEC10000}"/>
    <cellStyle name="Normal 7 2 3 5 3 3" xfId="49772" xr:uid="{00000000-0005-0000-0000-0000FFC10000}"/>
    <cellStyle name="Normal 7 2 3 5 4" xfId="49773" xr:uid="{00000000-0005-0000-0000-000000C20000}"/>
    <cellStyle name="Normal 7 2 3 5 5" xfId="49774" xr:uid="{00000000-0005-0000-0000-000001C20000}"/>
    <cellStyle name="Normal 7 2 3 5 6" xfId="49775" xr:uid="{00000000-0005-0000-0000-000002C20000}"/>
    <cellStyle name="Normal 7 2 3 5 7" xfId="49776" xr:uid="{00000000-0005-0000-0000-000003C20000}"/>
    <cellStyle name="Normal 7 2 3 5 8" xfId="49777" xr:uid="{00000000-0005-0000-0000-000004C20000}"/>
    <cellStyle name="Normal 7 2 3 6" xfId="49778" xr:uid="{00000000-0005-0000-0000-000005C20000}"/>
    <cellStyle name="Normal 7 2 3 6 2" xfId="49779" xr:uid="{00000000-0005-0000-0000-000006C20000}"/>
    <cellStyle name="Normal 7 2 3 6 2 2" xfId="49780" xr:uid="{00000000-0005-0000-0000-000007C20000}"/>
    <cellStyle name="Normal 7 2 3 6 2 3" xfId="49781" xr:uid="{00000000-0005-0000-0000-000008C20000}"/>
    <cellStyle name="Normal 7 2 3 6 3" xfId="49782" xr:uid="{00000000-0005-0000-0000-000009C20000}"/>
    <cellStyle name="Normal 7 2 3 6 4" xfId="49783" xr:uid="{00000000-0005-0000-0000-00000AC20000}"/>
    <cellStyle name="Normal 7 2 3 6 5" xfId="49784" xr:uid="{00000000-0005-0000-0000-00000BC20000}"/>
    <cellStyle name="Normal 7 2 3 6 6" xfId="49785" xr:uid="{00000000-0005-0000-0000-00000CC20000}"/>
    <cellStyle name="Normal 7 2 3 7" xfId="49786" xr:uid="{00000000-0005-0000-0000-00000DC20000}"/>
    <cellStyle name="Normal 7 2 3 7 2" xfId="49787" xr:uid="{00000000-0005-0000-0000-00000EC20000}"/>
    <cellStyle name="Normal 7 2 3 7 3" xfId="49788" xr:uid="{00000000-0005-0000-0000-00000FC20000}"/>
    <cellStyle name="Normal 7 2 3 8" xfId="49789" xr:uid="{00000000-0005-0000-0000-000010C20000}"/>
    <cellStyle name="Normal 7 2 3 8 2" xfId="49790" xr:uid="{00000000-0005-0000-0000-000011C20000}"/>
    <cellStyle name="Normal 7 2 3 8 3" xfId="49791" xr:uid="{00000000-0005-0000-0000-000012C20000}"/>
    <cellStyle name="Normal 7 2 3 9" xfId="49792" xr:uid="{00000000-0005-0000-0000-000013C20000}"/>
    <cellStyle name="Normal 7 2 30" xfId="49793" xr:uid="{00000000-0005-0000-0000-000014C20000}"/>
    <cellStyle name="Normal 7 2 30 2" xfId="49794" xr:uid="{00000000-0005-0000-0000-000015C20000}"/>
    <cellStyle name="Normal 7 2 30 3" xfId="49795" xr:uid="{00000000-0005-0000-0000-000016C20000}"/>
    <cellStyle name="Normal 7 2 31" xfId="49796" xr:uid="{00000000-0005-0000-0000-000017C20000}"/>
    <cellStyle name="Normal 7 2 31 2" xfId="49797" xr:uid="{00000000-0005-0000-0000-000018C20000}"/>
    <cellStyle name="Normal 7 2 31 3" xfId="49798" xr:uid="{00000000-0005-0000-0000-000019C20000}"/>
    <cellStyle name="Normal 7 2 32" xfId="49799" xr:uid="{00000000-0005-0000-0000-00001AC20000}"/>
    <cellStyle name="Normal 7 2 32 2" xfId="49800" xr:uid="{00000000-0005-0000-0000-00001BC20000}"/>
    <cellStyle name="Normal 7 2 32 3" xfId="49801" xr:uid="{00000000-0005-0000-0000-00001CC20000}"/>
    <cellStyle name="Normal 7 2 33" xfId="49802" xr:uid="{00000000-0005-0000-0000-00001DC20000}"/>
    <cellStyle name="Normal 7 2 33 2" xfId="49803" xr:uid="{00000000-0005-0000-0000-00001EC20000}"/>
    <cellStyle name="Normal 7 2 33 3" xfId="49804" xr:uid="{00000000-0005-0000-0000-00001FC20000}"/>
    <cellStyle name="Normal 7 2 34" xfId="49805" xr:uid="{00000000-0005-0000-0000-000020C20000}"/>
    <cellStyle name="Normal 7 2 34 2" xfId="49806" xr:uid="{00000000-0005-0000-0000-000021C20000}"/>
    <cellStyle name="Normal 7 2 34 3" xfId="49807" xr:uid="{00000000-0005-0000-0000-000022C20000}"/>
    <cellStyle name="Normal 7 2 35" xfId="49808" xr:uid="{00000000-0005-0000-0000-000023C20000}"/>
    <cellStyle name="Normal 7 2 35 2" xfId="49809" xr:uid="{00000000-0005-0000-0000-000024C20000}"/>
    <cellStyle name="Normal 7 2 35 3" xfId="49810" xr:uid="{00000000-0005-0000-0000-000025C20000}"/>
    <cellStyle name="Normal 7 2 36" xfId="49811" xr:uid="{00000000-0005-0000-0000-000026C20000}"/>
    <cellStyle name="Normal 7 2 36 2" xfId="49812" xr:uid="{00000000-0005-0000-0000-000027C20000}"/>
    <cellStyle name="Normal 7 2 36 3" xfId="49813" xr:uid="{00000000-0005-0000-0000-000028C20000}"/>
    <cellStyle name="Normal 7 2 37" xfId="49814" xr:uid="{00000000-0005-0000-0000-000029C20000}"/>
    <cellStyle name="Normal 7 2 37 2" xfId="49815" xr:uid="{00000000-0005-0000-0000-00002AC20000}"/>
    <cellStyle name="Normal 7 2 37 3" xfId="49816" xr:uid="{00000000-0005-0000-0000-00002BC20000}"/>
    <cellStyle name="Normal 7 2 38" xfId="49817" xr:uid="{00000000-0005-0000-0000-00002CC20000}"/>
    <cellStyle name="Normal 7 2 39" xfId="49818" xr:uid="{00000000-0005-0000-0000-00002DC20000}"/>
    <cellStyle name="Normal 7 2 4" xfId="49819" xr:uid="{00000000-0005-0000-0000-00002EC20000}"/>
    <cellStyle name="Normal 7 2 4 10" xfId="49820" xr:uid="{00000000-0005-0000-0000-00002FC20000}"/>
    <cellStyle name="Normal 7 2 4 2" xfId="49821" xr:uid="{00000000-0005-0000-0000-000030C20000}"/>
    <cellStyle name="Normal 7 2 4 2 2" xfId="49822" xr:uid="{00000000-0005-0000-0000-000031C20000}"/>
    <cellStyle name="Normal 7 2 4 2 2 2" xfId="49823" xr:uid="{00000000-0005-0000-0000-000032C20000}"/>
    <cellStyle name="Normal 7 2 4 2 2 2 2" xfId="49824" xr:uid="{00000000-0005-0000-0000-000033C20000}"/>
    <cellStyle name="Normal 7 2 4 2 2 2 2 2" xfId="49825" xr:uid="{00000000-0005-0000-0000-000034C20000}"/>
    <cellStyle name="Normal 7 2 4 2 2 2 2 3" xfId="49826" xr:uid="{00000000-0005-0000-0000-000035C20000}"/>
    <cellStyle name="Normal 7 2 4 2 2 2 3" xfId="49827" xr:uid="{00000000-0005-0000-0000-000036C20000}"/>
    <cellStyle name="Normal 7 2 4 2 2 2 3 2" xfId="49828" xr:uid="{00000000-0005-0000-0000-000037C20000}"/>
    <cellStyle name="Normal 7 2 4 2 2 2 3 3" xfId="49829" xr:uid="{00000000-0005-0000-0000-000038C20000}"/>
    <cellStyle name="Normal 7 2 4 2 2 2 4" xfId="49830" xr:uid="{00000000-0005-0000-0000-000039C20000}"/>
    <cellStyle name="Normal 7 2 4 2 2 2 5" xfId="49831" xr:uid="{00000000-0005-0000-0000-00003AC20000}"/>
    <cellStyle name="Normal 7 2 4 2 2 2 6" xfId="49832" xr:uid="{00000000-0005-0000-0000-00003BC20000}"/>
    <cellStyle name="Normal 7 2 4 2 2 2 7" xfId="49833" xr:uid="{00000000-0005-0000-0000-00003CC20000}"/>
    <cellStyle name="Normal 7 2 4 2 2 2 8" xfId="49834" xr:uid="{00000000-0005-0000-0000-00003DC20000}"/>
    <cellStyle name="Normal 7 2 4 2 2 3" xfId="49835" xr:uid="{00000000-0005-0000-0000-00003EC20000}"/>
    <cellStyle name="Normal 7 2 4 2 2 3 2" xfId="49836" xr:uid="{00000000-0005-0000-0000-00003FC20000}"/>
    <cellStyle name="Normal 7 2 4 2 2 3 3" xfId="49837" xr:uid="{00000000-0005-0000-0000-000040C20000}"/>
    <cellStyle name="Normal 7 2 4 2 2 4" xfId="49838" xr:uid="{00000000-0005-0000-0000-000041C20000}"/>
    <cellStyle name="Normal 7 2 4 2 2 4 2" xfId="49839" xr:uid="{00000000-0005-0000-0000-000042C20000}"/>
    <cellStyle name="Normal 7 2 4 2 2 4 3" xfId="49840" xr:uid="{00000000-0005-0000-0000-000043C20000}"/>
    <cellStyle name="Normal 7 2 4 2 2 5" xfId="49841" xr:uid="{00000000-0005-0000-0000-000044C20000}"/>
    <cellStyle name="Normal 7 2 4 2 2 6" xfId="49842" xr:uid="{00000000-0005-0000-0000-000045C20000}"/>
    <cellStyle name="Normal 7 2 4 2 2 7" xfId="49843" xr:uid="{00000000-0005-0000-0000-000046C20000}"/>
    <cellStyle name="Normal 7 2 4 2 2 8" xfId="49844" xr:uid="{00000000-0005-0000-0000-000047C20000}"/>
    <cellStyle name="Normal 7 2 4 2 2 9" xfId="49845" xr:uid="{00000000-0005-0000-0000-000048C20000}"/>
    <cellStyle name="Normal 7 2 4 2 3" xfId="49846" xr:uid="{00000000-0005-0000-0000-000049C20000}"/>
    <cellStyle name="Normal 7 2 4 2 3 2" xfId="49847" xr:uid="{00000000-0005-0000-0000-00004AC20000}"/>
    <cellStyle name="Normal 7 2 4 2 3 2 2" xfId="49848" xr:uid="{00000000-0005-0000-0000-00004BC20000}"/>
    <cellStyle name="Normal 7 2 4 2 3 2 3" xfId="49849" xr:uid="{00000000-0005-0000-0000-00004CC20000}"/>
    <cellStyle name="Normal 7 2 4 2 3 3" xfId="49850" xr:uid="{00000000-0005-0000-0000-00004DC20000}"/>
    <cellStyle name="Normal 7 2 4 2 3 3 2" xfId="49851" xr:uid="{00000000-0005-0000-0000-00004EC20000}"/>
    <cellStyle name="Normal 7 2 4 2 3 4" xfId="49852" xr:uid="{00000000-0005-0000-0000-00004FC20000}"/>
    <cellStyle name="Normal 7 2 4 2 4" xfId="49853" xr:uid="{00000000-0005-0000-0000-000050C20000}"/>
    <cellStyle name="Normal 7 2 4 2 5" xfId="49854" xr:uid="{00000000-0005-0000-0000-000051C20000}"/>
    <cellStyle name="Normal 7 2 4 2 6" xfId="49855" xr:uid="{00000000-0005-0000-0000-000052C20000}"/>
    <cellStyle name="Normal 7 2 4 2_Dec monthly report" xfId="49856" xr:uid="{00000000-0005-0000-0000-000053C20000}"/>
    <cellStyle name="Normal 7 2 4 3" xfId="49857" xr:uid="{00000000-0005-0000-0000-000054C20000}"/>
    <cellStyle name="Normal 7 2 4 3 2" xfId="49858" xr:uid="{00000000-0005-0000-0000-000055C20000}"/>
    <cellStyle name="Normal 7 2 4 3 2 2" xfId="49859" xr:uid="{00000000-0005-0000-0000-000056C20000}"/>
    <cellStyle name="Normal 7 2 4 3 2 3" xfId="49860" xr:uid="{00000000-0005-0000-0000-000057C20000}"/>
    <cellStyle name="Normal 7 2 4 3 3" xfId="49861" xr:uid="{00000000-0005-0000-0000-000058C20000}"/>
    <cellStyle name="Normal 7 2 4 3 3 2" xfId="49862" xr:uid="{00000000-0005-0000-0000-000059C20000}"/>
    <cellStyle name="Normal 7 2 4 3 3 3" xfId="49863" xr:uid="{00000000-0005-0000-0000-00005AC20000}"/>
    <cellStyle name="Normal 7 2 4 3 4" xfId="49864" xr:uid="{00000000-0005-0000-0000-00005BC20000}"/>
    <cellStyle name="Normal 7 2 4 3 5" xfId="49865" xr:uid="{00000000-0005-0000-0000-00005CC20000}"/>
    <cellStyle name="Normal 7 2 4 3 6" xfId="49866" xr:uid="{00000000-0005-0000-0000-00005DC20000}"/>
    <cellStyle name="Normal 7 2 4 3 7" xfId="49867" xr:uid="{00000000-0005-0000-0000-00005EC20000}"/>
    <cellStyle name="Normal 7 2 4 3 8" xfId="49868" xr:uid="{00000000-0005-0000-0000-00005FC20000}"/>
    <cellStyle name="Normal 7 2 4 4" xfId="49869" xr:uid="{00000000-0005-0000-0000-000060C20000}"/>
    <cellStyle name="Normal 7 2 4 4 2" xfId="49870" xr:uid="{00000000-0005-0000-0000-000061C20000}"/>
    <cellStyle name="Normal 7 2 4 4 2 2" xfId="49871" xr:uid="{00000000-0005-0000-0000-000062C20000}"/>
    <cellStyle name="Normal 7 2 4 4 2 3" xfId="49872" xr:uid="{00000000-0005-0000-0000-000063C20000}"/>
    <cellStyle name="Normal 7 2 4 4 3" xfId="49873" xr:uid="{00000000-0005-0000-0000-000064C20000}"/>
    <cellStyle name="Normal 7 2 4 4 4" xfId="49874" xr:uid="{00000000-0005-0000-0000-000065C20000}"/>
    <cellStyle name="Normal 7 2 4 4 5" xfId="49875" xr:uid="{00000000-0005-0000-0000-000066C20000}"/>
    <cellStyle name="Normal 7 2 4 4 6" xfId="49876" xr:uid="{00000000-0005-0000-0000-000067C20000}"/>
    <cellStyle name="Normal 7 2 4 5" xfId="49877" xr:uid="{00000000-0005-0000-0000-000068C20000}"/>
    <cellStyle name="Normal 7 2 4 5 2" xfId="49878" xr:uid="{00000000-0005-0000-0000-000069C20000}"/>
    <cellStyle name="Normal 7 2 4 5 3" xfId="49879" xr:uid="{00000000-0005-0000-0000-00006AC20000}"/>
    <cellStyle name="Normal 7 2 4 6" xfId="49880" xr:uid="{00000000-0005-0000-0000-00006BC20000}"/>
    <cellStyle name="Normal 7 2 4 6 2" xfId="49881" xr:uid="{00000000-0005-0000-0000-00006CC20000}"/>
    <cellStyle name="Normal 7 2 4 6 3" xfId="49882" xr:uid="{00000000-0005-0000-0000-00006DC20000}"/>
    <cellStyle name="Normal 7 2 4 7" xfId="49883" xr:uid="{00000000-0005-0000-0000-00006EC20000}"/>
    <cellStyle name="Normal 7 2 4 7 2" xfId="49884" xr:uid="{00000000-0005-0000-0000-00006FC20000}"/>
    <cellStyle name="Normal 7 2 4 7 3" xfId="49885" xr:uid="{00000000-0005-0000-0000-000070C20000}"/>
    <cellStyle name="Normal 7 2 4 8" xfId="49886" xr:uid="{00000000-0005-0000-0000-000071C20000}"/>
    <cellStyle name="Normal 7 2 4 9" xfId="49887" xr:uid="{00000000-0005-0000-0000-000072C20000}"/>
    <cellStyle name="Normal 7 2 40" xfId="49888" xr:uid="{00000000-0005-0000-0000-000073C20000}"/>
    <cellStyle name="Normal 7 2 5" xfId="49889" xr:uid="{00000000-0005-0000-0000-000074C20000}"/>
    <cellStyle name="Normal 7 2 5 10" xfId="49890" xr:uid="{00000000-0005-0000-0000-000075C20000}"/>
    <cellStyle name="Normal 7 2 5 2" xfId="49891" xr:uid="{00000000-0005-0000-0000-000076C20000}"/>
    <cellStyle name="Normal 7 2 5 2 2" xfId="49892" xr:uid="{00000000-0005-0000-0000-000077C20000}"/>
    <cellStyle name="Normal 7 2 5 2 2 2" xfId="49893" xr:uid="{00000000-0005-0000-0000-000078C20000}"/>
    <cellStyle name="Normal 7 2 5 2 2 3" xfId="49894" xr:uid="{00000000-0005-0000-0000-000079C20000}"/>
    <cellStyle name="Normal 7 2 5 2 3" xfId="49895" xr:uid="{00000000-0005-0000-0000-00007AC20000}"/>
    <cellStyle name="Normal 7 2 5 2 4" xfId="49896" xr:uid="{00000000-0005-0000-0000-00007BC20000}"/>
    <cellStyle name="Normal 7 2 5 2 5" xfId="49897" xr:uid="{00000000-0005-0000-0000-00007CC20000}"/>
    <cellStyle name="Normal 7 2 5 3" xfId="49898" xr:uid="{00000000-0005-0000-0000-00007DC20000}"/>
    <cellStyle name="Normal 7 2 5 3 2" xfId="49899" xr:uid="{00000000-0005-0000-0000-00007EC20000}"/>
    <cellStyle name="Normal 7 2 5 3 2 2" xfId="49900" xr:uid="{00000000-0005-0000-0000-00007FC20000}"/>
    <cellStyle name="Normal 7 2 5 3 2 3" xfId="49901" xr:uid="{00000000-0005-0000-0000-000080C20000}"/>
    <cellStyle name="Normal 7 2 5 3 3" xfId="49902" xr:uid="{00000000-0005-0000-0000-000081C20000}"/>
    <cellStyle name="Normal 7 2 5 3 3 2" xfId="49903" xr:uid="{00000000-0005-0000-0000-000082C20000}"/>
    <cellStyle name="Normal 7 2 5 3 3 3" xfId="49904" xr:uid="{00000000-0005-0000-0000-000083C20000}"/>
    <cellStyle name="Normal 7 2 5 3 4" xfId="49905" xr:uid="{00000000-0005-0000-0000-000084C20000}"/>
    <cellStyle name="Normal 7 2 5 3 5" xfId="49906" xr:uid="{00000000-0005-0000-0000-000085C20000}"/>
    <cellStyle name="Normal 7 2 5 3 6" xfId="49907" xr:uid="{00000000-0005-0000-0000-000086C20000}"/>
    <cellStyle name="Normal 7 2 5 3 7" xfId="49908" xr:uid="{00000000-0005-0000-0000-000087C20000}"/>
    <cellStyle name="Normal 7 2 5 3 8" xfId="49909" xr:uid="{00000000-0005-0000-0000-000088C20000}"/>
    <cellStyle name="Normal 7 2 5 4" xfId="49910" xr:uid="{00000000-0005-0000-0000-000089C20000}"/>
    <cellStyle name="Normal 7 2 5 4 2" xfId="49911" xr:uid="{00000000-0005-0000-0000-00008AC20000}"/>
    <cellStyle name="Normal 7 2 5 4 2 2" xfId="49912" xr:uid="{00000000-0005-0000-0000-00008BC20000}"/>
    <cellStyle name="Normal 7 2 5 4 2 3" xfId="49913" xr:uid="{00000000-0005-0000-0000-00008CC20000}"/>
    <cellStyle name="Normal 7 2 5 4 3" xfId="49914" xr:uid="{00000000-0005-0000-0000-00008DC20000}"/>
    <cellStyle name="Normal 7 2 5 4 4" xfId="49915" xr:uid="{00000000-0005-0000-0000-00008EC20000}"/>
    <cellStyle name="Normal 7 2 5 4 5" xfId="49916" xr:uid="{00000000-0005-0000-0000-00008FC20000}"/>
    <cellStyle name="Normal 7 2 5 4 6" xfId="49917" xr:uid="{00000000-0005-0000-0000-000090C20000}"/>
    <cellStyle name="Normal 7 2 5 5" xfId="49918" xr:uid="{00000000-0005-0000-0000-000091C20000}"/>
    <cellStyle name="Normal 7 2 5 5 2" xfId="49919" xr:uid="{00000000-0005-0000-0000-000092C20000}"/>
    <cellStyle name="Normal 7 2 5 5 3" xfId="49920" xr:uid="{00000000-0005-0000-0000-000093C20000}"/>
    <cellStyle name="Normal 7 2 5 6" xfId="49921" xr:uid="{00000000-0005-0000-0000-000094C20000}"/>
    <cellStyle name="Normal 7 2 5 6 2" xfId="49922" xr:uid="{00000000-0005-0000-0000-000095C20000}"/>
    <cellStyle name="Normal 7 2 5 6 3" xfId="49923" xr:uid="{00000000-0005-0000-0000-000096C20000}"/>
    <cellStyle name="Normal 7 2 5 7" xfId="49924" xr:uid="{00000000-0005-0000-0000-000097C20000}"/>
    <cellStyle name="Normal 7 2 5 7 2" xfId="49925" xr:uid="{00000000-0005-0000-0000-000098C20000}"/>
    <cellStyle name="Normal 7 2 5 7 3" xfId="49926" xr:uid="{00000000-0005-0000-0000-000099C20000}"/>
    <cellStyle name="Normal 7 2 5 8" xfId="49927" xr:uid="{00000000-0005-0000-0000-00009AC20000}"/>
    <cellStyle name="Normal 7 2 5 9" xfId="49928" xr:uid="{00000000-0005-0000-0000-00009BC20000}"/>
    <cellStyle name="Normal 7 2 6" xfId="49929" xr:uid="{00000000-0005-0000-0000-00009CC20000}"/>
    <cellStyle name="Normal 7 2 6 2" xfId="49930" xr:uid="{00000000-0005-0000-0000-00009DC20000}"/>
    <cellStyle name="Normal 7 2 6 2 2" xfId="49931" xr:uid="{00000000-0005-0000-0000-00009EC20000}"/>
    <cellStyle name="Normal 7 2 6 2 2 2" xfId="49932" xr:uid="{00000000-0005-0000-0000-00009FC20000}"/>
    <cellStyle name="Normal 7 2 6 2 2 3" xfId="49933" xr:uid="{00000000-0005-0000-0000-0000A0C20000}"/>
    <cellStyle name="Normal 7 2 6 2 3" xfId="49934" xr:uid="{00000000-0005-0000-0000-0000A1C20000}"/>
    <cellStyle name="Normal 7 2 6 2 4" xfId="49935" xr:uid="{00000000-0005-0000-0000-0000A2C20000}"/>
    <cellStyle name="Normal 7 2 6 3" xfId="49936" xr:uid="{00000000-0005-0000-0000-0000A3C20000}"/>
    <cellStyle name="Normal 7 2 6 3 2" xfId="49937" xr:uid="{00000000-0005-0000-0000-0000A4C20000}"/>
    <cellStyle name="Normal 7 2 6 3 3" xfId="49938" xr:uid="{00000000-0005-0000-0000-0000A5C20000}"/>
    <cellStyle name="Normal 7 2 6 4" xfId="49939" xr:uid="{00000000-0005-0000-0000-0000A6C20000}"/>
    <cellStyle name="Normal 7 2 6 5" xfId="49940" xr:uid="{00000000-0005-0000-0000-0000A7C20000}"/>
    <cellStyle name="Normal 7 2 7" xfId="49941" xr:uid="{00000000-0005-0000-0000-0000A8C20000}"/>
    <cellStyle name="Normal 7 2 7 2" xfId="49942" xr:uid="{00000000-0005-0000-0000-0000A9C20000}"/>
    <cellStyle name="Normal 7 2 7 2 2" xfId="49943" xr:uid="{00000000-0005-0000-0000-0000AAC20000}"/>
    <cellStyle name="Normal 7 2 7 2 2 2" xfId="49944" xr:uid="{00000000-0005-0000-0000-0000ABC20000}"/>
    <cellStyle name="Normal 7 2 7 2 2 3" xfId="49945" xr:uid="{00000000-0005-0000-0000-0000ACC20000}"/>
    <cellStyle name="Normal 7 2 7 2 3" xfId="49946" xr:uid="{00000000-0005-0000-0000-0000ADC20000}"/>
    <cellStyle name="Normal 7 2 7 2 4" xfId="49947" xr:uid="{00000000-0005-0000-0000-0000AEC20000}"/>
    <cellStyle name="Normal 7 2 7 3" xfId="49948" xr:uid="{00000000-0005-0000-0000-0000AFC20000}"/>
    <cellStyle name="Normal 7 2 7 3 2" xfId="49949" xr:uid="{00000000-0005-0000-0000-0000B0C20000}"/>
    <cellStyle name="Normal 7 2 7 3 3" xfId="49950" xr:uid="{00000000-0005-0000-0000-0000B1C20000}"/>
    <cellStyle name="Normal 7 2 7 4" xfId="49951" xr:uid="{00000000-0005-0000-0000-0000B2C20000}"/>
    <cellStyle name="Normal 7 2 8" xfId="49952" xr:uid="{00000000-0005-0000-0000-0000B3C20000}"/>
    <cellStyle name="Normal 7 2 8 2" xfId="49953" xr:uid="{00000000-0005-0000-0000-0000B4C20000}"/>
    <cellStyle name="Normal 7 2 8 2 2" xfId="49954" xr:uid="{00000000-0005-0000-0000-0000B5C20000}"/>
    <cellStyle name="Normal 7 2 8 2 2 2" xfId="49955" xr:uid="{00000000-0005-0000-0000-0000B6C20000}"/>
    <cellStyle name="Normal 7 2 8 2 2 3" xfId="49956" xr:uid="{00000000-0005-0000-0000-0000B7C20000}"/>
    <cellStyle name="Normal 7 2 8 2 3" xfId="49957" xr:uid="{00000000-0005-0000-0000-0000B8C20000}"/>
    <cellStyle name="Normal 7 2 8 2 4" xfId="49958" xr:uid="{00000000-0005-0000-0000-0000B9C20000}"/>
    <cellStyle name="Normal 7 2 8 3" xfId="49959" xr:uid="{00000000-0005-0000-0000-0000BAC20000}"/>
    <cellStyle name="Normal 7 2 8 3 2" xfId="49960" xr:uid="{00000000-0005-0000-0000-0000BBC20000}"/>
    <cellStyle name="Normal 7 2 8 3 3" xfId="49961" xr:uid="{00000000-0005-0000-0000-0000BCC20000}"/>
    <cellStyle name="Normal 7 2 8 4" xfId="49962" xr:uid="{00000000-0005-0000-0000-0000BDC20000}"/>
    <cellStyle name="Normal 7 2 9" xfId="49963" xr:uid="{00000000-0005-0000-0000-0000BEC20000}"/>
    <cellStyle name="Normal 7 2 9 2" xfId="49964" xr:uid="{00000000-0005-0000-0000-0000BFC20000}"/>
    <cellStyle name="Normal 7 2 9 2 2" xfId="49965" xr:uid="{00000000-0005-0000-0000-0000C0C20000}"/>
    <cellStyle name="Normal 7 2 9 2 2 2" xfId="49966" xr:uid="{00000000-0005-0000-0000-0000C1C20000}"/>
    <cellStyle name="Normal 7 2 9 2 2 3" xfId="49967" xr:uid="{00000000-0005-0000-0000-0000C2C20000}"/>
    <cellStyle name="Normal 7 2 9 2 3" xfId="49968" xr:uid="{00000000-0005-0000-0000-0000C3C20000}"/>
    <cellStyle name="Normal 7 2 9 2 4" xfId="49969" xr:uid="{00000000-0005-0000-0000-0000C4C20000}"/>
    <cellStyle name="Normal 7 2 9 3" xfId="49970" xr:uid="{00000000-0005-0000-0000-0000C5C20000}"/>
    <cellStyle name="Normal 7 2 9 3 2" xfId="49971" xr:uid="{00000000-0005-0000-0000-0000C6C20000}"/>
    <cellStyle name="Normal 7 2 9 3 3" xfId="49972" xr:uid="{00000000-0005-0000-0000-0000C7C20000}"/>
    <cellStyle name="Normal 7 2 9 4" xfId="49973" xr:uid="{00000000-0005-0000-0000-0000C8C20000}"/>
    <cellStyle name="Normal 7 2_2015 Annual Rpt" xfId="49974" xr:uid="{00000000-0005-0000-0000-0000C9C20000}"/>
    <cellStyle name="Normal 7 20" xfId="49975" xr:uid="{00000000-0005-0000-0000-0000CAC20000}"/>
    <cellStyle name="Normal 7 20 2" xfId="49976" xr:uid="{00000000-0005-0000-0000-0000CBC20000}"/>
    <cellStyle name="Normal 7 20 2 2" xfId="49977" xr:uid="{00000000-0005-0000-0000-0000CCC20000}"/>
    <cellStyle name="Normal 7 20 2 2 2" xfId="49978" xr:uid="{00000000-0005-0000-0000-0000CDC20000}"/>
    <cellStyle name="Normal 7 20 2 2 3" xfId="49979" xr:uid="{00000000-0005-0000-0000-0000CEC20000}"/>
    <cellStyle name="Normal 7 20 2 3" xfId="49980" xr:uid="{00000000-0005-0000-0000-0000CFC20000}"/>
    <cellStyle name="Normal 7 20 2 4" xfId="49981" xr:uid="{00000000-0005-0000-0000-0000D0C20000}"/>
    <cellStyle name="Normal 7 20 3" xfId="49982" xr:uid="{00000000-0005-0000-0000-0000D1C20000}"/>
    <cellStyle name="Normal 7 20 3 2" xfId="49983" xr:uid="{00000000-0005-0000-0000-0000D2C20000}"/>
    <cellStyle name="Normal 7 20 3 3" xfId="49984" xr:uid="{00000000-0005-0000-0000-0000D3C20000}"/>
    <cellStyle name="Normal 7 20 4" xfId="49985" xr:uid="{00000000-0005-0000-0000-0000D4C20000}"/>
    <cellStyle name="Normal 7 21" xfId="49986" xr:uid="{00000000-0005-0000-0000-0000D5C20000}"/>
    <cellStyle name="Normal 7 21 2" xfId="49987" xr:uid="{00000000-0005-0000-0000-0000D6C20000}"/>
    <cellStyle name="Normal 7 21 2 2" xfId="49988" xr:uid="{00000000-0005-0000-0000-0000D7C20000}"/>
    <cellStyle name="Normal 7 21 2 2 2" xfId="49989" xr:uid="{00000000-0005-0000-0000-0000D8C20000}"/>
    <cellStyle name="Normal 7 21 2 2 3" xfId="49990" xr:uid="{00000000-0005-0000-0000-0000D9C20000}"/>
    <cellStyle name="Normal 7 21 2 3" xfId="49991" xr:uid="{00000000-0005-0000-0000-0000DAC20000}"/>
    <cellStyle name="Normal 7 21 2 4" xfId="49992" xr:uid="{00000000-0005-0000-0000-0000DBC20000}"/>
    <cellStyle name="Normal 7 21 3" xfId="49993" xr:uid="{00000000-0005-0000-0000-0000DCC20000}"/>
    <cellStyle name="Normal 7 21 3 2" xfId="49994" xr:uid="{00000000-0005-0000-0000-0000DDC20000}"/>
    <cellStyle name="Normal 7 21 3 3" xfId="49995" xr:uid="{00000000-0005-0000-0000-0000DEC20000}"/>
    <cellStyle name="Normal 7 21 4" xfId="49996" xr:uid="{00000000-0005-0000-0000-0000DFC20000}"/>
    <cellStyle name="Normal 7 22" xfId="49997" xr:uid="{00000000-0005-0000-0000-0000E0C20000}"/>
    <cellStyle name="Normal 7 22 2" xfId="49998" xr:uid="{00000000-0005-0000-0000-0000E1C20000}"/>
    <cellStyle name="Normal 7 22 2 2" xfId="49999" xr:uid="{00000000-0005-0000-0000-0000E2C20000}"/>
    <cellStyle name="Normal 7 22 2 2 2" xfId="50000" xr:uid="{00000000-0005-0000-0000-0000E3C20000}"/>
    <cellStyle name="Normal 7 22 2 2 3" xfId="50001" xr:uid="{00000000-0005-0000-0000-0000E4C20000}"/>
    <cellStyle name="Normal 7 22 2 3" xfId="50002" xr:uid="{00000000-0005-0000-0000-0000E5C20000}"/>
    <cellStyle name="Normal 7 22 2 4" xfId="50003" xr:uid="{00000000-0005-0000-0000-0000E6C20000}"/>
    <cellStyle name="Normal 7 22 3" xfId="50004" xr:uid="{00000000-0005-0000-0000-0000E7C20000}"/>
    <cellStyle name="Normal 7 22 3 2" xfId="50005" xr:uid="{00000000-0005-0000-0000-0000E8C20000}"/>
    <cellStyle name="Normal 7 22 3 3" xfId="50006" xr:uid="{00000000-0005-0000-0000-0000E9C20000}"/>
    <cellStyle name="Normal 7 22 4" xfId="50007" xr:uid="{00000000-0005-0000-0000-0000EAC20000}"/>
    <cellStyle name="Normal 7 23" xfId="50008" xr:uid="{00000000-0005-0000-0000-0000EBC20000}"/>
    <cellStyle name="Normal 7 23 2" xfId="50009" xr:uid="{00000000-0005-0000-0000-0000ECC20000}"/>
    <cellStyle name="Normal 7 23 2 2" xfId="50010" xr:uid="{00000000-0005-0000-0000-0000EDC20000}"/>
    <cellStyle name="Normal 7 23 2 2 2" xfId="50011" xr:uid="{00000000-0005-0000-0000-0000EEC20000}"/>
    <cellStyle name="Normal 7 23 2 2 3" xfId="50012" xr:uid="{00000000-0005-0000-0000-0000EFC20000}"/>
    <cellStyle name="Normal 7 23 2 3" xfId="50013" xr:uid="{00000000-0005-0000-0000-0000F0C20000}"/>
    <cellStyle name="Normal 7 23 2 4" xfId="50014" xr:uid="{00000000-0005-0000-0000-0000F1C20000}"/>
    <cellStyle name="Normal 7 23 3" xfId="50015" xr:uid="{00000000-0005-0000-0000-0000F2C20000}"/>
    <cellStyle name="Normal 7 23 3 2" xfId="50016" xr:uid="{00000000-0005-0000-0000-0000F3C20000}"/>
    <cellStyle name="Normal 7 23 3 3" xfId="50017" xr:uid="{00000000-0005-0000-0000-0000F4C20000}"/>
    <cellStyle name="Normal 7 23 4" xfId="50018" xr:uid="{00000000-0005-0000-0000-0000F5C20000}"/>
    <cellStyle name="Normal 7 24" xfId="50019" xr:uid="{00000000-0005-0000-0000-0000F6C20000}"/>
    <cellStyle name="Normal 7 24 2" xfId="50020" xr:uid="{00000000-0005-0000-0000-0000F7C20000}"/>
    <cellStyle name="Normal 7 24 2 2" xfId="50021" xr:uid="{00000000-0005-0000-0000-0000F8C20000}"/>
    <cellStyle name="Normal 7 24 2 2 2" xfId="50022" xr:uid="{00000000-0005-0000-0000-0000F9C20000}"/>
    <cellStyle name="Normal 7 24 2 2 3" xfId="50023" xr:uid="{00000000-0005-0000-0000-0000FAC20000}"/>
    <cellStyle name="Normal 7 24 2 3" xfId="50024" xr:uid="{00000000-0005-0000-0000-0000FBC20000}"/>
    <cellStyle name="Normal 7 24 2 4" xfId="50025" xr:uid="{00000000-0005-0000-0000-0000FCC20000}"/>
    <cellStyle name="Normal 7 24 3" xfId="50026" xr:uid="{00000000-0005-0000-0000-0000FDC20000}"/>
    <cellStyle name="Normal 7 24 3 2" xfId="50027" xr:uid="{00000000-0005-0000-0000-0000FEC20000}"/>
    <cellStyle name="Normal 7 24 3 3" xfId="50028" xr:uid="{00000000-0005-0000-0000-0000FFC20000}"/>
    <cellStyle name="Normal 7 24 4" xfId="50029" xr:uid="{00000000-0005-0000-0000-000000C30000}"/>
    <cellStyle name="Normal 7 25" xfId="50030" xr:uid="{00000000-0005-0000-0000-000001C30000}"/>
    <cellStyle name="Normal 7 25 2" xfId="50031" xr:uid="{00000000-0005-0000-0000-000002C30000}"/>
    <cellStyle name="Normal 7 25 2 2" xfId="50032" xr:uid="{00000000-0005-0000-0000-000003C30000}"/>
    <cellStyle name="Normal 7 25 2 3" xfId="50033" xr:uid="{00000000-0005-0000-0000-000004C30000}"/>
    <cellStyle name="Normal 7 25 2 4" xfId="50034" xr:uid="{00000000-0005-0000-0000-000005C30000}"/>
    <cellStyle name="Normal 7 25 3" xfId="50035" xr:uid="{00000000-0005-0000-0000-000006C30000}"/>
    <cellStyle name="Normal 7 25 3 2" xfId="50036" xr:uid="{00000000-0005-0000-0000-000007C30000}"/>
    <cellStyle name="Normal 7 25 3 3" xfId="50037" xr:uid="{00000000-0005-0000-0000-000008C30000}"/>
    <cellStyle name="Normal 7 25 4" xfId="50038" xr:uid="{00000000-0005-0000-0000-000009C30000}"/>
    <cellStyle name="Normal 7 25 5" xfId="50039" xr:uid="{00000000-0005-0000-0000-00000AC30000}"/>
    <cellStyle name="Normal 7 25 6" xfId="50040" xr:uid="{00000000-0005-0000-0000-00000BC30000}"/>
    <cellStyle name="Normal 7 26" xfId="50041" xr:uid="{00000000-0005-0000-0000-00000CC30000}"/>
    <cellStyle name="Normal 7 26 2" xfId="50042" xr:uid="{00000000-0005-0000-0000-00000DC30000}"/>
    <cellStyle name="Normal 7 26 2 2" xfId="50043" xr:uid="{00000000-0005-0000-0000-00000EC30000}"/>
    <cellStyle name="Normal 7 26 2 3" xfId="50044" xr:uid="{00000000-0005-0000-0000-00000FC30000}"/>
    <cellStyle name="Normal 7 26 3" xfId="50045" xr:uid="{00000000-0005-0000-0000-000010C30000}"/>
    <cellStyle name="Normal 7 26 3 2" xfId="50046" xr:uid="{00000000-0005-0000-0000-000011C30000}"/>
    <cellStyle name="Normal 7 26 3 3" xfId="50047" xr:uid="{00000000-0005-0000-0000-000012C30000}"/>
    <cellStyle name="Normal 7 26 4" xfId="50048" xr:uid="{00000000-0005-0000-0000-000013C30000}"/>
    <cellStyle name="Normal 7 26 5" xfId="50049" xr:uid="{00000000-0005-0000-0000-000014C30000}"/>
    <cellStyle name="Normal 7 26 6" xfId="50050" xr:uid="{00000000-0005-0000-0000-000015C30000}"/>
    <cellStyle name="Normal 7 26 7" xfId="50051" xr:uid="{00000000-0005-0000-0000-000016C30000}"/>
    <cellStyle name="Normal 7 26 8" xfId="50052" xr:uid="{00000000-0005-0000-0000-000017C30000}"/>
    <cellStyle name="Normal 7 27" xfId="50053" xr:uid="{00000000-0005-0000-0000-000018C30000}"/>
    <cellStyle name="Normal 7 27 2" xfId="50054" xr:uid="{00000000-0005-0000-0000-000019C30000}"/>
    <cellStyle name="Normal 7 27 2 2" xfId="50055" xr:uid="{00000000-0005-0000-0000-00001AC30000}"/>
    <cellStyle name="Normal 7 27 2 3" xfId="50056" xr:uid="{00000000-0005-0000-0000-00001BC30000}"/>
    <cellStyle name="Normal 7 27 3" xfId="50057" xr:uid="{00000000-0005-0000-0000-00001CC30000}"/>
    <cellStyle name="Normal 7 27 3 2" xfId="50058" xr:uid="{00000000-0005-0000-0000-00001DC30000}"/>
    <cellStyle name="Normal 7 27 4" xfId="50059" xr:uid="{00000000-0005-0000-0000-00001EC30000}"/>
    <cellStyle name="Normal 7 27 5" xfId="50060" xr:uid="{00000000-0005-0000-0000-00001FC30000}"/>
    <cellStyle name="Normal 7 27 6" xfId="50061" xr:uid="{00000000-0005-0000-0000-000020C30000}"/>
    <cellStyle name="Normal 7 27 7" xfId="50062" xr:uid="{00000000-0005-0000-0000-000021C30000}"/>
    <cellStyle name="Normal 7 27 8" xfId="50063" xr:uid="{00000000-0005-0000-0000-000022C30000}"/>
    <cellStyle name="Normal 7 28" xfId="50064" xr:uid="{00000000-0005-0000-0000-000023C30000}"/>
    <cellStyle name="Normal 7 28 2" xfId="50065" xr:uid="{00000000-0005-0000-0000-000024C30000}"/>
    <cellStyle name="Normal 7 28 3" xfId="50066" xr:uid="{00000000-0005-0000-0000-000025C30000}"/>
    <cellStyle name="Normal 7 29" xfId="50067" xr:uid="{00000000-0005-0000-0000-000026C30000}"/>
    <cellStyle name="Normal 7 29 2" xfId="50068" xr:uid="{00000000-0005-0000-0000-000027C30000}"/>
    <cellStyle name="Normal 7 3" xfId="50069" xr:uid="{00000000-0005-0000-0000-000028C30000}"/>
    <cellStyle name="Normal 7 3 2" xfId="50070" xr:uid="{00000000-0005-0000-0000-000029C30000}"/>
    <cellStyle name="Normal 7 3 2 2" xfId="50071" xr:uid="{00000000-0005-0000-0000-00002AC30000}"/>
    <cellStyle name="Normal 7 3 2 2 2" xfId="50072" xr:uid="{00000000-0005-0000-0000-00002BC30000}"/>
    <cellStyle name="Normal 7 3 2 2 3" xfId="50073" xr:uid="{00000000-0005-0000-0000-00002CC30000}"/>
    <cellStyle name="Normal 7 3 2 3" xfId="50074" xr:uid="{00000000-0005-0000-0000-00002DC30000}"/>
    <cellStyle name="Normal 7 3 2 4" xfId="50075" xr:uid="{00000000-0005-0000-0000-00002EC30000}"/>
    <cellStyle name="Normal 7 3 2 5" xfId="50076" xr:uid="{00000000-0005-0000-0000-00002FC30000}"/>
    <cellStyle name="Normal 7 3 2_Dec monthly report" xfId="50077" xr:uid="{00000000-0005-0000-0000-000030C30000}"/>
    <cellStyle name="Normal 7 3 3" xfId="50078" xr:uid="{00000000-0005-0000-0000-000031C30000}"/>
    <cellStyle name="Normal 7 3 3 2" xfId="50079" xr:uid="{00000000-0005-0000-0000-000032C30000}"/>
    <cellStyle name="Normal 7 3 3 3" xfId="50080" xr:uid="{00000000-0005-0000-0000-000033C30000}"/>
    <cellStyle name="Normal 7 3 3 4" xfId="50081" xr:uid="{00000000-0005-0000-0000-000034C30000}"/>
    <cellStyle name="Normal 7 3 4" xfId="50082" xr:uid="{00000000-0005-0000-0000-000035C30000}"/>
    <cellStyle name="Normal 7 3 5" xfId="50083" xr:uid="{00000000-0005-0000-0000-000036C30000}"/>
    <cellStyle name="Normal 7 3 6" xfId="50084" xr:uid="{00000000-0005-0000-0000-000037C30000}"/>
    <cellStyle name="Normal 7 3_Dec monthly report" xfId="50085" xr:uid="{00000000-0005-0000-0000-000038C30000}"/>
    <cellStyle name="Normal 7 30" xfId="50086" xr:uid="{00000000-0005-0000-0000-000039C30000}"/>
    <cellStyle name="Normal 7 4" xfId="50087" xr:uid="{00000000-0005-0000-0000-00003AC30000}"/>
    <cellStyle name="Normal 7 4 2" xfId="50088" xr:uid="{00000000-0005-0000-0000-00003BC30000}"/>
    <cellStyle name="Normal 7 4 2 2" xfId="50089" xr:uid="{00000000-0005-0000-0000-00003CC30000}"/>
    <cellStyle name="Normal 7 4 2 2 2" xfId="50090" xr:uid="{00000000-0005-0000-0000-00003DC30000}"/>
    <cellStyle name="Normal 7 4 2 2 3" xfId="50091" xr:uid="{00000000-0005-0000-0000-00003EC30000}"/>
    <cellStyle name="Normal 7 4 2 3" xfId="50092" xr:uid="{00000000-0005-0000-0000-00003FC30000}"/>
    <cellStyle name="Normal 7 4 2 4" xfId="50093" xr:uid="{00000000-0005-0000-0000-000040C30000}"/>
    <cellStyle name="Normal 7 4 3" xfId="50094" xr:uid="{00000000-0005-0000-0000-000041C30000}"/>
    <cellStyle name="Normal 7 4 3 2" xfId="50095" xr:uid="{00000000-0005-0000-0000-000042C30000}"/>
    <cellStyle name="Normal 7 4 3 3" xfId="50096" xr:uid="{00000000-0005-0000-0000-000043C30000}"/>
    <cellStyle name="Normal 7 4 3 4" xfId="50097" xr:uid="{00000000-0005-0000-0000-000044C30000}"/>
    <cellStyle name="Normal 7 4 4" xfId="50098" xr:uid="{00000000-0005-0000-0000-000045C30000}"/>
    <cellStyle name="Normal 7 4 5" xfId="50099" xr:uid="{00000000-0005-0000-0000-000046C30000}"/>
    <cellStyle name="Normal 7 4 6" xfId="50100" xr:uid="{00000000-0005-0000-0000-000047C30000}"/>
    <cellStyle name="Normal 7 4_Dec monthly report" xfId="50101" xr:uid="{00000000-0005-0000-0000-000048C30000}"/>
    <cellStyle name="Normal 7 5" xfId="50102" xr:uid="{00000000-0005-0000-0000-000049C30000}"/>
    <cellStyle name="Normal 7 5 2" xfId="50103" xr:uid="{00000000-0005-0000-0000-00004AC30000}"/>
    <cellStyle name="Normal 7 5 2 2" xfId="50104" xr:uid="{00000000-0005-0000-0000-00004BC30000}"/>
    <cellStyle name="Normal 7 5 2 2 2" xfId="50105" xr:uid="{00000000-0005-0000-0000-00004CC30000}"/>
    <cellStyle name="Normal 7 5 2 2 3" xfId="50106" xr:uid="{00000000-0005-0000-0000-00004DC30000}"/>
    <cellStyle name="Normal 7 5 2 3" xfId="50107" xr:uid="{00000000-0005-0000-0000-00004EC30000}"/>
    <cellStyle name="Normal 7 5 2 4" xfId="50108" xr:uid="{00000000-0005-0000-0000-00004FC30000}"/>
    <cellStyle name="Normal 7 5 2 5" xfId="50109" xr:uid="{00000000-0005-0000-0000-000050C30000}"/>
    <cellStyle name="Normal 7 5 3" xfId="50110" xr:uid="{00000000-0005-0000-0000-000051C30000}"/>
    <cellStyle name="Normal 7 5 3 2" xfId="50111" xr:uid="{00000000-0005-0000-0000-000052C30000}"/>
    <cellStyle name="Normal 7 5 3 3" xfId="50112" xr:uid="{00000000-0005-0000-0000-000053C30000}"/>
    <cellStyle name="Normal 7 5 4" xfId="50113" xr:uid="{00000000-0005-0000-0000-000054C30000}"/>
    <cellStyle name="Normal 7 5 5" xfId="50114" xr:uid="{00000000-0005-0000-0000-000055C30000}"/>
    <cellStyle name="Normal 7 6" xfId="50115" xr:uid="{00000000-0005-0000-0000-000056C30000}"/>
    <cellStyle name="Normal 7 6 2" xfId="50116" xr:uid="{00000000-0005-0000-0000-000057C30000}"/>
    <cellStyle name="Normal 7 6 2 2" xfId="50117" xr:uid="{00000000-0005-0000-0000-000058C30000}"/>
    <cellStyle name="Normal 7 6 2 2 2" xfId="50118" xr:uid="{00000000-0005-0000-0000-000059C30000}"/>
    <cellStyle name="Normal 7 6 2 2 3" xfId="50119" xr:uid="{00000000-0005-0000-0000-00005AC30000}"/>
    <cellStyle name="Normal 7 6 2 3" xfId="50120" xr:uid="{00000000-0005-0000-0000-00005BC30000}"/>
    <cellStyle name="Normal 7 6 2 4" xfId="50121" xr:uid="{00000000-0005-0000-0000-00005CC30000}"/>
    <cellStyle name="Normal 7 6 3" xfId="50122" xr:uid="{00000000-0005-0000-0000-00005DC30000}"/>
    <cellStyle name="Normal 7 6 3 2" xfId="50123" xr:uid="{00000000-0005-0000-0000-00005EC30000}"/>
    <cellStyle name="Normal 7 6 3 3" xfId="50124" xr:uid="{00000000-0005-0000-0000-00005FC30000}"/>
    <cellStyle name="Normal 7 6 4" xfId="50125" xr:uid="{00000000-0005-0000-0000-000060C30000}"/>
    <cellStyle name="Normal 7 7" xfId="50126" xr:uid="{00000000-0005-0000-0000-000061C30000}"/>
    <cellStyle name="Normal 7 7 2" xfId="50127" xr:uid="{00000000-0005-0000-0000-000062C30000}"/>
    <cellStyle name="Normal 7 7 2 2" xfId="50128" xr:uid="{00000000-0005-0000-0000-000063C30000}"/>
    <cellStyle name="Normal 7 7 2 2 2" xfId="50129" xr:uid="{00000000-0005-0000-0000-000064C30000}"/>
    <cellStyle name="Normal 7 7 2 2 3" xfId="50130" xr:uid="{00000000-0005-0000-0000-000065C30000}"/>
    <cellStyle name="Normal 7 7 2 3" xfId="50131" xr:uid="{00000000-0005-0000-0000-000066C30000}"/>
    <cellStyle name="Normal 7 7 2 4" xfId="50132" xr:uid="{00000000-0005-0000-0000-000067C30000}"/>
    <cellStyle name="Normal 7 7 3" xfId="50133" xr:uid="{00000000-0005-0000-0000-000068C30000}"/>
    <cellStyle name="Normal 7 7 3 2" xfId="50134" xr:uid="{00000000-0005-0000-0000-000069C30000}"/>
    <cellStyle name="Normal 7 7 3 3" xfId="50135" xr:uid="{00000000-0005-0000-0000-00006AC30000}"/>
    <cellStyle name="Normal 7 7 4" xfId="50136" xr:uid="{00000000-0005-0000-0000-00006BC30000}"/>
    <cellStyle name="Normal 7 7 5" xfId="50137" xr:uid="{00000000-0005-0000-0000-00006CC30000}"/>
    <cellStyle name="Normal 7 8" xfId="50138" xr:uid="{00000000-0005-0000-0000-00006DC30000}"/>
    <cellStyle name="Normal 7 8 2" xfId="50139" xr:uid="{00000000-0005-0000-0000-00006EC30000}"/>
    <cellStyle name="Normal 7 8 2 2" xfId="50140" xr:uid="{00000000-0005-0000-0000-00006FC30000}"/>
    <cellStyle name="Normal 7 8 2 2 2" xfId="50141" xr:uid="{00000000-0005-0000-0000-000070C30000}"/>
    <cellStyle name="Normal 7 8 2 2 3" xfId="50142" xr:uid="{00000000-0005-0000-0000-000071C30000}"/>
    <cellStyle name="Normal 7 8 2 3" xfId="50143" xr:uid="{00000000-0005-0000-0000-000072C30000}"/>
    <cellStyle name="Normal 7 8 2 4" xfId="50144" xr:uid="{00000000-0005-0000-0000-000073C30000}"/>
    <cellStyle name="Normal 7 8 3" xfId="50145" xr:uid="{00000000-0005-0000-0000-000074C30000}"/>
    <cellStyle name="Normal 7 8 3 2" xfId="50146" xr:uid="{00000000-0005-0000-0000-000075C30000}"/>
    <cellStyle name="Normal 7 8 3 3" xfId="50147" xr:uid="{00000000-0005-0000-0000-000076C30000}"/>
    <cellStyle name="Normal 7 8 4" xfId="50148" xr:uid="{00000000-0005-0000-0000-000077C30000}"/>
    <cellStyle name="Normal 7 8 5" xfId="50149" xr:uid="{00000000-0005-0000-0000-000078C30000}"/>
    <cellStyle name="Normal 7 9" xfId="50150" xr:uid="{00000000-0005-0000-0000-000079C30000}"/>
    <cellStyle name="Normal 7 9 2" xfId="50151" xr:uid="{00000000-0005-0000-0000-00007AC30000}"/>
    <cellStyle name="Normal 7 9 2 2" xfId="50152" xr:uid="{00000000-0005-0000-0000-00007BC30000}"/>
    <cellStyle name="Normal 7 9 2 2 2" xfId="50153" xr:uid="{00000000-0005-0000-0000-00007CC30000}"/>
    <cellStyle name="Normal 7 9 2 2 3" xfId="50154" xr:uid="{00000000-0005-0000-0000-00007DC30000}"/>
    <cellStyle name="Normal 7 9 2 3" xfId="50155" xr:uid="{00000000-0005-0000-0000-00007EC30000}"/>
    <cellStyle name="Normal 7 9 2 4" xfId="50156" xr:uid="{00000000-0005-0000-0000-00007FC30000}"/>
    <cellStyle name="Normal 7 9 3" xfId="50157" xr:uid="{00000000-0005-0000-0000-000080C30000}"/>
    <cellStyle name="Normal 7 9 3 2" xfId="50158" xr:uid="{00000000-0005-0000-0000-000081C30000}"/>
    <cellStyle name="Normal 7 9 3 3" xfId="50159" xr:uid="{00000000-0005-0000-0000-000082C30000}"/>
    <cellStyle name="Normal 7 9 4" xfId="50160" xr:uid="{00000000-0005-0000-0000-000083C30000}"/>
    <cellStyle name="Normal 7_2015 Annual Rpt" xfId="50161" xr:uid="{00000000-0005-0000-0000-000084C30000}"/>
    <cellStyle name="Normal 70" xfId="50162" xr:uid="{00000000-0005-0000-0000-000085C30000}"/>
    <cellStyle name="Normal 70 10" xfId="50163" xr:uid="{00000000-0005-0000-0000-000086C30000}"/>
    <cellStyle name="Normal 70 11" xfId="50164" xr:uid="{00000000-0005-0000-0000-000087C30000}"/>
    <cellStyle name="Normal 70 12" xfId="50165" xr:uid="{00000000-0005-0000-0000-000088C30000}"/>
    <cellStyle name="Normal 70 2" xfId="50166" xr:uid="{00000000-0005-0000-0000-000089C30000}"/>
    <cellStyle name="Normal 70 2 2" xfId="50167" xr:uid="{00000000-0005-0000-0000-00008AC30000}"/>
    <cellStyle name="Normal 70 2 2 2" xfId="50168" xr:uid="{00000000-0005-0000-0000-00008BC30000}"/>
    <cellStyle name="Normal 70 2 2 3" xfId="50169" xr:uid="{00000000-0005-0000-0000-00008CC30000}"/>
    <cellStyle name="Normal 70 2 3" xfId="50170" xr:uid="{00000000-0005-0000-0000-00008DC30000}"/>
    <cellStyle name="Normal 70 2 3 2" xfId="50171" xr:uid="{00000000-0005-0000-0000-00008EC30000}"/>
    <cellStyle name="Normal 70 2 3 3" xfId="50172" xr:uid="{00000000-0005-0000-0000-00008FC30000}"/>
    <cellStyle name="Normal 70 2 4" xfId="50173" xr:uid="{00000000-0005-0000-0000-000090C30000}"/>
    <cellStyle name="Normal 70 2 4 2" xfId="50174" xr:uid="{00000000-0005-0000-0000-000091C30000}"/>
    <cellStyle name="Normal 70 2 4 3" xfId="50175" xr:uid="{00000000-0005-0000-0000-000092C30000}"/>
    <cellStyle name="Normal 70 2 5" xfId="50176" xr:uid="{00000000-0005-0000-0000-000093C30000}"/>
    <cellStyle name="Normal 70 2 6" xfId="50177" xr:uid="{00000000-0005-0000-0000-000094C30000}"/>
    <cellStyle name="Normal 70 2 7" xfId="50178" xr:uid="{00000000-0005-0000-0000-000095C30000}"/>
    <cellStyle name="Normal 70 2 8" xfId="50179" xr:uid="{00000000-0005-0000-0000-000096C30000}"/>
    <cellStyle name="Normal 70 2 9" xfId="50180" xr:uid="{00000000-0005-0000-0000-000097C30000}"/>
    <cellStyle name="Normal 70 3" xfId="50181" xr:uid="{00000000-0005-0000-0000-000098C30000}"/>
    <cellStyle name="Normal 70 3 2" xfId="50182" xr:uid="{00000000-0005-0000-0000-000099C30000}"/>
    <cellStyle name="Normal 70 3 2 2" xfId="50183" xr:uid="{00000000-0005-0000-0000-00009AC30000}"/>
    <cellStyle name="Normal 70 3 3" xfId="50184" xr:uid="{00000000-0005-0000-0000-00009BC30000}"/>
    <cellStyle name="Normal 70 3 3 2" xfId="50185" xr:uid="{00000000-0005-0000-0000-00009CC30000}"/>
    <cellStyle name="Normal 70 3 4" xfId="50186" xr:uid="{00000000-0005-0000-0000-00009DC30000}"/>
    <cellStyle name="Normal 70 3 5" xfId="50187" xr:uid="{00000000-0005-0000-0000-00009EC30000}"/>
    <cellStyle name="Normal 70 3 6" xfId="50188" xr:uid="{00000000-0005-0000-0000-00009FC30000}"/>
    <cellStyle name="Normal 70 3 7" xfId="50189" xr:uid="{00000000-0005-0000-0000-0000A0C30000}"/>
    <cellStyle name="Normal 70 3 8" xfId="50190" xr:uid="{00000000-0005-0000-0000-0000A1C30000}"/>
    <cellStyle name="Normal 70 4" xfId="50191" xr:uid="{00000000-0005-0000-0000-0000A2C30000}"/>
    <cellStyle name="Normal 70 4 2" xfId="50192" xr:uid="{00000000-0005-0000-0000-0000A3C30000}"/>
    <cellStyle name="Normal 70 4 2 2" xfId="50193" xr:uid="{00000000-0005-0000-0000-0000A4C30000}"/>
    <cellStyle name="Normal 70 4 3" xfId="50194" xr:uid="{00000000-0005-0000-0000-0000A5C30000}"/>
    <cellStyle name="Normal 70 4 3 2" xfId="50195" xr:uid="{00000000-0005-0000-0000-0000A6C30000}"/>
    <cellStyle name="Normal 70 4 4" xfId="50196" xr:uid="{00000000-0005-0000-0000-0000A7C30000}"/>
    <cellStyle name="Normal 70 4 5" xfId="50197" xr:uid="{00000000-0005-0000-0000-0000A8C30000}"/>
    <cellStyle name="Normal 70 4 6" xfId="50198" xr:uid="{00000000-0005-0000-0000-0000A9C30000}"/>
    <cellStyle name="Normal 70 4 7" xfId="50199" xr:uid="{00000000-0005-0000-0000-0000AAC30000}"/>
    <cellStyle name="Normal 70 4 8" xfId="50200" xr:uid="{00000000-0005-0000-0000-0000ABC30000}"/>
    <cellStyle name="Normal 70 5" xfId="50201" xr:uid="{00000000-0005-0000-0000-0000ACC30000}"/>
    <cellStyle name="Normal 70 6" xfId="50202" xr:uid="{00000000-0005-0000-0000-0000ADC30000}"/>
    <cellStyle name="Normal 70 6 2" xfId="50203" xr:uid="{00000000-0005-0000-0000-0000AEC30000}"/>
    <cellStyle name="Normal 70 7" xfId="50204" xr:uid="{00000000-0005-0000-0000-0000AFC30000}"/>
    <cellStyle name="Normal 70 7 2" xfId="50205" xr:uid="{00000000-0005-0000-0000-0000B0C30000}"/>
    <cellStyle name="Normal 70 8" xfId="50206" xr:uid="{00000000-0005-0000-0000-0000B1C30000}"/>
    <cellStyle name="Normal 70 8 2" xfId="50207" xr:uid="{00000000-0005-0000-0000-0000B2C30000}"/>
    <cellStyle name="Normal 70 9" xfId="50208" xr:uid="{00000000-0005-0000-0000-0000B3C30000}"/>
    <cellStyle name="Normal 71" xfId="50209" xr:uid="{00000000-0005-0000-0000-0000B4C30000}"/>
    <cellStyle name="Normal 71 10" xfId="50210" xr:uid="{00000000-0005-0000-0000-0000B5C30000}"/>
    <cellStyle name="Normal 71 11" xfId="50211" xr:uid="{00000000-0005-0000-0000-0000B6C30000}"/>
    <cellStyle name="Normal 71 12" xfId="50212" xr:uid="{00000000-0005-0000-0000-0000B7C30000}"/>
    <cellStyle name="Normal 71 2" xfId="50213" xr:uid="{00000000-0005-0000-0000-0000B8C30000}"/>
    <cellStyle name="Normal 71 2 2" xfId="50214" xr:uid="{00000000-0005-0000-0000-0000B9C30000}"/>
    <cellStyle name="Normal 71 2 2 2" xfId="50215" xr:uid="{00000000-0005-0000-0000-0000BAC30000}"/>
    <cellStyle name="Normal 71 2 2 3" xfId="50216" xr:uid="{00000000-0005-0000-0000-0000BBC30000}"/>
    <cellStyle name="Normal 71 2 3" xfId="50217" xr:uid="{00000000-0005-0000-0000-0000BCC30000}"/>
    <cellStyle name="Normal 71 2 3 2" xfId="50218" xr:uid="{00000000-0005-0000-0000-0000BDC30000}"/>
    <cellStyle name="Normal 71 2 3 3" xfId="50219" xr:uid="{00000000-0005-0000-0000-0000BEC30000}"/>
    <cellStyle name="Normal 71 2 4" xfId="50220" xr:uid="{00000000-0005-0000-0000-0000BFC30000}"/>
    <cellStyle name="Normal 71 2 4 2" xfId="50221" xr:uid="{00000000-0005-0000-0000-0000C0C30000}"/>
    <cellStyle name="Normal 71 2 4 3" xfId="50222" xr:uid="{00000000-0005-0000-0000-0000C1C30000}"/>
    <cellStyle name="Normal 71 2 5" xfId="50223" xr:uid="{00000000-0005-0000-0000-0000C2C30000}"/>
    <cellStyle name="Normal 71 2 6" xfId="50224" xr:uid="{00000000-0005-0000-0000-0000C3C30000}"/>
    <cellStyle name="Normal 71 2 7" xfId="50225" xr:uid="{00000000-0005-0000-0000-0000C4C30000}"/>
    <cellStyle name="Normal 71 2 8" xfId="50226" xr:uid="{00000000-0005-0000-0000-0000C5C30000}"/>
    <cellStyle name="Normal 71 2 9" xfId="50227" xr:uid="{00000000-0005-0000-0000-0000C6C30000}"/>
    <cellStyle name="Normal 71 3" xfId="50228" xr:uid="{00000000-0005-0000-0000-0000C7C30000}"/>
    <cellStyle name="Normal 71 3 2" xfId="50229" xr:uid="{00000000-0005-0000-0000-0000C8C30000}"/>
    <cellStyle name="Normal 71 3 2 2" xfId="50230" xr:uid="{00000000-0005-0000-0000-0000C9C30000}"/>
    <cellStyle name="Normal 71 3 3" xfId="50231" xr:uid="{00000000-0005-0000-0000-0000CAC30000}"/>
    <cellStyle name="Normal 71 3 3 2" xfId="50232" xr:uid="{00000000-0005-0000-0000-0000CBC30000}"/>
    <cellStyle name="Normal 71 3 4" xfId="50233" xr:uid="{00000000-0005-0000-0000-0000CCC30000}"/>
    <cellStyle name="Normal 71 3 5" xfId="50234" xr:uid="{00000000-0005-0000-0000-0000CDC30000}"/>
    <cellStyle name="Normal 71 3 6" xfId="50235" xr:uid="{00000000-0005-0000-0000-0000CEC30000}"/>
    <cellStyle name="Normal 71 3 7" xfId="50236" xr:uid="{00000000-0005-0000-0000-0000CFC30000}"/>
    <cellStyle name="Normal 71 3 8" xfId="50237" xr:uid="{00000000-0005-0000-0000-0000D0C30000}"/>
    <cellStyle name="Normal 71 4" xfId="50238" xr:uid="{00000000-0005-0000-0000-0000D1C30000}"/>
    <cellStyle name="Normal 71 4 2" xfId="50239" xr:uid="{00000000-0005-0000-0000-0000D2C30000}"/>
    <cellStyle name="Normal 71 4 2 2" xfId="50240" xr:uid="{00000000-0005-0000-0000-0000D3C30000}"/>
    <cellStyle name="Normal 71 4 3" xfId="50241" xr:uid="{00000000-0005-0000-0000-0000D4C30000}"/>
    <cellStyle name="Normal 71 4 3 2" xfId="50242" xr:uid="{00000000-0005-0000-0000-0000D5C30000}"/>
    <cellStyle name="Normal 71 4 4" xfId="50243" xr:uid="{00000000-0005-0000-0000-0000D6C30000}"/>
    <cellStyle name="Normal 71 4 5" xfId="50244" xr:uid="{00000000-0005-0000-0000-0000D7C30000}"/>
    <cellStyle name="Normal 71 4 6" xfId="50245" xr:uid="{00000000-0005-0000-0000-0000D8C30000}"/>
    <cellStyle name="Normal 71 4 7" xfId="50246" xr:uid="{00000000-0005-0000-0000-0000D9C30000}"/>
    <cellStyle name="Normal 71 4 8" xfId="50247" xr:uid="{00000000-0005-0000-0000-0000DAC30000}"/>
    <cellStyle name="Normal 71 5" xfId="50248" xr:uid="{00000000-0005-0000-0000-0000DBC30000}"/>
    <cellStyle name="Normal 71 6" xfId="50249" xr:uid="{00000000-0005-0000-0000-0000DCC30000}"/>
    <cellStyle name="Normal 71 6 2" xfId="50250" xr:uid="{00000000-0005-0000-0000-0000DDC30000}"/>
    <cellStyle name="Normal 71 7" xfId="50251" xr:uid="{00000000-0005-0000-0000-0000DEC30000}"/>
    <cellStyle name="Normal 71 7 2" xfId="50252" xr:uid="{00000000-0005-0000-0000-0000DFC30000}"/>
    <cellStyle name="Normal 71 8" xfId="50253" xr:uid="{00000000-0005-0000-0000-0000E0C30000}"/>
    <cellStyle name="Normal 71 8 2" xfId="50254" xr:uid="{00000000-0005-0000-0000-0000E1C30000}"/>
    <cellStyle name="Normal 71 9" xfId="50255" xr:uid="{00000000-0005-0000-0000-0000E2C30000}"/>
    <cellStyle name="Normal 72" xfId="50256" xr:uid="{00000000-0005-0000-0000-0000E3C30000}"/>
    <cellStyle name="Normal 72 10" xfId="50257" xr:uid="{00000000-0005-0000-0000-0000E4C30000}"/>
    <cellStyle name="Normal 72 11" xfId="50258" xr:uid="{00000000-0005-0000-0000-0000E5C30000}"/>
    <cellStyle name="Normal 72 12" xfId="50259" xr:uid="{00000000-0005-0000-0000-0000E6C30000}"/>
    <cellStyle name="Normal 72 2" xfId="50260" xr:uid="{00000000-0005-0000-0000-0000E7C30000}"/>
    <cellStyle name="Normal 72 2 2" xfId="50261" xr:uid="{00000000-0005-0000-0000-0000E8C30000}"/>
    <cellStyle name="Normal 72 2 2 2" xfId="50262" xr:uid="{00000000-0005-0000-0000-0000E9C30000}"/>
    <cellStyle name="Normal 72 2 2 3" xfId="50263" xr:uid="{00000000-0005-0000-0000-0000EAC30000}"/>
    <cellStyle name="Normal 72 2 3" xfId="50264" xr:uid="{00000000-0005-0000-0000-0000EBC30000}"/>
    <cellStyle name="Normal 72 2 3 2" xfId="50265" xr:uid="{00000000-0005-0000-0000-0000ECC30000}"/>
    <cellStyle name="Normal 72 2 3 3" xfId="50266" xr:uid="{00000000-0005-0000-0000-0000EDC30000}"/>
    <cellStyle name="Normal 72 2 4" xfId="50267" xr:uid="{00000000-0005-0000-0000-0000EEC30000}"/>
    <cellStyle name="Normal 72 2 4 2" xfId="50268" xr:uid="{00000000-0005-0000-0000-0000EFC30000}"/>
    <cellStyle name="Normal 72 2 4 3" xfId="50269" xr:uid="{00000000-0005-0000-0000-0000F0C30000}"/>
    <cellStyle name="Normal 72 2 5" xfId="50270" xr:uid="{00000000-0005-0000-0000-0000F1C30000}"/>
    <cellStyle name="Normal 72 2 6" xfId="50271" xr:uid="{00000000-0005-0000-0000-0000F2C30000}"/>
    <cellStyle name="Normal 72 2 7" xfId="50272" xr:uid="{00000000-0005-0000-0000-0000F3C30000}"/>
    <cellStyle name="Normal 72 2 8" xfId="50273" xr:uid="{00000000-0005-0000-0000-0000F4C30000}"/>
    <cellStyle name="Normal 72 2 9" xfId="50274" xr:uid="{00000000-0005-0000-0000-0000F5C30000}"/>
    <cellStyle name="Normal 72 3" xfId="50275" xr:uid="{00000000-0005-0000-0000-0000F6C30000}"/>
    <cellStyle name="Normal 72 3 2" xfId="50276" xr:uid="{00000000-0005-0000-0000-0000F7C30000}"/>
    <cellStyle name="Normal 72 3 2 2" xfId="50277" xr:uid="{00000000-0005-0000-0000-0000F8C30000}"/>
    <cellStyle name="Normal 72 3 3" xfId="50278" xr:uid="{00000000-0005-0000-0000-0000F9C30000}"/>
    <cellStyle name="Normal 72 3 3 2" xfId="50279" xr:uid="{00000000-0005-0000-0000-0000FAC30000}"/>
    <cellStyle name="Normal 72 3 4" xfId="50280" xr:uid="{00000000-0005-0000-0000-0000FBC30000}"/>
    <cellStyle name="Normal 72 3 5" xfId="50281" xr:uid="{00000000-0005-0000-0000-0000FCC30000}"/>
    <cellStyle name="Normal 72 3 6" xfId="50282" xr:uid="{00000000-0005-0000-0000-0000FDC30000}"/>
    <cellStyle name="Normal 72 3 7" xfId="50283" xr:uid="{00000000-0005-0000-0000-0000FEC30000}"/>
    <cellStyle name="Normal 72 3 8" xfId="50284" xr:uid="{00000000-0005-0000-0000-0000FFC30000}"/>
    <cellStyle name="Normal 72 4" xfId="50285" xr:uid="{00000000-0005-0000-0000-000000C40000}"/>
    <cellStyle name="Normal 72 4 2" xfId="50286" xr:uid="{00000000-0005-0000-0000-000001C40000}"/>
    <cellStyle name="Normal 72 4 2 2" xfId="50287" xr:uid="{00000000-0005-0000-0000-000002C40000}"/>
    <cellStyle name="Normal 72 4 3" xfId="50288" xr:uid="{00000000-0005-0000-0000-000003C40000}"/>
    <cellStyle name="Normal 72 4 3 2" xfId="50289" xr:uid="{00000000-0005-0000-0000-000004C40000}"/>
    <cellStyle name="Normal 72 4 4" xfId="50290" xr:uid="{00000000-0005-0000-0000-000005C40000}"/>
    <cellStyle name="Normal 72 4 5" xfId="50291" xr:uid="{00000000-0005-0000-0000-000006C40000}"/>
    <cellStyle name="Normal 72 4 6" xfId="50292" xr:uid="{00000000-0005-0000-0000-000007C40000}"/>
    <cellStyle name="Normal 72 4 7" xfId="50293" xr:uid="{00000000-0005-0000-0000-000008C40000}"/>
    <cellStyle name="Normal 72 4 8" xfId="50294" xr:uid="{00000000-0005-0000-0000-000009C40000}"/>
    <cellStyle name="Normal 72 5" xfId="50295" xr:uid="{00000000-0005-0000-0000-00000AC40000}"/>
    <cellStyle name="Normal 72 6" xfId="50296" xr:uid="{00000000-0005-0000-0000-00000BC40000}"/>
    <cellStyle name="Normal 72 6 2" xfId="50297" xr:uid="{00000000-0005-0000-0000-00000CC40000}"/>
    <cellStyle name="Normal 72 7" xfId="50298" xr:uid="{00000000-0005-0000-0000-00000DC40000}"/>
    <cellStyle name="Normal 72 7 2" xfId="50299" xr:uid="{00000000-0005-0000-0000-00000EC40000}"/>
    <cellStyle name="Normal 72 8" xfId="50300" xr:uid="{00000000-0005-0000-0000-00000FC40000}"/>
    <cellStyle name="Normal 72 8 2" xfId="50301" xr:uid="{00000000-0005-0000-0000-000010C40000}"/>
    <cellStyle name="Normal 72 9" xfId="50302" xr:uid="{00000000-0005-0000-0000-000011C40000}"/>
    <cellStyle name="Normal 73" xfId="50303" xr:uid="{00000000-0005-0000-0000-000012C40000}"/>
    <cellStyle name="Normal 73 10" xfId="50304" xr:uid="{00000000-0005-0000-0000-000013C40000}"/>
    <cellStyle name="Normal 73 11" xfId="50305" xr:uid="{00000000-0005-0000-0000-000014C40000}"/>
    <cellStyle name="Normal 73 12" xfId="50306" xr:uid="{00000000-0005-0000-0000-000015C40000}"/>
    <cellStyle name="Normal 73 2" xfId="50307" xr:uid="{00000000-0005-0000-0000-000016C40000}"/>
    <cellStyle name="Normal 73 2 2" xfId="50308" xr:uid="{00000000-0005-0000-0000-000017C40000}"/>
    <cellStyle name="Normal 73 2 2 2" xfId="50309" xr:uid="{00000000-0005-0000-0000-000018C40000}"/>
    <cellStyle name="Normal 73 2 2 3" xfId="50310" xr:uid="{00000000-0005-0000-0000-000019C40000}"/>
    <cellStyle name="Normal 73 2 3" xfId="50311" xr:uid="{00000000-0005-0000-0000-00001AC40000}"/>
    <cellStyle name="Normal 73 2 3 2" xfId="50312" xr:uid="{00000000-0005-0000-0000-00001BC40000}"/>
    <cellStyle name="Normal 73 2 3 3" xfId="50313" xr:uid="{00000000-0005-0000-0000-00001CC40000}"/>
    <cellStyle name="Normal 73 2 4" xfId="50314" xr:uid="{00000000-0005-0000-0000-00001DC40000}"/>
    <cellStyle name="Normal 73 2 4 2" xfId="50315" xr:uid="{00000000-0005-0000-0000-00001EC40000}"/>
    <cellStyle name="Normal 73 2 4 3" xfId="50316" xr:uid="{00000000-0005-0000-0000-00001FC40000}"/>
    <cellStyle name="Normal 73 2 5" xfId="50317" xr:uid="{00000000-0005-0000-0000-000020C40000}"/>
    <cellStyle name="Normal 73 2 6" xfId="50318" xr:uid="{00000000-0005-0000-0000-000021C40000}"/>
    <cellStyle name="Normal 73 2 7" xfId="50319" xr:uid="{00000000-0005-0000-0000-000022C40000}"/>
    <cellStyle name="Normal 73 2 8" xfId="50320" xr:uid="{00000000-0005-0000-0000-000023C40000}"/>
    <cellStyle name="Normal 73 2 9" xfId="50321" xr:uid="{00000000-0005-0000-0000-000024C40000}"/>
    <cellStyle name="Normal 73 3" xfId="50322" xr:uid="{00000000-0005-0000-0000-000025C40000}"/>
    <cellStyle name="Normal 73 3 2" xfId="50323" xr:uid="{00000000-0005-0000-0000-000026C40000}"/>
    <cellStyle name="Normal 73 3 2 2" xfId="50324" xr:uid="{00000000-0005-0000-0000-000027C40000}"/>
    <cellStyle name="Normal 73 3 3" xfId="50325" xr:uid="{00000000-0005-0000-0000-000028C40000}"/>
    <cellStyle name="Normal 73 3 3 2" xfId="50326" xr:uid="{00000000-0005-0000-0000-000029C40000}"/>
    <cellStyle name="Normal 73 3 4" xfId="50327" xr:uid="{00000000-0005-0000-0000-00002AC40000}"/>
    <cellStyle name="Normal 73 3 5" xfId="50328" xr:uid="{00000000-0005-0000-0000-00002BC40000}"/>
    <cellStyle name="Normal 73 3 6" xfId="50329" xr:uid="{00000000-0005-0000-0000-00002CC40000}"/>
    <cellStyle name="Normal 73 3 7" xfId="50330" xr:uid="{00000000-0005-0000-0000-00002DC40000}"/>
    <cellStyle name="Normal 73 3 8" xfId="50331" xr:uid="{00000000-0005-0000-0000-00002EC40000}"/>
    <cellStyle name="Normal 73 4" xfId="50332" xr:uid="{00000000-0005-0000-0000-00002FC40000}"/>
    <cellStyle name="Normal 73 4 2" xfId="50333" xr:uid="{00000000-0005-0000-0000-000030C40000}"/>
    <cellStyle name="Normal 73 4 2 2" xfId="50334" xr:uid="{00000000-0005-0000-0000-000031C40000}"/>
    <cellStyle name="Normal 73 4 3" xfId="50335" xr:uid="{00000000-0005-0000-0000-000032C40000}"/>
    <cellStyle name="Normal 73 4 3 2" xfId="50336" xr:uid="{00000000-0005-0000-0000-000033C40000}"/>
    <cellStyle name="Normal 73 4 4" xfId="50337" xr:uid="{00000000-0005-0000-0000-000034C40000}"/>
    <cellStyle name="Normal 73 4 5" xfId="50338" xr:uid="{00000000-0005-0000-0000-000035C40000}"/>
    <cellStyle name="Normal 73 4 6" xfId="50339" xr:uid="{00000000-0005-0000-0000-000036C40000}"/>
    <cellStyle name="Normal 73 4 7" xfId="50340" xr:uid="{00000000-0005-0000-0000-000037C40000}"/>
    <cellStyle name="Normal 73 4 8" xfId="50341" xr:uid="{00000000-0005-0000-0000-000038C40000}"/>
    <cellStyle name="Normal 73 5" xfId="50342" xr:uid="{00000000-0005-0000-0000-000039C40000}"/>
    <cellStyle name="Normal 73 6" xfId="50343" xr:uid="{00000000-0005-0000-0000-00003AC40000}"/>
    <cellStyle name="Normal 73 6 2" xfId="50344" xr:uid="{00000000-0005-0000-0000-00003BC40000}"/>
    <cellStyle name="Normal 73 7" xfId="50345" xr:uid="{00000000-0005-0000-0000-00003CC40000}"/>
    <cellStyle name="Normal 73 7 2" xfId="50346" xr:uid="{00000000-0005-0000-0000-00003DC40000}"/>
    <cellStyle name="Normal 73 8" xfId="50347" xr:uid="{00000000-0005-0000-0000-00003EC40000}"/>
    <cellStyle name="Normal 73 8 2" xfId="50348" xr:uid="{00000000-0005-0000-0000-00003FC40000}"/>
    <cellStyle name="Normal 73 9" xfId="50349" xr:uid="{00000000-0005-0000-0000-000040C40000}"/>
    <cellStyle name="Normal 74" xfId="50350" xr:uid="{00000000-0005-0000-0000-000041C40000}"/>
    <cellStyle name="Normal 74 10" xfId="50351" xr:uid="{00000000-0005-0000-0000-000042C40000}"/>
    <cellStyle name="Normal 74 11" xfId="50352" xr:uid="{00000000-0005-0000-0000-000043C40000}"/>
    <cellStyle name="Normal 74 12" xfId="50353" xr:uid="{00000000-0005-0000-0000-000044C40000}"/>
    <cellStyle name="Normal 74 2" xfId="50354" xr:uid="{00000000-0005-0000-0000-000045C40000}"/>
    <cellStyle name="Normal 74 2 2" xfId="50355" xr:uid="{00000000-0005-0000-0000-000046C40000}"/>
    <cellStyle name="Normal 74 2 2 2" xfId="50356" xr:uid="{00000000-0005-0000-0000-000047C40000}"/>
    <cellStyle name="Normal 74 2 2 3" xfId="50357" xr:uid="{00000000-0005-0000-0000-000048C40000}"/>
    <cellStyle name="Normal 74 2 3" xfId="50358" xr:uid="{00000000-0005-0000-0000-000049C40000}"/>
    <cellStyle name="Normal 74 2 3 2" xfId="50359" xr:uid="{00000000-0005-0000-0000-00004AC40000}"/>
    <cellStyle name="Normal 74 2 3 3" xfId="50360" xr:uid="{00000000-0005-0000-0000-00004BC40000}"/>
    <cellStyle name="Normal 74 2 4" xfId="50361" xr:uid="{00000000-0005-0000-0000-00004CC40000}"/>
    <cellStyle name="Normal 74 2 4 2" xfId="50362" xr:uid="{00000000-0005-0000-0000-00004DC40000}"/>
    <cellStyle name="Normal 74 2 4 3" xfId="50363" xr:uid="{00000000-0005-0000-0000-00004EC40000}"/>
    <cellStyle name="Normal 74 2 5" xfId="50364" xr:uid="{00000000-0005-0000-0000-00004FC40000}"/>
    <cellStyle name="Normal 74 2 6" xfId="50365" xr:uid="{00000000-0005-0000-0000-000050C40000}"/>
    <cellStyle name="Normal 74 2 7" xfId="50366" xr:uid="{00000000-0005-0000-0000-000051C40000}"/>
    <cellStyle name="Normal 74 2 8" xfId="50367" xr:uid="{00000000-0005-0000-0000-000052C40000}"/>
    <cellStyle name="Normal 74 2 9" xfId="50368" xr:uid="{00000000-0005-0000-0000-000053C40000}"/>
    <cellStyle name="Normal 74 3" xfId="50369" xr:uid="{00000000-0005-0000-0000-000054C40000}"/>
    <cellStyle name="Normal 74 3 2" xfId="50370" xr:uid="{00000000-0005-0000-0000-000055C40000}"/>
    <cellStyle name="Normal 74 3 2 2" xfId="50371" xr:uid="{00000000-0005-0000-0000-000056C40000}"/>
    <cellStyle name="Normal 74 3 3" xfId="50372" xr:uid="{00000000-0005-0000-0000-000057C40000}"/>
    <cellStyle name="Normal 74 3 3 2" xfId="50373" xr:uid="{00000000-0005-0000-0000-000058C40000}"/>
    <cellStyle name="Normal 74 3 4" xfId="50374" xr:uid="{00000000-0005-0000-0000-000059C40000}"/>
    <cellStyle name="Normal 74 3 5" xfId="50375" xr:uid="{00000000-0005-0000-0000-00005AC40000}"/>
    <cellStyle name="Normal 74 3 6" xfId="50376" xr:uid="{00000000-0005-0000-0000-00005BC40000}"/>
    <cellStyle name="Normal 74 3 7" xfId="50377" xr:uid="{00000000-0005-0000-0000-00005CC40000}"/>
    <cellStyle name="Normal 74 3 8" xfId="50378" xr:uid="{00000000-0005-0000-0000-00005DC40000}"/>
    <cellStyle name="Normal 74 4" xfId="50379" xr:uid="{00000000-0005-0000-0000-00005EC40000}"/>
    <cellStyle name="Normal 74 4 2" xfId="50380" xr:uid="{00000000-0005-0000-0000-00005FC40000}"/>
    <cellStyle name="Normal 74 4 2 2" xfId="50381" xr:uid="{00000000-0005-0000-0000-000060C40000}"/>
    <cellStyle name="Normal 74 4 3" xfId="50382" xr:uid="{00000000-0005-0000-0000-000061C40000}"/>
    <cellStyle name="Normal 74 4 3 2" xfId="50383" xr:uid="{00000000-0005-0000-0000-000062C40000}"/>
    <cellStyle name="Normal 74 4 4" xfId="50384" xr:uid="{00000000-0005-0000-0000-000063C40000}"/>
    <cellStyle name="Normal 74 4 5" xfId="50385" xr:uid="{00000000-0005-0000-0000-000064C40000}"/>
    <cellStyle name="Normal 74 4 6" xfId="50386" xr:uid="{00000000-0005-0000-0000-000065C40000}"/>
    <cellStyle name="Normal 74 4 7" xfId="50387" xr:uid="{00000000-0005-0000-0000-000066C40000}"/>
    <cellStyle name="Normal 74 4 8" xfId="50388" xr:uid="{00000000-0005-0000-0000-000067C40000}"/>
    <cellStyle name="Normal 74 5" xfId="50389" xr:uid="{00000000-0005-0000-0000-000068C40000}"/>
    <cellStyle name="Normal 74 6" xfId="50390" xr:uid="{00000000-0005-0000-0000-000069C40000}"/>
    <cellStyle name="Normal 74 6 2" xfId="50391" xr:uid="{00000000-0005-0000-0000-00006AC40000}"/>
    <cellStyle name="Normal 74 7" xfId="50392" xr:uid="{00000000-0005-0000-0000-00006BC40000}"/>
    <cellStyle name="Normal 74 7 2" xfId="50393" xr:uid="{00000000-0005-0000-0000-00006CC40000}"/>
    <cellStyle name="Normal 74 8" xfId="50394" xr:uid="{00000000-0005-0000-0000-00006DC40000}"/>
    <cellStyle name="Normal 74 8 2" xfId="50395" xr:uid="{00000000-0005-0000-0000-00006EC40000}"/>
    <cellStyle name="Normal 74 9" xfId="50396" xr:uid="{00000000-0005-0000-0000-00006FC40000}"/>
    <cellStyle name="Normal 75" xfId="50397" xr:uid="{00000000-0005-0000-0000-000070C40000}"/>
    <cellStyle name="Normal 75 10" xfId="50398" xr:uid="{00000000-0005-0000-0000-000071C40000}"/>
    <cellStyle name="Normal 75 11" xfId="50399" xr:uid="{00000000-0005-0000-0000-000072C40000}"/>
    <cellStyle name="Normal 75 12" xfId="50400" xr:uid="{00000000-0005-0000-0000-000073C40000}"/>
    <cellStyle name="Normal 75 2" xfId="50401" xr:uid="{00000000-0005-0000-0000-000074C40000}"/>
    <cellStyle name="Normal 75 2 2" xfId="50402" xr:uid="{00000000-0005-0000-0000-000075C40000}"/>
    <cellStyle name="Normal 75 2 2 2" xfId="50403" xr:uid="{00000000-0005-0000-0000-000076C40000}"/>
    <cellStyle name="Normal 75 2 2 3" xfId="50404" xr:uid="{00000000-0005-0000-0000-000077C40000}"/>
    <cellStyle name="Normal 75 2 3" xfId="50405" xr:uid="{00000000-0005-0000-0000-000078C40000}"/>
    <cellStyle name="Normal 75 2 3 2" xfId="50406" xr:uid="{00000000-0005-0000-0000-000079C40000}"/>
    <cellStyle name="Normal 75 2 3 3" xfId="50407" xr:uid="{00000000-0005-0000-0000-00007AC40000}"/>
    <cellStyle name="Normal 75 2 4" xfId="50408" xr:uid="{00000000-0005-0000-0000-00007BC40000}"/>
    <cellStyle name="Normal 75 2 4 2" xfId="50409" xr:uid="{00000000-0005-0000-0000-00007CC40000}"/>
    <cellStyle name="Normal 75 2 5" xfId="50410" xr:uid="{00000000-0005-0000-0000-00007DC40000}"/>
    <cellStyle name="Normal 75 2 6" xfId="50411" xr:uid="{00000000-0005-0000-0000-00007EC40000}"/>
    <cellStyle name="Normal 75 2 7" xfId="50412" xr:uid="{00000000-0005-0000-0000-00007FC40000}"/>
    <cellStyle name="Normal 75 2 8" xfId="50413" xr:uid="{00000000-0005-0000-0000-000080C40000}"/>
    <cellStyle name="Normal 75 2 9" xfId="50414" xr:uid="{00000000-0005-0000-0000-000081C40000}"/>
    <cellStyle name="Normal 75 3" xfId="50415" xr:uid="{00000000-0005-0000-0000-000082C40000}"/>
    <cellStyle name="Normal 75 3 2" xfId="50416" xr:uid="{00000000-0005-0000-0000-000083C40000}"/>
    <cellStyle name="Normal 75 3 2 2" xfId="50417" xr:uid="{00000000-0005-0000-0000-000084C40000}"/>
    <cellStyle name="Normal 75 3 3" xfId="50418" xr:uid="{00000000-0005-0000-0000-000085C40000}"/>
    <cellStyle name="Normal 75 3 3 2" xfId="50419" xr:uid="{00000000-0005-0000-0000-000086C40000}"/>
    <cellStyle name="Normal 75 3 4" xfId="50420" xr:uid="{00000000-0005-0000-0000-000087C40000}"/>
    <cellStyle name="Normal 75 3 5" xfId="50421" xr:uid="{00000000-0005-0000-0000-000088C40000}"/>
    <cellStyle name="Normal 75 3 6" xfId="50422" xr:uid="{00000000-0005-0000-0000-000089C40000}"/>
    <cellStyle name="Normal 75 3 7" xfId="50423" xr:uid="{00000000-0005-0000-0000-00008AC40000}"/>
    <cellStyle name="Normal 75 3 8" xfId="50424" xr:uid="{00000000-0005-0000-0000-00008BC40000}"/>
    <cellStyle name="Normal 75 4" xfId="50425" xr:uid="{00000000-0005-0000-0000-00008CC40000}"/>
    <cellStyle name="Normal 75 4 2" xfId="50426" xr:uid="{00000000-0005-0000-0000-00008DC40000}"/>
    <cellStyle name="Normal 75 4 2 2" xfId="50427" xr:uid="{00000000-0005-0000-0000-00008EC40000}"/>
    <cellStyle name="Normal 75 4 3" xfId="50428" xr:uid="{00000000-0005-0000-0000-00008FC40000}"/>
    <cellStyle name="Normal 75 4 3 2" xfId="50429" xr:uid="{00000000-0005-0000-0000-000090C40000}"/>
    <cellStyle name="Normal 75 4 4" xfId="50430" xr:uid="{00000000-0005-0000-0000-000091C40000}"/>
    <cellStyle name="Normal 75 4 5" xfId="50431" xr:uid="{00000000-0005-0000-0000-000092C40000}"/>
    <cellStyle name="Normal 75 4 6" xfId="50432" xr:uid="{00000000-0005-0000-0000-000093C40000}"/>
    <cellStyle name="Normal 75 4 7" xfId="50433" xr:uid="{00000000-0005-0000-0000-000094C40000}"/>
    <cellStyle name="Normal 75 4 8" xfId="50434" xr:uid="{00000000-0005-0000-0000-000095C40000}"/>
    <cellStyle name="Normal 75 5" xfId="50435" xr:uid="{00000000-0005-0000-0000-000096C40000}"/>
    <cellStyle name="Normal 75 6" xfId="50436" xr:uid="{00000000-0005-0000-0000-000097C40000}"/>
    <cellStyle name="Normal 75 6 2" xfId="50437" xr:uid="{00000000-0005-0000-0000-000098C40000}"/>
    <cellStyle name="Normal 75 7" xfId="50438" xr:uid="{00000000-0005-0000-0000-000099C40000}"/>
    <cellStyle name="Normal 75 7 2" xfId="50439" xr:uid="{00000000-0005-0000-0000-00009AC40000}"/>
    <cellStyle name="Normal 75 8" xfId="50440" xr:uid="{00000000-0005-0000-0000-00009BC40000}"/>
    <cellStyle name="Normal 75 8 2" xfId="50441" xr:uid="{00000000-0005-0000-0000-00009CC40000}"/>
    <cellStyle name="Normal 75 9" xfId="50442" xr:uid="{00000000-0005-0000-0000-00009DC40000}"/>
    <cellStyle name="Normal 76" xfId="50443" xr:uid="{00000000-0005-0000-0000-00009EC40000}"/>
    <cellStyle name="Normal 76 10" xfId="50444" xr:uid="{00000000-0005-0000-0000-00009FC40000}"/>
    <cellStyle name="Normal 76 11" xfId="50445" xr:uid="{00000000-0005-0000-0000-0000A0C40000}"/>
    <cellStyle name="Normal 76 12" xfId="50446" xr:uid="{00000000-0005-0000-0000-0000A1C40000}"/>
    <cellStyle name="Normal 76 2" xfId="50447" xr:uid="{00000000-0005-0000-0000-0000A2C40000}"/>
    <cellStyle name="Normal 76 2 2" xfId="50448" xr:uid="{00000000-0005-0000-0000-0000A3C40000}"/>
    <cellStyle name="Normal 76 2 2 2" xfId="50449" xr:uid="{00000000-0005-0000-0000-0000A4C40000}"/>
    <cellStyle name="Normal 76 2 2 3" xfId="50450" xr:uid="{00000000-0005-0000-0000-0000A5C40000}"/>
    <cellStyle name="Normal 76 2 3" xfId="50451" xr:uid="{00000000-0005-0000-0000-0000A6C40000}"/>
    <cellStyle name="Normal 76 2 3 2" xfId="50452" xr:uid="{00000000-0005-0000-0000-0000A7C40000}"/>
    <cellStyle name="Normal 76 2 3 3" xfId="50453" xr:uid="{00000000-0005-0000-0000-0000A8C40000}"/>
    <cellStyle name="Normal 76 2 4" xfId="50454" xr:uid="{00000000-0005-0000-0000-0000A9C40000}"/>
    <cellStyle name="Normal 76 2 4 2" xfId="50455" xr:uid="{00000000-0005-0000-0000-0000AAC40000}"/>
    <cellStyle name="Normal 76 2 5" xfId="50456" xr:uid="{00000000-0005-0000-0000-0000ABC40000}"/>
    <cellStyle name="Normal 76 2 6" xfId="50457" xr:uid="{00000000-0005-0000-0000-0000ACC40000}"/>
    <cellStyle name="Normal 76 2 7" xfId="50458" xr:uid="{00000000-0005-0000-0000-0000ADC40000}"/>
    <cellStyle name="Normal 76 2 8" xfId="50459" xr:uid="{00000000-0005-0000-0000-0000AEC40000}"/>
    <cellStyle name="Normal 76 2 9" xfId="50460" xr:uid="{00000000-0005-0000-0000-0000AFC40000}"/>
    <cellStyle name="Normal 76 3" xfId="50461" xr:uid="{00000000-0005-0000-0000-0000B0C40000}"/>
    <cellStyle name="Normal 76 3 2" xfId="50462" xr:uid="{00000000-0005-0000-0000-0000B1C40000}"/>
    <cellStyle name="Normal 76 3 2 2" xfId="50463" xr:uid="{00000000-0005-0000-0000-0000B2C40000}"/>
    <cellStyle name="Normal 76 3 3" xfId="50464" xr:uid="{00000000-0005-0000-0000-0000B3C40000}"/>
    <cellStyle name="Normal 76 3 3 2" xfId="50465" xr:uid="{00000000-0005-0000-0000-0000B4C40000}"/>
    <cellStyle name="Normal 76 3 4" xfId="50466" xr:uid="{00000000-0005-0000-0000-0000B5C40000}"/>
    <cellStyle name="Normal 76 3 5" xfId="50467" xr:uid="{00000000-0005-0000-0000-0000B6C40000}"/>
    <cellStyle name="Normal 76 3 6" xfId="50468" xr:uid="{00000000-0005-0000-0000-0000B7C40000}"/>
    <cellStyle name="Normal 76 3 7" xfId="50469" xr:uid="{00000000-0005-0000-0000-0000B8C40000}"/>
    <cellStyle name="Normal 76 3 8" xfId="50470" xr:uid="{00000000-0005-0000-0000-0000B9C40000}"/>
    <cellStyle name="Normal 76 4" xfId="50471" xr:uid="{00000000-0005-0000-0000-0000BAC40000}"/>
    <cellStyle name="Normal 76 4 2" xfId="50472" xr:uid="{00000000-0005-0000-0000-0000BBC40000}"/>
    <cellStyle name="Normal 76 4 2 2" xfId="50473" xr:uid="{00000000-0005-0000-0000-0000BCC40000}"/>
    <cellStyle name="Normal 76 4 3" xfId="50474" xr:uid="{00000000-0005-0000-0000-0000BDC40000}"/>
    <cellStyle name="Normal 76 4 3 2" xfId="50475" xr:uid="{00000000-0005-0000-0000-0000BEC40000}"/>
    <cellStyle name="Normal 76 4 4" xfId="50476" xr:uid="{00000000-0005-0000-0000-0000BFC40000}"/>
    <cellStyle name="Normal 76 4 5" xfId="50477" xr:uid="{00000000-0005-0000-0000-0000C0C40000}"/>
    <cellStyle name="Normal 76 4 6" xfId="50478" xr:uid="{00000000-0005-0000-0000-0000C1C40000}"/>
    <cellStyle name="Normal 76 4 7" xfId="50479" xr:uid="{00000000-0005-0000-0000-0000C2C40000}"/>
    <cellStyle name="Normal 76 4 8" xfId="50480" xr:uid="{00000000-0005-0000-0000-0000C3C40000}"/>
    <cellStyle name="Normal 76 5" xfId="50481" xr:uid="{00000000-0005-0000-0000-0000C4C40000}"/>
    <cellStyle name="Normal 76 6" xfId="50482" xr:uid="{00000000-0005-0000-0000-0000C5C40000}"/>
    <cellStyle name="Normal 76 6 2" xfId="50483" xr:uid="{00000000-0005-0000-0000-0000C6C40000}"/>
    <cellStyle name="Normal 76 7" xfId="50484" xr:uid="{00000000-0005-0000-0000-0000C7C40000}"/>
    <cellStyle name="Normal 76 7 2" xfId="50485" xr:uid="{00000000-0005-0000-0000-0000C8C40000}"/>
    <cellStyle name="Normal 76 8" xfId="50486" xr:uid="{00000000-0005-0000-0000-0000C9C40000}"/>
    <cellStyle name="Normal 76 8 2" xfId="50487" xr:uid="{00000000-0005-0000-0000-0000CAC40000}"/>
    <cellStyle name="Normal 76 9" xfId="50488" xr:uid="{00000000-0005-0000-0000-0000CBC40000}"/>
    <cellStyle name="Normal 77" xfId="50489" xr:uid="{00000000-0005-0000-0000-0000CCC40000}"/>
    <cellStyle name="Normal 77 10" xfId="50490" xr:uid="{00000000-0005-0000-0000-0000CDC40000}"/>
    <cellStyle name="Normal 77 11" xfId="50491" xr:uid="{00000000-0005-0000-0000-0000CEC40000}"/>
    <cellStyle name="Normal 77 12" xfId="50492" xr:uid="{00000000-0005-0000-0000-0000CFC40000}"/>
    <cellStyle name="Normal 77 2" xfId="50493" xr:uid="{00000000-0005-0000-0000-0000D0C40000}"/>
    <cellStyle name="Normal 77 2 2" xfId="50494" xr:uid="{00000000-0005-0000-0000-0000D1C40000}"/>
    <cellStyle name="Normal 77 2 2 2" xfId="50495" xr:uid="{00000000-0005-0000-0000-0000D2C40000}"/>
    <cellStyle name="Normal 77 2 2 3" xfId="50496" xr:uid="{00000000-0005-0000-0000-0000D3C40000}"/>
    <cellStyle name="Normal 77 2 3" xfId="50497" xr:uid="{00000000-0005-0000-0000-0000D4C40000}"/>
    <cellStyle name="Normal 77 2 3 2" xfId="50498" xr:uid="{00000000-0005-0000-0000-0000D5C40000}"/>
    <cellStyle name="Normal 77 2 3 3" xfId="50499" xr:uid="{00000000-0005-0000-0000-0000D6C40000}"/>
    <cellStyle name="Normal 77 2 4" xfId="50500" xr:uid="{00000000-0005-0000-0000-0000D7C40000}"/>
    <cellStyle name="Normal 77 2 4 2" xfId="50501" xr:uid="{00000000-0005-0000-0000-0000D8C40000}"/>
    <cellStyle name="Normal 77 2 5" xfId="50502" xr:uid="{00000000-0005-0000-0000-0000D9C40000}"/>
    <cellStyle name="Normal 77 2 6" xfId="50503" xr:uid="{00000000-0005-0000-0000-0000DAC40000}"/>
    <cellStyle name="Normal 77 2 7" xfId="50504" xr:uid="{00000000-0005-0000-0000-0000DBC40000}"/>
    <cellStyle name="Normal 77 2 8" xfId="50505" xr:uid="{00000000-0005-0000-0000-0000DCC40000}"/>
    <cellStyle name="Normal 77 2 9" xfId="50506" xr:uid="{00000000-0005-0000-0000-0000DDC40000}"/>
    <cellStyle name="Normal 77 3" xfId="50507" xr:uid="{00000000-0005-0000-0000-0000DEC40000}"/>
    <cellStyle name="Normal 77 3 2" xfId="50508" xr:uid="{00000000-0005-0000-0000-0000DFC40000}"/>
    <cellStyle name="Normal 77 3 2 2" xfId="50509" xr:uid="{00000000-0005-0000-0000-0000E0C40000}"/>
    <cellStyle name="Normal 77 3 3" xfId="50510" xr:uid="{00000000-0005-0000-0000-0000E1C40000}"/>
    <cellStyle name="Normal 77 3 3 2" xfId="50511" xr:uid="{00000000-0005-0000-0000-0000E2C40000}"/>
    <cellStyle name="Normal 77 3 4" xfId="50512" xr:uid="{00000000-0005-0000-0000-0000E3C40000}"/>
    <cellStyle name="Normal 77 3 5" xfId="50513" xr:uid="{00000000-0005-0000-0000-0000E4C40000}"/>
    <cellStyle name="Normal 77 3 6" xfId="50514" xr:uid="{00000000-0005-0000-0000-0000E5C40000}"/>
    <cellStyle name="Normal 77 3 7" xfId="50515" xr:uid="{00000000-0005-0000-0000-0000E6C40000}"/>
    <cellStyle name="Normal 77 3 8" xfId="50516" xr:uid="{00000000-0005-0000-0000-0000E7C40000}"/>
    <cellStyle name="Normal 77 4" xfId="50517" xr:uid="{00000000-0005-0000-0000-0000E8C40000}"/>
    <cellStyle name="Normal 77 4 2" xfId="50518" xr:uid="{00000000-0005-0000-0000-0000E9C40000}"/>
    <cellStyle name="Normal 77 4 2 2" xfId="50519" xr:uid="{00000000-0005-0000-0000-0000EAC40000}"/>
    <cellStyle name="Normal 77 4 3" xfId="50520" xr:uid="{00000000-0005-0000-0000-0000EBC40000}"/>
    <cellStyle name="Normal 77 4 3 2" xfId="50521" xr:uid="{00000000-0005-0000-0000-0000ECC40000}"/>
    <cellStyle name="Normal 77 4 4" xfId="50522" xr:uid="{00000000-0005-0000-0000-0000EDC40000}"/>
    <cellStyle name="Normal 77 4 5" xfId="50523" xr:uid="{00000000-0005-0000-0000-0000EEC40000}"/>
    <cellStyle name="Normal 77 4 6" xfId="50524" xr:uid="{00000000-0005-0000-0000-0000EFC40000}"/>
    <cellStyle name="Normal 77 4 7" xfId="50525" xr:uid="{00000000-0005-0000-0000-0000F0C40000}"/>
    <cellStyle name="Normal 77 4 8" xfId="50526" xr:uid="{00000000-0005-0000-0000-0000F1C40000}"/>
    <cellStyle name="Normal 77 5" xfId="50527" xr:uid="{00000000-0005-0000-0000-0000F2C40000}"/>
    <cellStyle name="Normal 77 6" xfId="50528" xr:uid="{00000000-0005-0000-0000-0000F3C40000}"/>
    <cellStyle name="Normal 77 6 2" xfId="50529" xr:uid="{00000000-0005-0000-0000-0000F4C40000}"/>
    <cellStyle name="Normal 77 7" xfId="50530" xr:uid="{00000000-0005-0000-0000-0000F5C40000}"/>
    <cellStyle name="Normal 77 7 2" xfId="50531" xr:uid="{00000000-0005-0000-0000-0000F6C40000}"/>
    <cellStyle name="Normal 77 8" xfId="50532" xr:uid="{00000000-0005-0000-0000-0000F7C40000}"/>
    <cellStyle name="Normal 77 8 2" xfId="50533" xr:uid="{00000000-0005-0000-0000-0000F8C40000}"/>
    <cellStyle name="Normal 77 9" xfId="50534" xr:uid="{00000000-0005-0000-0000-0000F9C40000}"/>
    <cellStyle name="Normal 78" xfId="50535" xr:uid="{00000000-0005-0000-0000-0000FAC40000}"/>
    <cellStyle name="Normal 78 10" xfId="50536" xr:uid="{00000000-0005-0000-0000-0000FBC40000}"/>
    <cellStyle name="Normal 78 11" xfId="50537" xr:uid="{00000000-0005-0000-0000-0000FCC40000}"/>
    <cellStyle name="Normal 78 12" xfId="50538" xr:uid="{00000000-0005-0000-0000-0000FDC40000}"/>
    <cellStyle name="Normal 78 2" xfId="50539" xr:uid="{00000000-0005-0000-0000-0000FEC40000}"/>
    <cellStyle name="Normal 78 2 2" xfId="50540" xr:uid="{00000000-0005-0000-0000-0000FFC40000}"/>
    <cellStyle name="Normal 78 2 2 2" xfId="50541" xr:uid="{00000000-0005-0000-0000-000000C50000}"/>
    <cellStyle name="Normal 78 2 2 3" xfId="50542" xr:uid="{00000000-0005-0000-0000-000001C50000}"/>
    <cellStyle name="Normal 78 2 3" xfId="50543" xr:uid="{00000000-0005-0000-0000-000002C50000}"/>
    <cellStyle name="Normal 78 2 3 2" xfId="50544" xr:uid="{00000000-0005-0000-0000-000003C50000}"/>
    <cellStyle name="Normal 78 2 3 3" xfId="50545" xr:uid="{00000000-0005-0000-0000-000004C50000}"/>
    <cellStyle name="Normal 78 2 4" xfId="50546" xr:uid="{00000000-0005-0000-0000-000005C50000}"/>
    <cellStyle name="Normal 78 2 4 2" xfId="50547" xr:uid="{00000000-0005-0000-0000-000006C50000}"/>
    <cellStyle name="Normal 78 2 5" xfId="50548" xr:uid="{00000000-0005-0000-0000-000007C50000}"/>
    <cellStyle name="Normal 78 2 6" xfId="50549" xr:uid="{00000000-0005-0000-0000-000008C50000}"/>
    <cellStyle name="Normal 78 2 7" xfId="50550" xr:uid="{00000000-0005-0000-0000-000009C50000}"/>
    <cellStyle name="Normal 78 2 8" xfId="50551" xr:uid="{00000000-0005-0000-0000-00000AC50000}"/>
    <cellStyle name="Normal 78 2 9" xfId="50552" xr:uid="{00000000-0005-0000-0000-00000BC50000}"/>
    <cellStyle name="Normal 78 3" xfId="50553" xr:uid="{00000000-0005-0000-0000-00000CC50000}"/>
    <cellStyle name="Normal 78 3 2" xfId="50554" xr:uid="{00000000-0005-0000-0000-00000DC50000}"/>
    <cellStyle name="Normal 78 3 2 2" xfId="50555" xr:uid="{00000000-0005-0000-0000-00000EC50000}"/>
    <cellStyle name="Normal 78 3 3" xfId="50556" xr:uid="{00000000-0005-0000-0000-00000FC50000}"/>
    <cellStyle name="Normal 78 3 3 2" xfId="50557" xr:uid="{00000000-0005-0000-0000-000010C50000}"/>
    <cellStyle name="Normal 78 3 4" xfId="50558" xr:uid="{00000000-0005-0000-0000-000011C50000}"/>
    <cellStyle name="Normal 78 3 5" xfId="50559" xr:uid="{00000000-0005-0000-0000-000012C50000}"/>
    <cellStyle name="Normal 78 3 6" xfId="50560" xr:uid="{00000000-0005-0000-0000-000013C50000}"/>
    <cellStyle name="Normal 78 3 7" xfId="50561" xr:uid="{00000000-0005-0000-0000-000014C50000}"/>
    <cellStyle name="Normal 78 3 8" xfId="50562" xr:uid="{00000000-0005-0000-0000-000015C50000}"/>
    <cellStyle name="Normal 78 4" xfId="50563" xr:uid="{00000000-0005-0000-0000-000016C50000}"/>
    <cellStyle name="Normal 78 4 2" xfId="50564" xr:uid="{00000000-0005-0000-0000-000017C50000}"/>
    <cellStyle name="Normal 78 4 2 2" xfId="50565" xr:uid="{00000000-0005-0000-0000-000018C50000}"/>
    <cellStyle name="Normal 78 4 3" xfId="50566" xr:uid="{00000000-0005-0000-0000-000019C50000}"/>
    <cellStyle name="Normal 78 4 3 2" xfId="50567" xr:uid="{00000000-0005-0000-0000-00001AC50000}"/>
    <cellStyle name="Normal 78 4 4" xfId="50568" xr:uid="{00000000-0005-0000-0000-00001BC50000}"/>
    <cellStyle name="Normal 78 4 5" xfId="50569" xr:uid="{00000000-0005-0000-0000-00001CC50000}"/>
    <cellStyle name="Normal 78 4 6" xfId="50570" xr:uid="{00000000-0005-0000-0000-00001DC50000}"/>
    <cellStyle name="Normal 78 4 7" xfId="50571" xr:uid="{00000000-0005-0000-0000-00001EC50000}"/>
    <cellStyle name="Normal 78 4 8" xfId="50572" xr:uid="{00000000-0005-0000-0000-00001FC50000}"/>
    <cellStyle name="Normal 78 5" xfId="50573" xr:uid="{00000000-0005-0000-0000-000020C50000}"/>
    <cellStyle name="Normal 78 6" xfId="50574" xr:uid="{00000000-0005-0000-0000-000021C50000}"/>
    <cellStyle name="Normal 78 6 2" xfId="50575" xr:uid="{00000000-0005-0000-0000-000022C50000}"/>
    <cellStyle name="Normal 78 7" xfId="50576" xr:uid="{00000000-0005-0000-0000-000023C50000}"/>
    <cellStyle name="Normal 78 7 2" xfId="50577" xr:uid="{00000000-0005-0000-0000-000024C50000}"/>
    <cellStyle name="Normal 78 8" xfId="50578" xr:uid="{00000000-0005-0000-0000-000025C50000}"/>
    <cellStyle name="Normal 78 8 2" xfId="50579" xr:uid="{00000000-0005-0000-0000-000026C50000}"/>
    <cellStyle name="Normal 78 9" xfId="50580" xr:uid="{00000000-0005-0000-0000-000027C50000}"/>
    <cellStyle name="Normal 79" xfId="50581" xr:uid="{00000000-0005-0000-0000-000028C50000}"/>
    <cellStyle name="Normal 79 10" xfId="50582" xr:uid="{00000000-0005-0000-0000-000029C50000}"/>
    <cellStyle name="Normal 79 11" xfId="50583" xr:uid="{00000000-0005-0000-0000-00002AC50000}"/>
    <cellStyle name="Normal 79 12" xfId="50584" xr:uid="{00000000-0005-0000-0000-00002BC50000}"/>
    <cellStyle name="Normal 79 2" xfId="50585" xr:uid="{00000000-0005-0000-0000-00002CC50000}"/>
    <cellStyle name="Normal 79 2 2" xfId="50586" xr:uid="{00000000-0005-0000-0000-00002DC50000}"/>
    <cellStyle name="Normal 79 2 2 2" xfId="50587" xr:uid="{00000000-0005-0000-0000-00002EC50000}"/>
    <cellStyle name="Normal 79 2 2 3" xfId="50588" xr:uid="{00000000-0005-0000-0000-00002FC50000}"/>
    <cellStyle name="Normal 79 2 3" xfId="50589" xr:uid="{00000000-0005-0000-0000-000030C50000}"/>
    <cellStyle name="Normal 79 2 3 2" xfId="50590" xr:uid="{00000000-0005-0000-0000-000031C50000}"/>
    <cellStyle name="Normal 79 2 3 3" xfId="50591" xr:uid="{00000000-0005-0000-0000-000032C50000}"/>
    <cellStyle name="Normal 79 2 4" xfId="50592" xr:uid="{00000000-0005-0000-0000-000033C50000}"/>
    <cellStyle name="Normal 79 2 4 2" xfId="50593" xr:uid="{00000000-0005-0000-0000-000034C50000}"/>
    <cellStyle name="Normal 79 2 5" xfId="50594" xr:uid="{00000000-0005-0000-0000-000035C50000}"/>
    <cellStyle name="Normal 79 2 6" xfId="50595" xr:uid="{00000000-0005-0000-0000-000036C50000}"/>
    <cellStyle name="Normal 79 2 7" xfId="50596" xr:uid="{00000000-0005-0000-0000-000037C50000}"/>
    <cellStyle name="Normal 79 2 8" xfId="50597" xr:uid="{00000000-0005-0000-0000-000038C50000}"/>
    <cellStyle name="Normal 79 2 9" xfId="50598" xr:uid="{00000000-0005-0000-0000-000039C50000}"/>
    <cellStyle name="Normal 79 3" xfId="50599" xr:uid="{00000000-0005-0000-0000-00003AC50000}"/>
    <cellStyle name="Normal 79 3 2" xfId="50600" xr:uid="{00000000-0005-0000-0000-00003BC50000}"/>
    <cellStyle name="Normal 79 3 2 2" xfId="50601" xr:uid="{00000000-0005-0000-0000-00003CC50000}"/>
    <cellStyle name="Normal 79 3 3" xfId="50602" xr:uid="{00000000-0005-0000-0000-00003DC50000}"/>
    <cellStyle name="Normal 79 3 3 2" xfId="50603" xr:uid="{00000000-0005-0000-0000-00003EC50000}"/>
    <cellStyle name="Normal 79 3 4" xfId="50604" xr:uid="{00000000-0005-0000-0000-00003FC50000}"/>
    <cellStyle name="Normal 79 3 5" xfId="50605" xr:uid="{00000000-0005-0000-0000-000040C50000}"/>
    <cellStyle name="Normal 79 3 6" xfId="50606" xr:uid="{00000000-0005-0000-0000-000041C50000}"/>
    <cellStyle name="Normal 79 3 7" xfId="50607" xr:uid="{00000000-0005-0000-0000-000042C50000}"/>
    <cellStyle name="Normal 79 3 8" xfId="50608" xr:uid="{00000000-0005-0000-0000-000043C50000}"/>
    <cellStyle name="Normal 79 4" xfId="50609" xr:uid="{00000000-0005-0000-0000-000044C50000}"/>
    <cellStyle name="Normal 79 4 2" xfId="50610" xr:uid="{00000000-0005-0000-0000-000045C50000}"/>
    <cellStyle name="Normal 79 4 2 2" xfId="50611" xr:uid="{00000000-0005-0000-0000-000046C50000}"/>
    <cellStyle name="Normal 79 4 3" xfId="50612" xr:uid="{00000000-0005-0000-0000-000047C50000}"/>
    <cellStyle name="Normal 79 4 3 2" xfId="50613" xr:uid="{00000000-0005-0000-0000-000048C50000}"/>
    <cellStyle name="Normal 79 4 4" xfId="50614" xr:uid="{00000000-0005-0000-0000-000049C50000}"/>
    <cellStyle name="Normal 79 4 5" xfId="50615" xr:uid="{00000000-0005-0000-0000-00004AC50000}"/>
    <cellStyle name="Normal 79 4 6" xfId="50616" xr:uid="{00000000-0005-0000-0000-00004BC50000}"/>
    <cellStyle name="Normal 79 4 7" xfId="50617" xr:uid="{00000000-0005-0000-0000-00004CC50000}"/>
    <cellStyle name="Normal 79 4 8" xfId="50618" xr:uid="{00000000-0005-0000-0000-00004DC50000}"/>
    <cellStyle name="Normal 79 5" xfId="50619" xr:uid="{00000000-0005-0000-0000-00004EC50000}"/>
    <cellStyle name="Normal 79 6" xfId="50620" xr:uid="{00000000-0005-0000-0000-00004FC50000}"/>
    <cellStyle name="Normal 79 6 2" xfId="50621" xr:uid="{00000000-0005-0000-0000-000050C50000}"/>
    <cellStyle name="Normal 79 7" xfId="50622" xr:uid="{00000000-0005-0000-0000-000051C50000}"/>
    <cellStyle name="Normal 79 7 2" xfId="50623" xr:uid="{00000000-0005-0000-0000-000052C50000}"/>
    <cellStyle name="Normal 79 8" xfId="50624" xr:uid="{00000000-0005-0000-0000-000053C50000}"/>
    <cellStyle name="Normal 79 8 2" xfId="50625" xr:uid="{00000000-0005-0000-0000-000054C50000}"/>
    <cellStyle name="Normal 79 9" xfId="50626" xr:uid="{00000000-0005-0000-0000-000055C50000}"/>
    <cellStyle name="Normal 8" xfId="333" xr:uid="{00000000-0005-0000-0000-000056C50000}"/>
    <cellStyle name="Normal 8 10" xfId="50627" xr:uid="{00000000-0005-0000-0000-000057C50000}"/>
    <cellStyle name="Normal 8 10 2" xfId="50628" xr:uid="{00000000-0005-0000-0000-000058C50000}"/>
    <cellStyle name="Normal 8 10 3" xfId="50629" xr:uid="{00000000-0005-0000-0000-000059C50000}"/>
    <cellStyle name="Normal 8 10 4" xfId="50630" xr:uid="{00000000-0005-0000-0000-00005AC50000}"/>
    <cellStyle name="Normal 8 11" xfId="50631" xr:uid="{00000000-0005-0000-0000-00005BC50000}"/>
    <cellStyle name="Normal 8 11 2" xfId="50632" xr:uid="{00000000-0005-0000-0000-00005CC50000}"/>
    <cellStyle name="Normal 8 11 2 2" xfId="50633" xr:uid="{00000000-0005-0000-0000-00005DC50000}"/>
    <cellStyle name="Normal 8 11 3" xfId="50634" xr:uid="{00000000-0005-0000-0000-00005EC50000}"/>
    <cellStyle name="Normal 8 12" xfId="50635" xr:uid="{00000000-0005-0000-0000-00005FC50000}"/>
    <cellStyle name="Normal 8 12 2" xfId="50636" xr:uid="{00000000-0005-0000-0000-000060C50000}"/>
    <cellStyle name="Normal 8 13" xfId="50637" xr:uid="{00000000-0005-0000-0000-000061C50000}"/>
    <cellStyle name="Normal 8 14" xfId="50638" xr:uid="{00000000-0005-0000-0000-000062C50000}"/>
    <cellStyle name="Normal 8 15" xfId="50639" xr:uid="{00000000-0005-0000-0000-000063C50000}"/>
    <cellStyle name="Normal 8 2" xfId="334" xr:uid="{00000000-0005-0000-0000-000064C50000}"/>
    <cellStyle name="Normal 8 2 10" xfId="50640" xr:uid="{00000000-0005-0000-0000-000065C50000}"/>
    <cellStyle name="Normal 8 2 10 2" xfId="50641" xr:uid="{00000000-0005-0000-0000-000066C50000}"/>
    <cellStyle name="Normal 8 2 10 3" xfId="50642" xr:uid="{00000000-0005-0000-0000-000067C50000}"/>
    <cellStyle name="Normal 8 2 11" xfId="50643" xr:uid="{00000000-0005-0000-0000-000068C50000}"/>
    <cellStyle name="Normal 8 2 11 2" xfId="50644" xr:uid="{00000000-0005-0000-0000-000069C50000}"/>
    <cellStyle name="Normal 8 2 11 3" xfId="50645" xr:uid="{00000000-0005-0000-0000-00006AC50000}"/>
    <cellStyle name="Normal 8 2 12" xfId="50646" xr:uid="{00000000-0005-0000-0000-00006BC50000}"/>
    <cellStyle name="Normal 8 2 12 2" xfId="50647" xr:uid="{00000000-0005-0000-0000-00006CC50000}"/>
    <cellStyle name="Normal 8 2 12 3" xfId="50648" xr:uid="{00000000-0005-0000-0000-00006DC50000}"/>
    <cellStyle name="Normal 8 2 13" xfId="50649" xr:uid="{00000000-0005-0000-0000-00006EC50000}"/>
    <cellStyle name="Normal 8 2 13 2" xfId="50650" xr:uid="{00000000-0005-0000-0000-00006FC50000}"/>
    <cellStyle name="Normal 8 2 13 3" xfId="50651" xr:uid="{00000000-0005-0000-0000-000070C50000}"/>
    <cellStyle name="Normal 8 2 14" xfId="50652" xr:uid="{00000000-0005-0000-0000-000071C50000}"/>
    <cellStyle name="Normal 8 2 14 2" xfId="50653" xr:uid="{00000000-0005-0000-0000-000072C50000}"/>
    <cellStyle name="Normal 8 2 14 3" xfId="50654" xr:uid="{00000000-0005-0000-0000-000073C50000}"/>
    <cellStyle name="Normal 8 2 15" xfId="50655" xr:uid="{00000000-0005-0000-0000-000074C50000}"/>
    <cellStyle name="Normal 8 2 16" xfId="50656" xr:uid="{00000000-0005-0000-0000-000075C50000}"/>
    <cellStyle name="Normal 8 2 17" xfId="50657" xr:uid="{00000000-0005-0000-0000-000076C50000}"/>
    <cellStyle name="Normal 8 2 2" xfId="50658" xr:uid="{00000000-0005-0000-0000-000077C50000}"/>
    <cellStyle name="Normal 8 2 2 10" xfId="50659" xr:uid="{00000000-0005-0000-0000-000078C50000}"/>
    <cellStyle name="Normal 8 2 2 11" xfId="50660" xr:uid="{00000000-0005-0000-0000-000079C50000}"/>
    <cellStyle name="Normal 8 2 2 2" xfId="50661" xr:uid="{00000000-0005-0000-0000-00007AC50000}"/>
    <cellStyle name="Normal 8 2 2 2 10" xfId="50662" xr:uid="{00000000-0005-0000-0000-00007BC50000}"/>
    <cellStyle name="Normal 8 2 2 2 2" xfId="50663" xr:uid="{00000000-0005-0000-0000-00007CC50000}"/>
    <cellStyle name="Normal 8 2 2 2 2 2" xfId="50664" xr:uid="{00000000-0005-0000-0000-00007DC50000}"/>
    <cellStyle name="Normal 8 2 2 2 2 2 2" xfId="50665" xr:uid="{00000000-0005-0000-0000-00007EC50000}"/>
    <cellStyle name="Normal 8 2 2 2 2 2 3" xfId="50666" xr:uid="{00000000-0005-0000-0000-00007FC50000}"/>
    <cellStyle name="Normal 8 2 2 2 2 3" xfId="50667" xr:uid="{00000000-0005-0000-0000-000080C50000}"/>
    <cellStyle name="Normal 8 2 2 2 2 3 2" xfId="50668" xr:uid="{00000000-0005-0000-0000-000081C50000}"/>
    <cellStyle name="Normal 8 2 2 2 2 3 3" xfId="50669" xr:uid="{00000000-0005-0000-0000-000082C50000}"/>
    <cellStyle name="Normal 8 2 2 2 2 4" xfId="50670" xr:uid="{00000000-0005-0000-0000-000083C50000}"/>
    <cellStyle name="Normal 8 2 2 2 2 5" xfId="50671" xr:uid="{00000000-0005-0000-0000-000084C50000}"/>
    <cellStyle name="Normal 8 2 2 2 2 6" xfId="50672" xr:uid="{00000000-0005-0000-0000-000085C50000}"/>
    <cellStyle name="Normal 8 2 2 2 2 7" xfId="50673" xr:uid="{00000000-0005-0000-0000-000086C50000}"/>
    <cellStyle name="Normal 8 2 2 2 2 8" xfId="50674" xr:uid="{00000000-0005-0000-0000-000087C50000}"/>
    <cellStyle name="Normal 8 2 2 2 3" xfId="50675" xr:uid="{00000000-0005-0000-0000-000088C50000}"/>
    <cellStyle name="Normal 8 2 2 2 3 2" xfId="50676" xr:uid="{00000000-0005-0000-0000-000089C50000}"/>
    <cellStyle name="Normal 8 2 2 2 3 2 2" xfId="50677" xr:uid="{00000000-0005-0000-0000-00008AC50000}"/>
    <cellStyle name="Normal 8 2 2 2 3 2 3" xfId="50678" xr:uid="{00000000-0005-0000-0000-00008BC50000}"/>
    <cellStyle name="Normal 8 2 2 2 3 3" xfId="50679" xr:uid="{00000000-0005-0000-0000-00008CC50000}"/>
    <cellStyle name="Normal 8 2 2 2 3 3 2" xfId="50680" xr:uid="{00000000-0005-0000-0000-00008DC50000}"/>
    <cellStyle name="Normal 8 2 2 2 3 4" xfId="50681" xr:uid="{00000000-0005-0000-0000-00008EC50000}"/>
    <cellStyle name="Normal 8 2 2 2 4" xfId="50682" xr:uid="{00000000-0005-0000-0000-00008FC50000}"/>
    <cellStyle name="Normal 8 2 2 2 4 2" xfId="50683" xr:uid="{00000000-0005-0000-0000-000090C50000}"/>
    <cellStyle name="Normal 8 2 2 2 4 3" xfId="50684" xr:uid="{00000000-0005-0000-0000-000091C50000}"/>
    <cellStyle name="Normal 8 2 2 2 5" xfId="50685" xr:uid="{00000000-0005-0000-0000-000092C50000}"/>
    <cellStyle name="Normal 8 2 2 2 5 2" xfId="50686" xr:uid="{00000000-0005-0000-0000-000093C50000}"/>
    <cellStyle name="Normal 8 2 2 2 5 3" xfId="50687" xr:uid="{00000000-0005-0000-0000-000094C50000}"/>
    <cellStyle name="Normal 8 2 2 2 6" xfId="50688" xr:uid="{00000000-0005-0000-0000-000095C50000}"/>
    <cellStyle name="Normal 8 2 2 2 7" xfId="50689" xr:uid="{00000000-0005-0000-0000-000096C50000}"/>
    <cellStyle name="Normal 8 2 2 2 8" xfId="50690" xr:uid="{00000000-0005-0000-0000-000097C50000}"/>
    <cellStyle name="Normal 8 2 2 2 9" xfId="50691" xr:uid="{00000000-0005-0000-0000-000098C50000}"/>
    <cellStyle name="Normal 8 2 2 3" xfId="50692" xr:uid="{00000000-0005-0000-0000-000099C50000}"/>
    <cellStyle name="Normal 8 2 2 3 2" xfId="50693" xr:uid="{00000000-0005-0000-0000-00009AC50000}"/>
    <cellStyle name="Normal 8 2 2 3 2 2" xfId="50694" xr:uid="{00000000-0005-0000-0000-00009BC50000}"/>
    <cellStyle name="Normal 8 2 2 3 2 3" xfId="50695" xr:uid="{00000000-0005-0000-0000-00009CC50000}"/>
    <cellStyle name="Normal 8 2 2 3 2 4" xfId="50696" xr:uid="{00000000-0005-0000-0000-00009DC50000}"/>
    <cellStyle name="Normal 8 2 2 3 3" xfId="50697" xr:uid="{00000000-0005-0000-0000-00009EC50000}"/>
    <cellStyle name="Normal 8 2 2 3 3 2" xfId="50698" xr:uid="{00000000-0005-0000-0000-00009FC50000}"/>
    <cellStyle name="Normal 8 2 2 3 3 3" xfId="50699" xr:uid="{00000000-0005-0000-0000-0000A0C50000}"/>
    <cellStyle name="Normal 8 2 2 3 4" xfId="50700" xr:uid="{00000000-0005-0000-0000-0000A1C50000}"/>
    <cellStyle name="Normal 8 2 2 3 5" xfId="50701" xr:uid="{00000000-0005-0000-0000-0000A2C50000}"/>
    <cellStyle name="Normal 8 2 2 3 6" xfId="50702" xr:uid="{00000000-0005-0000-0000-0000A3C50000}"/>
    <cellStyle name="Normal 8 2 2 3 7" xfId="50703" xr:uid="{00000000-0005-0000-0000-0000A4C50000}"/>
    <cellStyle name="Normal 8 2 2 3 8" xfId="50704" xr:uid="{00000000-0005-0000-0000-0000A5C50000}"/>
    <cellStyle name="Normal 8 2 2 4" xfId="50705" xr:uid="{00000000-0005-0000-0000-0000A6C50000}"/>
    <cellStyle name="Normal 8 2 2 4 2" xfId="50706" xr:uid="{00000000-0005-0000-0000-0000A7C50000}"/>
    <cellStyle name="Normal 8 2 2 4 2 2" xfId="50707" xr:uid="{00000000-0005-0000-0000-0000A8C50000}"/>
    <cellStyle name="Normal 8 2 2 4 2 3" xfId="50708" xr:uid="{00000000-0005-0000-0000-0000A9C50000}"/>
    <cellStyle name="Normal 8 2 2 4 3" xfId="50709" xr:uid="{00000000-0005-0000-0000-0000AAC50000}"/>
    <cellStyle name="Normal 8 2 2 4 3 2" xfId="50710" xr:uid="{00000000-0005-0000-0000-0000ABC50000}"/>
    <cellStyle name="Normal 8 2 2 4 3 3" xfId="50711" xr:uid="{00000000-0005-0000-0000-0000ACC50000}"/>
    <cellStyle name="Normal 8 2 2 4 4" xfId="50712" xr:uid="{00000000-0005-0000-0000-0000ADC50000}"/>
    <cellStyle name="Normal 8 2 2 4 5" xfId="50713" xr:uid="{00000000-0005-0000-0000-0000AEC50000}"/>
    <cellStyle name="Normal 8 2 2 4 6" xfId="50714" xr:uid="{00000000-0005-0000-0000-0000AFC50000}"/>
    <cellStyle name="Normal 8 2 2 4 7" xfId="50715" xr:uid="{00000000-0005-0000-0000-0000B0C50000}"/>
    <cellStyle name="Normal 8 2 2 4 8" xfId="50716" xr:uid="{00000000-0005-0000-0000-0000B1C50000}"/>
    <cellStyle name="Normal 8 2 2 5" xfId="50717" xr:uid="{00000000-0005-0000-0000-0000B2C50000}"/>
    <cellStyle name="Normal 8 2 2 5 2" xfId="50718" xr:uid="{00000000-0005-0000-0000-0000B3C50000}"/>
    <cellStyle name="Normal 8 2 2 5 3" xfId="50719" xr:uid="{00000000-0005-0000-0000-0000B4C50000}"/>
    <cellStyle name="Normal 8 2 2 6" xfId="50720" xr:uid="{00000000-0005-0000-0000-0000B5C50000}"/>
    <cellStyle name="Normal 8 2 2 6 2" xfId="50721" xr:uid="{00000000-0005-0000-0000-0000B6C50000}"/>
    <cellStyle name="Normal 8 2 2 6 3" xfId="50722" xr:uid="{00000000-0005-0000-0000-0000B7C50000}"/>
    <cellStyle name="Normal 8 2 2 7" xfId="50723" xr:uid="{00000000-0005-0000-0000-0000B8C50000}"/>
    <cellStyle name="Normal 8 2 2 8" xfId="50724" xr:uid="{00000000-0005-0000-0000-0000B9C50000}"/>
    <cellStyle name="Normal 8 2 2 9" xfId="50725" xr:uid="{00000000-0005-0000-0000-0000BAC50000}"/>
    <cellStyle name="Normal 8 2 2_Dec monthly report" xfId="50726" xr:uid="{00000000-0005-0000-0000-0000BBC50000}"/>
    <cellStyle name="Normal 8 2 3" xfId="50727" xr:uid="{00000000-0005-0000-0000-0000BCC50000}"/>
    <cellStyle name="Normal 8 2 3 10" xfId="50728" xr:uid="{00000000-0005-0000-0000-0000BDC50000}"/>
    <cellStyle name="Normal 8 2 3 11" xfId="50729" xr:uid="{00000000-0005-0000-0000-0000BEC50000}"/>
    <cellStyle name="Normal 8 2 3 2" xfId="50730" xr:uid="{00000000-0005-0000-0000-0000BFC50000}"/>
    <cellStyle name="Normal 8 2 3 2 2" xfId="50731" xr:uid="{00000000-0005-0000-0000-0000C0C50000}"/>
    <cellStyle name="Normal 8 2 3 2 2 2" xfId="50732" xr:uid="{00000000-0005-0000-0000-0000C1C50000}"/>
    <cellStyle name="Normal 8 2 3 2 2 3" xfId="50733" xr:uid="{00000000-0005-0000-0000-0000C2C50000}"/>
    <cellStyle name="Normal 8 2 3 2 2 4" xfId="50734" xr:uid="{00000000-0005-0000-0000-0000C3C50000}"/>
    <cellStyle name="Normal 8 2 3 2 3" xfId="50735" xr:uid="{00000000-0005-0000-0000-0000C4C50000}"/>
    <cellStyle name="Normal 8 2 3 2 3 2" xfId="50736" xr:uid="{00000000-0005-0000-0000-0000C5C50000}"/>
    <cellStyle name="Normal 8 2 3 2 3 3" xfId="50737" xr:uid="{00000000-0005-0000-0000-0000C6C50000}"/>
    <cellStyle name="Normal 8 2 3 2 4" xfId="50738" xr:uid="{00000000-0005-0000-0000-0000C7C50000}"/>
    <cellStyle name="Normal 8 2 3 2 5" xfId="50739" xr:uid="{00000000-0005-0000-0000-0000C8C50000}"/>
    <cellStyle name="Normal 8 2 3 2 6" xfId="50740" xr:uid="{00000000-0005-0000-0000-0000C9C50000}"/>
    <cellStyle name="Normal 8 2 3 2 7" xfId="50741" xr:uid="{00000000-0005-0000-0000-0000CAC50000}"/>
    <cellStyle name="Normal 8 2 3 2 8" xfId="50742" xr:uid="{00000000-0005-0000-0000-0000CBC50000}"/>
    <cellStyle name="Normal 8 2 3 3" xfId="50743" xr:uid="{00000000-0005-0000-0000-0000CCC50000}"/>
    <cellStyle name="Normal 8 2 3 3 2" xfId="50744" xr:uid="{00000000-0005-0000-0000-0000CDC50000}"/>
    <cellStyle name="Normal 8 2 3 3 2 2" xfId="50745" xr:uid="{00000000-0005-0000-0000-0000CEC50000}"/>
    <cellStyle name="Normal 8 2 3 3 2 3" xfId="50746" xr:uid="{00000000-0005-0000-0000-0000CFC50000}"/>
    <cellStyle name="Normal 8 2 3 3 3" xfId="50747" xr:uid="{00000000-0005-0000-0000-0000D0C50000}"/>
    <cellStyle name="Normal 8 2 3 3 4" xfId="50748" xr:uid="{00000000-0005-0000-0000-0000D1C50000}"/>
    <cellStyle name="Normal 8 2 3 3 5" xfId="50749" xr:uid="{00000000-0005-0000-0000-0000D2C50000}"/>
    <cellStyle name="Normal 8 2 3 3 6" xfId="50750" xr:uid="{00000000-0005-0000-0000-0000D3C50000}"/>
    <cellStyle name="Normal 8 2 3 4" xfId="50751" xr:uid="{00000000-0005-0000-0000-0000D4C50000}"/>
    <cellStyle name="Normal 8 2 3 4 2" xfId="50752" xr:uid="{00000000-0005-0000-0000-0000D5C50000}"/>
    <cellStyle name="Normal 8 2 3 4 3" xfId="50753" xr:uid="{00000000-0005-0000-0000-0000D6C50000}"/>
    <cellStyle name="Normal 8 2 3 5" xfId="50754" xr:uid="{00000000-0005-0000-0000-0000D7C50000}"/>
    <cellStyle name="Normal 8 2 3 5 2" xfId="50755" xr:uid="{00000000-0005-0000-0000-0000D8C50000}"/>
    <cellStyle name="Normal 8 2 3 5 3" xfId="50756" xr:uid="{00000000-0005-0000-0000-0000D9C50000}"/>
    <cellStyle name="Normal 8 2 3 6" xfId="50757" xr:uid="{00000000-0005-0000-0000-0000DAC50000}"/>
    <cellStyle name="Normal 8 2 3 6 2" xfId="50758" xr:uid="{00000000-0005-0000-0000-0000DBC50000}"/>
    <cellStyle name="Normal 8 2 3 6 3" xfId="50759" xr:uid="{00000000-0005-0000-0000-0000DCC50000}"/>
    <cellStyle name="Normal 8 2 3 7" xfId="50760" xr:uid="{00000000-0005-0000-0000-0000DDC50000}"/>
    <cellStyle name="Normal 8 2 3 8" xfId="50761" xr:uid="{00000000-0005-0000-0000-0000DEC50000}"/>
    <cellStyle name="Normal 8 2 3 9" xfId="50762" xr:uid="{00000000-0005-0000-0000-0000DFC50000}"/>
    <cellStyle name="Normal 8 2 4" xfId="50763" xr:uid="{00000000-0005-0000-0000-0000E0C50000}"/>
    <cellStyle name="Normal 8 2 4 2" xfId="50764" xr:uid="{00000000-0005-0000-0000-0000E1C50000}"/>
    <cellStyle name="Normal 8 2 4 2 2" xfId="50765" xr:uid="{00000000-0005-0000-0000-0000E2C50000}"/>
    <cellStyle name="Normal 8 2 4 2 3" xfId="50766" xr:uid="{00000000-0005-0000-0000-0000E3C50000}"/>
    <cellStyle name="Normal 8 2 4 2 4" xfId="50767" xr:uid="{00000000-0005-0000-0000-0000E4C50000}"/>
    <cellStyle name="Normal 8 2 4 3" xfId="50768" xr:uid="{00000000-0005-0000-0000-0000E5C50000}"/>
    <cellStyle name="Normal 8 2 4 3 2" xfId="50769" xr:uid="{00000000-0005-0000-0000-0000E6C50000}"/>
    <cellStyle name="Normal 8 2 4 3 3" xfId="50770" xr:uid="{00000000-0005-0000-0000-0000E7C50000}"/>
    <cellStyle name="Normal 8 2 4 4" xfId="50771" xr:uid="{00000000-0005-0000-0000-0000E8C50000}"/>
    <cellStyle name="Normal 8 2 4 5" xfId="50772" xr:uid="{00000000-0005-0000-0000-0000E9C50000}"/>
    <cellStyle name="Normal 8 2 4 6" xfId="50773" xr:uid="{00000000-0005-0000-0000-0000EAC50000}"/>
    <cellStyle name="Normal 8 2 4 7" xfId="50774" xr:uid="{00000000-0005-0000-0000-0000EBC50000}"/>
    <cellStyle name="Normal 8 2 4 8" xfId="50775" xr:uid="{00000000-0005-0000-0000-0000ECC50000}"/>
    <cellStyle name="Normal 8 2 5" xfId="50776" xr:uid="{00000000-0005-0000-0000-0000EDC50000}"/>
    <cellStyle name="Normal 8 2 5 2" xfId="50777" xr:uid="{00000000-0005-0000-0000-0000EEC50000}"/>
    <cellStyle name="Normal 8 2 5 2 2" xfId="50778" xr:uid="{00000000-0005-0000-0000-0000EFC50000}"/>
    <cellStyle name="Normal 8 2 5 2 3" xfId="50779" xr:uid="{00000000-0005-0000-0000-0000F0C50000}"/>
    <cellStyle name="Normal 8 2 5 3" xfId="50780" xr:uid="{00000000-0005-0000-0000-0000F1C50000}"/>
    <cellStyle name="Normal 8 2 5 3 2" xfId="50781" xr:uid="{00000000-0005-0000-0000-0000F2C50000}"/>
    <cellStyle name="Normal 8 2 5 3 3" xfId="50782" xr:uid="{00000000-0005-0000-0000-0000F3C50000}"/>
    <cellStyle name="Normal 8 2 5 4" xfId="50783" xr:uid="{00000000-0005-0000-0000-0000F4C50000}"/>
    <cellStyle name="Normal 8 2 5 5" xfId="50784" xr:uid="{00000000-0005-0000-0000-0000F5C50000}"/>
    <cellStyle name="Normal 8 2 5 6" xfId="50785" xr:uid="{00000000-0005-0000-0000-0000F6C50000}"/>
    <cellStyle name="Normal 8 2 5 7" xfId="50786" xr:uid="{00000000-0005-0000-0000-0000F7C50000}"/>
    <cellStyle name="Normal 8 2 5 8" xfId="50787" xr:uid="{00000000-0005-0000-0000-0000F8C50000}"/>
    <cellStyle name="Normal 8 2 6" xfId="50788" xr:uid="{00000000-0005-0000-0000-0000F9C50000}"/>
    <cellStyle name="Normal 8 2 6 2" xfId="50789" xr:uid="{00000000-0005-0000-0000-0000FAC50000}"/>
    <cellStyle name="Normal 8 2 6 3" xfId="50790" xr:uid="{00000000-0005-0000-0000-0000FBC50000}"/>
    <cellStyle name="Normal 8 2 7" xfId="50791" xr:uid="{00000000-0005-0000-0000-0000FCC50000}"/>
    <cellStyle name="Normal 8 2 7 2" xfId="50792" xr:uid="{00000000-0005-0000-0000-0000FDC50000}"/>
    <cellStyle name="Normal 8 2 7 3" xfId="50793" xr:uid="{00000000-0005-0000-0000-0000FEC50000}"/>
    <cellStyle name="Normal 8 2 8" xfId="50794" xr:uid="{00000000-0005-0000-0000-0000FFC50000}"/>
    <cellStyle name="Normal 8 2 8 2" xfId="50795" xr:uid="{00000000-0005-0000-0000-000000C60000}"/>
    <cellStyle name="Normal 8 2 8 3" xfId="50796" xr:uid="{00000000-0005-0000-0000-000001C60000}"/>
    <cellStyle name="Normal 8 2 9" xfId="50797" xr:uid="{00000000-0005-0000-0000-000002C60000}"/>
    <cellStyle name="Normal 8 2 9 2" xfId="50798" xr:uid="{00000000-0005-0000-0000-000003C60000}"/>
    <cellStyle name="Normal 8 2 9 3" xfId="50799" xr:uid="{00000000-0005-0000-0000-000004C60000}"/>
    <cellStyle name="Normal 8 2_2015 Annual Rpt" xfId="50800" xr:uid="{00000000-0005-0000-0000-000005C60000}"/>
    <cellStyle name="Normal 8 3" xfId="335" xr:uid="{00000000-0005-0000-0000-000006C60000}"/>
    <cellStyle name="Normal 8 3 10" xfId="50801" xr:uid="{00000000-0005-0000-0000-000007C60000}"/>
    <cellStyle name="Normal 8 3 11" xfId="50802" xr:uid="{00000000-0005-0000-0000-000008C60000}"/>
    <cellStyle name="Normal 8 3 2" xfId="50803" xr:uid="{00000000-0005-0000-0000-000009C60000}"/>
    <cellStyle name="Normal 8 3 2 2" xfId="50804" xr:uid="{00000000-0005-0000-0000-00000AC60000}"/>
    <cellStyle name="Normal 8 3 2 2 2" xfId="50805" xr:uid="{00000000-0005-0000-0000-00000BC60000}"/>
    <cellStyle name="Normal 8 3 2 2 2 2" xfId="50806" xr:uid="{00000000-0005-0000-0000-00000CC60000}"/>
    <cellStyle name="Normal 8 3 2 2 2 3" xfId="50807" xr:uid="{00000000-0005-0000-0000-00000DC60000}"/>
    <cellStyle name="Normal 8 3 2 2 3" xfId="50808" xr:uid="{00000000-0005-0000-0000-00000EC60000}"/>
    <cellStyle name="Normal 8 3 2 2 3 2" xfId="50809" xr:uid="{00000000-0005-0000-0000-00000FC60000}"/>
    <cellStyle name="Normal 8 3 2 2 3 3" xfId="50810" xr:uid="{00000000-0005-0000-0000-000010C60000}"/>
    <cellStyle name="Normal 8 3 2 2 4" xfId="50811" xr:uid="{00000000-0005-0000-0000-000011C60000}"/>
    <cellStyle name="Normal 8 3 2 2 5" xfId="50812" xr:uid="{00000000-0005-0000-0000-000012C60000}"/>
    <cellStyle name="Normal 8 3 2 2 6" xfId="50813" xr:uid="{00000000-0005-0000-0000-000013C60000}"/>
    <cellStyle name="Normal 8 3 2 2 7" xfId="50814" xr:uid="{00000000-0005-0000-0000-000014C60000}"/>
    <cellStyle name="Normal 8 3 2 2 8" xfId="50815" xr:uid="{00000000-0005-0000-0000-000015C60000}"/>
    <cellStyle name="Normal 8 3 2 3" xfId="50816" xr:uid="{00000000-0005-0000-0000-000016C60000}"/>
    <cellStyle name="Normal 8 3 2 3 2" xfId="50817" xr:uid="{00000000-0005-0000-0000-000017C60000}"/>
    <cellStyle name="Normal 8 3 2 3 2 2" xfId="50818" xr:uid="{00000000-0005-0000-0000-000018C60000}"/>
    <cellStyle name="Normal 8 3 2 3 2 3" xfId="50819" xr:uid="{00000000-0005-0000-0000-000019C60000}"/>
    <cellStyle name="Normal 8 3 2 3 3" xfId="50820" xr:uid="{00000000-0005-0000-0000-00001AC60000}"/>
    <cellStyle name="Normal 8 3 2 3 3 2" xfId="50821" xr:uid="{00000000-0005-0000-0000-00001BC60000}"/>
    <cellStyle name="Normal 8 3 2 3 4" xfId="50822" xr:uid="{00000000-0005-0000-0000-00001CC60000}"/>
    <cellStyle name="Normal 8 3 2 4" xfId="50823" xr:uid="{00000000-0005-0000-0000-00001DC60000}"/>
    <cellStyle name="Normal 8 3 2 4 2" xfId="50824" xr:uid="{00000000-0005-0000-0000-00001EC60000}"/>
    <cellStyle name="Normal 8 3 2 4 3" xfId="50825" xr:uid="{00000000-0005-0000-0000-00001FC60000}"/>
    <cellStyle name="Normal 8 3 2 5" xfId="50826" xr:uid="{00000000-0005-0000-0000-000020C60000}"/>
    <cellStyle name="Normal 8 3 2 6" xfId="50827" xr:uid="{00000000-0005-0000-0000-000021C60000}"/>
    <cellStyle name="Normal 8 3 2 7" xfId="50828" xr:uid="{00000000-0005-0000-0000-000022C60000}"/>
    <cellStyle name="Normal 8 3 2 8" xfId="50829" xr:uid="{00000000-0005-0000-0000-000023C60000}"/>
    <cellStyle name="Normal 8 3 2 9" xfId="50830" xr:uid="{00000000-0005-0000-0000-000024C60000}"/>
    <cellStyle name="Normal 8 3 3" xfId="50831" xr:uid="{00000000-0005-0000-0000-000025C60000}"/>
    <cellStyle name="Normal 8 3 3 2" xfId="50832" xr:uid="{00000000-0005-0000-0000-000026C60000}"/>
    <cellStyle name="Normal 8 3 3 2 2" xfId="50833" xr:uid="{00000000-0005-0000-0000-000027C60000}"/>
    <cellStyle name="Normal 8 3 3 2 3" xfId="50834" xr:uid="{00000000-0005-0000-0000-000028C60000}"/>
    <cellStyle name="Normal 8 3 3 2 4" xfId="50835" xr:uid="{00000000-0005-0000-0000-000029C60000}"/>
    <cellStyle name="Normal 8 3 3 3" xfId="50836" xr:uid="{00000000-0005-0000-0000-00002AC60000}"/>
    <cellStyle name="Normal 8 3 3 3 2" xfId="50837" xr:uid="{00000000-0005-0000-0000-00002BC60000}"/>
    <cellStyle name="Normal 8 3 3 3 3" xfId="50838" xr:uid="{00000000-0005-0000-0000-00002CC60000}"/>
    <cellStyle name="Normal 8 3 3 4" xfId="50839" xr:uid="{00000000-0005-0000-0000-00002DC60000}"/>
    <cellStyle name="Normal 8 3 3 5" xfId="50840" xr:uid="{00000000-0005-0000-0000-00002EC60000}"/>
    <cellStyle name="Normal 8 3 3 6" xfId="50841" xr:uid="{00000000-0005-0000-0000-00002FC60000}"/>
    <cellStyle name="Normal 8 3 3 7" xfId="50842" xr:uid="{00000000-0005-0000-0000-000030C60000}"/>
    <cellStyle name="Normal 8 3 3 8" xfId="50843" xr:uid="{00000000-0005-0000-0000-000031C60000}"/>
    <cellStyle name="Normal 8 3 4" xfId="50844" xr:uid="{00000000-0005-0000-0000-000032C60000}"/>
    <cellStyle name="Normal 8 3 4 2" xfId="50845" xr:uid="{00000000-0005-0000-0000-000033C60000}"/>
    <cellStyle name="Normal 8 3 4 2 2" xfId="50846" xr:uid="{00000000-0005-0000-0000-000034C60000}"/>
    <cellStyle name="Normal 8 3 4 2 3" xfId="50847" xr:uid="{00000000-0005-0000-0000-000035C60000}"/>
    <cellStyle name="Normal 8 3 4 2 4" xfId="50848" xr:uid="{00000000-0005-0000-0000-000036C60000}"/>
    <cellStyle name="Normal 8 3 4 3" xfId="50849" xr:uid="{00000000-0005-0000-0000-000037C60000}"/>
    <cellStyle name="Normal 8 3 4 4" xfId="50850" xr:uid="{00000000-0005-0000-0000-000038C60000}"/>
    <cellStyle name="Normal 8 3 4 5" xfId="50851" xr:uid="{00000000-0005-0000-0000-000039C60000}"/>
    <cellStyle name="Normal 8 3 4 6" xfId="50852" xr:uid="{00000000-0005-0000-0000-00003AC60000}"/>
    <cellStyle name="Normal 8 3 5" xfId="50853" xr:uid="{00000000-0005-0000-0000-00003BC60000}"/>
    <cellStyle name="Normal 8 3 5 2" xfId="50854" xr:uid="{00000000-0005-0000-0000-00003CC60000}"/>
    <cellStyle name="Normal 8 3 5 2 2" xfId="50855" xr:uid="{00000000-0005-0000-0000-00003DC60000}"/>
    <cellStyle name="Normal 8 3 5 3" xfId="50856" xr:uid="{00000000-0005-0000-0000-00003EC60000}"/>
    <cellStyle name="Normal 8 3 5 4" xfId="50857" xr:uid="{00000000-0005-0000-0000-00003FC60000}"/>
    <cellStyle name="Normal 8 3 5 5" xfId="50858" xr:uid="{00000000-0005-0000-0000-000040C60000}"/>
    <cellStyle name="Normal 8 3 6" xfId="50859" xr:uid="{00000000-0005-0000-0000-000041C60000}"/>
    <cellStyle name="Normal 8 3 6 2" xfId="50860" xr:uid="{00000000-0005-0000-0000-000042C60000}"/>
    <cellStyle name="Normal 8 3 6 3" xfId="50861" xr:uid="{00000000-0005-0000-0000-000043C60000}"/>
    <cellStyle name="Normal 8 3 7" xfId="50862" xr:uid="{00000000-0005-0000-0000-000044C60000}"/>
    <cellStyle name="Normal 8 3 8" xfId="50863" xr:uid="{00000000-0005-0000-0000-000045C60000}"/>
    <cellStyle name="Normal 8 3 9" xfId="50864" xr:uid="{00000000-0005-0000-0000-000046C60000}"/>
    <cellStyle name="Normal 8 3_2015 Annual Rpt" xfId="50865" xr:uid="{00000000-0005-0000-0000-000047C60000}"/>
    <cellStyle name="Normal 8 4" xfId="50866" xr:uid="{00000000-0005-0000-0000-000048C60000}"/>
    <cellStyle name="Normal 8 4 10" xfId="50867" xr:uid="{00000000-0005-0000-0000-000049C60000}"/>
    <cellStyle name="Normal 8 4 11" xfId="50868" xr:uid="{00000000-0005-0000-0000-00004AC60000}"/>
    <cellStyle name="Normal 8 4 2" xfId="50869" xr:uid="{00000000-0005-0000-0000-00004BC60000}"/>
    <cellStyle name="Normal 8 4 2 2" xfId="50870" xr:uid="{00000000-0005-0000-0000-00004CC60000}"/>
    <cellStyle name="Normal 8 4 2 3" xfId="50871" xr:uid="{00000000-0005-0000-0000-00004DC60000}"/>
    <cellStyle name="Normal 8 4 2 4" xfId="50872" xr:uid="{00000000-0005-0000-0000-00004EC60000}"/>
    <cellStyle name="Normal 8 4 2 5" xfId="50873" xr:uid="{00000000-0005-0000-0000-00004FC60000}"/>
    <cellStyle name="Normal 8 4 2_Dec monthly report" xfId="50874" xr:uid="{00000000-0005-0000-0000-000050C60000}"/>
    <cellStyle name="Normal 8 4 3" xfId="50875" xr:uid="{00000000-0005-0000-0000-000051C60000}"/>
    <cellStyle name="Normal 8 4 3 2" xfId="50876" xr:uid="{00000000-0005-0000-0000-000052C60000}"/>
    <cellStyle name="Normal 8 4 3 2 2" xfId="50877" xr:uid="{00000000-0005-0000-0000-000053C60000}"/>
    <cellStyle name="Normal 8 4 3 2 3" xfId="50878" xr:uid="{00000000-0005-0000-0000-000054C60000}"/>
    <cellStyle name="Normal 8 4 3 2 4" xfId="50879" xr:uid="{00000000-0005-0000-0000-000055C60000}"/>
    <cellStyle name="Normal 8 4 3 3" xfId="50880" xr:uid="{00000000-0005-0000-0000-000056C60000}"/>
    <cellStyle name="Normal 8 4 3 3 2" xfId="50881" xr:uid="{00000000-0005-0000-0000-000057C60000}"/>
    <cellStyle name="Normal 8 4 3 3 3" xfId="50882" xr:uid="{00000000-0005-0000-0000-000058C60000}"/>
    <cellStyle name="Normal 8 4 3 4" xfId="50883" xr:uid="{00000000-0005-0000-0000-000059C60000}"/>
    <cellStyle name="Normal 8 4 3 5" xfId="50884" xr:uid="{00000000-0005-0000-0000-00005AC60000}"/>
    <cellStyle name="Normal 8 4 3 6" xfId="50885" xr:uid="{00000000-0005-0000-0000-00005BC60000}"/>
    <cellStyle name="Normal 8 4 3 7" xfId="50886" xr:uid="{00000000-0005-0000-0000-00005CC60000}"/>
    <cellStyle name="Normal 8 4 3 8" xfId="50887" xr:uid="{00000000-0005-0000-0000-00005DC60000}"/>
    <cellStyle name="Normal 8 4 4" xfId="50888" xr:uid="{00000000-0005-0000-0000-00005EC60000}"/>
    <cellStyle name="Normal 8 4 4 2" xfId="50889" xr:uid="{00000000-0005-0000-0000-00005FC60000}"/>
    <cellStyle name="Normal 8 4 4 3" xfId="50890" xr:uid="{00000000-0005-0000-0000-000060C60000}"/>
    <cellStyle name="Normal 8 4 4 4" xfId="50891" xr:uid="{00000000-0005-0000-0000-000061C60000}"/>
    <cellStyle name="Normal 8 4 5" xfId="50892" xr:uid="{00000000-0005-0000-0000-000062C60000}"/>
    <cellStyle name="Normal 8 4 5 2" xfId="50893" xr:uid="{00000000-0005-0000-0000-000063C60000}"/>
    <cellStyle name="Normal 8 4 5 3" xfId="50894" xr:uid="{00000000-0005-0000-0000-000064C60000}"/>
    <cellStyle name="Normal 8 4 6" xfId="50895" xr:uid="{00000000-0005-0000-0000-000065C60000}"/>
    <cellStyle name="Normal 8 4 6 2" xfId="50896" xr:uid="{00000000-0005-0000-0000-000066C60000}"/>
    <cellStyle name="Normal 8 4 6 3" xfId="50897" xr:uid="{00000000-0005-0000-0000-000067C60000}"/>
    <cellStyle name="Normal 8 4 7" xfId="50898" xr:uid="{00000000-0005-0000-0000-000068C60000}"/>
    <cellStyle name="Normal 8 4 8" xfId="50899" xr:uid="{00000000-0005-0000-0000-000069C60000}"/>
    <cellStyle name="Normal 8 4 9" xfId="50900" xr:uid="{00000000-0005-0000-0000-00006AC60000}"/>
    <cellStyle name="Normal 8 5" xfId="50901" xr:uid="{00000000-0005-0000-0000-00006BC60000}"/>
    <cellStyle name="Normal 8 5 2" xfId="50902" xr:uid="{00000000-0005-0000-0000-00006CC60000}"/>
    <cellStyle name="Normal 8 5 2 2" xfId="50903" xr:uid="{00000000-0005-0000-0000-00006DC60000}"/>
    <cellStyle name="Normal 8 5 2 2 2" xfId="50904" xr:uid="{00000000-0005-0000-0000-00006EC60000}"/>
    <cellStyle name="Normal 8 5 2 2 2 2" xfId="50905" xr:uid="{00000000-0005-0000-0000-00006FC60000}"/>
    <cellStyle name="Normal 8 5 2 2 2 3" xfId="50906" xr:uid="{00000000-0005-0000-0000-000070C60000}"/>
    <cellStyle name="Normal 8 5 2 2 3" xfId="50907" xr:uid="{00000000-0005-0000-0000-000071C60000}"/>
    <cellStyle name="Normal 8 5 2 2 3 2" xfId="50908" xr:uid="{00000000-0005-0000-0000-000072C60000}"/>
    <cellStyle name="Normal 8 5 2 2 3 3" xfId="50909" xr:uid="{00000000-0005-0000-0000-000073C60000}"/>
    <cellStyle name="Normal 8 5 2 2 4" xfId="50910" xr:uid="{00000000-0005-0000-0000-000074C60000}"/>
    <cellStyle name="Normal 8 5 2 2 5" xfId="50911" xr:uid="{00000000-0005-0000-0000-000075C60000}"/>
    <cellStyle name="Normal 8 5 2 2 6" xfId="50912" xr:uid="{00000000-0005-0000-0000-000076C60000}"/>
    <cellStyle name="Normal 8 5 2 2 7" xfId="50913" xr:uid="{00000000-0005-0000-0000-000077C60000}"/>
    <cellStyle name="Normal 8 5 2 2 8" xfId="50914" xr:uid="{00000000-0005-0000-0000-000078C60000}"/>
    <cellStyle name="Normal 8 5 2 3" xfId="50915" xr:uid="{00000000-0005-0000-0000-000079C60000}"/>
    <cellStyle name="Normal 8 5 2 3 2" xfId="50916" xr:uid="{00000000-0005-0000-0000-00007AC60000}"/>
    <cellStyle name="Normal 8 5 2 3 3" xfId="50917" xr:uid="{00000000-0005-0000-0000-00007BC60000}"/>
    <cellStyle name="Normal 8 5 2 4" xfId="50918" xr:uid="{00000000-0005-0000-0000-00007CC60000}"/>
    <cellStyle name="Normal 8 5 2 4 2" xfId="50919" xr:uid="{00000000-0005-0000-0000-00007DC60000}"/>
    <cellStyle name="Normal 8 5 2 4 3" xfId="50920" xr:uid="{00000000-0005-0000-0000-00007EC60000}"/>
    <cellStyle name="Normal 8 5 2 5" xfId="50921" xr:uid="{00000000-0005-0000-0000-00007FC60000}"/>
    <cellStyle name="Normal 8 5 2 6" xfId="50922" xr:uid="{00000000-0005-0000-0000-000080C60000}"/>
    <cellStyle name="Normal 8 5 2 7" xfId="50923" xr:uid="{00000000-0005-0000-0000-000081C60000}"/>
    <cellStyle name="Normal 8 5 2 8" xfId="50924" xr:uid="{00000000-0005-0000-0000-000082C60000}"/>
    <cellStyle name="Normal 8 5 2 9" xfId="50925" xr:uid="{00000000-0005-0000-0000-000083C60000}"/>
    <cellStyle name="Normal 8 5 3" xfId="50926" xr:uid="{00000000-0005-0000-0000-000084C60000}"/>
    <cellStyle name="Normal 8 5 3 2" xfId="50927" xr:uid="{00000000-0005-0000-0000-000085C60000}"/>
    <cellStyle name="Normal 8 5 3 2 2" xfId="50928" xr:uid="{00000000-0005-0000-0000-000086C60000}"/>
    <cellStyle name="Normal 8 5 3 2 3" xfId="50929" xr:uid="{00000000-0005-0000-0000-000087C60000}"/>
    <cellStyle name="Normal 8 5 3 3" xfId="50930" xr:uid="{00000000-0005-0000-0000-000088C60000}"/>
    <cellStyle name="Normal 8 5 3 3 2" xfId="50931" xr:uid="{00000000-0005-0000-0000-000089C60000}"/>
    <cellStyle name="Normal 8 5 3 4" xfId="50932" xr:uid="{00000000-0005-0000-0000-00008AC60000}"/>
    <cellStyle name="Normal 8 5 4" xfId="50933" xr:uid="{00000000-0005-0000-0000-00008BC60000}"/>
    <cellStyle name="Normal 8 5 4 2" xfId="50934" xr:uid="{00000000-0005-0000-0000-00008CC60000}"/>
    <cellStyle name="Normal 8 5 5" xfId="50935" xr:uid="{00000000-0005-0000-0000-00008DC60000}"/>
    <cellStyle name="Normal 8 5 6" xfId="50936" xr:uid="{00000000-0005-0000-0000-00008EC60000}"/>
    <cellStyle name="Normal 8 5 7" xfId="50937" xr:uid="{00000000-0005-0000-0000-00008FC60000}"/>
    <cellStyle name="Normal 8 5 8" xfId="50938" xr:uid="{00000000-0005-0000-0000-000090C60000}"/>
    <cellStyle name="Normal 8 5_Dec monthly report" xfId="50939" xr:uid="{00000000-0005-0000-0000-000091C60000}"/>
    <cellStyle name="Normal 8 6" xfId="50940" xr:uid="{00000000-0005-0000-0000-000092C60000}"/>
    <cellStyle name="Normal 8 6 2" xfId="50941" xr:uid="{00000000-0005-0000-0000-000093C60000}"/>
    <cellStyle name="Normal 8 6 2 2" xfId="50942" xr:uid="{00000000-0005-0000-0000-000094C60000}"/>
    <cellStyle name="Normal 8 6 2 3" xfId="50943" xr:uid="{00000000-0005-0000-0000-000095C60000}"/>
    <cellStyle name="Normal 8 6 2 4" xfId="50944" xr:uid="{00000000-0005-0000-0000-000096C60000}"/>
    <cellStyle name="Normal 8 6 3" xfId="50945" xr:uid="{00000000-0005-0000-0000-000097C60000}"/>
    <cellStyle name="Normal 8 6 3 2" xfId="50946" xr:uid="{00000000-0005-0000-0000-000098C60000}"/>
    <cellStyle name="Normal 8 6 3 3" xfId="50947" xr:uid="{00000000-0005-0000-0000-000099C60000}"/>
    <cellStyle name="Normal 8 6 4" xfId="50948" xr:uid="{00000000-0005-0000-0000-00009AC60000}"/>
    <cellStyle name="Normal 8 6 5" xfId="50949" xr:uid="{00000000-0005-0000-0000-00009BC60000}"/>
    <cellStyle name="Normal 8 6 6" xfId="50950" xr:uid="{00000000-0005-0000-0000-00009CC60000}"/>
    <cellStyle name="Normal 8 6 7" xfId="50951" xr:uid="{00000000-0005-0000-0000-00009DC60000}"/>
    <cellStyle name="Normal 8 6 8" xfId="50952" xr:uid="{00000000-0005-0000-0000-00009EC60000}"/>
    <cellStyle name="Normal 8 7" xfId="50953" xr:uid="{00000000-0005-0000-0000-00009FC60000}"/>
    <cellStyle name="Normal 8 7 2" xfId="50954" xr:uid="{00000000-0005-0000-0000-0000A0C60000}"/>
    <cellStyle name="Normal 8 7 2 2" xfId="50955" xr:uid="{00000000-0005-0000-0000-0000A1C60000}"/>
    <cellStyle name="Normal 8 7 2 3" xfId="50956" xr:uid="{00000000-0005-0000-0000-0000A2C60000}"/>
    <cellStyle name="Normal 8 7 2 4" xfId="50957" xr:uid="{00000000-0005-0000-0000-0000A3C60000}"/>
    <cellStyle name="Normal 8 7 3" xfId="50958" xr:uid="{00000000-0005-0000-0000-0000A4C60000}"/>
    <cellStyle name="Normal 8 7 3 2" xfId="50959" xr:uid="{00000000-0005-0000-0000-0000A5C60000}"/>
    <cellStyle name="Normal 8 7 3 3" xfId="50960" xr:uid="{00000000-0005-0000-0000-0000A6C60000}"/>
    <cellStyle name="Normal 8 7 4" xfId="50961" xr:uid="{00000000-0005-0000-0000-0000A7C60000}"/>
    <cellStyle name="Normal 8 7 5" xfId="50962" xr:uid="{00000000-0005-0000-0000-0000A8C60000}"/>
    <cellStyle name="Normal 8 7 6" xfId="50963" xr:uid="{00000000-0005-0000-0000-0000A9C60000}"/>
    <cellStyle name="Normal 8 7 7" xfId="50964" xr:uid="{00000000-0005-0000-0000-0000AAC60000}"/>
    <cellStyle name="Normal 8 7 8" xfId="50965" xr:uid="{00000000-0005-0000-0000-0000ABC60000}"/>
    <cellStyle name="Normal 8 8" xfId="50966" xr:uid="{00000000-0005-0000-0000-0000ACC60000}"/>
    <cellStyle name="Normal 8 8 2" xfId="50967" xr:uid="{00000000-0005-0000-0000-0000ADC60000}"/>
    <cellStyle name="Normal 8 8 2 2" xfId="50968" xr:uid="{00000000-0005-0000-0000-0000AEC60000}"/>
    <cellStyle name="Normal 8 8 2 3" xfId="50969" xr:uid="{00000000-0005-0000-0000-0000AFC60000}"/>
    <cellStyle name="Normal 8 8 2 4" xfId="50970" xr:uid="{00000000-0005-0000-0000-0000B0C60000}"/>
    <cellStyle name="Normal 8 8 3" xfId="50971" xr:uid="{00000000-0005-0000-0000-0000B1C60000}"/>
    <cellStyle name="Normal 8 8 4" xfId="50972" xr:uid="{00000000-0005-0000-0000-0000B2C60000}"/>
    <cellStyle name="Normal 8 8 5" xfId="50973" xr:uid="{00000000-0005-0000-0000-0000B3C60000}"/>
    <cellStyle name="Normal 8 8 6" xfId="50974" xr:uid="{00000000-0005-0000-0000-0000B4C60000}"/>
    <cellStyle name="Normal 8 9" xfId="50975" xr:uid="{00000000-0005-0000-0000-0000B5C60000}"/>
    <cellStyle name="Normal 8 9 2" xfId="50976" xr:uid="{00000000-0005-0000-0000-0000B6C60000}"/>
    <cellStyle name="Normal 8 9 3" xfId="50977" xr:uid="{00000000-0005-0000-0000-0000B7C60000}"/>
    <cellStyle name="Normal 8_2015 Annual Rpt" xfId="50978" xr:uid="{00000000-0005-0000-0000-0000B8C60000}"/>
    <cellStyle name="Normal 80" xfId="50979" xr:uid="{00000000-0005-0000-0000-0000B9C60000}"/>
    <cellStyle name="Normal 80 10" xfId="50980" xr:uid="{00000000-0005-0000-0000-0000BAC60000}"/>
    <cellStyle name="Normal 80 11" xfId="50981" xr:uid="{00000000-0005-0000-0000-0000BBC60000}"/>
    <cellStyle name="Normal 80 12" xfId="50982" xr:uid="{00000000-0005-0000-0000-0000BCC60000}"/>
    <cellStyle name="Normal 80 2" xfId="50983" xr:uid="{00000000-0005-0000-0000-0000BDC60000}"/>
    <cellStyle name="Normal 80 2 2" xfId="50984" xr:uid="{00000000-0005-0000-0000-0000BEC60000}"/>
    <cellStyle name="Normal 80 2 2 2" xfId="50985" xr:uid="{00000000-0005-0000-0000-0000BFC60000}"/>
    <cellStyle name="Normal 80 2 3" xfId="50986" xr:uid="{00000000-0005-0000-0000-0000C0C60000}"/>
    <cellStyle name="Normal 80 2 3 2" xfId="50987" xr:uid="{00000000-0005-0000-0000-0000C1C60000}"/>
    <cellStyle name="Normal 80 2 3 3" xfId="50988" xr:uid="{00000000-0005-0000-0000-0000C2C60000}"/>
    <cellStyle name="Normal 80 2 4" xfId="50989" xr:uid="{00000000-0005-0000-0000-0000C3C60000}"/>
    <cellStyle name="Normal 80 2 4 2" xfId="50990" xr:uid="{00000000-0005-0000-0000-0000C4C60000}"/>
    <cellStyle name="Normal 80 2 5" xfId="50991" xr:uid="{00000000-0005-0000-0000-0000C5C60000}"/>
    <cellStyle name="Normal 80 2 6" xfId="50992" xr:uid="{00000000-0005-0000-0000-0000C6C60000}"/>
    <cellStyle name="Normal 80 2 7" xfId="50993" xr:uid="{00000000-0005-0000-0000-0000C7C60000}"/>
    <cellStyle name="Normal 80 2 8" xfId="50994" xr:uid="{00000000-0005-0000-0000-0000C8C60000}"/>
    <cellStyle name="Normal 80 2 9" xfId="50995" xr:uid="{00000000-0005-0000-0000-0000C9C60000}"/>
    <cellStyle name="Normal 80 3" xfId="50996" xr:uid="{00000000-0005-0000-0000-0000CAC60000}"/>
    <cellStyle name="Normal 80 3 2" xfId="50997" xr:uid="{00000000-0005-0000-0000-0000CBC60000}"/>
    <cellStyle name="Normal 80 3 2 2" xfId="50998" xr:uid="{00000000-0005-0000-0000-0000CCC60000}"/>
    <cellStyle name="Normal 80 3 3" xfId="50999" xr:uid="{00000000-0005-0000-0000-0000CDC60000}"/>
    <cellStyle name="Normal 80 3 3 2" xfId="51000" xr:uid="{00000000-0005-0000-0000-0000CEC60000}"/>
    <cellStyle name="Normal 80 3 4" xfId="51001" xr:uid="{00000000-0005-0000-0000-0000CFC60000}"/>
    <cellStyle name="Normal 80 3 5" xfId="51002" xr:uid="{00000000-0005-0000-0000-0000D0C60000}"/>
    <cellStyle name="Normal 80 3 6" xfId="51003" xr:uid="{00000000-0005-0000-0000-0000D1C60000}"/>
    <cellStyle name="Normal 80 3 7" xfId="51004" xr:uid="{00000000-0005-0000-0000-0000D2C60000}"/>
    <cellStyle name="Normal 80 3 8" xfId="51005" xr:uid="{00000000-0005-0000-0000-0000D3C60000}"/>
    <cellStyle name="Normal 80 4" xfId="51006" xr:uid="{00000000-0005-0000-0000-0000D4C60000}"/>
    <cellStyle name="Normal 80 4 2" xfId="51007" xr:uid="{00000000-0005-0000-0000-0000D5C60000}"/>
    <cellStyle name="Normal 80 4 2 2" xfId="51008" xr:uid="{00000000-0005-0000-0000-0000D6C60000}"/>
    <cellStyle name="Normal 80 4 3" xfId="51009" xr:uid="{00000000-0005-0000-0000-0000D7C60000}"/>
    <cellStyle name="Normal 80 4 3 2" xfId="51010" xr:uid="{00000000-0005-0000-0000-0000D8C60000}"/>
    <cellStyle name="Normal 80 4 4" xfId="51011" xr:uid="{00000000-0005-0000-0000-0000D9C60000}"/>
    <cellStyle name="Normal 80 4 5" xfId="51012" xr:uid="{00000000-0005-0000-0000-0000DAC60000}"/>
    <cellStyle name="Normal 80 4 6" xfId="51013" xr:uid="{00000000-0005-0000-0000-0000DBC60000}"/>
    <cellStyle name="Normal 80 4 7" xfId="51014" xr:uid="{00000000-0005-0000-0000-0000DCC60000}"/>
    <cellStyle name="Normal 80 4 8" xfId="51015" xr:uid="{00000000-0005-0000-0000-0000DDC60000}"/>
    <cellStyle name="Normal 80 5" xfId="51016" xr:uid="{00000000-0005-0000-0000-0000DEC60000}"/>
    <cellStyle name="Normal 80 6" xfId="51017" xr:uid="{00000000-0005-0000-0000-0000DFC60000}"/>
    <cellStyle name="Normal 80 6 2" xfId="51018" xr:uid="{00000000-0005-0000-0000-0000E0C60000}"/>
    <cellStyle name="Normal 80 7" xfId="51019" xr:uid="{00000000-0005-0000-0000-0000E1C60000}"/>
    <cellStyle name="Normal 80 7 2" xfId="51020" xr:uid="{00000000-0005-0000-0000-0000E2C60000}"/>
    <cellStyle name="Normal 80 8" xfId="51021" xr:uid="{00000000-0005-0000-0000-0000E3C60000}"/>
    <cellStyle name="Normal 80 8 2" xfId="51022" xr:uid="{00000000-0005-0000-0000-0000E4C60000}"/>
    <cellStyle name="Normal 80 9" xfId="51023" xr:uid="{00000000-0005-0000-0000-0000E5C60000}"/>
    <cellStyle name="Normal 81" xfId="51024" xr:uid="{00000000-0005-0000-0000-0000E6C60000}"/>
    <cellStyle name="Normal 81 10" xfId="51025" xr:uid="{00000000-0005-0000-0000-0000E7C60000}"/>
    <cellStyle name="Normal 81 11" xfId="51026" xr:uid="{00000000-0005-0000-0000-0000E8C60000}"/>
    <cellStyle name="Normal 81 12" xfId="51027" xr:uid="{00000000-0005-0000-0000-0000E9C60000}"/>
    <cellStyle name="Normal 81 2" xfId="51028" xr:uid="{00000000-0005-0000-0000-0000EAC60000}"/>
    <cellStyle name="Normal 81 2 2" xfId="51029" xr:uid="{00000000-0005-0000-0000-0000EBC60000}"/>
    <cellStyle name="Normal 81 2 2 2" xfId="51030" xr:uid="{00000000-0005-0000-0000-0000ECC60000}"/>
    <cellStyle name="Normal 81 2 3" xfId="51031" xr:uid="{00000000-0005-0000-0000-0000EDC60000}"/>
    <cellStyle name="Normal 81 2 3 2" xfId="51032" xr:uid="{00000000-0005-0000-0000-0000EEC60000}"/>
    <cellStyle name="Normal 81 2 3 3" xfId="51033" xr:uid="{00000000-0005-0000-0000-0000EFC60000}"/>
    <cellStyle name="Normal 81 2 4" xfId="51034" xr:uid="{00000000-0005-0000-0000-0000F0C60000}"/>
    <cellStyle name="Normal 81 2 4 2" xfId="51035" xr:uid="{00000000-0005-0000-0000-0000F1C60000}"/>
    <cellStyle name="Normal 81 2 5" xfId="51036" xr:uid="{00000000-0005-0000-0000-0000F2C60000}"/>
    <cellStyle name="Normal 81 2 6" xfId="51037" xr:uid="{00000000-0005-0000-0000-0000F3C60000}"/>
    <cellStyle name="Normal 81 2 7" xfId="51038" xr:uid="{00000000-0005-0000-0000-0000F4C60000}"/>
    <cellStyle name="Normal 81 2 8" xfId="51039" xr:uid="{00000000-0005-0000-0000-0000F5C60000}"/>
    <cellStyle name="Normal 81 2 9" xfId="51040" xr:uid="{00000000-0005-0000-0000-0000F6C60000}"/>
    <cellStyle name="Normal 81 3" xfId="51041" xr:uid="{00000000-0005-0000-0000-0000F7C60000}"/>
    <cellStyle name="Normal 81 3 2" xfId="51042" xr:uid="{00000000-0005-0000-0000-0000F8C60000}"/>
    <cellStyle name="Normal 81 3 2 2" xfId="51043" xr:uid="{00000000-0005-0000-0000-0000F9C60000}"/>
    <cellStyle name="Normal 81 3 3" xfId="51044" xr:uid="{00000000-0005-0000-0000-0000FAC60000}"/>
    <cellStyle name="Normal 81 3 3 2" xfId="51045" xr:uid="{00000000-0005-0000-0000-0000FBC60000}"/>
    <cellStyle name="Normal 81 3 4" xfId="51046" xr:uid="{00000000-0005-0000-0000-0000FCC60000}"/>
    <cellStyle name="Normal 81 3 5" xfId="51047" xr:uid="{00000000-0005-0000-0000-0000FDC60000}"/>
    <cellStyle name="Normal 81 3 6" xfId="51048" xr:uid="{00000000-0005-0000-0000-0000FEC60000}"/>
    <cellStyle name="Normal 81 3 7" xfId="51049" xr:uid="{00000000-0005-0000-0000-0000FFC60000}"/>
    <cellStyle name="Normal 81 3 8" xfId="51050" xr:uid="{00000000-0005-0000-0000-000000C70000}"/>
    <cellStyle name="Normal 81 4" xfId="51051" xr:uid="{00000000-0005-0000-0000-000001C70000}"/>
    <cellStyle name="Normal 81 4 2" xfId="51052" xr:uid="{00000000-0005-0000-0000-000002C70000}"/>
    <cellStyle name="Normal 81 4 2 2" xfId="51053" xr:uid="{00000000-0005-0000-0000-000003C70000}"/>
    <cellStyle name="Normal 81 4 3" xfId="51054" xr:uid="{00000000-0005-0000-0000-000004C70000}"/>
    <cellStyle name="Normal 81 4 3 2" xfId="51055" xr:uid="{00000000-0005-0000-0000-000005C70000}"/>
    <cellStyle name="Normal 81 4 4" xfId="51056" xr:uid="{00000000-0005-0000-0000-000006C70000}"/>
    <cellStyle name="Normal 81 4 5" xfId="51057" xr:uid="{00000000-0005-0000-0000-000007C70000}"/>
    <cellStyle name="Normal 81 4 6" xfId="51058" xr:uid="{00000000-0005-0000-0000-000008C70000}"/>
    <cellStyle name="Normal 81 4 7" xfId="51059" xr:uid="{00000000-0005-0000-0000-000009C70000}"/>
    <cellStyle name="Normal 81 4 8" xfId="51060" xr:uid="{00000000-0005-0000-0000-00000AC70000}"/>
    <cellStyle name="Normal 81 5" xfId="51061" xr:uid="{00000000-0005-0000-0000-00000BC70000}"/>
    <cellStyle name="Normal 81 6" xfId="51062" xr:uid="{00000000-0005-0000-0000-00000CC70000}"/>
    <cellStyle name="Normal 81 6 2" xfId="51063" xr:uid="{00000000-0005-0000-0000-00000DC70000}"/>
    <cellStyle name="Normal 81 7" xfId="51064" xr:uid="{00000000-0005-0000-0000-00000EC70000}"/>
    <cellStyle name="Normal 81 7 2" xfId="51065" xr:uid="{00000000-0005-0000-0000-00000FC70000}"/>
    <cellStyle name="Normal 81 8" xfId="51066" xr:uid="{00000000-0005-0000-0000-000010C70000}"/>
    <cellStyle name="Normal 81 8 2" xfId="51067" xr:uid="{00000000-0005-0000-0000-000011C70000}"/>
    <cellStyle name="Normal 81 9" xfId="51068" xr:uid="{00000000-0005-0000-0000-000012C70000}"/>
    <cellStyle name="Normal 82" xfId="51069" xr:uid="{00000000-0005-0000-0000-000013C70000}"/>
    <cellStyle name="Normal 82 10" xfId="51070" xr:uid="{00000000-0005-0000-0000-000014C70000}"/>
    <cellStyle name="Normal 82 11" xfId="51071" xr:uid="{00000000-0005-0000-0000-000015C70000}"/>
    <cellStyle name="Normal 82 12" xfId="51072" xr:uid="{00000000-0005-0000-0000-000016C70000}"/>
    <cellStyle name="Normal 82 2" xfId="51073" xr:uid="{00000000-0005-0000-0000-000017C70000}"/>
    <cellStyle name="Normal 82 2 2" xfId="51074" xr:uid="{00000000-0005-0000-0000-000018C70000}"/>
    <cellStyle name="Normal 82 2 2 2" xfId="51075" xr:uid="{00000000-0005-0000-0000-000019C70000}"/>
    <cellStyle name="Normal 82 2 3" xfId="51076" xr:uid="{00000000-0005-0000-0000-00001AC70000}"/>
    <cellStyle name="Normal 82 2 3 2" xfId="51077" xr:uid="{00000000-0005-0000-0000-00001BC70000}"/>
    <cellStyle name="Normal 82 2 3 3" xfId="51078" xr:uid="{00000000-0005-0000-0000-00001CC70000}"/>
    <cellStyle name="Normal 82 2 4" xfId="51079" xr:uid="{00000000-0005-0000-0000-00001DC70000}"/>
    <cellStyle name="Normal 82 2 4 2" xfId="51080" xr:uid="{00000000-0005-0000-0000-00001EC70000}"/>
    <cellStyle name="Normal 82 2 5" xfId="51081" xr:uid="{00000000-0005-0000-0000-00001FC70000}"/>
    <cellStyle name="Normal 82 2 6" xfId="51082" xr:uid="{00000000-0005-0000-0000-000020C70000}"/>
    <cellStyle name="Normal 82 2 7" xfId="51083" xr:uid="{00000000-0005-0000-0000-000021C70000}"/>
    <cellStyle name="Normal 82 2 8" xfId="51084" xr:uid="{00000000-0005-0000-0000-000022C70000}"/>
    <cellStyle name="Normal 82 2 9" xfId="51085" xr:uid="{00000000-0005-0000-0000-000023C70000}"/>
    <cellStyle name="Normal 82 3" xfId="51086" xr:uid="{00000000-0005-0000-0000-000024C70000}"/>
    <cellStyle name="Normal 82 3 2" xfId="51087" xr:uid="{00000000-0005-0000-0000-000025C70000}"/>
    <cellStyle name="Normal 82 3 2 2" xfId="51088" xr:uid="{00000000-0005-0000-0000-000026C70000}"/>
    <cellStyle name="Normal 82 3 3" xfId="51089" xr:uid="{00000000-0005-0000-0000-000027C70000}"/>
    <cellStyle name="Normal 82 3 3 2" xfId="51090" xr:uid="{00000000-0005-0000-0000-000028C70000}"/>
    <cellStyle name="Normal 82 3 4" xfId="51091" xr:uid="{00000000-0005-0000-0000-000029C70000}"/>
    <cellStyle name="Normal 82 3 5" xfId="51092" xr:uid="{00000000-0005-0000-0000-00002AC70000}"/>
    <cellStyle name="Normal 82 3 6" xfId="51093" xr:uid="{00000000-0005-0000-0000-00002BC70000}"/>
    <cellStyle name="Normal 82 3 7" xfId="51094" xr:uid="{00000000-0005-0000-0000-00002CC70000}"/>
    <cellStyle name="Normal 82 3 8" xfId="51095" xr:uid="{00000000-0005-0000-0000-00002DC70000}"/>
    <cellStyle name="Normal 82 4" xfId="51096" xr:uid="{00000000-0005-0000-0000-00002EC70000}"/>
    <cellStyle name="Normal 82 4 2" xfId="51097" xr:uid="{00000000-0005-0000-0000-00002FC70000}"/>
    <cellStyle name="Normal 82 4 2 2" xfId="51098" xr:uid="{00000000-0005-0000-0000-000030C70000}"/>
    <cellStyle name="Normal 82 4 3" xfId="51099" xr:uid="{00000000-0005-0000-0000-000031C70000}"/>
    <cellStyle name="Normal 82 4 3 2" xfId="51100" xr:uid="{00000000-0005-0000-0000-000032C70000}"/>
    <cellStyle name="Normal 82 4 4" xfId="51101" xr:uid="{00000000-0005-0000-0000-000033C70000}"/>
    <cellStyle name="Normal 82 4 5" xfId="51102" xr:uid="{00000000-0005-0000-0000-000034C70000}"/>
    <cellStyle name="Normal 82 4 6" xfId="51103" xr:uid="{00000000-0005-0000-0000-000035C70000}"/>
    <cellStyle name="Normal 82 4 7" xfId="51104" xr:uid="{00000000-0005-0000-0000-000036C70000}"/>
    <cellStyle name="Normal 82 4 8" xfId="51105" xr:uid="{00000000-0005-0000-0000-000037C70000}"/>
    <cellStyle name="Normal 82 5" xfId="51106" xr:uid="{00000000-0005-0000-0000-000038C70000}"/>
    <cellStyle name="Normal 82 6" xfId="51107" xr:uid="{00000000-0005-0000-0000-000039C70000}"/>
    <cellStyle name="Normal 82 6 2" xfId="51108" xr:uid="{00000000-0005-0000-0000-00003AC70000}"/>
    <cellStyle name="Normal 82 7" xfId="51109" xr:uid="{00000000-0005-0000-0000-00003BC70000}"/>
    <cellStyle name="Normal 82 7 2" xfId="51110" xr:uid="{00000000-0005-0000-0000-00003CC70000}"/>
    <cellStyle name="Normal 82 8" xfId="51111" xr:uid="{00000000-0005-0000-0000-00003DC70000}"/>
    <cellStyle name="Normal 82 8 2" xfId="51112" xr:uid="{00000000-0005-0000-0000-00003EC70000}"/>
    <cellStyle name="Normal 82 9" xfId="51113" xr:uid="{00000000-0005-0000-0000-00003FC70000}"/>
    <cellStyle name="Normal 83" xfId="51114" xr:uid="{00000000-0005-0000-0000-000040C70000}"/>
    <cellStyle name="Normal 83 10" xfId="51115" xr:uid="{00000000-0005-0000-0000-000041C70000}"/>
    <cellStyle name="Normal 83 11" xfId="51116" xr:uid="{00000000-0005-0000-0000-000042C70000}"/>
    <cellStyle name="Normal 83 12" xfId="51117" xr:uid="{00000000-0005-0000-0000-000043C70000}"/>
    <cellStyle name="Normal 83 2" xfId="51118" xr:uid="{00000000-0005-0000-0000-000044C70000}"/>
    <cellStyle name="Normal 83 2 2" xfId="51119" xr:uid="{00000000-0005-0000-0000-000045C70000}"/>
    <cellStyle name="Normal 83 2 2 2" xfId="51120" xr:uid="{00000000-0005-0000-0000-000046C70000}"/>
    <cellStyle name="Normal 83 2 3" xfId="51121" xr:uid="{00000000-0005-0000-0000-000047C70000}"/>
    <cellStyle name="Normal 83 2 3 2" xfId="51122" xr:uid="{00000000-0005-0000-0000-000048C70000}"/>
    <cellStyle name="Normal 83 2 3 3" xfId="51123" xr:uid="{00000000-0005-0000-0000-000049C70000}"/>
    <cellStyle name="Normal 83 2 4" xfId="51124" xr:uid="{00000000-0005-0000-0000-00004AC70000}"/>
    <cellStyle name="Normal 83 2 4 2" xfId="51125" xr:uid="{00000000-0005-0000-0000-00004BC70000}"/>
    <cellStyle name="Normal 83 2 5" xfId="51126" xr:uid="{00000000-0005-0000-0000-00004CC70000}"/>
    <cellStyle name="Normal 83 2 6" xfId="51127" xr:uid="{00000000-0005-0000-0000-00004DC70000}"/>
    <cellStyle name="Normal 83 2 7" xfId="51128" xr:uid="{00000000-0005-0000-0000-00004EC70000}"/>
    <cellStyle name="Normal 83 2 8" xfId="51129" xr:uid="{00000000-0005-0000-0000-00004FC70000}"/>
    <cellStyle name="Normal 83 2 9" xfId="51130" xr:uid="{00000000-0005-0000-0000-000050C70000}"/>
    <cellStyle name="Normal 83 3" xfId="51131" xr:uid="{00000000-0005-0000-0000-000051C70000}"/>
    <cellStyle name="Normal 83 3 2" xfId="51132" xr:uid="{00000000-0005-0000-0000-000052C70000}"/>
    <cellStyle name="Normal 83 3 2 2" xfId="51133" xr:uid="{00000000-0005-0000-0000-000053C70000}"/>
    <cellStyle name="Normal 83 3 3" xfId="51134" xr:uid="{00000000-0005-0000-0000-000054C70000}"/>
    <cellStyle name="Normal 83 3 3 2" xfId="51135" xr:uid="{00000000-0005-0000-0000-000055C70000}"/>
    <cellStyle name="Normal 83 3 4" xfId="51136" xr:uid="{00000000-0005-0000-0000-000056C70000}"/>
    <cellStyle name="Normal 83 3 5" xfId="51137" xr:uid="{00000000-0005-0000-0000-000057C70000}"/>
    <cellStyle name="Normal 83 3 6" xfId="51138" xr:uid="{00000000-0005-0000-0000-000058C70000}"/>
    <cellStyle name="Normal 83 3 7" xfId="51139" xr:uid="{00000000-0005-0000-0000-000059C70000}"/>
    <cellStyle name="Normal 83 3 8" xfId="51140" xr:uid="{00000000-0005-0000-0000-00005AC70000}"/>
    <cellStyle name="Normal 83 4" xfId="51141" xr:uid="{00000000-0005-0000-0000-00005BC70000}"/>
    <cellStyle name="Normal 83 4 2" xfId="51142" xr:uid="{00000000-0005-0000-0000-00005CC70000}"/>
    <cellStyle name="Normal 83 4 2 2" xfId="51143" xr:uid="{00000000-0005-0000-0000-00005DC70000}"/>
    <cellStyle name="Normal 83 4 3" xfId="51144" xr:uid="{00000000-0005-0000-0000-00005EC70000}"/>
    <cellStyle name="Normal 83 4 3 2" xfId="51145" xr:uid="{00000000-0005-0000-0000-00005FC70000}"/>
    <cellStyle name="Normal 83 4 4" xfId="51146" xr:uid="{00000000-0005-0000-0000-000060C70000}"/>
    <cellStyle name="Normal 83 4 5" xfId="51147" xr:uid="{00000000-0005-0000-0000-000061C70000}"/>
    <cellStyle name="Normal 83 4 6" xfId="51148" xr:uid="{00000000-0005-0000-0000-000062C70000}"/>
    <cellStyle name="Normal 83 4 7" xfId="51149" xr:uid="{00000000-0005-0000-0000-000063C70000}"/>
    <cellStyle name="Normal 83 4 8" xfId="51150" xr:uid="{00000000-0005-0000-0000-000064C70000}"/>
    <cellStyle name="Normal 83 5" xfId="51151" xr:uid="{00000000-0005-0000-0000-000065C70000}"/>
    <cellStyle name="Normal 83 6" xfId="51152" xr:uid="{00000000-0005-0000-0000-000066C70000}"/>
    <cellStyle name="Normal 83 6 2" xfId="51153" xr:uid="{00000000-0005-0000-0000-000067C70000}"/>
    <cellStyle name="Normal 83 7" xfId="51154" xr:uid="{00000000-0005-0000-0000-000068C70000}"/>
    <cellStyle name="Normal 83 7 2" xfId="51155" xr:uid="{00000000-0005-0000-0000-000069C70000}"/>
    <cellStyle name="Normal 83 8" xfId="51156" xr:uid="{00000000-0005-0000-0000-00006AC70000}"/>
    <cellStyle name="Normal 83 8 2" xfId="51157" xr:uid="{00000000-0005-0000-0000-00006BC70000}"/>
    <cellStyle name="Normal 83 9" xfId="51158" xr:uid="{00000000-0005-0000-0000-00006CC70000}"/>
    <cellStyle name="Normal 84" xfId="51159" xr:uid="{00000000-0005-0000-0000-00006DC70000}"/>
    <cellStyle name="Normal 84 10" xfId="51160" xr:uid="{00000000-0005-0000-0000-00006EC70000}"/>
    <cellStyle name="Normal 84 11" xfId="51161" xr:uid="{00000000-0005-0000-0000-00006FC70000}"/>
    <cellStyle name="Normal 84 12" xfId="51162" xr:uid="{00000000-0005-0000-0000-000070C70000}"/>
    <cellStyle name="Normal 84 2" xfId="51163" xr:uid="{00000000-0005-0000-0000-000071C70000}"/>
    <cellStyle name="Normal 84 2 2" xfId="51164" xr:uid="{00000000-0005-0000-0000-000072C70000}"/>
    <cellStyle name="Normal 84 2 2 2" xfId="51165" xr:uid="{00000000-0005-0000-0000-000073C70000}"/>
    <cellStyle name="Normal 84 2 3" xfId="51166" xr:uid="{00000000-0005-0000-0000-000074C70000}"/>
    <cellStyle name="Normal 84 2 3 2" xfId="51167" xr:uid="{00000000-0005-0000-0000-000075C70000}"/>
    <cellStyle name="Normal 84 2 3 3" xfId="51168" xr:uid="{00000000-0005-0000-0000-000076C70000}"/>
    <cellStyle name="Normal 84 2 4" xfId="51169" xr:uid="{00000000-0005-0000-0000-000077C70000}"/>
    <cellStyle name="Normal 84 2 4 2" xfId="51170" xr:uid="{00000000-0005-0000-0000-000078C70000}"/>
    <cellStyle name="Normal 84 2 5" xfId="51171" xr:uid="{00000000-0005-0000-0000-000079C70000}"/>
    <cellStyle name="Normal 84 2 6" xfId="51172" xr:uid="{00000000-0005-0000-0000-00007AC70000}"/>
    <cellStyle name="Normal 84 2 7" xfId="51173" xr:uid="{00000000-0005-0000-0000-00007BC70000}"/>
    <cellStyle name="Normal 84 2 8" xfId="51174" xr:uid="{00000000-0005-0000-0000-00007CC70000}"/>
    <cellStyle name="Normal 84 2 9" xfId="51175" xr:uid="{00000000-0005-0000-0000-00007DC70000}"/>
    <cellStyle name="Normal 84 3" xfId="51176" xr:uid="{00000000-0005-0000-0000-00007EC70000}"/>
    <cellStyle name="Normal 84 3 2" xfId="51177" xr:uid="{00000000-0005-0000-0000-00007FC70000}"/>
    <cellStyle name="Normal 84 3 2 2" xfId="51178" xr:uid="{00000000-0005-0000-0000-000080C70000}"/>
    <cellStyle name="Normal 84 3 3" xfId="51179" xr:uid="{00000000-0005-0000-0000-000081C70000}"/>
    <cellStyle name="Normal 84 3 3 2" xfId="51180" xr:uid="{00000000-0005-0000-0000-000082C70000}"/>
    <cellStyle name="Normal 84 3 4" xfId="51181" xr:uid="{00000000-0005-0000-0000-000083C70000}"/>
    <cellStyle name="Normal 84 3 5" xfId="51182" xr:uid="{00000000-0005-0000-0000-000084C70000}"/>
    <cellStyle name="Normal 84 3 6" xfId="51183" xr:uid="{00000000-0005-0000-0000-000085C70000}"/>
    <cellStyle name="Normal 84 3 7" xfId="51184" xr:uid="{00000000-0005-0000-0000-000086C70000}"/>
    <cellStyle name="Normal 84 3 8" xfId="51185" xr:uid="{00000000-0005-0000-0000-000087C70000}"/>
    <cellStyle name="Normal 84 4" xfId="51186" xr:uid="{00000000-0005-0000-0000-000088C70000}"/>
    <cellStyle name="Normal 84 4 2" xfId="51187" xr:uid="{00000000-0005-0000-0000-000089C70000}"/>
    <cellStyle name="Normal 84 4 2 2" xfId="51188" xr:uid="{00000000-0005-0000-0000-00008AC70000}"/>
    <cellStyle name="Normal 84 4 3" xfId="51189" xr:uid="{00000000-0005-0000-0000-00008BC70000}"/>
    <cellStyle name="Normal 84 4 3 2" xfId="51190" xr:uid="{00000000-0005-0000-0000-00008CC70000}"/>
    <cellStyle name="Normal 84 4 4" xfId="51191" xr:uid="{00000000-0005-0000-0000-00008DC70000}"/>
    <cellStyle name="Normal 84 4 5" xfId="51192" xr:uid="{00000000-0005-0000-0000-00008EC70000}"/>
    <cellStyle name="Normal 84 4 6" xfId="51193" xr:uid="{00000000-0005-0000-0000-00008FC70000}"/>
    <cellStyle name="Normal 84 4 7" xfId="51194" xr:uid="{00000000-0005-0000-0000-000090C70000}"/>
    <cellStyle name="Normal 84 4 8" xfId="51195" xr:uid="{00000000-0005-0000-0000-000091C70000}"/>
    <cellStyle name="Normal 84 5" xfId="51196" xr:uid="{00000000-0005-0000-0000-000092C70000}"/>
    <cellStyle name="Normal 84 6" xfId="51197" xr:uid="{00000000-0005-0000-0000-000093C70000}"/>
    <cellStyle name="Normal 84 6 2" xfId="51198" xr:uid="{00000000-0005-0000-0000-000094C70000}"/>
    <cellStyle name="Normal 84 7" xfId="51199" xr:uid="{00000000-0005-0000-0000-000095C70000}"/>
    <cellStyle name="Normal 84 7 2" xfId="51200" xr:uid="{00000000-0005-0000-0000-000096C70000}"/>
    <cellStyle name="Normal 84 8" xfId="51201" xr:uid="{00000000-0005-0000-0000-000097C70000}"/>
    <cellStyle name="Normal 84 8 2" xfId="51202" xr:uid="{00000000-0005-0000-0000-000098C70000}"/>
    <cellStyle name="Normal 84 9" xfId="51203" xr:uid="{00000000-0005-0000-0000-000099C70000}"/>
    <cellStyle name="Normal 85" xfId="51204" xr:uid="{00000000-0005-0000-0000-00009AC70000}"/>
    <cellStyle name="Normal 85 10" xfId="51205" xr:uid="{00000000-0005-0000-0000-00009BC70000}"/>
    <cellStyle name="Normal 85 11" xfId="51206" xr:uid="{00000000-0005-0000-0000-00009CC70000}"/>
    <cellStyle name="Normal 85 12" xfId="51207" xr:uid="{00000000-0005-0000-0000-00009DC70000}"/>
    <cellStyle name="Normal 85 2" xfId="51208" xr:uid="{00000000-0005-0000-0000-00009EC70000}"/>
    <cellStyle name="Normal 85 2 2" xfId="51209" xr:uid="{00000000-0005-0000-0000-00009FC70000}"/>
    <cellStyle name="Normal 85 2 2 2" xfId="51210" xr:uid="{00000000-0005-0000-0000-0000A0C70000}"/>
    <cellStyle name="Normal 85 2 3" xfId="51211" xr:uid="{00000000-0005-0000-0000-0000A1C70000}"/>
    <cellStyle name="Normal 85 2 3 2" xfId="51212" xr:uid="{00000000-0005-0000-0000-0000A2C70000}"/>
    <cellStyle name="Normal 85 2 3 3" xfId="51213" xr:uid="{00000000-0005-0000-0000-0000A3C70000}"/>
    <cellStyle name="Normal 85 2 4" xfId="51214" xr:uid="{00000000-0005-0000-0000-0000A4C70000}"/>
    <cellStyle name="Normal 85 2 4 2" xfId="51215" xr:uid="{00000000-0005-0000-0000-0000A5C70000}"/>
    <cellStyle name="Normal 85 2 5" xfId="51216" xr:uid="{00000000-0005-0000-0000-0000A6C70000}"/>
    <cellStyle name="Normal 85 2 6" xfId="51217" xr:uid="{00000000-0005-0000-0000-0000A7C70000}"/>
    <cellStyle name="Normal 85 2 7" xfId="51218" xr:uid="{00000000-0005-0000-0000-0000A8C70000}"/>
    <cellStyle name="Normal 85 2 8" xfId="51219" xr:uid="{00000000-0005-0000-0000-0000A9C70000}"/>
    <cellStyle name="Normal 85 2 9" xfId="51220" xr:uid="{00000000-0005-0000-0000-0000AAC70000}"/>
    <cellStyle name="Normal 85 3" xfId="51221" xr:uid="{00000000-0005-0000-0000-0000ABC70000}"/>
    <cellStyle name="Normal 85 3 2" xfId="51222" xr:uid="{00000000-0005-0000-0000-0000ACC70000}"/>
    <cellStyle name="Normal 85 3 2 2" xfId="51223" xr:uid="{00000000-0005-0000-0000-0000ADC70000}"/>
    <cellStyle name="Normal 85 3 3" xfId="51224" xr:uid="{00000000-0005-0000-0000-0000AEC70000}"/>
    <cellStyle name="Normal 85 3 3 2" xfId="51225" xr:uid="{00000000-0005-0000-0000-0000AFC70000}"/>
    <cellStyle name="Normal 85 3 4" xfId="51226" xr:uid="{00000000-0005-0000-0000-0000B0C70000}"/>
    <cellStyle name="Normal 85 3 5" xfId="51227" xr:uid="{00000000-0005-0000-0000-0000B1C70000}"/>
    <cellStyle name="Normal 85 3 6" xfId="51228" xr:uid="{00000000-0005-0000-0000-0000B2C70000}"/>
    <cellStyle name="Normal 85 3 7" xfId="51229" xr:uid="{00000000-0005-0000-0000-0000B3C70000}"/>
    <cellStyle name="Normal 85 3 8" xfId="51230" xr:uid="{00000000-0005-0000-0000-0000B4C70000}"/>
    <cellStyle name="Normal 85 4" xfId="51231" xr:uid="{00000000-0005-0000-0000-0000B5C70000}"/>
    <cellStyle name="Normal 85 4 2" xfId="51232" xr:uid="{00000000-0005-0000-0000-0000B6C70000}"/>
    <cellStyle name="Normal 85 4 2 2" xfId="51233" xr:uid="{00000000-0005-0000-0000-0000B7C70000}"/>
    <cellStyle name="Normal 85 4 3" xfId="51234" xr:uid="{00000000-0005-0000-0000-0000B8C70000}"/>
    <cellStyle name="Normal 85 4 3 2" xfId="51235" xr:uid="{00000000-0005-0000-0000-0000B9C70000}"/>
    <cellStyle name="Normal 85 4 4" xfId="51236" xr:uid="{00000000-0005-0000-0000-0000BAC70000}"/>
    <cellStyle name="Normal 85 4 5" xfId="51237" xr:uid="{00000000-0005-0000-0000-0000BBC70000}"/>
    <cellStyle name="Normal 85 4 6" xfId="51238" xr:uid="{00000000-0005-0000-0000-0000BCC70000}"/>
    <cellStyle name="Normal 85 4 7" xfId="51239" xr:uid="{00000000-0005-0000-0000-0000BDC70000}"/>
    <cellStyle name="Normal 85 4 8" xfId="51240" xr:uid="{00000000-0005-0000-0000-0000BEC70000}"/>
    <cellStyle name="Normal 85 5" xfId="51241" xr:uid="{00000000-0005-0000-0000-0000BFC70000}"/>
    <cellStyle name="Normal 85 6" xfId="51242" xr:uid="{00000000-0005-0000-0000-0000C0C70000}"/>
    <cellStyle name="Normal 85 6 2" xfId="51243" xr:uid="{00000000-0005-0000-0000-0000C1C70000}"/>
    <cellStyle name="Normal 85 7" xfId="51244" xr:uid="{00000000-0005-0000-0000-0000C2C70000}"/>
    <cellStyle name="Normal 85 7 2" xfId="51245" xr:uid="{00000000-0005-0000-0000-0000C3C70000}"/>
    <cellStyle name="Normal 85 8" xfId="51246" xr:uid="{00000000-0005-0000-0000-0000C4C70000}"/>
    <cellStyle name="Normal 85 8 2" xfId="51247" xr:uid="{00000000-0005-0000-0000-0000C5C70000}"/>
    <cellStyle name="Normal 85 9" xfId="51248" xr:uid="{00000000-0005-0000-0000-0000C6C70000}"/>
    <cellStyle name="Normal 86" xfId="51249" xr:uid="{00000000-0005-0000-0000-0000C7C70000}"/>
    <cellStyle name="Normal 86 10" xfId="51250" xr:uid="{00000000-0005-0000-0000-0000C8C70000}"/>
    <cellStyle name="Normal 86 11" xfId="51251" xr:uid="{00000000-0005-0000-0000-0000C9C70000}"/>
    <cellStyle name="Normal 86 12" xfId="51252" xr:uid="{00000000-0005-0000-0000-0000CAC70000}"/>
    <cellStyle name="Normal 86 2" xfId="51253" xr:uid="{00000000-0005-0000-0000-0000CBC70000}"/>
    <cellStyle name="Normal 86 2 2" xfId="51254" xr:uid="{00000000-0005-0000-0000-0000CCC70000}"/>
    <cellStyle name="Normal 86 2 2 2" xfId="51255" xr:uid="{00000000-0005-0000-0000-0000CDC70000}"/>
    <cellStyle name="Normal 86 2 3" xfId="51256" xr:uid="{00000000-0005-0000-0000-0000CEC70000}"/>
    <cellStyle name="Normal 86 2 3 2" xfId="51257" xr:uid="{00000000-0005-0000-0000-0000CFC70000}"/>
    <cellStyle name="Normal 86 2 3 3" xfId="51258" xr:uid="{00000000-0005-0000-0000-0000D0C70000}"/>
    <cellStyle name="Normal 86 2 4" xfId="51259" xr:uid="{00000000-0005-0000-0000-0000D1C70000}"/>
    <cellStyle name="Normal 86 2 4 2" xfId="51260" xr:uid="{00000000-0005-0000-0000-0000D2C70000}"/>
    <cellStyle name="Normal 86 2 5" xfId="51261" xr:uid="{00000000-0005-0000-0000-0000D3C70000}"/>
    <cellStyle name="Normal 86 2 6" xfId="51262" xr:uid="{00000000-0005-0000-0000-0000D4C70000}"/>
    <cellStyle name="Normal 86 2 7" xfId="51263" xr:uid="{00000000-0005-0000-0000-0000D5C70000}"/>
    <cellStyle name="Normal 86 2 8" xfId="51264" xr:uid="{00000000-0005-0000-0000-0000D6C70000}"/>
    <cellStyle name="Normal 86 2 9" xfId="51265" xr:uid="{00000000-0005-0000-0000-0000D7C70000}"/>
    <cellStyle name="Normal 86 3" xfId="51266" xr:uid="{00000000-0005-0000-0000-0000D8C70000}"/>
    <cellStyle name="Normal 86 3 2" xfId="51267" xr:uid="{00000000-0005-0000-0000-0000D9C70000}"/>
    <cellStyle name="Normal 86 3 2 2" xfId="51268" xr:uid="{00000000-0005-0000-0000-0000DAC70000}"/>
    <cellStyle name="Normal 86 3 3" xfId="51269" xr:uid="{00000000-0005-0000-0000-0000DBC70000}"/>
    <cellStyle name="Normal 86 3 3 2" xfId="51270" xr:uid="{00000000-0005-0000-0000-0000DCC70000}"/>
    <cellStyle name="Normal 86 3 4" xfId="51271" xr:uid="{00000000-0005-0000-0000-0000DDC70000}"/>
    <cellStyle name="Normal 86 3 5" xfId="51272" xr:uid="{00000000-0005-0000-0000-0000DEC70000}"/>
    <cellStyle name="Normal 86 3 6" xfId="51273" xr:uid="{00000000-0005-0000-0000-0000DFC70000}"/>
    <cellStyle name="Normal 86 3 7" xfId="51274" xr:uid="{00000000-0005-0000-0000-0000E0C70000}"/>
    <cellStyle name="Normal 86 3 8" xfId="51275" xr:uid="{00000000-0005-0000-0000-0000E1C70000}"/>
    <cellStyle name="Normal 86 4" xfId="51276" xr:uid="{00000000-0005-0000-0000-0000E2C70000}"/>
    <cellStyle name="Normal 86 4 2" xfId="51277" xr:uid="{00000000-0005-0000-0000-0000E3C70000}"/>
    <cellStyle name="Normal 86 4 2 2" xfId="51278" xr:uid="{00000000-0005-0000-0000-0000E4C70000}"/>
    <cellStyle name="Normal 86 4 3" xfId="51279" xr:uid="{00000000-0005-0000-0000-0000E5C70000}"/>
    <cellStyle name="Normal 86 4 3 2" xfId="51280" xr:uid="{00000000-0005-0000-0000-0000E6C70000}"/>
    <cellStyle name="Normal 86 4 4" xfId="51281" xr:uid="{00000000-0005-0000-0000-0000E7C70000}"/>
    <cellStyle name="Normal 86 4 5" xfId="51282" xr:uid="{00000000-0005-0000-0000-0000E8C70000}"/>
    <cellStyle name="Normal 86 4 6" xfId="51283" xr:uid="{00000000-0005-0000-0000-0000E9C70000}"/>
    <cellStyle name="Normal 86 4 7" xfId="51284" xr:uid="{00000000-0005-0000-0000-0000EAC70000}"/>
    <cellStyle name="Normal 86 4 8" xfId="51285" xr:uid="{00000000-0005-0000-0000-0000EBC70000}"/>
    <cellStyle name="Normal 86 5" xfId="51286" xr:uid="{00000000-0005-0000-0000-0000ECC70000}"/>
    <cellStyle name="Normal 86 6" xfId="51287" xr:uid="{00000000-0005-0000-0000-0000EDC70000}"/>
    <cellStyle name="Normal 86 6 2" xfId="51288" xr:uid="{00000000-0005-0000-0000-0000EEC70000}"/>
    <cellStyle name="Normal 86 7" xfId="51289" xr:uid="{00000000-0005-0000-0000-0000EFC70000}"/>
    <cellStyle name="Normal 86 7 2" xfId="51290" xr:uid="{00000000-0005-0000-0000-0000F0C70000}"/>
    <cellStyle name="Normal 86 8" xfId="51291" xr:uid="{00000000-0005-0000-0000-0000F1C70000}"/>
    <cellStyle name="Normal 86 8 2" xfId="51292" xr:uid="{00000000-0005-0000-0000-0000F2C70000}"/>
    <cellStyle name="Normal 86 9" xfId="51293" xr:uid="{00000000-0005-0000-0000-0000F3C70000}"/>
    <cellStyle name="Normal 87" xfId="51294" xr:uid="{00000000-0005-0000-0000-0000F4C70000}"/>
    <cellStyle name="Normal 87 10" xfId="51295" xr:uid="{00000000-0005-0000-0000-0000F5C70000}"/>
    <cellStyle name="Normal 87 11" xfId="51296" xr:uid="{00000000-0005-0000-0000-0000F6C70000}"/>
    <cellStyle name="Normal 87 12" xfId="51297" xr:uid="{00000000-0005-0000-0000-0000F7C70000}"/>
    <cellStyle name="Normal 87 2" xfId="51298" xr:uid="{00000000-0005-0000-0000-0000F8C70000}"/>
    <cellStyle name="Normal 87 2 2" xfId="51299" xr:uid="{00000000-0005-0000-0000-0000F9C70000}"/>
    <cellStyle name="Normal 87 2 2 2" xfId="51300" xr:uid="{00000000-0005-0000-0000-0000FAC70000}"/>
    <cellStyle name="Normal 87 2 3" xfId="51301" xr:uid="{00000000-0005-0000-0000-0000FBC70000}"/>
    <cellStyle name="Normal 87 2 3 2" xfId="51302" xr:uid="{00000000-0005-0000-0000-0000FCC70000}"/>
    <cellStyle name="Normal 87 2 3 3" xfId="51303" xr:uid="{00000000-0005-0000-0000-0000FDC70000}"/>
    <cellStyle name="Normal 87 2 4" xfId="51304" xr:uid="{00000000-0005-0000-0000-0000FEC70000}"/>
    <cellStyle name="Normal 87 2 4 2" xfId="51305" xr:uid="{00000000-0005-0000-0000-0000FFC70000}"/>
    <cellStyle name="Normal 87 2 5" xfId="51306" xr:uid="{00000000-0005-0000-0000-000000C80000}"/>
    <cellStyle name="Normal 87 2 6" xfId="51307" xr:uid="{00000000-0005-0000-0000-000001C80000}"/>
    <cellStyle name="Normal 87 2 7" xfId="51308" xr:uid="{00000000-0005-0000-0000-000002C80000}"/>
    <cellStyle name="Normal 87 2 8" xfId="51309" xr:uid="{00000000-0005-0000-0000-000003C80000}"/>
    <cellStyle name="Normal 87 2 9" xfId="51310" xr:uid="{00000000-0005-0000-0000-000004C80000}"/>
    <cellStyle name="Normal 87 3" xfId="51311" xr:uid="{00000000-0005-0000-0000-000005C80000}"/>
    <cellStyle name="Normal 87 3 2" xfId="51312" xr:uid="{00000000-0005-0000-0000-000006C80000}"/>
    <cellStyle name="Normal 87 3 2 2" xfId="51313" xr:uid="{00000000-0005-0000-0000-000007C80000}"/>
    <cellStyle name="Normal 87 3 3" xfId="51314" xr:uid="{00000000-0005-0000-0000-000008C80000}"/>
    <cellStyle name="Normal 87 3 3 2" xfId="51315" xr:uid="{00000000-0005-0000-0000-000009C80000}"/>
    <cellStyle name="Normal 87 3 4" xfId="51316" xr:uid="{00000000-0005-0000-0000-00000AC80000}"/>
    <cellStyle name="Normal 87 3 5" xfId="51317" xr:uid="{00000000-0005-0000-0000-00000BC80000}"/>
    <cellStyle name="Normal 87 3 6" xfId="51318" xr:uid="{00000000-0005-0000-0000-00000CC80000}"/>
    <cellStyle name="Normal 87 3 7" xfId="51319" xr:uid="{00000000-0005-0000-0000-00000DC80000}"/>
    <cellStyle name="Normal 87 3 8" xfId="51320" xr:uid="{00000000-0005-0000-0000-00000EC80000}"/>
    <cellStyle name="Normal 87 4" xfId="51321" xr:uid="{00000000-0005-0000-0000-00000FC80000}"/>
    <cellStyle name="Normal 87 4 2" xfId="51322" xr:uid="{00000000-0005-0000-0000-000010C80000}"/>
    <cellStyle name="Normal 87 4 2 2" xfId="51323" xr:uid="{00000000-0005-0000-0000-000011C80000}"/>
    <cellStyle name="Normal 87 4 3" xfId="51324" xr:uid="{00000000-0005-0000-0000-000012C80000}"/>
    <cellStyle name="Normal 87 4 3 2" xfId="51325" xr:uid="{00000000-0005-0000-0000-000013C80000}"/>
    <cellStyle name="Normal 87 4 4" xfId="51326" xr:uid="{00000000-0005-0000-0000-000014C80000}"/>
    <cellStyle name="Normal 87 4 5" xfId="51327" xr:uid="{00000000-0005-0000-0000-000015C80000}"/>
    <cellStyle name="Normal 87 4 6" xfId="51328" xr:uid="{00000000-0005-0000-0000-000016C80000}"/>
    <cellStyle name="Normal 87 4 7" xfId="51329" xr:uid="{00000000-0005-0000-0000-000017C80000}"/>
    <cellStyle name="Normal 87 4 8" xfId="51330" xr:uid="{00000000-0005-0000-0000-000018C80000}"/>
    <cellStyle name="Normal 87 5" xfId="51331" xr:uid="{00000000-0005-0000-0000-000019C80000}"/>
    <cellStyle name="Normal 87 6" xfId="51332" xr:uid="{00000000-0005-0000-0000-00001AC80000}"/>
    <cellStyle name="Normal 87 6 2" xfId="51333" xr:uid="{00000000-0005-0000-0000-00001BC80000}"/>
    <cellStyle name="Normal 87 7" xfId="51334" xr:uid="{00000000-0005-0000-0000-00001CC80000}"/>
    <cellStyle name="Normal 87 7 2" xfId="51335" xr:uid="{00000000-0005-0000-0000-00001DC80000}"/>
    <cellStyle name="Normal 87 8" xfId="51336" xr:uid="{00000000-0005-0000-0000-00001EC80000}"/>
    <cellStyle name="Normal 87 8 2" xfId="51337" xr:uid="{00000000-0005-0000-0000-00001FC80000}"/>
    <cellStyle name="Normal 87 9" xfId="51338" xr:uid="{00000000-0005-0000-0000-000020C80000}"/>
    <cellStyle name="Normal 88" xfId="51339" xr:uid="{00000000-0005-0000-0000-000021C80000}"/>
    <cellStyle name="Normal 88 10" xfId="51340" xr:uid="{00000000-0005-0000-0000-000022C80000}"/>
    <cellStyle name="Normal 88 11" xfId="51341" xr:uid="{00000000-0005-0000-0000-000023C80000}"/>
    <cellStyle name="Normal 88 12" xfId="51342" xr:uid="{00000000-0005-0000-0000-000024C80000}"/>
    <cellStyle name="Normal 88 2" xfId="51343" xr:uid="{00000000-0005-0000-0000-000025C80000}"/>
    <cellStyle name="Normal 88 2 2" xfId="51344" xr:uid="{00000000-0005-0000-0000-000026C80000}"/>
    <cellStyle name="Normal 88 2 2 2" xfId="51345" xr:uid="{00000000-0005-0000-0000-000027C80000}"/>
    <cellStyle name="Normal 88 2 3" xfId="51346" xr:uid="{00000000-0005-0000-0000-000028C80000}"/>
    <cellStyle name="Normal 88 2 3 2" xfId="51347" xr:uid="{00000000-0005-0000-0000-000029C80000}"/>
    <cellStyle name="Normal 88 2 4" xfId="51348" xr:uid="{00000000-0005-0000-0000-00002AC80000}"/>
    <cellStyle name="Normal 88 2 4 2" xfId="51349" xr:uid="{00000000-0005-0000-0000-00002BC80000}"/>
    <cellStyle name="Normal 88 2 5" xfId="51350" xr:uid="{00000000-0005-0000-0000-00002CC80000}"/>
    <cellStyle name="Normal 88 2 6" xfId="51351" xr:uid="{00000000-0005-0000-0000-00002DC80000}"/>
    <cellStyle name="Normal 88 2 7" xfId="51352" xr:uid="{00000000-0005-0000-0000-00002EC80000}"/>
    <cellStyle name="Normal 88 2 8" xfId="51353" xr:uid="{00000000-0005-0000-0000-00002FC80000}"/>
    <cellStyle name="Normal 88 2 9" xfId="51354" xr:uid="{00000000-0005-0000-0000-000030C80000}"/>
    <cellStyle name="Normal 88 3" xfId="51355" xr:uid="{00000000-0005-0000-0000-000031C80000}"/>
    <cellStyle name="Normal 88 3 2" xfId="51356" xr:uid="{00000000-0005-0000-0000-000032C80000}"/>
    <cellStyle name="Normal 88 3 2 2" xfId="51357" xr:uid="{00000000-0005-0000-0000-000033C80000}"/>
    <cellStyle name="Normal 88 3 3" xfId="51358" xr:uid="{00000000-0005-0000-0000-000034C80000}"/>
    <cellStyle name="Normal 88 3 3 2" xfId="51359" xr:uid="{00000000-0005-0000-0000-000035C80000}"/>
    <cellStyle name="Normal 88 3 4" xfId="51360" xr:uid="{00000000-0005-0000-0000-000036C80000}"/>
    <cellStyle name="Normal 88 3 5" xfId="51361" xr:uid="{00000000-0005-0000-0000-000037C80000}"/>
    <cellStyle name="Normal 88 3 6" xfId="51362" xr:uid="{00000000-0005-0000-0000-000038C80000}"/>
    <cellStyle name="Normal 88 3 7" xfId="51363" xr:uid="{00000000-0005-0000-0000-000039C80000}"/>
    <cellStyle name="Normal 88 3 8" xfId="51364" xr:uid="{00000000-0005-0000-0000-00003AC80000}"/>
    <cellStyle name="Normal 88 4" xfId="51365" xr:uid="{00000000-0005-0000-0000-00003BC80000}"/>
    <cellStyle name="Normal 88 4 2" xfId="51366" xr:uid="{00000000-0005-0000-0000-00003CC80000}"/>
    <cellStyle name="Normal 88 4 2 2" xfId="51367" xr:uid="{00000000-0005-0000-0000-00003DC80000}"/>
    <cellStyle name="Normal 88 4 3" xfId="51368" xr:uid="{00000000-0005-0000-0000-00003EC80000}"/>
    <cellStyle name="Normal 88 4 3 2" xfId="51369" xr:uid="{00000000-0005-0000-0000-00003FC80000}"/>
    <cellStyle name="Normal 88 4 4" xfId="51370" xr:uid="{00000000-0005-0000-0000-000040C80000}"/>
    <cellStyle name="Normal 88 4 5" xfId="51371" xr:uid="{00000000-0005-0000-0000-000041C80000}"/>
    <cellStyle name="Normal 88 4 6" xfId="51372" xr:uid="{00000000-0005-0000-0000-000042C80000}"/>
    <cellStyle name="Normal 88 4 7" xfId="51373" xr:uid="{00000000-0005-0000-0000-000043C80000}"/>
    <cellStyle name="Normal 88 5" xfId="51374" xr:uid="{00000000-0005-0000-0000-000044C80000}"/>
    <cellStyle name="Normal 88 6" xfId="51375" xr:uid="{00000000-0005-0000-0000-000045C80000}"/>
    <cellStyle name="Normal 88 6 2" xfId="51376" xr:uid="{00000000-0005-0000-0000-000046C80000}"/>
    <cellStyle name="Normal 88 7" xfId="51377" xr:uid="{00000000-0005-0000-0000-000047C80000}"/>
    <cellStyle name="Normal 88 7 2" xfId="51378" xr:uid="{00000000-0005-0000-0000-000048C80000}"/>
    <cellStyle name="Normal 88 8" xfId="51379" xr:uid="{00000000-0005-0000-0000-000049C80000}"/>
    <cellStyle name="Normal 88 8 2" xfId="51380" xr:uid="{00000000-0005-0000-0000-00004AC80000}"/>
    <cellStyle name="Normal 88 9" xfId="51381" xr:uid="{00000000-0005-0000-0000-00004BC80000}"/>
    <cellStyle name="Normal 89" xfId="51382" xr:uid="{00000000-0005-0000-0000-00004CC80000}"/>
    <cellStyle name="Normal 89 10" xfId="51383" xr:uid="{00000000-0005-0000-0000-00004DC80000}"/>
    <cellStyle name="Normal 89 11" xfId="51384" xr:uid="{00000000-0005-0000-0000-00004EC80000}"/>
    <cellStyle name="Normal 89 12" xfId="51385" xr:uid="{00000000-0005-0000-0000-00004FC80000}"/>
    <cellStyle name="Normal 89 2" xfId="51386" xr:uid="{00000000-0005-0000-0000-000050C80000}"/>
    <cellStyle name="Normal 89 2 2" xfId="51387" xr:uid="{00000000-0005-0000-0000-000051C80000}"/>
    <cellStyle name="Normal 89 2 3" xfId="51388" xr:uid="{00000000-0005-0000-0000-000052C80000}"/>
    <cellStyle name="Normal 89 2 3 2" xfId="51389" xr:uid="{00000000-0005-0000-0000-000053C80000}"/>
    <cellStyle name="Normal 89 2 4" xfId="51390" xr:uid="{00000000-0005-0000-0000-000054C80000}"/>
    <cellStyle name="Normal 89 2 4 2" xfId="51391" xr:uid="{00000000-0005-0000-0000-000055C80000}"/>
    <cellStyle name="Normal 89 2 5" xfId="51392" xr:uid="{00000000-0005-0000-0000-000056C80000}"/>
    <cellStyle name="Normal 89 2 6" xfId="51393" xr:uid="{00000000-0005-0000-0000-000057C80000}"/>
    <cellStyle name="Normal 89 2 7" xfId="51394" xr:uid="{00000000-0005-0000-0000-000058C80000}"/>
    <cellStyle name="Normal 89 2 8" xfId="51395" xr:uid="{00000000-0005-0000-0000-000059C80000}"/>
    <cellStyle name="Normal 89 2 9" xfId="51396" xr:uid="{00000000-0005-0000-0000-00005AC80000}"/>
    <cellStyle name="Normal 89 3" xfId="51397" xr:uid="{00000000-0005-0000-0000-00005BC80000}"/>
    <cellStyle name="Normal 89 3 2" xfId="51398" xr:uid="{00000000-0005-0000-0000-00005CC80000}"/>
    <cellStyle name="Normal 89 3 2 2" xfId="51399" xr:uid="{00000000-0005-0000-0000-00005DC80000}"/>
    <cellStyle name="Normal 89 3 3" xfId="51400" xr:uid="{00000000-0005-0000-0000-00005EC80000}"/>
    <cellStyle name="Normal 89 3 3 2" xfId="51401" xr:uid="{00000000-0005-0000-0000-00005FC80000}"/>
    <cellStyle name="Normal 89 3 4" xfId="51402" xr:uid="{00000000-0005-0000-0000-000060C80000}"/>
    <cellStyle name="Normal 89 3 5" xfId="51403" xr:uid="{00000000-0005-0000-0000-000061C80000}"/>
    <cellStyle name="Normal 89 3 6" xfId="51404" xr:uid="{00000000-0005-0000-0000-000062C80000}"/>
    <cellStyle name="Normal 89 3 7" xfId="51405" xr:uid="{00000000-0005-0000-0000-000063C80000}"/>
    <cellStyle name="Normal 89 3 8" xfId="51406" xr:uid="{00000000-0005-0000-0000-000064C80000}"/>
    <cellStyle name="Normal 89 4" xfId="51407" xr:uid="{00000000-0005-0000-0000-000065C80000}"/>
    <cellStyle name="Normal 89 4 2" xfId="51408" xr:uid="{00000000-0005-0000-0000-000066C80000}"/>
    <cellStyle name="Normal 89 4 2 2" xfId="51409" xr:uid="{00000000-0005-0000-0000-000067C80000}"/>
    <cellStyle name="Normal 89 4 3" xfId="51410" xr:uid="{00000000-0005-0000-0000-000068C80000}"/>
    <cellStyle name="Normal 89 4 3 2" xfId="51411" xr:uid="{00000000-0005-0000-0000-000069C80000}"/>
    <cellStyle name="Normal 89 4 4" xfId="51412" xr:uid="{00000000-0005-0000-0000-00006AC80000}"/>
    <cellStyle name="Normal 89 4 5" xfId="51413" xr:uid="{00000000-0005-0000-0000-00006BC80000}"/>
    <cellStyle name="Normal 89 4 6" xfId="51414" xr:uid="{00000000-0005-0000-0000-00006CC80000}"/>
    <cellStyle name="Normal 89 4 7" xfId="51415" xr:uid="{00000000-0005-0000-0000-00006DC80000}"/>
    <cellStyle name="Normal 89 4 8" xfId="51416" xr:uid="{00000000-0005-0000-0000-00006EC80000}"/>
    <cellStyle name="Normal 89 5" xfId="51417" xr:uid="{00000000-0005-0000-0000-00006FC80000}"/>
    <cellStyle name="Normal 89 6" xfId="51418" xr:uid="{00000000-0005-0000-0000-000070C80000}"/>
    <cellStyle name="Normal 89 6 2" xfId="51419" xr:uid="{00000000-0005-0000-0000-000071C80000}"/>
    <cellStyle name="Normal 89 7" xfId="51420" xr:uid="{00000000-0005-0000-0000-000072C80000}"/>
    <cellStyle name="Normal 89 7 2" xfId="51421" xr:uid="{00000000-0005-0000-0000-000073C80000}"/>
    <cellStyle name="Normal 89 8" xfId="51422" xr:uid="{00000000-0005-0000-0000-000074C80000}"/>
    <cellStyle name="Normal 89 8 2" xfId="51423" xr:uid="{00000000-0005-0000-0000-000075C80000}"/>
    <cellStyle name="Normal 89 9" xfId="51424" xr:uid="{00000000-0005-0000-0000-000076C80000}"/>
    <cellStyle name="Normal 9" xfId="336" xr:uid="{00000000-0005-0000-0000-000077C80000}"/>
    <cellStyle name="Normal 9 10" xfId="51425" xr:uid="{00000000-0005-0000-0000-000078C80000}"/>
    <cellStyle name="Normal 9 10 2" xfId="51426" xr:uid="{00000000-0005-0000-0000-000079C80000}"/>
    <cellStyle name="Normal 9 10 3" xfId="51427" xr:uid="{00000000-0005-0000-0000-00007AC80000}"/>
    <cellStyle name="Normal 9 11" xfId="51428" xr:uid="{00000000-0005-0000-0000-00007BC80000}"/>
    <cellStyle name="Normal 9 11 2" xfId="51429" xr:uid="{00000000-0005-0000-0000-00007CC80000}"/>
    <cellStyle name="Normal 9 11 3" xfId="51430" xr:uid="{00000000-0005-0000-0000-00007DC80000}"/>
    <cellStyle name="Normal 9 12" xfId="51431" xr:uid="{00000000-0005-0000-0000-00007EC80000}"/>
    <cellStyle name="Normal 9 12 2" xfId="51432" xr:uid="{00000000-0005-0000-0000-00007FC80000}"/>
    <cellStyle name="Normal 9 12 3" xfId="51433" xr:uid="{00000000-0005-0000-0000-000080C80000}"/>
    <cellStyle name="Normal 9 13" xfId="51434" xr:uid="{00000000-0005-0000-0000-000081C80000}"/>
    <cellStyle name="Normal 9 13 2" xfId="51435" xr:uid="{00000000-0005-0000-0000-000082C80000}"/>
    <cellStyle name="Normal 9 13 3" xfId="51436" xr:uid="{00000000-0005-0000-0000-000083C80000}"/>
    <cellStyle name="Normal 9 14" xfId="51437" xr:uid="{00000000-0005-0000-0000-000084C80000}"/>
    <cellStyle name="Normal 9 15" xfId="51438" xr:uid="{00000000-0005-0000-0000-000085C80000}"/>
    <cellStyle name="Normal 9 2" xfId="51439" xr:uid="{00000000-0005-0000-0000-000086C80000}"/>
    <cellStyle name="Normal 9 2 2" xfId="51440" xr:uid="{00000000-0005-0000-0000-000087C80000}"/>
    <cellStyle name="Normal 9 2 2 2" xfId="51441" xr:uid="{00000000-0005-0000-0000-000088C80000}"/>
    <cellStyle name="Normal 9 2 2 2 2" xfId="51442" xr:uid="{00000000-0005-0000-0000-000089C80000}"/>
    <cellStyle name="Normal 9 2 2 3" xfId="51443" xr:uid="{00000000-0005-0000-0000-00008AC80000}"/>
    <cellStyle name="Normal 9 2 2 4" xfId="51444" xr:uid="{00000000-0005-0000-0000-00008BC80000}"/>
    <cellStyle name="Normal 9 2 3" xfId="51445" xr:uid="{00000000-0005-0000-0000-00008CC80000}"/>
    <cellStyle name="Normal 9 2 3 2" xfId="51446" xr:uid="{00000000-0005-0000-0000-00008DC80000}"/>
    <cellStyle name="Normal 9 2 3 3" xfId="51447" xr:uid="{00000000-0005-0000-0000-00008EC80000}"/>
    <cellStyle name="Normal 9 2 4" xfId="51448" xr:uid="{00000000-0005-0000-0000-00008FC80000}"/>
    <cellStyle name="Normal 9 2 4 2" xfId="51449" xr:uid="{00000000-0005-0000-0000-000090C80000}"/>
    <cellStyle name="Normal 9 2 4 3" xfId="51450" xr:uid="{00000000-0005-0000-0000-000091C80000}"/>
    <cellStyle name="Normal 9 2 5" xfId="51451" xr:uid="{00000000-0005-0000-0000-000092C80000}"/>
    <cellStyle name="Normal 9 2 6" xfId="51452" xr:uid="{00000000-0005-0000-0000-000093C80000}"/>
    <cellStyle name="Normal 9 2_Dec monthly report" xfId="51453" xr:uid="{00000000-0005-0000-0000-000094C80000}"/>
    <cellStyle name="Normal 9 3" xfId="51454" xr:uid="{00000000-0005-0000-0000-000095C80000}"/>
    <cellStyle name="Normal 9 3 2" xfId="51455" xr:uid="{00000000-0005-0000-0000-000096C80000}"/>
    <cellStyle name="Normal 9 3 2 2" xfId="51456" xr:uid="{00000000-0005-0000-0000-000097C80000}"/>
    <cellStyle name="Normal 9 3 2 3" xfId="51457" xr:uid="{00000000-0005-0000-0000-000098C80000}"/>
    <cellStyle name="Normal 9 3 2 4" xfId="51458" xr:uid="{00000000-0005-0000-0000-000099C80000}"/>
    <cellStyle name="Normal 9 3 3" xfId="51459" xr:uid="{00000000-0005-0000-0000-00009AC80000}"/>
    <cellStyle name="Normal 9 3 3 2" xfId="51460" xr:uid="{00000000-0005-0000-0000-00009BC80000}"/>
    <cellStyle name="Normal 9 3 4" xfId="51461" xr:uid="{00000000-0005-0000-0000-00009CC80000}"/>
    <cellStyle name="Normal 9 3 5" xfId="51462" xr:uid="{00000000-0005-0000-0000-00009DC80000}"/>
    <cellStyle name="Normal 9 3 6" xfId="51463" xr:uid="{00000000-0005-0000-0000-00009EC80000}"/>
    <cellStyle name="Normal 9 3_Dec monthly report" xfId="51464" xr:uid="{00000000-0005-0000-0000-00009FC80000}"/>
    <cellStyle name="Normal 9 4" xfId="51465" xr:uid="{00000000-0005-0000-0000-0000A0C80000}"/>
    <cellStyle name="Normal 9 4 10" xfId="51466" xr:uid="{00000000-0005-0000-0000-0000A1C80000}"/>
    <cellStyle name="Normal 9 4 11" xfId="51467" xr:uid="{00000000-0005-0000-0000-0000A2C80000}"/>
    <cellStyle name="Normal 9 4 2" xfId="51468" xr:uid="{00000000-0005-0000-0000-0000A3C80000}"/>
    <cellStyle name="Normal 9 4 2 2" xfId="51469" xr:uid="{00000000-0005-0000-0000-0000A4C80000}"/>
    <cellStyle name="Normal 9 4 2 2 2" xfId="51470" xr:uid="{00000000-0005-0000-0000-0000A5C80000}"/>
    <cellStyle name="Normal 9 4 2 2 3" xfId="51471" xr:uid="{00000000-0005-0000-0000-0000A6C80000}"/>
    <cellStyle name="Normal 9 4 2 3" xfId="51472" xr:uid="{00000000-0005-0000-0000-0000A7C80000}"/>
    <cellStyle name="Normal 9 4 2 3 2" xfId="51473" xr:uid="{00000000-0005-0000-0000-0000A8C80000}"/>
    <cellStyle name="Normal 9 4 2 3 3" xfId="51474" xr:uid="{00000000-0005-0000-0000-0000A9C80000}"/>
    <cellStyle name="Normal 9 4 2 4" xfId="51475" xr:uid="{00000000-0005-0000-0000-0000AAC80000}"/>
    <cellStyle name="Normal 9 4 2 5" xfId="51476" xr:uid="{00000000-0005-0000-0000-0000ABC80000}"/>
    <cellStyle name="Normal 9 4 2 6" xfId="51477" xr:uid="{00000000-0005-0000-0000-0000ACC80000}"/>
    <cellStyle name="Normal 9 4 2 7" xfId="51478" xr:uid="{00000000-0005-0000-0000-0000ADC80000}"/>
    <cellStyle name="Normal 9 4 2 8" xfId="51479" xr:uid="{00000000-0005-0000-0000-0000AEC80000}"/>
    <cellStyle name="Normal 9 4 3" xfId="51480" xr:uid="{00000000-0005-0000-0000-0000AFC80000}"/>
    <cellStyle name="Normal 9 4 3 2" xfId="51481" xr:uid="{00000000-0005-0000-0000-0000B0C80000}"/>
    <cellStyle name="Normal 9 4 3 2 2" xfId="51482" xr:uid="{00000000-0005-0000-0000-0000B1C80000}"/>
    <cellStyle name="Normal 9 4 3 2 3" xfId="51483" xr:uid="{00000000-0005-0000-0000-0000B2C80000}"/>
    <cellStyle name="Normal 9 4 3 3" xfId="51484" xr:uid="{00000000-0005-0000-0000-0000B3C80000}"/>
    <cellStyle name="Normal 9 4 3 3 2" xfId="51485" xr:uid="{00000000-0005-0000-0000-0000B4C80000}"/>
    <cellStyle name="Normal 9 4 3 4" xfId="51486" xr:uid="{00000000-0005-0000-0000-0000B5C80000}"/>
    <cellStyle name="Normal 9 4 4" xfId="51487" xr:uid="{00000000-0005-0000-0000-0000B6C80000}"/>
    <cellStyle name="Normal 9 4 4 2" xfId="51488" xr:uid="{00000000-0005-0000-0000-0000B7C80000}"/>
    <cellStyle name="Normal 9 4 4 3" xfId="51489" xr:uid="{00000000-0005-0000-0000-0000B8C80000}"/>
    <cellStyle name="Normal 9 4 5" xfId="51490" xr:uid="{00000000-0005-0000-0000-0000B9C80000}"/>
    <cellStyle name="Normal 9 4 5 2" xfId="51491" xr:uid="{00000000-0005-0000-0000-0000BAC80000}"/>
    <cellStyle name="Normal 9 4 5 3" xfId="51492" xr:uid="{00000000-0005-0000-0000-0000BBC80000}"/>
    <cellStyle name="Normal 9 4 6" xfId="51493" xr:uid="{00000000-0005-0000-0000-0000BCC80000}"/>
    <cellStyle name="Normal 9 4 6 2" xfId="51494" xr:uid="{00000000-0005-0000-0000-0000BDC80000}"/>
    <cellStyle name="Normal 9 4 6 3" xfId="51495" xr:uid="{00000000-0005-0000-0000-0000BEC80000}"/>
    <cellStyle name="Normal 9 4 7" xfId="51496" xr:uid="{00000000-0005-0000-0000-0000BFC80000}"/>
    <cellStyle name="Normal 9 4 8" xfId="51497" xr:uid="{00000000-0005-0000-0000-0000C0C80000}"/>
    <cellStyle name="Normal 9 4 9" xfId="51498" xr:uid="{00000000-0005-0000-0000-0000C1C80000}"/>
    <cellStyle name="Normal 9 5" xfId="51499" xr:uid="{00000000-0005-0000-0000-0000C2C80000}"/>
    <cellStyle name="Normal 9 5 2" xfId="51500" xr:uid="{00000000-0005-0000-0000-0000C3C80000}"/>
    <cellStyle name="Normal 9 5 2 2" xfId="51501" xr:uid="{00000000-0005-0000-0000-0000C4C80000}"/>
    <cellStyle name="Normal 9 5 3" xfId="51502" xr:uid="{00000000-0005-0000-0000-0000C5C80000}"/>
    <cellStyle name="Normal 9 5 3 2" xfId="51503" xr:uid="{00000000-0005-0000-0000-0000C6C80000}"/>
    <cellStyle name="Normal 9 5 4" xfId="51504" xr:uid="{00000000-0005-0000-0000-0000C7C80000}"/>
    <cellStyle name="Normal 9 5 5" xfId="51505" xr:uid="{00000000-0005-0000-0000-0000C8C80000}"/>
    <cellStyle name="Normal 9 5 6" xfId="51506" xr:uid="{00000000-0005-0000-0000-0000C9C80000}"/>
    <cellStyle name="Normal 9 5 7" xfId="51507" xr:uid="{00000000-0005-0000-0000-0000CAC80000}"/>
    <cellStyle name="Normal 9 5 8" xfId="51508" xr:uid="{00000000-0005-0000-0000-0000CBC80000}"/>
    <cellStyle name="Normal 9 6" xfId="51509" xr:uid="{00000000-0005-0000-0000-0000CCC80000}"/>
    <cellStyle name="Normal 9 6 2" xfId="51510" xr:uid="{00000000-0005-0000-0000-0000CDC80000}"/>
    <cellStyle name="Normal 9 6 2 2" xfId="51511" xr:uid="{00000000-0005-0000-0000-0000CEC80000}"/>
    <cellStyle name="Normal 9 6 2 3" xfId="51512" xr:uid="{00000000-0005-0000-0000-0000CFC80000}"/>
    <cellStyle name="Normal 9 6 3" xfId="51513" xr:uid="{00000000-0005-0000-0000-0000D0C80000}"/>
    <cellStyle name="Normal 9 6 4" xfId="51514" xr:uid="{00000000-0005-0000-0000-0000D1C80000}"/>
    <cellStyle name="Normal 9 6 5" xfId="51515" xr:uid="{00000000-0005-0000-0000-0000D2C80000}"/>
    <cellStyle name="Normal 9 6 6" xfId="51516" xr:uid="{00000000-0005-0000-0000-0000D3C80000}"/>
    <cellStyle name="Normal 9 7" xfId="51517" xr:uid="{00000000-0005-0000-0000-0000D4C80000}"/>
    <cellStyle name="Normal 9 7 2" xfId="51518" xr:uid="{00000000-0005-0000-0000-0000D5C80000}"/>
    <cellStyle name="Normal 9 7 2 2" xfId="51519" xr:uid="{00000000-0005-0000-0000-0000D6C80000}"/>
    <cellStyle name="Normal 9 7 2 3" xfId="51520" xr:uid="{00000000-0005-0000-0000-0000D7C80000}"/>
    <cellStyle name="Normal 9 7 3" xfId="51521" xr:uid="{00000000-0005-0000-0000-0000D8C80000}"/>
    <cellStyle name="Normal 9 7 4" xfId="51522" xr:uid="{00000000-0005-0000-0000-0000D9C80000}"/>
    <cellStyle name="Normal 9 7 5" xfId="51523" xr:uid="{00000000-0005-0000-0000-0000DAC80000}"/>
    <cellStyle name="Normal 9 7 6" xfId="51524" xr:uid="{00000000-0005-0000-0000-0000DBC80000}"/>
    <cellStyle name="Normal 9 8" xfId="51525" xr:uid="{00000000-0005-0000-0000-0000DCC80000}"/>
    <cellStyle name="Normal 9 8 2" xfId="51526" xr:uid="{00000000-0005-0000-0000-0000DDC80000}"/>
    <cellStyle name="Normal 9 8 3" xfId="51527" xr:uid="{00000000-0005-0000-0000-0000DEC80000}"/>
    <cellStyle name="Normal 9 9" xfId="51528" xr:uid="{00000000-0005-0000-0000-0000DFC80000}"/>
    <cellStyle name="Normal 9 9 2" xfId="51529" xr:uid="{00000000-0005-0000-0000-0000E0C80000}"/>
    <cellStyle name="Normal 9 9 3" xfId="51530" xr:uid="{00000000-0005-0000-0000-0000E1C80000}"/>
    <cellStyle name="Normal 9_2015 Annual Rpt" xfId="51531" xr:uid="{00000000-0005-0000-0000-0000E2C80000}"/>
    <cellStyle name="Normal 90" xfId="51532" xr:uid="{00000000-0005-0000-0000-0000E3C80000}"/>
    <cellStyle name="Normal 90 10" xfId="51533" xr:uid="{00000000-0005-0000-0000-0000E4C80000}"/>
    <cellStyle name="Normal 90 11" xfId="51534" xr:uid="{00000000-0005-0000-0000-0000E5C80000}"/>
    <cellStyle name="Normal 90 12" xfId="51535" xr:uid="{00000000-0005-0000-0000-0000E6C80000}"/>
    <cellStyle name="Normal 90 2" xfId="51536" xr:uid="{00000000-0005-0000-0000-0000E7C80000}"/>
    <cellStyle name="Normal 90 2 2" xfId="51537" xr:uid="{00000000-0005-0000-0000-0000E8C80000}"/>
    <cellStyle name="Normal 90 2 3" xfId="51538" xr:uid="{00000000-0005-0000-0000-0000E9C80000}"/>
    <cellStyle name="Normal 90 2 3 2" xfId="51539" xr:uid="{00000000-0005-0000-0000-0000EAC80000}"/>
    <cellStyle name="Normal 90 2 4" xfId="51540" xr:uid="{00000000-0005-0000-0000-0000EBC80000}"/>
    <cellStyle name="Normal 90 2 4 2" xfId="51541" xr:uid="{00000000-0005-0000-0000-0000ECC80000}"/>
    <cellStyle name="Normal 90 2 5" xfId="51542" xr:uid="{00000000-0005-0000-0000-0000EDC80000}"/>
    <cellStyle name="Normal 90 2 6" xfId="51543" xr:uid="{00000000-0005-0000-0000-0000EEC80000}"/>
    <cellStyle name="Normal 90 2 7" xfId="51544" xr:uid="{00000000-0005-0000-0000-0000EFC80000}"/>
    <cellStyle name="Normal 90 2 8" xfId="51545" xr:uid="{00000000-0005-0000-0000-0000F0C80000}"/>
    <cellStyle name="Normal 90 2 9" xfId="51546" xr:uid="{00000000-0005-0000-0000-0000F1C80000}"/>
    <cellStyle name="Normal 90 3" xfId="51547" xr:uid="{00000000-0005-0000-0000-0000F2C80000}"/>
    <cellStyle name="Normal 90 3 2" xfId="51548" xr:uid="{00000000-0005-0000-0000-0000F3C80000}"/>
    <cellStyle name="Normal 90 3 2 2" xfId="51549" xr:uid="{00000000-0005-0000-0000-0000F4C80000}"/>
    <cellStyle name="Normal 90 3 3" xfId="51550" xr:uid="{00000000-0005-0000-0000-0000F5C80000}"/>
    <cellStyle name="Normal 90 3 3 2" xfId="51551" xr:uid="{00000000-0005-0000-0000-0000F6C80000}"/>
    <cellStyle name="Normal 90 3 4" xfId="51552" xr:uid="{00000000-0005-0000-0000-0000F7C80000}"/>
    <cellStyle name="Normal 90 3 5" xfId="51553" xr:uid="{00000000-0005-0000-0000-0000F8C80000}"/>
    <cellStyle name="Normal 90 3 6" xfId="51554" xr:uid="{00000000-0005-0000-0000-0000F9C80000}"/>
    <cellStyle name="Normal 90 3 7" xfId="51555" xr:uid="{00000000-0005-0000-0000-0000FAC80000}"/>
    <cellStyle name="Normal 90 3 8" xfId="51556" xr:uid="{00000000-0005-0000-0000-0000FBC80000}"/>
    <cellStyle name="Normal 90 4" xfId="51557" xr:uid="{00000000-0005-0000-0000-0000FCC80000}"/>
    <cellStyle name="Normal 90 4 2" xfId="51558" xr:uid="{00000000-0005-0000-0000-0000FDC80000}"/>
    <cellStyle name="Normal 90 4 2 2" xfId="51559" xr:uid="{00000000-0005-0000-0000-0000FEC80000}"/>
    <cellStyle name="Normal 90 4 3" xfId="51560" xr:uid="{00000000-0005-0000-0000-0000FFC80000}"/>
    <cellStyle name="Normal 90 4 3 2" xfId="51561" xr:uid="{00000000-0005-0000-0000-000000C90000}"/>
    <cellStyle name="Normal 90 4 4" xfId="51562" xr:uid="{00000000-0005-0000-0000-000001C90000}"/>
    <cellStyle name="Normal 90 4 5" xfId="51563" xr:uid="{00000000-0005-0000-0000-000002C90000}"/>
    <cellStyle name="Normal 90 4 6" xfId="51564" xr:uid="{00000000-0005-0000-0000-000003C90000}"/>
    <cellStyle name="Normal 90 4 7" xfId="51565" xr:uid="{00000000-0005-0000-0000-000004C90000}"/>
    <cellStyle name="Normal 90 4 8" xfId="51566" xr:uid="{00000000-0005-0000-0000-000005C90000}"/>
    <cellStyle name="Normal 90 5" xfId="51567" xr:uid="{00000000-0005-0000-0000-000006C90000}"/>
    <cellStyle name="Normal 90 6" xfId="51568" xr:uid="{00000000-0005-0000-0000-000007C90000}"/>
    <cellStyle name="Normal 90 6 2" xfId="51569" xr:uid="{00000000-0005-0000-0000-000008C90000}"/>
    <cellStyle name="Normal 90 7" xfId="51570" xr:uid="{00000000-0005-0000-0000-000009C90000}"/>
    <cellStyle name="Normal 90 7 2" xfId="51571" xr:uid="{00000000-0005-0000-0000-00000AC90000}"/>
    <cellStyle name="Normal 90 8" xfId="51572" xr:uid="{00000000-0005-0000-0000-00000BC90000}"/>
    <cellStyle name="Normal 90 8 2" xfId="51573" xr:uid="{00000000-0005-0000-0000-00000CC90000}"/>
    <cellStyle name="Normal 90 9" xfId="51574" xr:uid="{00000000-0005-0000-0000-00000DC90000}"/>
    <cellStyle name="Normal 91" xfId="51575" xr:uid="{00000000-0005-0000-0000-00000EC90000}"/>
    <cellStyle name="Normal 91 10" xfId="51576" xr:uid="{00000000-0005-0000-0000-00000FC90000}"/>
    <cellStyle name="Normal 91 11" xfId="51577" xr:uid="{00000000-0005-0000-0000-000010C90000}"/>
    <cellStyle name="Normal 91 12" xfId="51578" xr:uid="{00000000-0005-0000-0000-000011C90000}"/>
    <cellStyle name="Normal 91 2" xfId="51579" xr:uid="{00000000-0005-0000-0000-000012C90000}"/>
    <cellStyle name="Normal 91 2 2" xfId="51580" xr:uid="{00000000-0005-0000-0000-000013C90000}"/>
    <cellStyle name="Normal 91 2 2 2" xfId="51581" xr:uid="{00000000-0005-0000-0000-000014C90000}"/>
    <cellStyle name="Normal 91 2 3" xfId="51582" xr:uid="{00000000-0005-0000-0000-000015C90000}"/>
    <cellStyle name="Normal 91 2 3 2" xfId="51583" xr:uid="{00000000-0005-0000-0000-000016C90000}"/>
    <cellStyle name="Normal 91 2 3 3" xfId="51584" xr:uid="{00000000-0005-0000-0000-000017C90000}"/>
    <cellStyle name="Normal 91 2 4" xfId="51585" xr:uid="{00000000-0005-0000-0000-000018C90000}"/>
    <cellStyle name="Normal 91 2 4 2" xfId="51586" xr:uid="{00000000-0005-0000-0000-000019C90000}"/>
    <cellStyle name="Normal 91 2 5" xfId="51587" xr:uid="{00000000-0005-0000-0000-00001AC90000}"/>
    <cellStyle name="Normal 91 2 6" xfId="51588" xr:uid="{00000000-0005-0000-0000-00001BC90000}"/>
    <cellStyle name="Normal 91 2 7" xfId="51589" xr:uid="{00000000-0005-0000-0000-00001CC90000}"/>
    <cellStyle name="Normal 91 2 8" xfId="51590" xr:uid="{00000000-0005-0000-0000-00001DC90000}"/>
    <cellStyle name="Normal 91 2 9" xfId="51591" xr:uid="{00000000-0005-0000-0000-00001EC90000}"/>
    <cellStyle name="Normal 91 3" xfId="51592" xr:uid="{00000000-0005-0000-0000-00001FC90000}"/>
    <cellStyle name="Normal 91 3 2" xfId="51593" xr:uid="{00000000-0005-0000-0000-000020C90000}"/>
    <cellStyle name="Normal 91 3 2 2" xfId="51594" xr:uid="{00000000-0005-0000-0000-000021C90000}"/>
    <cellStyle name="Normal 91 3 3" xfId="51595" xr:uid="{00000000-0005-0000-0000-000022C90000}"/>
    <cellStyle name="Normal 91 3 3 2" xfId="51596" xr:uid="{00000000-0005-0000-0000-000023C90000}"/>
    <cellStyle name="Normal 91 3 4" xfId="51597" xr:uid="{00000000-0005-0000-0000-000024C90000}"/>
    <cellStyle name="Normal 91 3 5" xfId="51598" xr:uid="{00000000-0005-0000-0000-000025C90000}"/>
    <cellStyle name="Normal 91 3 6" xfId="51599" xr:uid="{00000000-0005-0000-0000-000026C90000}"/>
    <cellStyle name="Normal 91 3 7" xfId="51600" xr:uid="{00000000-0005-0000-0000-000027C90000}"/>
    <cellStyle name="Normal 91 3 8" xfId="51601" xr:uid="{00000000-0005-0000-0000-000028C90000}"/>
    <cellStyle name="Normal 91 4" xfId="51602" xr:uid="{00000000-0005-0000-0000-000029C90000}"/>
    <cellStyle name="Normal 91 4 2" xfId="51603" xr:uid="{00000000-0005-0000-0000-00002AC90000}"/>
    <cellStyle name="Normal 91 4 2 2" xfId="51604" xr:uid="{00000000-0005-0000-0000-00002BC90000}"/>
    <cellStyle name="Normal 91 4 3" xfId="51605" xr:uid="{00000000-0005-0000-0000-00002CC90000}"/>
    <cellStyle name="Normal 91 4 3 2" xfId="51606" xr:uid="{00000000-0005-0000-0000-00002DC90000}"/>
    <cellStyle name="Normal 91 4 4" xfId="51607" xr:uid="{00000000-0005-0000-0000-00002EC90000}"/>
    <cellStyle name="Normal 91 4 5" xfId="51608" xr:uid="{00000000-0005-0000-0000-00002FC90000}"/>
    <cellStyle name="Normal 91 4 6" xfId="51609" xr:uid="{00000000-0005-0000-0000-000030C90000}"/>
    <cellStyle name="Normal 91 4 7" xfId="51610" xr:uid="{00000000-0005-0000-0000-000031C90000}"/>
    <cellStyle name="Normal 91 4 8" xfId="51611" xr:uid="{00000000-0005-0000-0000-000032C90000}"/>
    <cellStyle name="Normal 91 5" xfId="51612" xr:uid="{00000000-0005-0000-0000-000033C90000}"/>
    <cellStyle name="Normal 91 6" xfId="51613" xr:uid="{00000000-0005-0000-0000-000034C90000}"/>
    <cellStyle name="Normal 91 6 2" xfId="51614" xr:uid="{00000000-0005-0000-0000-000035C90000}"/>
    <cellStyle name="Normal 91 7" xfId="51615" xr:uid="{00000000-0005-0000-0000-000036C90000}"/>
    <cellStyle name="Normal 91 7 2" xfId="51616" xr:uid="{00000000-0005-0000-0000-000037C90000}"/>
    <cellStyle name="Normal 91 8" xfId="51617" xr:uid="{00000000-0005-0000-0000-000038C90000}"/>
    <cellStyle name="Normal 91 8 2" xfId="51618" xr:uid="{00000000-0005-0000-0000-000039C90000}"/>
    <cellStyle name="Normal 91 9" xfId="51619" xr:uid="{00000000-0005-0000-0000-00003AC90000}"/>
    <cellStyle name="Normal 92" xfId="51620" xr:uid="{00000000-0005-0000-0000-00003BC90000}"/>
    <cellStyle name="Normal 92 10" xfId="51621" xr:uid="{00000000-0005-0000-0000-00003CC90000}"/>
    <cellStyle name="Normal 92 11" xfId="51622" xr:uid="{00000000-0005-0000-0000-00003DC90000}"/>
    <cellStyle name="Normal 92 12" xfId="51623" xr:uid="{00000000-0005-0000-0000-00003EC90000}"/>
    <cellStyle name="Normal 92 2" xfId="51624" xr:uid="{00000000-0005-0000-0000-00003FC90000}"/>
    <cellStyle name="Normal 92 2 2" xfId="51625" xr:uid="{00000000-0005-0000-0000-000040C90000}"/>
    <cellStyle name="Normal 92 2 2 2" xfId="51626" xr:uid="{00000000-0005-0000-0000-000041C90000}"/>
    <cellStyle name="Normal 92 2 3" xfId="51627" xr:uid="{00000000-0005-0000-0000-000042C90000}"/>
    <cellStyle name="Normal 92 2 3 2" xfId="51628" xr:uid="{00000000-0005-0000-0000-000043C90000}"/>
    <cellStyle name="Normal 92 2 3 3" xfId="51629" xr:uid="{00000000-0005-0000-0000-000044C90000}"/>
    <cellStyle name="Normal 92 2 4" xfId="51630" xr:uid="{00000000-0005-0000-0000-000045C90000}"/>
    <cellStyle name="Normal 92 2 4 2" xfId="51631" xr:uid="{00000000-0005-0000-0000-000046C90000}"/>
    <cellStyle name="Normal 92 2 5" xfId="51632" xr:uid="{00000000-0005-0000-0000-000047C90000}"/>
    <cellStyle name="Normal 92 2 6" xfId="51633" xr:uid="{00000000-0005-0000-0000-000048C90000}"/>
    <cellStyle name="Normal 92 2 7" xfId="51634" xr:uid="{00000000-0005-0000-0000-000049C90000}"/>
    <cellStyle name="Normal 92 2 8" xfId="51635" xr:uid="{00000000-0005-0000-0000-00004AC90000}"/>
    <cellStyle name="Normal 92 2 9" xfId="51636" xr:uid="{00000000-0005-0000-0000-00004BC90000}"/>
    <cellStyle name="Normal 92 3" xfId="51637" xr:uid="{00000000-0005-0000-0000-00004CC90000}"/>
    <cellStyle name="Normal 92 3 2" xfId="51638" xr:uid="{00000000-0005-0000-0000-00004DC90000}"/>
    <cellStyle name="Normal 92 3 2 2" xfId="51639" xr:uid="{00000000-0005-0000-0000-00004EC90000}"/>
    <cellStyle name="Normal 92 3 3" xfId="51640" xr:uid="{00000000-0005-0000-0000-00004FC90000}"/>
    <cellStyle name="Normal 92 3 3 2" xfId="51641" xr:uid="{00000000-0005-0000-0000-000050C90000}"/>
    <cellStyle name="Normal 92 3 4" xfId="51642" xr:uid="{00000000-0005-0000-0000-000051C90000}"/>
    <cellStyle name="Normal 92 3 5" xfId="51643" xr:uid="{00000000-0005-0000-0000-000052C90000}"/>
    <cellStyle name="Normal 92 3 6" xfId="51644" xr:uid="{00000000-0005-0000-0000-000053C90000}"/>
    <cellStyle name="Normal 92 3 7" xfId="51645" xr:uid="{00000000-0005-0000-0000-000054C90000}"/>
    <cellStyle name="Normal 92 3 8" xfId="51646" xr:uid="{00000000-0005-0000-0000-000055C90000}"/>
    <cellStyle name="Normal 92 4" xfId="51647" xr:uid="{00000000-0005-0000-0000-000056C90000}"/>
    <cellStyle name="Normal 92 4 2" xfId="51648" xr:uid="{00000000-0005-0000-0000-000057C90000}"/>
    <cellStyle name="Normal 92 4 2 2" xfId="51649" xr:uid="{00000000-0005-0000-0000-000058C90000}"/>
    <cellStyle name="Normal 92 4 3" xfId="51650" xr:uid="{00000000-0005-0000-0000-000059C90000}"/>
    <cellStyle name="Normal 92 4 3 2" xfId="51651" xr:uid="{00000000-0005-0000-0000-00005AC90000}"/>
    <cellStyle name="Normal 92 4 4" xfId="51652" xr:uid="{00000000-0005-0000-0000-00005BC90000}"/>
    <cellStyle name="Normal 92 4 5" xfId="51653" xr:uid="{00000000-0005-0000-0000-00005CC90000}"/>
    <cellStyle name="Normal 92 4 6" xfId="51654" xr:uid="{00000000-0005-0000-0000-00005DC90000}"/>
    <cellStyle name="Normal 92 4 7" xfId="51655" xr:uid="{00000000-0005-0000-0000-00005EC90000}"/>
    <cellStyle name="Normal 92 4 8" xfId="51656" xr:uid="{00000000-0005-0000-0000-00005FC90000}"/>
    <cellStyle name="Normal 92 5" xfId="51657" xr:uid="{00000000-0005-0000-0000-000060C90000}"/>
    <cellStyle name="Normal 92 6" xfId="51658" xr:uid="{00000000-0005-0000-0000-000061C90000}"/>
    <cellStyle name="Normal 92 6 2" xfId="51659" xr:uid="{00000000-0005-0000-0000-000062C90000}"/>
    <cellStyle name="Normal 92 7" xfId="51660" xr:uid="{00000000-0005-0000-0000-000063C90000}"/>
    <cellStyle name="Normal 92 7 2" xfId="51661" xr:uid="{00000000-0005-0000-0000-000064C90000}"/>
    <cellStyle name="Normal 92 8" xfId="51662" xr:uid="{00000000-0005-0000-0000-000065C90000}"/>
    <cellStyle name="Normal 92 8 2" xfId="51663" xr:uid="{00000000-0005-0000-0000-000066C90000}"/>
    <cellStyle name="Normal 92 9" xfId="51664" xr:uid="{00000000-0005-0000-0000-000067C90000}"/>
    <cellStyle name="Normal 93" xfId="51665" xr:uid="{00000000-0005-0000-0000-000068C90000}"/>
    <cellStyle name="Normal 93 10" xfId="51666" xr:uid="{00000000-0005-0000-0000-000069C90000}"/>
    <cellStyle name="Normal 93 11" xfId="51667" xr:uid="{00000000-0005-0000-0000-00006AC90000}"/>
    <cellStyle name="Normal 93 12" xfId="51668" xr:uid="{00000000-0005-0000-0000-00006BC90000}"/>
    <cellStyle name="Normal 93 2" xfId="51669" xr:uid="{00000000-0005-0000-0000-00006CC90000}"/>
    <cellStyle name="Normal 93 2 2" xfId="51670" xr:uid="{00000000-0005-0000-0000-00006DC90000}"/>
    <cellStyle name="Normal 93 2 2 2" xfId="51671" xr:uid="{00000000-0005-0000-0000-00006EC90000}"/>
    <cellStyle name="Normal 93 2 3" xfId="51672" xr:uid="{00000000-0005-0000-0000-00006FC90000}"/>
    <cellStyle name="Normal 93 2 3 2" xfId="51673" xr:uid="{00000000-0005-0000-0000-000070C90000}"/>
    <cellStyle name="Normal 93 2 4" xfId="51674" xr:uid="{00000000-0005-0000-0000-000071C90000}"/>
    <cellStyle name="Normal 93 2 4 2" xfId="51675" xr:uid="{00000000-0005-0000-0000-000072C90000}"/>
    <cellStyle name="Normal 93 2 5" xfId="51676" xr:uid="{00000000-0005-0000-0000-000073C90000}"/>
    <cellStyle name="Normal 93 2 6" xfId="51677" xr:uid="{00000000-0005-0000-0000-000074C90000}"/>
    <cellStyle name="Normal 93 2 7" xfId="51678" xr:uid="{00000000-0005-0000-0000-000075C90000}"/>
    <cellStyle name="Normal 93 2 8" xfId="51679" xr:uid="{00000000-0005-0000-0000-000076C90000}"/>
    <cellStyle name="Normal 93 2 9" xfId="51680" xr:uid="{00000000-0005-0000-0000-000077C90000}"/>
    <cellStyle name="Normal 93 3" xfId="51681" xr:uid="{00000000-0005-0000-0000-000078C90000}"/>
    <cellStyle name="Normal 93 3 2" xfId="51682" xr:uid="{00000000-0005-0000-0000-000079C90000}"/>
    <cellStyle name="Normal 93 3 2 2" xfId="51683" xr:uid="{00000000-0005-0000-0000-00007AC90000}"/>
    <cellStyle name="Normal 93 3 3" xfId="51684" xr:uid="{00000000-0005-0000-0000-00007BC90000}"/>
    <cellStyle name="Normal 93 3 3 2" xfId="51685" xr:uid="{00000000-0005-0000-0000-00007CC90000}"/>
    <cellStyle name="Normal 93 3 4" xfId="51686" xr:uid="{00000000-0005-0000-0000-00007DC90000}"/>
    <cellStyle name="Normal 93 3 5" xfId="51687" xr:uid="{00000000-0005-0000-0000-00007EC90000}"/>
    <cellStyle name="Normal 93 3 6" xfId="51688" xr:uid="{00000000-0005-0000-0000-00007FC90000}"/>
    <cellStyle name="Normal 93 3 7" xfId="51689" xr:uid="{00000000-0005-0000-0000-000080C90000}"/>
    <cellStyle name="Normal 93 3 8" xfId="51690" xr:uid="{00000000-0005-0000-0000-000081C90000}"/>
    <cellStyle name="Normal 93 4" xfId="51691" xr:uid="{00000000-0005-0000-0000-000082C90000}"/>
    <cellStyle name="Normal 93 4 2" xfId="51692" xr:uid="{00000000-0005-0000-0000-000083C90000}"/>
    <cellStyle name="Normal 93 4 2 2" xfId="51693" xr:uid="{00000000-0005-0000-0000-000084C90000}"/>
    <cellStyle name="Normal 93 4 3" xfId="51694" xr:uid="{00000000-0005-0000-0000-000085C90000}"/>
    <cellStyle name="Normal 93 4 3 2" xfId="51695" xr:uid="{00000000-0005-0000-0000-000086C90000}"/>
    <cellStyle name="Normal 93 4 4" xfId="51696" xr:uid="{00000000-0005-0000-0000-000087C90000}"/>
    <cellStyle name="Normal 93 4 5" xfId="51697" xr:uid="{00000000-0005-0000-0000-000088C90000}"/>
    <cellStyle name="Normal 93 4 6" xfId="51698" xr:uid="{00000000-0005-0000-0000-000089C90000}"/>
    <cellStyle name="Normal 93 4 7" xfId="51699" xr:uid="{00000000-0005-0000-0000-00008AC90000}"/>
    <cellStyle name="Normal 93 4 8" xfId="51700" xr:uid="{00000000-0005-0000-0000-00008BC90000}"/>
    <cellStyle name="Normal 93 5" xfId="51701" xr:uid="{00000000-0005-0000-0000-00008CC90000}"/>
    <cellStyle name="Normal 93 6" xfId="51702" xr:uid="{00000000-0005-0000-0000-00008DC90000}"/>
    <cellStyle name="Normal 93 6 2" xfId="51703" xr:uid="{00000000-0005-0000-0000-00008EC90000}"/>
    <cellStyle name="Normal 93 7" xfId="51704" xr:uid="{00000000-0005-0000-0000-00008FC90000}"/>
    <cellStyle name="Normal 93 7 2" xfId="51705" xr:uid="{00000000-0005-0000-0000-000090C90000}"/>
    <cellStyle name="Normal 93 8" xfId="51706" xr:uid="{00000000-0005-0000-0000-000091C90000}"/>
    <cellStyle name="Normal 93 8 2" xfId="51707" xr:uid="{00000000-0005-0000-0000-000092C90000}"/>
    <cellStyle name="Normal 93 9" xfId="51708" xr:uid="{00000000-0005-0000-0000-000093C90000}"/>
    <cellStyle name="Normal 94" xfId="51709" xr:uid="{00000000-0005-0000-0000-000094C90000}"/>
    <cellStyle name="Normal 94 10" xfId="51710" xr:uid="{00000000-0005-0000-0000-000095C90000}"/>
    <cellStyle name="Normal 94 11" xfId="51711" xr:uid="{00000000-0005-0000-0000-000096C90000}"/>
    <cellStyle name="Normal 94 12" xfId="51712" xr:uid="{00000000-0005-0000-0000-000097C90000}"/>
    <cellStyle name="Normal 94 2" xfId="51713" xr:uid="{00000000-0005-0000-0000-000098C90000}"/>
    <cellStyle name="Normal 94 2 2" xfId="51714" xr:uid="{00000000-0005-0000-0000-000099C90000}"/>
    <cellStyle name="Normal 94 2 2 2" xfId="51715" xr:uid="{00000000-0005-0000-0000-00009AC90000}"/>
    <cellStyle name="Normal 94 2 3" xfId="51716" xr:uid="{00000000-0005-0000-0000-00009BC90000}"/>
    <cellStyle name="Normal 94 2 3 2" xfId="51717" xr:uid="{00000000-0005-0000-0000-00009CC90000}"/>
    <cellStyle name="Normal 94 2 4" xfId="51718" xr:uid="{00000000-0005-0000-0000-00009DC90000}"/>
    <cellStyle name="Normal 94 2 4 2" xfId="51719" xr:uid="{00000000-0005-0000-0000-00009EC90000}"/>
    <cellStyle name="Normal 94 2 5" xfId="51720" xr:uid="{00000000-0005-0000-0000-00009FC90000}"/>
    <cellStyle name="Normal 94 2 6" xfId="51721" xr:uid="{00000000-0005-0000-0000-0000A0C90000}"/>
    <cellStyle name="Normal 94 2 7" xfId="51722" xr:uid="{00000000-0005-0000-0000-0000A1C90000}"/>
    <cellStyle name="Normal 94 2 8" xfId="51723" xr:uid="{00000000-0005-0000-0000-0000A2C90000}"/>
    <cellStyle name="Normal 94 2 9" xfId="51724" xr:uid="{00000000-0005-0000-0000-0000A3C90000}"/>
    <cellStyle name="Normal 94 3" xfId="51725" xr:uid="{00000000-0005-0000-0000-0000A4C90000}"/>
    <cellStyle name="Normal 94 3 2" xfId="51726" xr:uid="{00000000-0005-0000-0000-0000A5C90000}"/>
    <cellStyle name="Normal 94 3 2 2" xfId="51727" xr:uid="{00000000-0005-0000-0000-0000A6C90000}"/>
    <cellStyle name="Normal 94 3 3" xfId="51728" xr:uid="{00000000-0005-0000-0000-0000A7C90000}"/>
    <cellStyle name="Normal 94 3 3 2" xfId="51729" xr:uid="{00000000-0005-0000-0000-0000A8C90000}"/>
    <cellStyle name="Normal 94 3 4" xfId="51730" xr:uid="{00000000-0005-0000-0000-0000A9C90000}"/>
    <cellStyle name="Normal 94 3 5" xfId="51731" xr:uid="{00000000-0005-0000-0000-0000AAC90000}"/>
    <cellStyle name="Normal 94 3 6" xfId="51732" xr:uid="{00000000-0005-0000-0000-0000ABC90000}"/>
    <cellStyle name="Normal 94 3 7" xfId="51733" xr:uid="{00000000-0005-0000-0000-0000ACC90000}"/>
    <cellStyle name="Normal 94 3 8" xfId="51734" xr:uid="{00000000-0005-0000-0000-0000ADC90000}"/>
    <cellStyle name="Normal 94 4" xfId="51735" xr:uid="{00000000-0005-0000-0000-0000AEC90000}"/>
    <cellStyle name="Normal 94 4 2" xfId="51736" xr:uid="{00000000-0005-0000-0000-0000AFC90000}"/>
    <cellStyle name="Normal 94 4 2 2" xfId="51737" xr:uid="{00000000-0005-0000-0000-0000B0C90000}"/>
    <cellStyle name="Normal 94 4 3" xfId="51738" xr:uid="{00000000-0005-0000-0000-0000B1C90000}"/>
    <cellStyle name="Normal 94 4 3 2" xfId="51739" xr:uid="{00000000-0005-0000-0000-0000B2C90000}"/>
    <cellStyle name="Normal 94 4 4" xfId="51740" xr:uid="{00000000-0005-0000-0000-0000B3C90000}"/>
    <cellStyle name="Normal 94 4 5" xfId="51741" xr:uid="{00000000-0005-0000-0000-0000B4C90000}"/>
    <cellStyle name="Normal 94 4 6" xfId="51742" xr:uid="{00000000-0005-0000-0000-0000B5C90000}"/>
    <cellStyle name="Normal 94 4 7" xfId="51743" xr:uid="{00000000-0005-0000-0000-0000B6C90000}"/>
    <cellStyle name="Normal 94 4 8" xfId="51744" xr:uid="{00000000-0005-0000-0000-0000B7C90000}"/>
    <cellStyle name="Normal 94 5" xfId="51745" xr:uid="{00000000-0005-0000-0000-0000B8C90000}"/>
    <cellStyle name="Normal 94 6" xfId="51746" xr:uid="{00000000-0005-0000-0000-0000B9C90000}"/>
    <cellStyle name="Normal 94 6 2" xfId="51747" xr:uid="{00000000-0005-0000-0000-0000BAC90000}"/>
    <cellStyle name="Normal 94 7" xfId="51748" xr:uid="{00000000-0005-0000-0000-0000BBC90000}"/>
    <cellStyle name="Normal 94 7 2" xfId="51749" xr:uid="{00000000-0005-0000-0000-0000BCC90000}"/>
    <cellStyle name="Normal 94 8" xfId="51750" xr:uid="{00000000-0005-0000-0000-0000BDC90000}"/>
    <cellStyle name="Normal 94 8 2" xfId="51751" xr:uid="{00000000-0005-0000-0000-0000BEC90000}"/>
    <cellStyle name="Normal 94 9" xfId="51752" xr:uid="{00000000-0005-0000-0000-0000BFC90000}"/>
    <cellStyle name="Normal 95" xfId="51753" xr:uid="{00000000-0005-0000-0000-0000C0C90000}"/>
    <cellStyle name="Normal 95 10" xfId="51754" xr:uid="{00000000-0005-0000-0000-0000C1C90000}"/>
    <cellStyle name="Normal 95 11" xfId="51755" xr:uid="{00000000-0005-0000-0000-0000C2C90000}"/>
    <cellStyle name="Normal 95 12" xfId="51756" xr:uid="{00000000-0005-0000-0000-0000C3C90000}"/>
    <cellStyle name="Normal 95 2" xfId="51757" xr:uid="{00000000-0005-0000-0000-0000C4C90000}"/>
    <cellStyle name="Normal 95 2 2" xfId="51758" xr:uid="{00000000-0005-0000-0000-0000C5C90000}"/>
    <cellStyle name="Normal 95 2 2 2" xfId="51759" xr:uid="{00000000-0005-0000-0000-0000C6C90000}"/>
    <cellStyle name="Normal 95 2 3" xfId="51760" xr:uid="{00000000-0005-0000-0000-0000C7C90000}"/>
    <cellStyle name="Normal 95 2 3 2" xfId="51761" xr:uid="{00000000-0005-0000-0000-0000C8C90000}"/>
    <cellStyle name="Normal 95 2 4" xfId="51762" xr:uid="{00000000-0005-0000-0000-0000C9C90000}"/>
    <cellStyle name="Normal 95 2 4 2" xfId="51763" xr:uid="{00000000-0005-0000-0000-0000CAC90000}"/>
    <cellStyle name="Normal 95 2 5" xfId="51764" xr:uid="{00000000-0005-0000-0000-0000CBC90000}"/>
    <cellStyle name="Normal 95 2 6" xfId="51765" xr:uid="{00000000-0005-0000-0000-0000CCC90000}"/>
    <cellStyle name="Normal 95 2 7" xfId="51766" xr:uid="{00000000-0005-0000-0000-0000CDC90000}"/>
    <cellStyle name="Normal 95 2 8" xfId="51767" xr:uid="{00000000-0005-0000-0000-0000CEC90000}"/>
    <cellStyle name="Normal 95 2 9" xfId="51768" xr:uid="{00000000-0005-0000-0000-0000CFC90000}"/>
    <cellStyle name="Normal 95 3" xfId="51769" xr:uid="{00000000-0005-0000-0000-0000D0C90000}"/>
    <cellStyle name="Normal 95 3 2" xfId="51770" xr:uid="{00000000-0005-0000-0000-0000D1C90000}"/>
    <cellStyle name="Normal 95 3 2 2" xfId="51771" xr:uid="{00000000-0005-0000-0000-0000D2C90000}"/>
    <cellStyle name="Normal 95 3 3" xfId="51772" xr:uid="{00000000-0005-0000-0000-0000D3C90000}"/>
    <cellStyle name="Normal 95 3 3 2" xfId="51773" xr:uid="{00000000-0005-0000-0000-0000D4C90000}"/>
    <cellStyle name="Normal 95 3 4" xfId="51774" xr:uid="{00000000-0005-0000-0000-0000D5C90000}"/>
    <cellStyle name="Normal 95 3 5" xfId="51775" xr:uid="{00000000-0005-0000-0000-0000D6C90000}"/>
    <cellStyle name="Normal 95 3 6" xfId="51776" xr:uid="{00000000-0005-0000-0000-0000D7C90000}"/>
    <cellStyle name="Normal 95 3 7" xfId="51777" xr:uid="{00000000-0005-0000-0000-0000D8C90000}"/>
    <cellStyle name="Normal 95 3 8" xfId="51778" xr:uid="{00000000-0005-0000-0000-0000D9C90000}"/>
    <cellStyle name="Normal 95 4" xfId="51779" xr:uid="{00000000-0005-0000-0000-0000DAC90000}"/>
    <cellStyle name="Normal 95 4 2" xfId="51780" xr:uid="{00000000-0005-0000-0000-0000DBC90000}"/>
    <cellStyle name="Normal 95 4 2 2" xfId="51781" xr:uid="{00000000-0005-0000-0000-0000DCC90000}"/>
    <cellStyle name="Normal 95 4 3" xfId="51782" xr:uid="{00000000-0005-0000-0000-0000DDC90000}"/>
    <cellStyle name="Normal 95 4 3 2" xfId="51783" xr:uid="{00000000-0005-0000-0000-0000DEC90000}"/>
    <cellStyle name="Normal 95 4 4" xfId="51784" xr:uid="{00000000-0005-0000-0000-0000DFC90000}"/>
    <cellStyle name="Normal 95 4 5" xfId="51785" xr:uid="{00000000-0005-0000-0000-0000E0C90000}"/>
    <cellStyle name="Normal 95 4 6" xfId="51786" xr:uid="{00000000-0005-0000-0000-0000E1C90000}"/>
    <cellStyle name="Normal 95 4 7" xfId="51787" xr:uid="{00000000-0005-0000-0000-0000E2C90000}"/>
    <cellStyle name="Normal 95 4 8" xfId="51788" xr:uid="{00000000-0005-0000-0000-0000E3C90000}"/>
    <cellStyle name="Normal 95 5" xfId="51789" xr:uid="{00000000-0005-0000-0000-0000E4C90000}"/>
    <cellStyle name="Normal 95 6" xfId="51790" xr:uid="{00000000-0005-0000-0000-0000E5C90000}"/>
    <cellStyle name="Normal 95 6 2" xfId="51791" xr:uid="{00000000-0005-0000-0000-0000E6C90000}"/>
    <cellStyle name="Normal 95 7" xfId="51792" xr:uid="{00000000-0005-0000-0000-0000E7C90000}"/>
    <cellStyle name="Normal 95 7 2" xfId="51793" xr:uid="{00000000-0005-0000-0000-0000E8C90000}"/>
    <cellStyle name="Normal 95 8" xfId="51794" xr:uid="{00000000-0005-0000-0000-0000E9C90000}"/>
    <cellStyle name="Normal 95 8 2" xfId="51795" xr:uid="{00000000-0005-0000-0000-0000EAC90000}"/>
    <cellStyle name="Normal 95 9" xfId="51796" xr:uid="{00000000-0005-0000-0000-0000EBC90000}"/>
    <cellStyle name="Normal 96" xfId="51797" xr:uid="{00000000-0005-0000-0000-0000ECC90000}"/>
    <cellStyle name="Normal 96 2" xfId="51798" xr:uid="{00000000-0005-0000-0000-0000EDC90000}"/>
    <cellStyle name="Normal 96 2 2" xfId="51799" xr:uid="{00000000-0005-0000-0000-0000EEC90000}"/>
    <cellStyle name="Normal 96 2 2 2" xfId="51800" xr:uid="{00000000-0005-0000-0000-0000EFC90000}"/>
    <cellStyle name="Normal 96 2 3" xfId="51801" xr:uid="{00000000-0005-0000-0000-0000F0C90000}"/>
    <cellStyle name="Normal 96 3" xfId="51802" xr:uid="{00000000-0005-0000-0000-0000F1C90000}"/>
    <cellStyle name="Normal 96 3 2" xfId="51803" xr:uid="{00000000-0005-0000-0000-0000F2C90000}"/>
    <cellStyle name="Normal 96 4" xfId="51804" xr:uid="{00000000-0005-0000-0000-0000F3C90000}"/>
    <cellStyle name="Normal 96 5" xfId="51805" xr:uid="{00000000-0005-0000-0000-0000F4C90000}"/>
    <cellStyle name="Normal 96 6" xfId="51806" xr:uid="{00000000-0005-0000-0000-0000F5C90000}"/>
    <cellStyle name="Normal 97" xfId="51807" xr:uid="{00000000-0005-0000-0000-0000F6C90000}"/>
    <cellStyle name="Normal 97 2" xfId="51808" xr:uid="{00000000-0005-0000-0000-0000F7C90000}"/>
    <cellStyle name="Normal 97 2 2" xfId="51809" xr:uid="{00000000-0005-0000-0000-0000F8C90000}"/>
    <cellStyle name="Normal 97 2 2 2" xfId="51810" xr:uid="{00000000-0005-0000-0000-0000F9C90000}"/>
    <cellStyle name="Normal 97 2 3" xfId="51811" xr:uid="{00000000-0005-0000-0000-0000FAC90000}"/>
    <cellStyle name="Normal 97 3" xfId="51812" xr:uid="{00000000-0005-0000-0000-0000FBC90000}"/>
    <cellStyle name="Normal 97 3 2" xfId="51813" xr:uid="{00000000-0005-0000-0000-0000FCC90000}"/>
    <cellStyle name="Normal 97 4" xfId="51814" xr:uid="{00000000-0005-0000-0000-0000FDC90000}"/>
    <cellStyle name="Normal 97 5" xfId="51815" xr:uid="{00000000-0005-0000-0000-0000FEC90000}"/>
    <cellStyle name="Normal 97 6" xfId="51816" xr:uid="{00000000-0005-0000-0000-0000FFC90000}"/>
    <cellStyle name="Normal 98" xfId="51817" xr:uid="{00000000-0005-0000-0000-000000CA0000}"/>
    <cellStyle name="Normal 98 2" xfId="51818" xr:uid="{00000000-0005-0000-0000-000001CA0000}"/>
    <cellStyle name="Normal 98 2 2" xfId="51819" xr:uid="{00000000-0005-0000-0000-000002CA0000}"/>
    <cellStyle name="Normal 98 2 2 2" xfId="51820" xr:uid="{00000000-0005-0000-0000-000003CA0000}"/>
    <cellStyle name="Normal 98 2 3" xfId="51821" xr:uid="{00000000-0005-0000-0000-000004CA0000}"/>
    <cellStyle name="Normal 98 3" xfId="51822" xr:uid="{00000000-0005-0000-0000-000005CA0000}"/>
    <cellStyle name="Normal 98 3 2" xfId="51823" xr:uid="{00000000-0005-0000-0000-000006CA0000}"/>
    <cellStyle name="Normal 98 4" xfId="51824" xr:uid="{00000000-0005-0000-0000-000007CA0000}"/>
    <cellStyle name="Normal 98 5" xfId="51825" xr:uid="{00000000-0005-0000-0000-000008CA0000}"/>
    <cellStyle name="Normal 98 6" xfId="51826" xr:uid="{00000000-0005-0000-0000-000009CA0000}"/>
    <cellStyle name="Normal 99" xfId="51827" xr:uid="{00000000-0005-0000-0000-00000ACA0000}"/>
    <cellStyle name="Normal 99 2" xfId="51828" xr:uid="{00000000-0005-0000-0000-00000BCA0000}"/>
    <cellStyle name="Normal 99 2 2" xfId="51829" xr:uid="{00000000-0005-0000-0000-00000CCA0000}"/>
    <cellStyle name="Normal 99 2 2 2" xfId="51830" xr:uid="{00000000-0005-0000-0000-00000DCA0000}"/>
    <cellStyle name="Normal 99 2 3" xfId="51831" xr:uid="{00000000-0005-0000-0000-00000ECA0000}"/>
    <cellStyle name="Normal 99 3" xfId="51832" xr:uid="{00000000-0005-0000-0000-00000FCA0000}"/>
    <cellStyle name="Normal 99 3 2" xfId="51833" xr:uid="{00000000-0005-0000-0000-000010CA0000}"/>
    <cellStyle name="Normal 99 4" xfId="51834" xr:uid="{00000000-0005-0000-0000-000011CA0000}"/>
    <cellStyle name="Normal 99 5" xfId="51835" xr:uid="{00000000-0005-0000-0000-000012CA0000}"/>
    <cellStyle name="Normal 99 6" xfId="51836" xr:uid="{00000000-0005-0000-0000-000013CA0000}"/>
    <cellStyle name="Normal_Attachment 5A - Program Budget Workbook Dec22" xfId="61185" xr:uid="{466C66FD-AC1A-417C-8527-66E1FFBD52A3}"/>
    <cellStyle name="Normal_RRM3_Tables_(as filed)_v 08" xfId="58" xr:uid="{00000000-0005-0000-0000-000014CA0000}"/>
    <cellStyle name="Normal_Sheet3" xfId="398" xr:uid="{00000000-0005-0000-0000-000015CA0000}"/>
    <cellStyle name="Normal_Sheet4" xfId="395" xr:uid="{00000000-0005-0000-0000-000016CA0000}"/>
    <cellStyle name="Note 10" xfId="51837" xr:uid="{00000000-0005-0000-0000-000017CA0000}"/>
    <cellStyle name="Note 10 2" xfId="51838" xr:uid="{00000000-0005-0000-0000-000018CA0000}"/>
    <cellStyle name="Note 10 2 2" xfId="51839" xr:uid="{00000000-0005-0000-0000-000019CA0000}"/>
    <cellStyle name="Note 10 3" xfId="51840" xr:uid="{00000000-0005-0000-0000-00001ACA0000}"/>
    <cellStyle name="Note 10 3 2" xfId="51841" xr:uid="{00000000-0005-0000-0000-00001BCA0000}"/>
    <cellStyle name="Note 10 4" xfId="51842" xr:uid="{00000000-0005-0000-0000-00001CCA0000}"/>
    <cellStyle name="Note 10 5" xfId="51843" xr:uid="{00000000-0005-0000-0000-00001DCA0000}"/>
    <cellStyle name="Note 10 6" xfId="51844" xr:uid="{00000000-0005-0000-0000-00001ECA0000}"/>
    <cellStyle name="Note 10 7" xfId="51845" xr:uid="{00000000-0005-0000-0000-00001FCA0000}"/>
    <cellStyle name="Note 11" xfId="51846" xr:uid="{00000000-0005-0000-0000-000020CA0000}"/>
    <cellStyle name="Note 2" xfId="51847" xr:uid="{00000000-0005-0000-0000-000021CA0000}"/>
    <cellStyle name="Note 2 10" xfId="51848" xr:uid="{00000000-0005-0000-0000-000022CA0000}"/>
    <cellStyle name="Note 2 10 2" xfId="51849" xr:uid="{00000000-0005-0000-0000-000023CA0000}"/>
    <cellStyle name="Note 2 10 3" xfId="51850" xr:uid="{00000000-0005-0000-0000-000024CA0000}"/>
    <cellStyle name="Note 2 11" xfId="51851" xr:uid="{00000000-0005-0000-0000-000025CA0000}"/>
    <cellStyle name="Note 2 11 2" xfId="51852" xr:uid="{00000000-0005-0000-0000-000026CA0000}"/>
    <cellStyle name="Note 2 11 2 2" xfId="51853" xr:uid="{00000000-0005-0000-0000-000027CA0000}"/>
    <cellStyle name="Note 2 11 3" xfId="51854" xr:uid="{00000000-0005-0000-0000-000028CA0000}"/>
    <cellStyle name="Note 2 12" xfId="51855" xr:uid="{00000000-0005-0000-0000-000029CA0000}"/>
    <cellStyle name="Note 2 12 2" xfId="51856" xr:uid="{00000000-0005-0000-0000-00002ACA0000}"/>
    <cellStyle name="Note 2 12 3" xfId="51857" xr:uid="{00000000-0005-0000-0000-00002BCA0000}"/>
    <cellStyle name="Note 2 13" xfId="51858" xr:uid="{00000000-0005-0000-0000-00002CCA0000}"/>
    <cellStyle name="Note 2 13 2" xfId="51859" xr:uid="{00000000-0005-0000-0000-00002DCA0000}"/>
    <cellStyle name="Note 2 13 3" xfId="51860" xr:uid="{00000000-0005-0000-0000-00002ECA0000}"/>
    <cellStyle name="Note 2 14" xfId="51861" xr:uid="{00000000-0005-0000-0000-00002FCA0000}"/>
    <cellStyle name="Note 2 14 2" xfId="51862" xr:uid="{00000000-0005-0000-0000-000030CA0000}"/>
    <cellStyle name="Note 2 15" xfId="51863" xr:uid="{00000000-0005-0000-0000-000031CA0000}"/>
    <cellStyle name="Note 2 15 2" xfId="51864" xr:uid="{00000000-0005-0000-0000-000032CA0000}"/>
    <cellStyle name="Note 2 15 3" xfId="51865" xr:uid="{00000000-0005-0000-0000-000033CA0000}"/>
    <cellStyle name="Note 2 16" xfId="51866" xr:uid="{00000000-0005-0000-0000-000034CA0000}"/>
    <cellStyle name="Note 2 16 2" xfId="51867" xr:uid="{00000000-0005-0000-0000-000035CA0000}"/>
    <cellStyle name="Note 2 16 3" xfId="51868" xr:uid="{00000000-0005-0000-0000-000036CA0000}"/>
    <cellStyle name="Note 2 17" xfId="51869" xr:uid="{00000000-0005-0000-0000-000037CA0000}"/>
    <cellStyle name="Note 2 17 2" xfId="51870" xr:uid="{00000000-0005-0000-0000-000038CA0000}"/>
    <cellStyle name="Note 2 17 3" xfId="51871" xr:uid="{00000000-0005-0000-0000-000039CA0000}"/>
    <cellStyle name="Note 2 18" xfId="51872" xr:uid="{00000000-0005-0000-0000-00003ACA0000}"/>
    <cellStyle name="Note 2 18 2" xfId="51873" xr:uid="{00000000-0005-0000-0000-00003BCA0000}"/>
    <cellStyle name="Note 2 18 3" xfId="51874" xr:uid="{00000000-0005-0000-0000-00003CCA0000}"/>
    <cellStyle name="Note 2 19" xfId="51875" xr:uid="{00000000-0005-0000-0000-00003DCA0000}"/>
    <cellStyle name="Note 2 2" xfId="51876" xr:uid="{00000000-0005-0000-0000-00003ECA0000}"/>
    <cellStyle name="Note 2 2 10" xfId="51877" xr:uid="{00000000-0005-0000-0000-00003FCA0000}"/>
    <cellStyle name="Note 2 2 10 2" xfId="51878" xr:uid="{00000000-0005-0000-0000-000040CA0000}"/>
    <cellStyle name="Note 2 2 10 3" xfId="51879" xr:uid="{00000000-0005-0000-0000-000041CA0000}"/>
    <cellStyle name="Note 2 2 11" xfId="51880" xr:uid="{00000000-0005-0000-0000-000042CA0000}"/>
    <cellStyle name="Note 2 2 11 2" xfId="51881" xr:uid="{00000000-0005-0000-0000-000043CA0000}"/>
    <cellStyle name="Note 2 2 11 3" xfId="51882" xr:uid="{00000000-0005-0000-0000-000044CA0000}"/>
    <cellStyle name="Note 2 2 12" xfId="51883" xr:uid="{00000000-0005-0000-0000-000045CA0000}"/>
    <cellStyle name="Note 2 2 13" xfId="51884" xr:uid="{00000000-0005-0000-0000-000046CA0000}"/>
    <cellStyle name="Note 2 2 14" xfId="51885" xr:uid="{00000000-0005-0000-0000-000047CA0000}"/>
    <cellStyle name="Note 2 2 15" xfId="51886" xr:uid="{00000000-0005-0000-0000-000048CA0000}"/>
    <cellStyle name="Note 2 2 2" xfId="51887" xr:uid="{00000000-0005-0000-0000-000049CA0000}"/>
    <cellStyle name="Note 2 2 2 10" xfId="51888" xr:uid="{00000000-0005-0000-0000-00004ACA0000}"/>
    <cellStyle name="Note 2 2 2 11" xfId="51889" xr:uid="{00000000-0005-0000-0000-00004BCA0000}"/>
    <cellStyle name="Note 2 2 2 2" xfId="51890" xr:uid="{00000000-0005-0000-0000-00004CCA0000}"/>
    <cellStyle name="Note 2 2 2 2 2" xfId="51891" xr:uid="{00000000-0005-0000-0000-00004DCA0000}"/>
    <cellStyle name="Note 2 2 2 2 2 2" xfId="51892" xr:uid="{00000000-0005-0000-0000-00004ECA0000}"/>
    <cellStyle name="Note 2 2 2 2 3" xfId="51893" xr:uid="{00000000-0005-0000-0000-00004FCA0000}"/>
    <cellStyle name="Note 2 2 2 2 3 2" xfId="51894" xr:uid="{00000000-0005-0000-0000-000050CA0000}"/>
    <cellStyle name="Note 2 2 2 2 4" xfId="51895" xr:uid="{00000000-0005-0000-0000-000051CA0000}"/>
    <cellStyle name="Note 2 2 2 2 4 2" xfId="51896" xr:uid="{00000000-0005-0000-0000-000052CA0000}"/>
    <cellStyle name="Note 2 2 2 2 5" xfId="51897" xr:uid="{00000000-0005-0000-0000-000053CA0000}"/>
    <cellStyle name="Note 2 2 2 3" xfId="51898" xr:uid="{00000000-0005-0000-0000-000054CA0000}"/>
    <cellStyle name="Note 2 2 2 3 2" xfId="51899" xr:uid="{00000000-0005-0000-0000-000055CA0000}"/>
    <cellStyle name="Note 2 2 2 3 2 2" xfId="51900" xr:uid="{00000000-0005-0000-0000-000056CA0000}"/>
    <cellStyle name="Note 2 2 2 3 3" xfId="51901" xr:uid="{00000000-0005-0000-0000-000057CA0000}"/>
    <cellStyle name="Note 2 2 2 3 3 2" xfId="51902" xr:uid="{00000000-0005-0000-0000-000058CA0000}"/>
    <cellStyle name="Note 2 2 2 3 4" xfId="51903" xr:uid="{00000000-0005-0000-0000-000059CA0000}"/>
    <cellStyle name="Note 2 2 2 3 4 2" xfId="51904" xr:uid="{00000000-0005-0000-0000-00005ACA0000}"/>
    <cellStyle name="Note 2 2 2 3 5" xfId="51905" xr:uid="{00000000-0005-0000-0000-00005BCA0000}"/>
    <cellStyle name="Note 2 2 2 4" xfId="51906" xr:uid="{00000000-0005-0000-0000-00005CCA0000}"/>
    <cellStyle name="Note 2 2 2 4 2" xfId="51907" xr:uid="{00000000-0005-0000-0000-00005DCA0000}"/>
    <cellStyle name="Note 2 2 2 4 2 2" xfId="51908" xr:uid="{00000000-0005-0000-0000-00005ECA0000}"/>
    <cellStyle name="Note 2 2 2 4 3" xfId="51909" xr:uid="{00000000-0005-0000-0000-00005FCA0000}"/>
    <cellStyle name="Note 2 2 2 4 3 2" xfId="51910" xr:uid="{00000000-0005-0000-0000-000060CA0000}"/>
    <cellStyle name="Note 2 2 2 4 4" xfId="51911" xr:uid="{00000000-0005-0000-0000-000061CA0000}"/>
    <cellStyle name="Note 2 2 2 4 4 2" xfId="51912" xr:uid="{00000000-0005-0000-0000-000062CA0000}"/>
    <cellStyle name="Note 2 2 2 4 5" xfId="51913" xr:uid="{00000000-0005-0000-0000-000063CA0000}"/>
    <cellStyle name="Note 2 2 2 5" xfId="51914" xr:uid="{00000000-0005-0000-0000-000064CA0000}"/>
    <cellStyle name="Note 2 2 2 5 2" xfId="51915" xr:uid="{00000000-0005-0000-0000-000065CA0000}"/>
    <cellStyle name="Note 2 2 2 5 3" xfId="51916" xr:uid="{00000000-0005-0000-0000-000066CA0000}"/>
    <cellStyle name="Note 2 2 2 6" xfId="51917" xr:uid="{00000000-0005-0000-0000-000067CA0000}"/>
    <cellStyle name="Note 2 2 2 6 2" xfId="51918" xr:uid="{00000000-0005-0000-0000-000068CA0000}"/>
    <cellStyle name="Note 2 2 2 7" xfId="51919" xr:uid="{00000000-0005-0000-0000-000069CA0000}"/>
    <cellStyle name="Note 2 2 2 7 2" xfId="51920" xr:uid="{00000000-0005-0000-0000-00006ACA0000}"/>
    <cellStyle name="Note 2 2 2 8" xfId="51921" xr:uid="{00000000-0005-0000-0000-00006BCA0000}"/>
    <cellStyle name="Note 2 2 2 8 2" xfId="51922" xr:uid="{00000000-0005-0000-0000-00006CCA0000}"/>
    <cellStyle name="Note 2 2 2 9" xfId="51923" xr:uid="{00000000-0005-0000-0000-00006DCA0000}"/>
    <cellStyle name="Note 2 2 3" xfId="51924" xr:uid="{00000000-0005-0000-0000-00006ECA0000}"/>
    <cellStyle name="Note 2 2 3 2" xfId="51925" xr:uid="{00000000-0005-0000-0000-00006FCA0000}"/>
    <cellStyle name="Note 2 2 3 2 2" xfId="51926" xr:uid="{00000000-0005-0000-0000-000070CA0000}"/>
    <cellStyle name="Note 2 2 3 3" xfId="51927" xr:uid="{00000000-0005-0000-0000-000071CA0000}"/>
    <cellStyle name="Note 2 2 3 3 2" xfId="51928" xr:uid="{00000000-0005-0000-0000-000072CA0000}"/>
    <cellStyle name="Note 2 2 3 4" xfId="51929" xr:uid="{00000000-0005-0000-0000-000073CA0000}"/>
    <cellStyle name="Note 2 2 3 4 2" xfId="51930" xr:uid="{00000000-0005-0000-0000-000074CA0000}"/>
    <cellStyle name="Note 2 2 3 5" xfId="51931" xr:uid="{00000000-0005-0000-0000-000075CA0000}"/>
    <cellStyle name="Note 2 2 4" xfId="51932" xr:uid="{00000000-0005-0000-0000-000076CA0000}"/>
    <cellStyle name="Note 2 2 4 2" xfId="51933" xr:uid="{00000000-0005-0000-0000-000077CA0000}"/>
    <cellStyle name="Note 2 2 4 2 2" xfId="51934" xr:uid="{00000000-0005-0000-0000-000078CA0000}"/>
    <cellStyle name="Note 2 2 4 3" xfId="51935" xr:uid="{00000000-0005-0000-0000-000079CA0000}"/>
    <cellStyle name="Note 2 2 4 3 2" xfId="51936" xr:uid="{00000000-0005-0000-0000-00007ACA0000}"/>
    <cellStyle name="Note 2 2 4 4" xfId="51937" xr:uid="{00000000-0005-0000-0000-00007BCA0000}"/>
    <cellStyle name="Note 2 2 4 4 2" xfId="51938" xr:uid="{00000000-0005-0000-0000-00007CCA0000}"/>
    <cellStyle name="Note 2 2 4 5" xfId="51939" xr:uid="{00000000-0005-0000-0000-00007DCA0000}"/>
    <cellStyle name="Note 2 2 5" xfId="51940" xr:uid="{00000000-0005-0000-0000-00007ECA0000}"/>
    <cellStyle name="Note 2 2 5 2" xfId="51941" xr:uid="{00000000-0005-0000-0000-00007FCA0000}"/>
    <cellStyle name="Note 2 2 5 2 2" xfId="51942" xr:uid="{00000000-0005-0000-0000-000080CA0000}"/>
    <cellStyle name="Note 2 2 5 3" xfId="51943" xr:uid="{00000000-0005-0000-0000-000081CA0000}"/>
    <cellStyle name="Note 2 2 5 3 2" xfId="51944" xr:uid="{00000000-0005-0000-0000-000082CA0000}"/>
    <cellStyle name="Note 2 2 5 4" xfId="51945" xr:uid="{00000000-0005-0000-0000-000083CA0000}"/>
    <cellStyle name="Note 2 2 6" xfId="51946" xr:uid="{00000000-0005-0000-0000-000084CA0000}"/>
    <cellStyle name="Note 2 2 6 2" xfId="51947" xr:uid="{00000000-0005-0000-0000-000085CA0000}"/>
    <cellStyle name="Note 2 2 6 3" xfId="51948" xr:uid="{00000000-0005-0000-0000-000086CA0000}"/>
    <cellStyle name="Note 2 2 7" xfId="51949" xr:uid="{00000000-0005-0000-0000-000087CA0000}"/>
    <cellStyle name="Note 2 2 7 2" xfId="51950" xr:uid="{00000000-0005-0000-0000-000088CA0000}"/>
    <cellStyle name="Note 2 2 8" xfId="51951" xr:uid="{00000000-0005-0000-0000-000089CA0000}"/>
    <cellStyle name="Note 2 2 8 2" xfId="51952" xr:uid="{00000000-0005-0000-0000-00008ACA0000}"/>
    <cellStyle name="Note 2 2 8 3" xfId="51953" xr:uid="{00000000-0005-0000-0000-00008BCA0000}"/>
    <cellStyle name="Note 2 2 9" xfId="51954" xr:uid="{00000000-0005-0000-0000-00008CCA0000}"/>
    <cellStyle name="Note 2 2 9 2" xfId="51955" xr:uid="{00000000-0005-0000-0000-00008DCA0000}"/>
    <cellStyle name="Note 2 2 9 3" xfId="51956" xr:uid="{00000000-0005-0000-0000-00008ECA0000}"/>
    <cellStyle name="Note 2 2_Dec monthly report" xfId="51957" xr:uid="{00000000-0005-0000-0000-00008FCA0000}"/>
    <cellStyle name="Note 2 20" xfId="51958" xr:uid="{00000000-0005-0000-0000-000090CA0000}"/>
    <cellStyle name="Note 2 3" xfId="51959" xr:uid="{00000000-0005-0000-0000-000091CA0000}"/>
    <cellStyle name="Note 2 3 10" xfId="51960" xr:uid="{00000000-0005-0000-0000-000092CA0000}"/>
    <cellStyle name="Note 2 3 11" xfId="51961" xr:uid="{00000000-0005-0000-0000-000093CA0000}"/>
    <cellStyle name="Note 2 3 2" xfId="51962" xr:uid="{00000000-0005-0000-0000-000094CA0000}"/>
    <cellStyle name="Note 2 3 2 2" xfId="51963" xr:uid="{00000000-0005-0000-0000-000095CA0000}"/>
    <cellStyle name="Note 2 3 2 2 2" xfId="51964" xr:uid="{00000000-0005-0000-0000-000096CA0000}"/>
    <cellStyle name="Note 2 3 2 2 2 2" xfId="51965" xr:uid="{00000000-0005-0000-0000-000097CA0000}"/>
    <cellStyle name="Note 2 3 2 2 3" xfId="51966" xr:uid="{00000000-0005-0000-0000-000098CA0000}"/>
    <cellStyle name="Note 2 3 2 3" xfId="51967" xr:uid="{00000000-0005-0000-0000-000099CA0000}"/>
    <cellStyle name="Note 2 3 2 3 2" xfId="51968" xr:uid="{00000000-0005-0000-0000-00009ACA0000}"/>
    <cellStyle name="Note 2 3 2 3 3" xfId="51969" xr:uid="{00000000-0005-0000-0000-00009BCA0000}"/>
    <cellStyle name="Note 2 3 2 4" xfId="51970" xr:uid="{00000000-0005-0000-0000-00009CCA0000}"/>
    <cellStyle name="Note 2 3 2 4 2" xfId="51971" xr:uid="{00000000-0005-0000-0000-00009DCA0000}"/>
    <cellStyle name="Note 2 3 2 5" xfId="51972" xr:uid="{00000000-0005-0000-0000-00009ECA0000}"/>
    <cellStyle name="Note 2 3 2 6" xfId="51973" xr:uid="{00000000-0005-0000-0000-00009FCA0000}"/>
    <cellStyle name="Note 2 3 3" xfId="51974" xr:uid="{00000000-0005-0000-0000-0000A0CA0000}"/>
    <cellStyle name="Note 2 3 3 2" xfId="51975" xr:uid="{00000000-0005-0000-0000-0000A1CA0000}"/>
    <cellStyle name="Note 2 3 3 2 2" xfId="51976" xr:uid="{00000000-0005-0000-0000-0000A2CA0000}"/>
    <cellStyle name="Note 2 3 3 3" xfId="51977" xr:uid="{00000000-0005-0000-0000-0000A3CA0000}"/>
    <cellStyle name="Note 2 3 3 3 2" xfId="51978" xr:uid="{00000000-0005-0000-0000-0000A4CA0000}"/>
    <cellStyle name="Note 2 3 3 4" xfId="51979" xr:uid="{00000000-0005-0000-0000-0000A5CA0000}"/>
    <cellStyle name="Note 2 3 3 4 2" xfId="51980" xr:uid="{00000000-0005-0000-0000-0000A6CA0000}"/>
    <cellStyle name="Note 2 3 3 4 3" xfId="51981" xr:uid="{00000000-0005-0000-0000-0000A7CA0000}"/>
    <cellStyle name="Note 2 3 3 5" xfId="51982" xr:uid="{00000000-0005-0000-0000-0000A8CA0000}"/>
    <cellStyle name="Note 2 3 3 6" xfId="51983" xr:uid="{00000000-0005-0000-0000-0000A9CA0000}"/>
    <cellStyle name="Note 2 3 4" xfId="51984" xr:uid="{00000000-0005-0000-0000-0000AACA0000}"/>
    <cellStyle name="Note 2 3 4 2" xfId="51985" xr:uid="{00000000-0005-0000-0000-0000ABCA0000}"/>
    <cellStyle name="Note 2 3 4 2 2" xfId="51986" xr:uid="{00000000-0005-0000-0000-0000ACCA0000}"/>
    <cellStyle name="Note 2 3 4 3" xfId="51987" xr:uid="{00000000-0005-0000-0000-0000ADCA0000}"/>
    <cellStyle name="Note 2 3 5" xfId="51988" xr:uid="{00000000-0005-0000-0000-0000AECA0000}"/>
    <cellStyle name="Note 2 3 5 2" xfId="51989" xr:uid="{00000000-0005-0000-0000-0000AFCA0000}"/>
    <cellStyle name="Note 2 3 6" xfId="51990" xr:uid="{00000000-0005-0000-0000-0000B0CA0000}"/>
    <cellStyle name="Note 2 3 6 2" xfId="51991" xr:uid="{00000000-0005-0000-0000-0000B1CA0000}"/>
    <cellStyle name="Note 2 3 7" xfId="51992" xr:uid="{00000000-0005-0000-0000-0000B2CA0000}"/>
    <cellStyle name="Note 2 3 7 2" xfId="51993" xr:uid="{00000000-0005-0000-0000-0000B3CA0000}"/>
    <cellStyle name="Note 2 3 8" xfId="51994" xr:uid="{00000000-0005-0000-0000-0000B4CA0000}"/>
    <cellStyle name="Note 2 3 8 2" xfId="51995" xr:uid="{00000000-0005-0000-0000-0000B5CA0000}"/>
    <cellStyle name="Note 2 3 9" xfId="51996" xr:uid="{00000000-0005-0000-0000-0000B6CA0000}"/>
    <cellStyle name="Note 2 4" xfId="51997" xr:uid="{00000000-0005-0000-0000-0000B7CA0000}"/>
    <cellStyle name="Note 2 4 2" xfId="51998" xr:uid="{00000000-0005-0000-0000-0000B8CA0000}"/>
    <cellStyle name="Note 2 4 2 2" xfId="51999" xr:uid="{00000000-0005-0000-0000-0000B9CA0000}"/>
    <cellStyle name="Note 2 4 2 2 2" xfId="52000" xr:uid="{00000000-0005-0000-0000-0000BACA0000}"/>
    <cellStyle name="Note 2 4 2 3" xfId="52001" xr:uid="{00000000-0005-0000-0000-0000BBCA0000}"/>
    <cellStyle name="Note 2 4 2 3 2" xfId="52002" xr:uid="{00000000-0005-0000-0000-0000BCCA0000}"/>
    <cellStyle name="Note 2 4 2 4" xfId="52003" xr:uid="{00000000-0005-0000-0000-0000BDCA0000}"/>
    <cellStyle name="Note 2 4 2 4 2" xfId="52004" xr:uid="{00000000-0005-0000-0000-0000BECA0000}"/>
    <cellStyle name="Note 2 4 2 4 3" xfId="52005" xr:uid="{00000000-0005-0000-0000-0000BFCA0000}"/>
    <cellStyle name="Note 2 4 2 5" xfId="52006" xr:uid="{00000000-0005-0000-0000-0000C0CA0000}"/>
    <cellStyle name="Note 2 4 3" xfId="52007" xr:uid="{00000000-0005-0000-0000-0000C1CA0000}"/>
    <cellStyle name="Note 2 4 3 2" xfId="52008" xr:uid="{00000000-0005-0000-0000-0000C2CA0000}"/>
    <cellStyle name="Note 2 4 3 2 2" xfId="52009" xr:uid="{00000000-0005-0000-0000-0000C3CA0000}"/>
    <cellStyle name="Note 2 4 3 3" xfId="52010" xr:uid="{00000000-0005-0000-0000-0000C4CA0000}"/>
    <cellStyle name="Note 2 4 4" xfId="52011" xr:uid="{00000000-0005-0000-0000-0000C5CA0000}"/>
    <cellStyle name="Note 2 4 4 2" xfId="52012" xr:uid="{00000000-0005-0000-0000-0000C6CA0000}"/>
    <cellStyle name="Note 2 4 5" xfId="52013" xr:uid="{00000000-0005-0000-0000-0000C7CA0000}"/>
    <cellStyle name="Note 2 4 5 2" xfId="52014" xr:uid="{00000000-0005-0000-0000-0000C8CA0000}"/>
    <cellStyle name="Note 2 4 6" xfId="52015" xr:uid="{00000000-0005-0000-0000-0000C9CA0000}"/>
    <cellStyle name="Note 2 4 6 2" xfId="52016" xr:uid="{00000000-0005-0000-0000-0000CACA0000}"/>
    <cellStyle name="Note 2 4 7" xfId="52017" xr:uid="{00000000-0005-0000-0000-0000CBCA0000}"/>
    <cellStyle name="Note 2 4 7 2" xfId="52018" xr:uid="{00000000-0005-0000-0000-0000CCCA0000}"/>
    <cellStyle name="Note 2 4 8" xfId="52019" xr:uid="{00000000-0005-0000-0000-0000CDCA0000}"/>
    <cellStyle name="Note 2 4 9" xfId="52020" xr:uid="{00000000-0005-0000-0000-0000CECA0000}"/>
    <cellStyle name="Note 2 5" xfId="52021" xr:uid="{00000000-0005-0000-0000-0000CFCA0000}"/>
    <cellStyle name="Note 2 5 2" xfId="52022" xr:uid="{00000000-0005-0000-0000-0000D0CA0000}"/>
    <cellStyle name="Note 2 5 2 2" xfId="52023" xr:uid="{00000000-0005-0000-0000-0000D1CA0000}"/>
    <cellStyle name="Note 2 5 2 2 2" xfId="52024" xr:uid="{00000000-0005-0000-0000-0000D2CA0000}"/>
    <cellStyle name="Note 2 5 2 3" xfId="52025" xr:uid="{00000000-0005-0000-0000-0000D3CA0000}"/>
    <cellStyle name="Note 2 5 3" xfId="52026" xr:uid="{00000000-0005-0000-0000-0000D4CA0000}"/>
    <cellStyle name="Note 2 5 3 2" xfId="52027" xr:uid="{00000000-0005-0000-0000-0000D5CA0000}"/>
    <cellStyle name="Note 2 5 3 3" xfId="52028" xr:uid="{00000000-0005-0000-0000-0000D6CA0000}"/>
    <cellStyle name="Note 2 5 4" xfId="52029" xr:uid="{00000000-0005-0000-0000-0000D7CA0000}"/>
    <cellStyle name="Note 2 5 4 2" xfId="52030" xr:uid="{00000000-0005-0000-0000-0000D8CA0000}"/>
    <cellStyle name="Note 2 5 5" xfId="52031" xr:uid="{00000000-0005-0000-0000-0000D9CA0000}"/>
    <cellStyle name="Note 2 5 5 2" xfId="52032" xr:uid="{00000000-0005-0000-0000-0000DACA0000}"/>
    <cellStyle name="Note 2 5 6" xfId="52033" xr:uid="{00000000-0005-0000-0000-0000DBCA0000}"/>
    <cellStyle name="Note 2 5 6 2" xfId="52034" xr:uid="{00000000-0005-0000-0000-0000DCCA0000}"/>
    <cellStyle name="Note 2 5 7" xfId="52035" xr:uid="{00000000-0005-0000-0000-0000DDCA0000}"/>
    <cellStyle name="Note 2 5 8" xfId="52036" xr:uid="{00000000-0005-0000-0000-0000DECA0000}"/>
    <cellStyle name="Note 2 5 9" xfId="52037" xr:uid="{00000000-0005-0000-0000-0000DFCA0000}"/>
    <cellStyle name="Note 2 6" xfId="52038" xr:uid="{00000000-0005-0000-0000-0000E0CA0000}"/>
    <cellStyle name="Note 2 6 2" xfId="52039" xr:uid="{00000000-0005-0000-0000-0000E1CA0000}"/>
    <cellStyle name="Note 2 6 2 2" xfId="52040" xr:uid="{00000000-0005-0000-0000-0000E2CA0000}"/>
    <cellStyle name="Note 2 6 2 2 2" xfId="52041" xr:uid="{00000000-0005-0000-0000-0000E3CA0000}"/>
    <cellStyle name="Note 2 6 2 2 2 2" xfId="52042" xr:uid="{00000000-0005-0000-0000-0000E4CA0000}"/>
    <cellStyle name="Note 2 6 2 2 3" xfId="52043" xr:uid="{00000000-0005-0000-0000-0000E5CA0000}"/>
    <cellStyle name="Note 2 6 2 3" xfId="52044" xr:uid="{00000000-0005-0000-0000-0000E6CA0000}"/>
    <cellStyle name="Note 2 6 2 3 2" xfId="52045" xr:uid="{00000000-0005-0000-0000-0000E7CA0000}"/>
    <cellStyle name="Note 2 6 2 4" xfId="52046" xr:uid="{00000000-0005-0000-0000-0000E8CA0000}"/>
    <cellStyle name="Note 2 6 3" xfId="52047" xr:uid="{00000000-0005-0000-0000-0000E9CA0000}"/>
    <cellStyle name="Note 2 6 3 2" xfId="52048" xr:uid="{00000000-0005-0000-0000-0000EACA0000}"/>
    <cellStyle name="Note 2 6 4" xfId="52049" xr:uid="{00000000-0005-0000-0000-0000EBCA0000}"/>
    <cellStyle name="Note 2 6 4 2" xfId="52050" xr:uid="{00000000-0005-0000-0000-0000ECCA0000}"/>
    <cellStyle name="Note 2 6 5" xfId="52051" xr:uid="{00000000-0005-0000-0000-0000EDCA0000}"/>
    <cellStyle name="Note 2 6 5 2" xfId="52052" xr:uid="{00000000-0005-0000-0000-0000EECA0000}"/>
    <cellStyle name="Note 2 6 6" xfId="52053" xr:uid="{00000000-0005-0000-0000-0000EFCA0000}"/>
    <cellStyle name="Note 2 6_Dec monthly report" xfId="52054" xr:uid="{00000000-0005-0000-0000-0000F0CA0000}"/>
    <cellStyle name="Note 2 7" xfId="52055" xr:uid="{00000000-0005-0000-0000-0000F1CA0000}"/>
    <cellStyle name="Note 2 7 2" xfId="52056" xr:uid="{00000000-0005-0000-0000-0000F2CA0000}"/>
    <cellStyle name="Note 2 7 2 2" xfId="52057" xr:uid="{00000000-0005-0000-0000-0000F3CA0000}"/>
    <cellStyle name="Note 2 7 2 3" xfId="52058" xr:uid="{00000000-0005-0000-0000-0000F4CA0000}"/>
    <cellStyle name="Note 2 7 2 4" xfId="52059" xr:uid="{00000000-0005-0000-0000-0000F5CA0000}"/>
    <cellStyle name="Note 2 7 2 5" xfId="52060" xr:uid="{00000000-0005-0000-0000-0000F6CA0000}"/>
    <cellStyle name="Note 2 7 3" xfId="52061" xr:uid="{00000000-0005-0000-0000-0000F7CA0000}"/>
    <cellStyle name="Note 2 7 3 2" xfId="52062" xr:uid="{00000000-0005-0000-0000-0000F8CA0000}"/>
    <cellStyle name="Note 2 7 4" xfId="52063" xr:uid="{00000000-0005-0000-0000-0000F9CA0000}"/>
    <cellStyle name="Note 2 7 4 2" xfId="52064" xr:uid="{00000000-0005-0000-0000-0000FACA0000}"/>
    <cellStyle name="Note 2 7 5" xfId="52065" xr:uid="{00000000-0005-0000-0000-0000FBCA0000}"/>
    <cellStyle name="Note 2 7 5 2" xfId="52066" xr:uid="{00000000-0005-0000-0000-0000FCCA0000}"/>
    <cellStyle name="Note 2 7 6" xfId="52067" xr:uid="{00000000-0005-0000-0000-0000FDCA0000}"/>
    <cellStyle name="Note 2 8" xfId="52068" xr:uid="{00000000-0005-0000-0000-0000FECA0000}"/>
    <cellStyle name="Note 2 8 2" xfId="52069" xr:uid="{00000000-0005-0000-0000-0000FFCA0000}"/>
    <cellStyle name="Note 2 8 2 2" xfId="52070" xr:uid="{00000000-0005-0000-0000-000000CB0000}"/>
    <cellStyle name="Note 2 8 2 2 2" xfId="52071" xr:uid="{00000000-0005-0000-0000-000001CB0000}"/>
    <cellStyle name="Note 2 8 2 3" xfId="52072" xr:uid="{00000000-0005-0000-0000-000002CB0000}"/>
    <cellStyle name="Note 2 8 3" xfId="52073" xr:uid="{00000000-0005-0000-0000-000003CB0000}"/>
    <cellStyle name="Note 2 8 4" xfId="52074" xr:uid="{00000000-0005-0000-0000-000004CB0000}"/>
    <cellStyle name="Note 2 8 5" xfId="52075" xr:uid="{00000000-0005-0000-0000-000005CB0000}"/>
    <cellStyle name="Note 2 8 6" xfId="52076" xr:uid="{00000000-0005-0000-0000-000006CB0000}"/>
    <cellStyle name="Note 2 9" xfId="52077" xr:uid="{00000000-0005-0000-0000-000007CB0000}"/>
    <cellStyle name="Note 2 9 2" xfId="52078" xr:uid="{00000000-0005-0000-0000-000008CB0000}"/>
    <cellStyle name="Note 2 9 2 2" xfId="52079" xr:uid="{00000000-0005-0000-0000-000009CB0000}"/>
    <cellStyle name="Note 2 9 2 3" xfId="52080" xr:uid="{00000000-0005-0000-0000-00000ACB0000}"/>
    <cellStyle name="Note 2 9 3" xfId="52081" xr:uid="{00000000-0005-0000-0000-00000BCB0000}"/>
    <cellStyle name="Note 2 9 4" xfId="52082" xr:uid="{00000000-0005-0000-0000-00000CCB0000}"/>
    <cellStyle name="Note 2 9 5" xfId="52083" xr:uid="{00000000-0005-0000-0000-00000DCB0000}"/>
    <cellStyle name="Note 2 9 6" xfId="52084" xr:uid="{00000000-0005-0000-0000-00000ECB0000}"/>
    <cellStyle name="Note 2_Dec monthly report" xfId="52085" xr:uid="{00000000-0005-0000-0000-00000FCB0000}"/>
    <cellStyle name="Note 3" xfId="52086" xr:uid="{00000000-0005-0000-0000-000010CB0000}"/>
    <cellStyle name="Note 3 10" xfId="52087" xr:uid="{00000000-0005-0000-0000-000011CB0000}"/>
    <cellStyle name="Note 3 10 2" xfId="52088" xr:uid="{00000000-0005-0000-0000-000012CB0000}"/>
    <cellStyle name="Note 3 10 2 2" xfId="52089" xr:uid="{00000000-0005-0000-0000-000013CB0000}"/>
    <cellStyle name="Note 3 10 2 2 2" xfId="52090" xr:uid="{00000000-0005-0000-0000-000014CB0000}"/>
    <cellStyle name="Note 3 10 2 3" xfId="52091" xr:uid="{00000000-0005-0000-0000-000015CB0000}"/>
    <cellStyle name="Note 3 10 3" xfId="52092" xr:uid="{00000000-0005-0000-0000-000016CB0000}"/>
    <cellStyle name="Note 3 10 3 2" xfId="52093" xr:uid="{00000000-0005-0000-0000-000017CB0000}"/>
    <cellStyle name="Note 3 10 4" xfId="52094" xr:uid="{00000000-0005-0000-0000-000018CB0000}"/>
    <cellStyle name="Note 3 11" xfId="52095" xr:uid="{00000000-0005-0000-0000-000019CB0000}"/>
    <cellStyle name="Note 3 11 2" xfId="52096" xr:uid="{00000000-0005-0000-0000-00001ACB0000}"/>
    <cellStyle name="Note 3 11 2 2" xfId="52097" xr:uid="{00000000-0005-0000-0000-00001BCB0000}"/>
    <cellStyle name="Note 3 11 2 3" xfId="52098" xr:uid="{00000000-0005-0000-0000-00001CCB0000}"/>
    <cellStyle name="Note 3 11 3" xfId="52099" xr:uid="{00000000-0005-0000-0000-00001DCB0000}"/>
    <cellStyle name="Note 3 11 3 2" xfId="52100" xr:uid="{00000000-0005-0000-0000-00001ECB0000}"/>
    <cellStyle name="Note 3 11 4" xfId="52101" xr:uid="{00000000-0005-0000-0000-00001FCB0000}"/>
    <cellStyle name="Note 3 12" xfId="52102" xr:uid="{00000000-0005-0000-0000-000020CB0000}"/>
    <cellStyle name="Note 3 12 2" xfId="52103" xr:uid="{00000000-0005-0000-0000-000021CB0000}"/>
    <cellStyle name="Note 3 12 2 2" xfId="52104" xr:uid="{00000000-0005-0000-0000-000022CB0000}"/>
    <cellStyle name="Note 3 12 2 3" xfId="52105" xr:uid="{00000000-0005-0000-0000-000023CB0000}"/>
    <cellStyle name="Note 3 12 3" xfId="52106" xr:uid="{00000000-0005-0000-0000-000024CB0000}"/>
    <cellStyle name="Note 3 12 3 2" xfId="52107" xr:uid="{00000000-0005-0000-0000-000025CB0000}"/>
    <cellStyle name="Note 3 12 4" xfId="52108" xr:uid="{00000000-0005-0000-0000-000026CB0000}"/>
    <cellStyle name="Note 3 13" xfId="52109" xr:uid="{00000000-0005-0000-0000-000027CB0000}"/>
    <cellStyle name="Note 3 13 2" xfId="52110" xr:uid="{00000000-0005-0000-0000-000028CB0000}"/>
    <cellStyle name="Note 3 13 3" xfId="52111" xr:uid="{00000000-0005-0000-0000-000029CB0000}"/>
    <cellStyle name="Note 3 14" xfId="52112" xr:uid="{00000000-0005-0000-0000-00002ACB0000}"/>
    <cellStyle name="Note 3 15" xfId="52113" xr:uid="{00000000-0005-0000-0000-00002BCB0000}"/>
    <cellStyle name="Note 3 16" xfId="52114" xr:uid="{00000000-0005-0000-0000-00002CCB0000}"/>
    <cellStyle name="Note 3 17" xfId="52115" xr:uid="{00000000-0005-0000-0000-00002DCB0000}"/>
    <cellStyle name="Note 3 2" xfId="52116" xr:uid="{00000000-0005-0000-0000-00002ECB0000}"/>
    <cellStyle name="Note 3 2 10" xfId="52117" xr:uid="{00000000-0005-0000-0000-00002FCB0000}"/>
    <cellStyle name="Note 3 2 11" xfId="52118" xr:uid="{00000000-0005-0000-0000-000030CB0000}"/>
    <cellStyle name="Note 3 2 2" xfId="52119" xr:uid="{00000000-0005-0000-0000-000031CB0000}"/>
    <cellStyle name="Note 3 2 2 2" xfId="52120" xr:uid="{00000000-0005-0000-0000-000032CB0000}"/>
    <cellStyle name="Note 3 2 2 2 2" xfId="52121" xr:uid="{00000000-0005-0000-0000-000033CB0000}"/>
    <cellStyle name="Note 3 2 2 2 2 2" xfId="52122" xr:uid="{00000000-0005-0000-0000-000034CB0000}"/>
    <cellStyle name="Note 3 2 2 2 2 2 2" xfId="52123" xr:uid="{00000000-0005-0000-0000-000035CB0000}"/>
    <cellStyle name="Note 3 2 2 2 2 3" xfId="52124" xr:uid="{00000000-0005-0000-0000-000036CB0000}"/>
    <cellStyle name="Note 3 2 2 2 3" xfId="52125" xr:uid="{00000000-0005-0000-0000-000037CB0000}"/>
    <cellStyle name="Note 3 2 2 2 4" xfId="52126" xr:uid="{00000000-0005-0000-0000-000038CB0000}"/>
    <cellStyle name="Note 3 2 2 2 5" xfId="52127" xr:uid="{00000000-0005-0000-0000-000039CB0000}"/>
    <cellStyle name="Note 3 2 2 2 6" xfId="52128" xr:uid="{00000000-0005-0000-0000-00003ACB0000}"/>
    <cellStyle name="Note 3 2 2 3" xfId="52129" xr:uid="{00000000-0005-0000-0000-00003BCB0000}"/>
    <cellStyle name="Note 3 2 2 3 2" xfId="52130" xr:uid="{00000000-0005-0000-0000-00003CCB0000}"/>
    <cellStyle name="Note 3 2 2 3 2 2" xfId="52131" xr:uid="{00000000-0005-0000-0000-00003DCB0000}"/>
    <cellStyle name="Note 3 2 2 3 3" xfId="52132" xr:uid="{00000000-0005-0000-0000-00003ECB0000}"/>
    <cellStyle name="Note 3 2 2 4" xfId="52133" xr:uid="{00000000-0005-0000-0000-00003FCB0000}"/>
    <cellStyle name="Note 3 2 2 4 2" xfId="52134" xr:uid="{00000000-0005-0000-0000-000040CB0000}"/>
    <cellStyle name="Note 3 2 2 4 2 2" xfId="52135" xr:uid="{00000000-0005-0000-0000-000041CB0000}"/>
    <cellStyle name="Note 3 2 2 4 2 2 2" xfId="52136" xr:uid="{00000000-0005-0000-0000-000042CB0000}"/>
    <cellStyle name="Note 3 2 2 4 2 3" xfId="52137" xr:uid="{00000000-0005-0000-0000-000043CB0000}"/>
    <cellStyle name="Note 3 2 2 4 3" xfId="52138" xr:uid="{00000000-0005-0000-0000-000044CB0000}"/>
    <cellStyle name="Note 3 2 2 4 3 2" xfId="52139" xr:uid="{00000000-0005-0000-0000-000045CB0000}"/>
    <cellStyle name="Note 3 2 2 4 4" xfId="52140" xr:uid="{00000000-0005-0000-0000-000046CB0000}"/>
    <cellStyle name="Note 3 2 2 5" xfId="52141" xr:uid="{00000000-0005-0000-0000-000047CB0000}"/>
    <cellStyle name="Note 3 2 2 5 2" xfId="52142" xr:uid="{00000000-0005-0000-0000-000048CB0000}"/>
    <cellStyle name="Note 3 2 2 5 2 2" xfId="52143" xr:uid="{00000000-0005-0000-0000-000049CB0000}"/>
    <cellStyle name="Note 3 2 2 5 2 3" xfId="52144" xr:uid="{00000000-0005-0000-0000-00004ACB0000}"/>
    <cellStyle name="Note 3 2 2 5 3" xfId="52145" xr:uid="{00000000-0005-0000-0000-00004BCB0000}"/>
    <cellStyle name="Note 3 2 2 5 3 2" xfId="52146" xr:uid="{00000000-0005-0000-0000-00004CCB0000}"/>
    <cellStyle name="Note 3 2 2 5 4" xfId="52147" xr:uid="{00000000-0005-0000-0000-00004DCB0000}"/>
    <cellStyle name="Note 3 2 2 6" xfId="52148" xr:uid="{00000000-0005-0000-0000-00004ECB0000}"/>
    <cellStyle name="Note 3 2 2 7" xfId="52149" xr:uid="{00000000-0005-0000-0000-00004FCB0000}"/>
    <cellStyle name="Note 3 2 2 8" xfId="52150" xr:uid="{00000000-0005-0000-0000-000050CB0000}"/>
    <cellStyle name="Note 3 2 2 9" xfId="52151" xr:uid="{00000000-0005-0000-0000-000051CB0000}"/>
    <cellStyle name="Note 3 2 3" xfId="52152" xr:uid="{00000000-0005-0000-0000-000052CB0000}"/>
    <cellStyle name="Note 3 2 3 2" xfId="52153" xr:uid="{00000000-0005-0000-0000-000053CB0000}"/>
    <cellStyle name="Note 3 2 3 2 2" xfId="52154" xr:uid="{00000000-0005-0000-0000-000054CB0000}"/>
    <cellStyle name="Note 3 2 3 2 2 2" xfId="52155" xr:uid="{00000000-0005-0000-0000-000055CB0000}"/>
    <cellStyle name="Note 3 2 3 2 3" xfId="52156" xr:uid="{00000000-0005-0000-0000-000056CB0000}"/>
    <cellStyle name="Note 3 2 3 3" xfId="52157" xr:uid="{00000000-0005-0000-0000-000057CB0000}"/>
    <cellStyle name="Note 3 2 3 4" xfId="52158" xr:uid="{00000000-0005-0000-0000-000058CB0000}"/>
    <cellStyle name="Note 3 2 3 5" xfId="52159" xr:uid="{00000000-0005-0000-0000-000059CB0000}"/>
    <cellStyle name="Note 3 2 3 6" xfId="52160" xr:uid="{00000000-0005-0000-0000-00005ACB0000}"/>
    <cellStyle name="Note 3 2 4" xfId="52161" xr:uid="{00000000-0005-0000-0000-00005BCB0000}"/>
    <cellStyle name="Note 3 2 4 2" xfId="52162" xr:uid="{00000000-0005-0000-0000-00005CCB0000}"/>
    <cellStyle name="Note 3 2 4 2 2" xfId="52163" xr:uid="{00000000-0005-0000-0000-00005DCB0000}"/>
    <cellStyle name="Note 3 2 4 2 2 2" xfId="52164" xr:uid="{00000000-0005-0000-0000-00005ECB0000}"/>
    <cellStyle name="Note 3 2 4 2 3" xfId="52165" xr:uid="{00000000-0005-0000-0000-00005FCB0000}"/>
    <cellStyle name="Note 3 2 4 3" xfId="52166" xr:uid="{00000000-0005-0000-0000-000060CB0000}"/>
    <cellStyle name="Note 3 2 4 3 2" xfId="52167" xr:uid="{00000000-0005-0000-0000-000061CB0000}"/>
    <cellStyle name="Note 3 2 4 4" xfId="52168" xr:uid="{00000000-0005-0000-0000-000062CB0000}"/>
    <cellStyle name="Note 3 2 5" xfId="52169" xr:uid="{00000000-0005-0000-0000-000063CB0000}"/>
    <cellStyle name="Note 3 2 5 2" xfId="52170" xr:uid="{00000000-0005-0000-0000-000064CB0000}"/>
    <cellStyle name="Note 3 2 5 2 2" xfId="52171" xr:uid="{00000000-0005-0000-0000-000065CB0000}"/>
    <cellStyle name="Note 3 2 5 3" xfId="52172" xr:uid="{00000000-0005-0000-0000-000066CB0000}"/>
    <cellStyle name="Note 3 2 6" xfId="52173" xr:uid="{00000000-0005-0000-0000-000067CB0000}"/>
    <cellStyle name="Note 3 2 6 2" xfId="52174" xr:uid="{00000000-0005-0000-0000-000068CB0000}"/>
    <cellStyle name="Note 3 2 6 2 2" xfId="52175" xr:uid="{00000000-0005-0000-0000-000069CB0000}"/>
    <cellStyle name="Note 3 2 6 2 2 2" xfId="52176" xr:uid="{00000000-0005-0000-0000-00006ACB0000}"/>
    <cellStyle name="Note 3 2 6 2 3" xfId="52177" xr:uid="{00000000-0005-0000-0000-00006BCB0000}"/>
    <cellStyle name="Note 3 2 6 3" xfId="52178" xr:uid="{00000000-0005-0000-0000-00006CCB0000}"/>
    <cellStyle name="Note 3 2 6 3 2" xfId="52179" xr:uid="{00000000-0005-0000-0000-00006DCB0000}"/>
    <cellStyle name="Note 3 2 6 4" xfId="52180" xr:uid="{00000000-0005-0000-0000-00006ECB0000}"/>
    <cellStyle name="Note 3 2 7" xfId="52181" xr:uid="{00000000-0005-0000-0000-00006FCB0000}"/>
    <cellStyle name="Note 3 2 7 2" xfId="52182" xr:uid="{00000000-0005-0000-0000-000070CB0000}"/>
    <cellStyle name="Note 3 2 7 2 2" xfId="52183" xr:uid="{00000000-0005-0000-0000-000071CB0000}"/>
    <cellStyle name="Note 3 2 7 2 3" xfId="52184" xr:uid="{00000000-0005-0000-0000-000072CB0000}"/>
    <cellStyle name="Note 3 2 7 3" xfId="52185" xr:uid="{00000000-0005-0000-0000-000073CB0000}"/>
    <cellStyle name="Note 3 2 7 3 2" xfId="52186" xr:uid="{00000000-0005-0000-0000-000074CB0000}"/>
    <cellStyle name="Note 3 2 7 4" xfId="52187" xr:uid="{00000000-0005-0000-0000-000075CB0000}"/>
    <cellStyle name="Note 3 2 8" xfId="52188" xr:uid="{00000000-0005-0000-0000-000076CB0000}"/>
    <cellStyle name="Note 3 2 8 2" xfId="52189" xr:uid="{00000000-0005-0000-0000-000077CB0000}"/>
    <cellStyle name="Note 3 2 8 3" xfId="52190" xr:uid="{00000000-0005-0000-0000-000078CB0000}"/>
    <cellStyle name="Note 3 2 9" xfId="52191" xr:uid="{00000000-0005-0000-0000-000079CB0000}"/>
    <cellStyle name="Note 3 2 9 2" xfId="52192" xr:uid="{00000000-0005-0000-0000-00007ACB0000}"/>
    <cellStyle name="Note 3 2 9 3" xfId="52193" xr:uid="{00000000-0005-0000-0000-00007BCB0000}"/>
    <cellStyle name="Note 3 3" xfId="52194" xr:uid="{00000000-0005-0000-0000-00007CCB0000}"/>
    <cellStyle name="Note 3 3 10" xfId="52195" xr:uid="{00000000-0005-0000-0000-00007DCB0000}"/>
    <cellStyle name="Note 3 3 11" xfId="52196" xr:uid="{00000000-0005-0000-0000-00007ECB0000}"/>
    <cellStyle name="Note 3 3 2" xfId="52197" xr:uid="{00000000-0005-0000-0000-00007FCB0000}"/>
    <cellStyle name="Note 3 3 2 2" xfId="52198" xr:uid="{00000000-0005-0000-0000-000080CB0000}"/>
    <cellStyle name="Note 3 3 2 2 2" xfId="52199" xr:uid="{00000000-0005-0000-0000-000081CB0000}"/>
    <cellStyle name="Note 3 3 2 2 2 2" xfId="52200" xr:uid="{00000000-0005-0000-0000-000082CB0000}"/>
    <cellStyle name="Note 3 3 2 2 2 2 2" xfId="52201" xr:uid="{00000000-0005-0000-0000-000083CB0000}"/>
    <cellStyle name="Note 3 3 2 2 2 3" xfId="52202" xr:uid="{00000000-0005-0000-0000-000084CB0000}"/>
    <cellStyle name="Note 3 3 2 2 3" xfId="52203" xr:uid="{00000000-0005-0000-0000-000085CB0000}"/>
    <cellStyle name="Note 3 3 2 2 3 2" xfId="52204" xr:uid="{00000000-0005-0000-0000-000086CB0000}"/>
    <cellStyle name="Note 3 3 2 2 4" xfId="52205" xr:uid="{00000000-0005-0000-0000-000087CB0000}"/>
    <cellStyle name="Note 3 3 2 3" xfId="52206" xr:uid="{00000000-0005-0000-0000-000088CB0000}"/>
    <cellStyle name="Note 3 3 2 3 2" xfId="52207" xr:uid="{00000000-0005-0000-0000-000089CB0000}"/>
    <cellStyle name="Note 3 3 2 3 2 2" xfId="52208" xr:uid="{00000000-0005-0000-0000-00008ACB0000}"/>
    <cellStyle name="Note 3 3 2 3 3" xfId="52209" xr:uid="{00000000-0005-0000-0000-00008BCB0000}"/>
    <cellStyle name="Note 3 3 2 4" xfId="52210" xr:uid="{00000000-0005-0000-0000-00008CCB0000}"/>
    <cellStyle name="Note 3 3 2 4 2" xfId="52211" xr:uid="{00000000-0005-0000-0000-00008DCB0000}"/>
    <cellStyle name="Note 3 3 2 4 2 2" xfId="52212" xr:uid="{00000000-0005-0000-0000-00008ECB0000}"/>
    <cellStyle name="Note 3 3 2 4 2 2 2" xfId="52213" xr:uid="{00000000-0005-0000-0000-00008FCB0000}"/>
    <cellStyle name="Note 3 3 2 4 2 3" xfId="52214" xr:uid="{00000000-0005-0000-0000-000090CB0000}"/>
    <cellStyle name="Note 3 3 2 4 3" xfId="52215" xr:uid="{00000000-0005-0000-0000-000091CB0000}"/>
    <cellStyle name="Note 3 3 2 4 3 2" xfId="52216" xr:uid="{00000000-0005-0000-0000-000092CB0000}"/>
    <cellStyle name="Note 3 3 2 4 4" xfId="52217" xr:uid="{00000000-0005-0000-0000-000093CB0000}"/>
    <cellStyle name="Note 3 3 2 5" xfId="52218" xr:uid="{00000000-0005-0000-0000-000094CB0000}"/>
    <cellStyle name="Note 3 3 2 5 2" xfId="52219" xr:uid="{00000000-0005-0000-0000-000095CB0000}"/>
    <cellStyle name="Note 3 3 2 5 2 2" xfId="52220" xr:uid="{00000000-0005-0000-0000-000096CB0000}"/>
    <cellStyle name="Note 3 3 2 5 2 3" xfId="52221" xr:uid="{00000000-0005-0000-0000-000097CB0000}"/>
    <cellStyle name="Note 3 3 2 5 3" xfId="52222" xr:uid="{00000000-0005-0000-0000-000098CB0000}"/>
    <cellStyle name="Note 3 3 2 5 3 2" xfId="52223" xr:uid="{00000000-0005-0000-0000-000099CB0000}"/>
    <cellStyle name="Note 3 3 2 5 4" xfId="52224" xr:uid="{00000000-0005-0000-0000-00009ACB0000}"/>
    <cellStyle name="Note 3 3 2 6" xfId="52225" xr:uid="{00000000-0005-0000-0000-00009BCB0000}"/>
    <cellStyle name="Note 3 3 2 7" xfId="52226" xr:uid="{00000000-0005-0000-0000-00009CCB0000}"/>
    <cellStyle name="Note 3 3 2 8" xfId="52227" xr:uid="{00000000-0005-0000-0000-00009DCB0000}"/>
    <cellStyle name="Note 3 3 2 9" xfId="52228" xr:uid="{00000000-0005-0000-0000-00009ECB0000}"/>
    <cellStyle name="Note 3 3 3" xfId="52229" xr:uid="{00000000-0005-0000-0000-00009FCB0000}"/>
    <cellStyle name="Note 3 3 3 2" xfId="52230" xr:uid="{00000000-0005-0000-0000-0000A0CB0000}"/>
    <cellStyle name="Note 3 3 3 2 2" xfId="52231" xr:uid="{00000000-0005-0000-0000-0000A1CB0000}"/>
    <cellStyle name="Note 3 3 3 2 2 2" xfId="52232" xr:uid="{00000000-0005-0000-0000-0000A2CB0000}"/>
    <cellStyle name="Note 3 3 3 2 3" xfId="52233" xr:uid="{00000000-0005-0000-0000-0000A3CB0000}"/>
    <cellStyle name="Note 3 3 3 3" xfId="52234" xr:uid="{00000000-0005-0000-0000-0000A4CB0000}"/>
    <cellStyle name="Note 3 3 3 3 2" xfId="52235" xr:uid="{00000000-0005-0000-0000-0000A5CB0000}"/>
    <cellStyle name="Note 3 3 3 4" xfId="52236" xr:uid="{00000000-0005-0000-0000-0000A6CB0000}"/>
    <cellStyle name="Note 3 3 4" xfId="52237" xr:uid="{00000000-0005-0000-0000-0000A7CB0000}"/>
    <cellStyle name="Note 3 3 4 2" xfId="52238" xr:uid="{00000000-0005-0000-0000-0000A8CB0000}"/>
    <cellStyle name="Note 3 3 4 2 2" xfId="52239" xr:uid="{00000000-0005-0000-0000-0000A9CB0000}"/>
    <cellStyle name="Note 3 3 4 2 2 2" xfId="52240" xr:uid="{00000000-0005-0000-0000-0000AACB0000}"/>
    <cellStyle name="Note 3 3 4 2 3" xfId="52241" xr:uid="{00000000-0005-0000-0000-0000ABCB0000}"/>
    <cellStyle name="Note 3 3 4 3" xfId="52242" xr:uid="{00000000-0005-0000-0000-0000ACCB0000}"/>
    <cellStyle name="Note 3 3 4 3 2" xfId="52243" xr:uid="{00000000-0005-0000-0000-0000ADCB0000}"/>
    <cellStyle name="Note 3 3 4 4" xfId="52244" xr:uid="{00000000-0005-0000-0000-0000AECB0000}"/>
    <cellStyle name="Note 3 3 5" xfId="52245" xr:uid="{00000000-0005-0000-0000-0000AFCB0000}"/>
    <cellStyle name="Note 3 3 5 2" xfId="52246" xr:uid="{00000000-0005-0000-0000-0000B0CB0000}"/>
    <cellStyle name="Note 3 3 5 2 2" xfId="52247" xr:uid="{00000000-0005-0000-0000-0000B1CB0000}"/>
    <cellStyle name="Note 3 3 5 3" xfId="52248" xr:uid="{00000000-0005-0000-0000-0000B2CB0000}"/>
    <cellStyle name="Note 3 3 6" xfId="52249" xr:uid="{00000000-0005-0000-0000-0000B3CB0000}"/>
    <cellStyle name="Note 3 3 6 2" xfId="52250" xr:uid="{00000000-0005-0000-0000-0000B4CB0000}"/>
    <cellStyle name="Note 3 3 6 2 2" xfId="52251" xr:uid="{00000000-0005-0000-0000-0000B5CB0000}"/>
    <cellStyle name="Note 3 3 6 2 2 2" xfId="52252" xr:uid="{00000000-0005-0000-0000-0000B6CB0000}"/>
    <cellStyle name="Note 3 3 6 2 3" xfId="52253" xr:uid="{00000000-0005-0000-0000-0000B7CB0000}"/>
    <cellStyle name="Note 3 3 6 3" xfId="52254" xr:uid="{00000000-0005-0000-0000-0000B8CB0000}"/>
    <cellStyle name="Note 3 3 6 3 2" xfId="52255" xr:uid="{00000000-0005-0000-0000-0000B9CB0000}"/>
    <cellStyle name="Note 3 3 6 4" xfId="52256" xr:uid="{00000000-0005-0000-0000-0000BACB0000}"/>
    <cellStyle name="Note 3 3 7" xfId="52257" xr:uid="{00000000-0005-0000-0000-0000BBCB0000}"/>
    <cellStyle name="Note 3 3 7 2" xfId="52258" xr:uid="{00000000-0005-0000-0000-0000BCCB0000}"/>
    <cellStyle name="Note 3 3 7 2 2" xfId="52259" xr:uid="{00000000-0005-0000-0000-0000BDCB0000}"/>
    <cellStyle name="Note 3 3 7 2 3" xfId="52260" xr:uid="{00000000-0005-0000-0000-0000BECB0000}"/>
    <cellStyle name="Note 3 3 7 3" xfId="52261" xr:uid="{00000000-0005-0000-0000-0000BFCB0000}"/>
    <cellStyle name="Note 3 3 7 3 2" xfId="52262" xr:uid="{00000000-0005-0000-0000-0000C0CB0000}"/>
    <cellStyle name="Note 3 3 7 4" xfId="52263" xr:uid="{00000000-0005-0000-0000-0000C1CB0000}"/>
    <cellStyle name="Note 3 3 8" xfId="52264" xr:uid="{00000000-0005-0000-0000-0000C2CB0000}"/>
    <cellStyle name="Note 3 3 9" xfId="52265" xr:uid="{00000000-0005-0000-0000-0000C3CB0000}"/>
    <cellStyle name="Note 3 4" xfId="52266" xr:uid="{00000000-0005-0000-0000-0000C4CB0000}"/>
    <cellStyle name="Note 3 4 10" xfId="52267" xr:uid="{00000000-0005-0000-0000-0000C5CB0000}"/>
    <cellStyle name="Note 3 4 11" xfId="52268" xr:uid="{00000000-0005-0000-0000-0000C6CB0000}"/>
    <cellStyle name="Note 3 4 2" xfId="52269" xr:uid="{00000000-0005-0000-0000-0000C7CB0000}"/>
    <cellStyle name="Note 3 4 2 2" xfId="52270" xr:uid="{00000000-0005-0000-0000-0000C8CB0000}"/>
    <cellStyle name="Note 3 4 2 2 2" xfId="52271" xr:uid="{00000000-0005-0000-0000-0000C9CB0000}"/>
    <cellStyle name="Note 3 4 2 2 2 2" xfId="52272" xr:uid="{00000000-0005-0000-0000-0000CACB0000}"/>
    <cellStyle name="Note 3 4 2 2 2 2 2" xfId="52273" xr:uid="{00000000-0005-0000-0000-0000CBCB0000}"/>
    <cellStyle name="Note 3 4 2 2 2 3" xfId="52274" xr:uid="{00000000-0005-0000-0000-0000CCCB0000}"/>
    <cellStyle name="Note 3 4 2 2 3" xfId="52275" xr:uid="{00000000-0005-0000-0000-0000CDCB0000}"/>
    <cellStyle name="Note 3 4 2 2 3 2" xfId="52276" xr:uid="{00000000-0005-0000-0000-0000CECB0000}"/>
    <cellStyle name="Note 3 4 2 2 4" xfId="52277" xr:uid="{00000000-0005-0000-0000-0000CFCB0000}"/>
    <cellStyle name="Note 3 4 2 3" xfId="52278" xr:uid="{00000000-0005-0000-0000-0000D0CB0000}"/>
    <cellStyle name="Note 3 4 2 3 2" xfId="52279" xr:uid="{00000000-0005-0000-0000-0000D1CB0000}"/>
    <cellStyle name="Note 3 4 2 3 2 2" xfId="52280" xr:uid="{00000000-0005-0000-0000-0000D2CB0000}"/>
    <cellStyle name="Note 3 4 2 3 3" xfId="52281" xr:uid="{00000000-0005-0000-0000-0000D3CB0000}"/>
    <cellStyle name="Note 3 4 2 4" xfId="52282" xr:uid="{00000000-0005-0000-0000-0000D4CB0000}"/>
    <cellStyle name="Note 3 4 2 4 2" xfId="52283" xr:uid="{00000000-0005-0000-0000-0000D5CB0000}"/>
    <cellStyle name="Note 3 4 2 4 2 2" xfId="52284" xr:uid="{00000000-0005-0000-0000-0000D6CB0000}"/>
    <cellStyle name="Note 3 4 2 4 2 2 2" xfId="52285" xr:uid="{00000000-0005-0000-0000-0000D7CB0000}"/>
    <cellStyle name="Note 3 4 2 4 2 3" xfId="52286" xr:uid="{00000000-0005-0000-0000-0000D8CB0000}"/>
    <cellStyle name="Note 3 4 2 4 3" xfId="52287" xr:uid="{00000000-0005-0000-0000-0000D9CB0000}"/>
    <cellStyle name="Note 3 4 2 4 3 2" xfId="52288" xr:uid="{00000000-0005-0000-0000-0000DACB0000}"/>
    <cellStyle name="Note 3 4 2 4 4" xfId="52289" xr:uid="{00000000-0005-0000-0000-0000DBCB0000}"/>
    <cellStyle name="Note 3 4 2 5" xfId="52290" xr:uid="{00000000-0005-0000-0000-0000DCCB0000}"/>
    <cellStyle name="Note 3 4 2 5 2" xfId="52291" xr:uid="{00000000-0005-0000-0000-0000DDCB0000}"/>
    <cellStyle name="Note 3 4 2 5 2 2" xfId="52292" xr:uid="{00000000-0005-0000-0000-0000DECB0000}"/>
    <cellStyle name="Note 3 4 2 5 2 3" xfId="52293" xr:uid="{00000000-0005-0000-0000-0000DFCB0000}"/>
    <cellStyle name="Note 3 4 2 5 3" xfId="52294" xr:uid="{00000000-0005-0000-0000-0000E0CB0000}"/>
    <cellStyle name="Note 3 4 2 5 3 2" xfId="52295" xr:uid="{00000000-0005-0000-0000-0000E1CB0000}"/>
    <cellStyle name="Note 3 4 2 5 4" xfId="52296" xr:uid="{00000000-0005-0000-0000-0000E2CB0000}"/>
    <cellStyle name="Note 3 4 2 6" xfId="52297" xr:uid="{00000000-0005-0000-0000-0000E3CB0000}"/>
    <cellStyle name="Note 3 4 2 7" xfId="52298" xr:uid="{00000000-0005-0000-0000-0000E4CB0000}"/>
    <cellStyle name="Note 3 4 2 8" xfId="52299" xr:uid="{00000000-0005-0000-0000-0000E5CB0000}"/>
    <cellStyle name="Note 3 4 2 9" xfId="52300" xr:uid="{00000000-0005-0000-0000-0000E6CB0000}"/>
    <cellStyle name="Note 3 4 3" xfId="52301" xr:uid="{00000000-0005-0000-0000-0000E7CB0000}"/>
    <cellStyle name="Note 3 4 3 2" xfId="52302" xr:uid="{00000000-0005-0000-0000-0000E8CB0000}"/>
    <cellStyle name="Note 3 4 3 2 2" xfId="52303" xr:uid="{00000000-0005-0000-0000-0000E9CB0000}"/>
    <cellStyle name="Note 3 4 3 2 2 2" xfId="52304" xr:uid="{00000000-0005-0000-0000-0000EACB0000}"/>
    <cellStyle name="Note 3 4 3 2 3" xfId="52305" xr:uid="{00000000-0005-0000-0000-0000EBCB0000}"/>
    <cellStyle name="Note 3 4 3 3" xfId="52306" xr:uid="{00000000-0005-0000-0000-0000ECCB0000}"/>
    <cellStyle name="Note 3 4 3 3 2" xfId="52307" xr:uid="{00000000-0005-0000-0000-0000EDCB0000}"/>
    <cellStyle name="Note 3 4 3 4" xfId="52308" xr:uid="{00000000-0005-0000-0000-0000EECB0000}"/>
    <cellStyle name="Note 3 4 4" xfId="52309" xr:uid="{00000000-0005-0000-0000-0000EFCB0000}"/>
    <cellStyle name="Note 3 4 4 2" xfId="52310" xr:uid="{00000000-0005-0000-0000-0000F0CB0000}"/>
    <cellStyle name="Note 3 4 4 2 2" xfId="52311" xr:uid="{00000000-0005-0000-0000-0000F1CB0000}"/>
    <cellStyle name="Note 3 4 4 2 2 2" xfId="52312" xr:uid="{00000000-0005-0000-0000-0000F2CB0000}"/>
    <cellStyle name="Note 3 4 4 2 3" xfId="52313" xr:uid="{00000000-0005-0000-0000-0000F3CB0000}"/>
    <cellStyle name="Note 3 4 4 3" xfId="52314" xr:uid="{00000000-0005-0000-0000-0000F4CB0000}"/>
    <cellStyle name="Note 3 4 4 3 2" xfId="52315" xr:uid="{00000000-0005-0000-0000-0000F5CB0000}"/>
    <cellStyle name="Note 3 4 4 4" xfId="52316" xr:uid="{00000000-0005-0000-0000-0000F6CB0000}"/>
    <cellStyle name="Note 3 4 5" xfId="52317" xr:uid="{00000000-0005-0000-0000-0000F7CB0000}"/>
    <cellStyle name="Note 3 4 5 2" xfId="52318" xr:uid="{00000000-0005-0000-0000-0000F8CB0000}"/>
    <cellStyle name="Note 3 4 5 2 2" xfId="52319" xr:uid="{00000000-0005-0000-0000-0000F9CB0000}"/>
    <cellStyle name="Note 3 4 5 3" xfId="52320" xr:uid="{00000000-0005-0000-0000-0000FACB0000}"/>
    <cellStyle name="Note 3 4 6" xfId="52321" xr:uid="{00000000-0005-0000-0000-0000FBCB0000}"/>
    <cellStyle name="Note 3 4 6 2" xfId="52322" xr:uid="{00000000-0005-0000-0000-0000FCCB0000}"/>
    <cellStyle name="Note 3 4 6 2 2" xfId="52323" xr:uid="{00000000-0005-0000-0000-0000FDCB0000}"/>
    <cellStyle name="Note 3 4 6 2 2 2" xfId="52324" xr:uid="{00000000-0005-0000-0000-0000FECB0000}"/>
    <cellStyle name="Note 3 4 6 2 3" xfId="52325" xr:uid="{00000000-0005-0000-0000-0000FFCB0000}"/>
    <cellStyle name="Note 3 4 6 3" xfId="52326" xr:uid="{00000000-0005-0000-0000-000000CC0000}"/>
    <cellStyle name="Note 3 4 6 3 2" xfId="52327" xr:uid="{00000000-0005-0000-0000-000001CC0000}"/>
    <cellStyle name="Note 3 4 6 4" xfId="52328" xr:uid="{00000000-0005-0000-0000-000002CC0000}"/>
    <cellStyle name="Note 3 4 7" xfId="52329" xr:uid="{00000000-0005-0000-0000-000003CC0000}"/>
    <cellStyle name="Note 3 4 7 2" xfId="52330" xr:uid="{00000000-0005-0000-0000-000004CC0000}"/>
    <cellStyle name="Note 3 4 7 2 2" xfId="52331" xr:uid="{00000000-0005-0000-0000-000005CC0000}"/>
    <cellStyle name="Note 3 4 7 2 3" xfId="52332" xr:uid="{00000000-0005-0000-0000-000006CC0000}"/>
    <cellStyle name="Note 3 4 7 3" xfId="52333" xr:uid="{00000000-0005-0000-0000-000007CC0000}"/>
    <cellStyle name="Note 3 4 7 3 2" xfId="52334" xr:uid="{00000000-0005-0000-0000-000008CC0000}"/>
    <cellStyle name="Note 3 4 7 4" xfId="52335" xr:uid="{00000000-0005-0000-0000-000009CC0000}"/>
    <cellStyle name="Note 3 4 8" xfId="52336" xr:uid="{00000000-0005-0000-0000-00000ACC0000}"/>
    <cellStyle name="Note 3 4 9" xfId="52337" xr:uid="{00000000-0005-0000-0000-00000BCC0000}"/>
    <cellStyle name="Note 3 5" xfId="52338" xr:uid="{00000000-0005-0000-0000-00000CCC0000}"/>
    <cellStyle name="Note 3 5 2" xfId="52339" xr:uid="{00000000-0005-0000-0000-00000DCC0000}"/>
    <cellStyle name="Note 3 5 2 2" xfId="52340" xr:uid="{00000000-0005-0000-0000-00000ECC0000}"/>
    <cellStyle name="Note 3 5 2 2 2" xfId="52341" xr:uid="{00000000-0005-0000-0000-00000FCC0000}"/>
    <cellStyle name="Note 3 5 2 2 2 2" xfId="52342" xr:uid="{00000000-0005-0000-0000-000010CC0000}"/>
    <cellStyle name="Note 3 5 2 2 3" xfId="52343" xr:uid="{00000000-0005-0000-0000-000011CC0000}"/>
    <cellStyle name="Note 3 5 2 3" xfId="52344" xr:uid="{00000000-0005-0000-0000-000012CC0000}"/>
    <cellStyle name="Note 3 5 2 4" xfId="52345" xr:uid="{00000000-0005-0000-0000-000013CC0000}"/>
    <cellStyle name="Note 3 5 2 5" xfId="52346" xr:uid="{00000000-0005-0000-0000-000014CC0000}"/>
    <cellStyle name="Note 3 5 2 6" xfId="52347" xr:uid="{00000000-0005-0000-0000-000015CC0000}"/>
    <cellStyle name="Note 3 5 3" xfId="52348" xr:uid="{00000000-0005-0000-0000-000016CC0000}"/>
    <cellStyle name="Note 3 5 3 2" xfId="52349" xr:uid="{00000000-0005-0000-0000-000017CC0000}"/>
    <cellStyle name="Note 3 5 3 2 2" xfId="52350" xr:uid="{00000000-0005-0000-0000-000018CC0000}"/>
    <cellStyle name="Note 3 5 3 2 2 2" xfId="52351" xr:uid="{00000000-0005-0000-0000-000019CC0000}"/>
    <cellStyle name="Note 3 5 3 2 3" xfId="52352" xr:uid="{00000000-0005-0000-0000-00001ACC0000}"/>
    <cellStyle name="Note 3 5 3 3" xfId="52353" xr:uid="{00000000-0005-0000-0000-00001BCC0000}"/>
    <cellStyle name="Note 3 5 3 3 2" xfId="52354" xr:uid="{00000000-0005-0000-0000-00001CCC0000}"/>
    <cellStyle name="Note 3 5 3 4" xfId="52355" xr:uid="{00000000-0005-0000-0000-00001DCC0000}"/>
    <cellStyle name="Note 3 5 4" xfId="52356" xr:uid="{00000000-0005-0000-0000-00001ECC0000}"/>
    <cellStyle name="Note 3 5 4 2" xfId="52357" xr:uid="{00000000-0005-0000-0000-00001FCC0000}"/>
    <cellStyle name="Note 3 5 4 2 2" xfId="52358" xr:uid="{00000000-0005-0000-0000-000020CC0000}"/>
    <cellStyle name="Note 3 5 4 2 2 2" xfId="52359" xr:uid="{00000000-0005-0000-0000-000021CC0000}"/>
    <cellStyle name="Note 3 5 4 2 3" xfId="52360" xr:uid="{00000000-0005-0000-0000-000022CC0000}"/>
    <cellStyle name="Note 3 5 4 3" xfId="52361" xr:uid="{00000000-0005-0000-0000-000023CC0000}"/>
    <cellStyle name="Note 3 5 4 3 2" xfId="52362" xr:uid="{00000000-0005-0000-0000-000024CC0000}"/>
    <cellStyle name="Note 3 5 4 4" xfId="52363" xr:uid="{00000000-0005-0000-0000-000025CC0000}"/>
    <cellStyle name="Note 3 5 5" xfId="52364" xr:uid="{00000000-0005-0000-0000-000026CC0000}"/>
    <cellStyle name="Note 3 5 5 2" xfId="52365" xr:uid="{00000000-0005-0000-0000-000027CC0000}"/>
    <cellStyle name="Note 3 5 5 2 2" xfId="52366" xr:uid="{00000000-0005-0000-0000-000028CC0000}"/>
    <cellStyle name="Note 3 5 5 2 3" xfId="52367" xr:uid="{00000000-0005-0000-0000-000029CC0000}"/>
    <cellStyle name="Note 3 5 5 3" xfId="52368" xr:uid="{00000000-0005-0000-0000-00002ACC0000}"/>
    <cellStyle name="Note 3 5 5 3 2" xfId="52369" xr:uid="{00000000-0005-0000-0000-00002BCC0000}"/>
    <cellStyle name="Note 3 5 5 4" xfId="52370" xr:uid="{00000000-0005-0000-0000-00002CCC0000}"/>
    <cellStyle name="Note 3 5 6" xfId="52371" xr:uid="{00000000-0005-0000-0000-00002DCC0000}"/>
    <cellStyle name="Note 3 5 7" xfId="52372" xr:uid="{00000000-0005-0000-0000-00002ECC0000}"/>
    <cellStyle name="Note 3 5 8" xfId="52373" xr:uid="{00000000-0005-0000-0000-00002FCC0000}"/>
    <cellStyle name="Note 3 5 9" xfId="52374" xr:uid="{00000000-0005-0000-0000-000030CC0000}"/>
    <cellStyle name="Note 3 5_Dec monthly report" xfId="52375" xr:uid="{00000000-0005-0000-0000-000031CC0000}"/>
    <cellStyle name="Note 3 6" xfId="52376" xr:uid="{00000000-0005-0000-0000-000032CC0000}"/>
    <cellStyle name="Note 3 6 2" xfId="52377" xr:uid="{00000000-0005-0000-0000-000033CC0000}"/>
    <cellStyle name="Note 3 6 2 2" xfId="52378" xr:uid="{00000000-0005-0000-0000-000034CC0000}"/>
    <cellStyle name="Note 3 6 2 2 2" xfId="52379" xr:uid="{00000000-0005-0000-0000-000035CC0000}"/>
    <cellStyle name="Note 3 6 2 3" xfId="52380" xr:uid="{00000000-0005-0000-0000-000036CC0000}"/>
    <cellStyle name="Note 3 6 3" xfId="52381" xr:uid="{00000000-0005-0000-0000-000037CC0000}"/>
    <cellStyle name="Note 3 6 4" xfId="52382" xr:uid="{00000000-0005-0000-0000-000038CC0000}"/>
    <cellStyle name="Note 3 6 5" xfId="52383" xr:uid="{00000000-0005-0000-0000-000039CC0000}"/>
    <cellStyle name="Note 3 6 6" xfId="52384" xr:uid="{00000000-0005-0000-0000-00003ACC0000}"/>
    <cellStyle name="Note 3 7" xfId="52385" xr:uid="{00000000-0005-0000-0000-00003BCC0000}"/>
    <cellStyle name="Note 3 7 2" xfId="52386" xr:uid="{00000000-0005-0000-0000-00003CCC0000}"/>
    <cellStyle name="Note 3 7 2 2" xfId="52387" xr:uid="{00000000-0005-0000-0000-00003DCC0000}"/>
    <cellStyle name="Note 3 7 2 2 2" xfId="52388" xr:uid="{00000000-0005-0000-0000-00003ECC0000}"/>
    <cellStyle name="Note 3 7 2 3" xfId="52389" xr:uid="{00000000-0005-0000-0000-00003FCC0000}"/>
    <cellStyle name="Note 3 7 3" xfId="52390" xr:uid="{00000000-0005-0000-0000-000040CC0000}"/>
    <cellStyle name="Note 3 7 3 2" xfId="52391" xr:uid="{00000000-0005-0000-0000-000041CC0000}"/>
    <cellStyle name="Note 3 7 4" xfId="52392" xr:uid="{00000000-0005-0000-0000-000042CC0000}"/>
    <cellStyle name="Note 3 8" xfId="52393" xr:uid="{00000000-0005-0000-0000-000043CC0000}"/>
    <cellStyle name="Note 3 8 2" xfId="52394" xr:uid="{00000000-0005-0000-0000-000044CC0000}"/>
    <cellStyle name="Note 3 8 2 2" xfId="52395" xr:uid="{00000000-0005-0000-0000-000045CC0000}"/>
    <cellStyle name="Note 3 8 2 2 2" xfId="52396" xr:uid="{00000000-0005-0000-0000-000046CC0000}"/>
    <cellStyle name="Note 3 8 2 3" xfId="52397" xr:uid="{00000000-0005-0000-0000-000047CC0000}"/>
    <cellStyle name="Note 3 8 3" xfId="52398" xr:uid="{00000000-0005-0000-0000-000048CC0000}"/>
    <cellStyle name="Note 3 8 3 2" xfId="52399" xr:uid="{00000000-0005-0000-0000-000049CC0000}"/>
    <cellStyle name="Note 3 8 4" xfId="52400" xr:uid="{00000000-0005-0000-0000-00004ACC0000}"/>
    <cellStyle name="Note 3 8 5" xfId="52401" xr:uid="{00000000-0005-0000-0000-00004BCC0000}"/>
    <cellStyle name="Note 3 9" xfId="52402" xr:uid="{00000000-0005-0000-0000-00004CCC0000}"/>
    <cellStyle name="Note 3 9 2" xfId="52403" xr:uid="{00000000-0005-0000-0000-00004DCC0000}"/>
    <cellStyle name="Note 3 9 2 2" xfId="52404" xr:uid="{00000000-0005-0000-0000-00004ECC0000}"/>
    <cellStyle name="Note 3 9 3" xfId="52405" xr:uid="{00000000-0005-0000-0000-00004FCC0000}"/>
    <cellStyle name="Note 4" xfId="52406" xr:uid="{00000000-0005-0000-0000-000050CC0000}"/>
    <cellStyle name="Note 4 10" xfId="52407" xr:uid="{00000000-0005-0000-0000-000051CC0000}"/>
    <cellStyle name="Note 4 10 2" xfId="52408" xr:uid="{00000000-0005-0000-0000-000052CC0000}"/>
    <cellStyle name="Note 4 11" xfId="52409" xr:uid="{00000000-0005-0000-0000-000053CC0000}"/>
    <cellStyle name="Note 4 11 2" xfId="52410" xr:uid="{00000000-0005-0000-0000-000054CC0000}"/>
    <cellStyle name="Note 4 12" xfId="52411" xr:uid="{00000000-0005-0000-0000-000055CC0000}"/>
    <cellStyle name="Note 4 13" xfId="52412" xr:uid="{00000000-0005-0000-0000-000056CC0000}"/>
    <cellStyle name="Note 4 2" xfId="52413" xr:uid="{00000000-0005-0000-0000-000057CC0000}"/>
    <cellStyle name="Note 4 2 2" xfId="52414" xr:uid="{00000000-0005-0000-0000-000058CC0000}"/>
    <cellStyle name="Note 4 2 2 2" xfId="52415" xr:uid="{00000000-0005-0000-0000-000059CC0000}"/>
    <cellStyle name="Note 4 2 2 3" xfId="52416" xr:uid="{00000000-0005-0000-0000-00005ACC0000}"/>
    <cellStyle name="Note 4 2 2 3 2" xfId="52417" xr:uid="{00000000-0005-0000-0000-00005BCC0000}"/>
    <cellStyle name="Note 4 2 2 4" xfId="52418" xr:uid="{00000000-0005-0000-0000-00005CCC0000}"/>
    <cellStyle name="Note 4 2 2 4 2" xfId="52419" xr:uid="{00000000-0005-0000-0000-00005DCC0000}"/>
    <cellStyle name="Note 4 2 2 5" xfId="52420" xr:uid="{00000000-0005-0000-0000-00005ECC0000}"/>
    <cellStyle name="Note 4 2 2 5 2" xfId="52421" xr:uid="{00000000-0005-0000-0000-00005FCC0000}"/>
    <cellStyle name="Note 4 2 2 6" xfId="52422" xr:uid="{00000000-0005-0000-0000-000060CC0000}"/>
    <cellStyle name="Note 4 2 2 7" xfId="52423" xr:uid="{00000000-0005-0000-0000-000061CC0000}"/>
    <cellStyle name="Note 4 2 3" xfId="52424" xr:uid="{00000000-0005-0000-0000-000062CC0000}"/>
    <cellStyle name="Note 4 2 3 2" xfId="52425" xr:uid="{00000000-0005-0000-0000-000063CC0000}"/>
    <cellStyle name="Note 4 2 3 2 2" xfId="52426" xr:uid="{00000000-0005-0000-0000-000064CC0000}"/>
    <cellStyle name="Note 4 2 3 3" xfId="52427" xr:uid="{00000000-0005-0000-0000-000065CC0000}"/>
    <cellStyle name="Note 4 2 3 3 2" xfId="52428" xr:uid="{00000000-0005-0000-0000-000066CC0000}"/>
    <cellStyle name="Note 4 2 3 4" xfId="52429" xr:uid="{00000000-0005-0000-0000-000067CC0000}"/>
    <cellStyle name="Note 4 2 3 4 2" xfId="52430" xr:uid="{00000000-0005-0000-0000-000068CC0000}"/>
    <cellStyle name="Note 4 2 3 5" xfId="52431" xr:uid="{00000000-0005-0000-0000-000069CC0000}"/>
    <cellStyle name="Note 4 2 3 5 2" xfId="52432" xr:uid="{00000000-0005-0000-0000-00006ACC0000}"/>
    <cellStyle name="Note 4 2 3 6" xfId="52433" xr:uid="{00000000-0005-0000-0000-00006BCC0000}"/>
    <cellStyle name="Note 4 2 3 6 2" xfId="52434" xr:uid="{00000000-0005-0000-0000-00006CCC0000}"/>
    <cellStyle name="Note 4 2 3 7" xfId="52435" xr:uid="{00000000-0005-0000-0000-00006DCC0000}"/>
    <cellStyle name="Note 4 2 3 8" xfId="52436" xr:uid="{00000000-0005-0000-0000-00006ECC0000}"/>
    <cellStyle name="Note 4 2 3 9" xfId="52437" xr:uid="{00000000-0005-0000-0000-00006FCC0000}"/>
    <cellStyle name="Note 4 2 4" xfId="52438" xr:uid="{00000000-0005-0000-0000-000070CC0000}"/>
    <cellStyle name="Note 4 2 4 2" xfId="52439" xr:uid="{00000000-0005-0000-0000-000071CC0000}"/>
    <cellStyle name="Note 4 2 4 3" xfId="52440" xr:uid="{00000000-0005-0000-0000-000072CC0000}"/>
    <cellStyle name="Note 4 2 5" xfId="52441" xr:uid="{00000000-0005-0000-0000-000073CC0000}"/>
    <cellStyle name="Note 4 2 5 2" xfId="52442" xr:uid="{00000000-0005-0000-0000-000074CC0000}"/>
    <cellStyle name="Note 4 2 6" xfId="52443" xr:uid="{00000000-0005-0000-0000-000075CC0000}"/>
    <cellStyle name="Note 4 2 6 2" xfId="52444" xr:uid="{00000000-0005-0000-0000-000076CC0000}"/>
    <cellStyle name="Note 4 2 7" xfId="52445" xr:uid="{00000000-0005-0000-0000-000077CC0000}"/>
    <cellStyle name="Note 4 2 7 2" xfId="52446" xr:uid="{00000000-0005-0000-0000-000078CC0000}"/>
    <cellStyle name="Note 4 2 8" xfId="52447" xr:uid="{00000000-0005-0000-0000-000079CC0000}"/>
    <cellStyle name="Note 4 2 9" xfId="52448" xr:uid="{00000000-0005-0000-0000-00007ACC0000}"/>
    <cellStyle name="Note 4 3" xfId="52449" xr:uid="{00000000-0005-0000-0000-00007BCC0000}"/>
    <cellStyle name="Note 4 3 2" xfId="52450" xr:uid="{00000000-0005-0000-0000-00007CCC0000}"/>
    <cellStyle name="Note 4 3 2 2" xfId="52451" xr:uid="{00000000-0005-0000-0000-00007DCC0000}"/>
    <cellStyle name="Note 4 3 2 3" xfId="52452" xr:uid="{00000000-0005-0000-0000-00007ECC0000}"/>
    <cellStyle name="Note 4 3 2 4" xfId="52453" xr:uid="{00000000-0005-0000-0000-00007FCC0000}"/>
    <cellStyle name="Note 4 3 3" xfId="52454" xr:uid="{00000000-0005-0000-0000-000080CC0000}"/>
    <cellStyle name="Note 4 3 3 2" xfId="52455" xr:uid="{00000000-0005-0000-0000-000081CC0000}"/>
    <cellStyle name="Note 4 3 3 3" xfId="52456" xr:uid="{00000000-0005-0000-0000-000082CC0000}"/>
    <cellStyle name="Note 4 3 4" xfId="52457" xr:uid="{00000000-0005-0000-0000-000083CC0000}"/>
    <cellStyle name="Note 4 3 4 2" xfId="52458" xr:uid="{00000000-0005-0000-0000-000084CC0000}"/>
    <cellStyle name="Note 4 3 5" xfId="52459" xr:uid="{00000000-0005-0000-0000-000085CC0000}"/>
    <cellStyle name="Note 4 3 5 2" xfId="52460" xr:uid="{00000000-0005-0000-0000-000086CC0000}"/>
    <cellStyle name="Note 4 3 6" xfId="52461" xr:uid="{00000000-0005-0000-0000-000087CC0000}"/>
    <cellStyle name="Note 4 3 6 2" xfId="52462" xr:uid="{00000000-0005-0000-0000-000088CC0000}"/>
    <cellStyle name="Note 4 3 7" xfId="52463" xr:uid="{00000000-0005-0000-0000-000089CC0000}"/>
    <cellStyle name="Note 4 3 8" xfId="52464" xr:uid="{00000000-0005-0000-0000-00008ACC0000}"/>
    <cellStyle name="Note 4 3 9" xfId="52465" xr:uid="{00000000-0005-0000-0000-00008BCC0000}"/>
    <cellStyle name="Note 4 4" xfId="52466" xr:uid="{00000000-0005-0000-0000-00008CCC0000}"/>
    <cellStyle name="Note 4 4 2" xfId="52467" xr:uid="{00000000-0005-0000-0000-00008DCC0000}"/>
    <cellStyle name="Note 4 4 2 2" xfId="52468" xr:uid="{00000000-0005-0000-0000-00008ECC0000}"/>
    <cellStyle name="Note 4 4 3" xfId="52469" xr:uid="{00000000-0005-0000-0000-00008FCC0000}"/>
    <cellStyle name="Note 4 4 3 2" xfId="52470" xr:uid="{00000000-0005-0000-0000-000090CC0000}"/>
    <cellStyle name="Note 4 4 4" xfId="52471" xr:uid="{00000000-0005-0000-0000-000091CC0000}"/>
    <cellStyle name="Note 4 4 4 2" xfId="52472" xr:uid="{00000000-0005-0000-0000-000092CC0000}"/>
    <cellStyle name="Note 4 4 5" xfId="52473" xr:uid="{00000000-0005-0000-0000-000093CC0000}"/>
    <cellStyle name="Note 4 4 5 2" xfId="52474" xr:uid="{00000000-0005-0000-0000-000094CC0000}"/>
    <cellStyle name="Note 4 4 6" xfId="52475" xr:uid="{00000000-0005-0000-0000-000095CC0000}"/>
    <cellStyle name="Note 4 4 7" xfId="52476" xr:uid="{00000000-0005-0000-0000-000096CC0000}"/>
    <cellStyle name="Note 4 4 8" xfId="52477" xr:uid="{00000000-0005-0000-0000-000097CC0000}"/>
    <cellStyle name="Note 4 5" xfId="52478" xr:uid="{00000000-0005-0000-0000-000098CC0000}"/>
    <cellStyle name="Note 4 5 2" xfId="52479" xr:uid="{00000000-0005-0000-0000-000099CC0000}"/>
    <cellStyle name="Note 4 5 3" xfId="52480" xr:uid="{00000000-0005-0000-0000-00009ACC0000}"/>
    <cellStyle name="Note 4 5 4" xfId="52481" xr:uid="{00000000-0005-0000-0000-00009BCC0000}"/>
    <cellStyle name="Note 4 6" xfId="52482" xr:uid="{00000000-0005-0000-0000-00009CCC0000}"/>
    <cellStyle name="Note 4 6 2" xfId="52483" xr:uid="{00000000-0005-0000-0000-00009DCC0000}"/>
    <cellStyle name="Note 4 6 3" xfId="52484" xr:uid="{00000000-0005-0000-0000-00009ECC0000}"/>
    <cellStyle name="Note 4 7" xfId="52485" xr:uid="{00000000-0005-0000-0000-00009FCC0000}"/>
    <cellStyle name="Note 4 7 2" xfId="52486" xr:uid="{00000000-0005-0000-0000-0000A0CC0000}"/>
    <cellStyle name="Note 4 8" xfId="52487" xr:uid="{00000000-0005-0000-0000-0000A1CC0000}"/>
    <cellStyle name="Note 4 8 2" xfId="52488" xr:uid="{00000000-0005-0000-0000-0000A2CC0000}"/>
    <cellStyle name="Note 4 9" xfId="52489" xr:uid="{00000000-0005-0000-0000-0000A3CC0000}"/>
    <cellStyle name="Note 4 9 2" xfId="52490" xr:uid="{00000000-0005-0000-0000-0000A4CC0000}"/>
    <cellStyle name="Note 4_Dec monthly report" xfId="52491" xr:uid="{00000000-0005-0000-0000-0000A5CC0000}"/>
    <cellStyle name="Note 5" xfId="52492" xr:uid="{00000000-0005-0000-0000-0000A6CC0000}"/>
    <cellStyle name="Note 5 10" xfId="52493" xr:uid="{00000000-0005-0000-0000-0000A7CC0000}"/>
    <cellStyle name="Note 5 11" xfId="52494" xr:uid="{00000000-0005-0000-0000-0000A8CC0000}"/>
    <cellStyle name="Note 5 12" xfId="52495" xr:uid="{00000000-0005-0000-0000-0000A9CC0000}"/>
    <cellStyle name="Note 5 13" xfId="52496" xr:uid="{00000000-0005-0000-0000-0000AACC0000}"/>
    <cellStyle name="Note 5 2" xfId="52497" xr:uid="{00000000-0005-0000-0000-0000ABCC0000}"/>
    <cellStyle name="Note 5 2 10" xfId="52498" xr:uid="{00000000-0005-0000-0000-0000ACCC0000}"/>
    <cellStyle name="Note 5 2 11" xfId="52499" xr:uid="{00000000-0005-0000-0000-0000ADCC0000}"/>
    <cellStyle name="Note 5 2 2" xfId="52500" xr:uid="{00000000-0005-0000-0000-0000AECC0000}"/>
    <cellStyle name="Note 5 2 2 2" xfId="52501" xr:uid="{00000000-0005-0000-0000-0000AFCC0000}"/>
    <cellStyle name="Note 5 2 2 2 2" xfId="52502" xr:uid="{00000000-0005-0000-0000-0000B0CC0000}"/>
    <cellStyle name="Note 5 2 2 2 2 2" xfId="52503" xr:uid="{00000000-0005-0000-0000-0000B1CC0000}"/>
    <cellStyle name="Note 5 2 2 2 3" xfId="52504" xr:uid="{00000000-0005-0000-0000-0000B2CC0000}"/>
    <cellStyle name="Note 5 2 2 3" xfId="52505" xr:uid="{00000000-0005-0000-0000-0000B3CC0000}"/>
    <cellStyle name="Note 5 2 2 3 2" xfId="52506" xr:uid="{00000000-0005-0000-0000-0000B4CC0000}"/>
    <cellStyle name="Note 5 2 2 4" xfId="52507" xr:uid="{00000000-0005-0000-0000-0000B5CC0000}"/>
    <cellStyle name="Note 5 2 3" xfId="52508" xr:uid="{00000000-0005-0000-0000-0000B6CC0000}"/>
    <cellStyle name="Note 5 2 3 2" xfId="52509" xr:uid="{00000000-0005-0000-0000-0000B7CC0000}"/>
    <cellStyle name="Note 5 2 3 2 2" xfId="52510" xr:uid="{00000000-0005-0000-0000-0000B8CC0000}"/>
    <cellStyle name="Note 5 2 3 2 2 2" xfId="52511" xr:uid="{00000000-0005-0000-0000-0000B9CC0000}"/>
    <cellStyle name="Note 5 2 3 2 3" xfId="52512" xr:uid="{00000000-0005-0000-0000-0000BACC0000}"/>
    <cellStyle name="Note 5 2 3 3" xfId="52513" xr:uid="{00000000-0005-0000-0000-0000BBCC0000}"/>
    <cellStyle name="Note 5 2 3 3 2" xfId="52514" xr:uid="{00000000-0005-0000-0000-0000BCCC0000}"/>
    <cellStyle name="Note 5 2 3 4" xfId="52515" xr:uid="{00000000-0005-0000-0000-0000BDCC0000}"/>
    <cellStyle name="Note 5 2 4" xfId="52516" xr:uid="{00000000-0005-0000-0000-0000BECC0000}"/>
    <cellStyle name="Note 5 2 4 2" xfId="52517" xr:uid="{00000000-0005-0000-0000-0000BFCC0000}"/>
    <cellStyle name="Note 5 2 4 2 2" xfId="52518" xr:uid="{00000000-0005-0000-0000-0000C0CC0000}"/>
    <cellStyle name="Note 5 2 4 2 2 2" xfId="52519" xr:uid="{00000000-0005-0000-0000-0000C1CC0000}"/>
    <cellStyle name="Note 5 2 4 2 3" xfId="52520" xr:uid="{00000000-0005-0000-0000-0000C2CC0000}"/>
    <cellStyle name="Note 5 2 4 3" xfId="52521" xr:uid="{00000000-0005-0000-0000-0000C3CC0000}"/>
    <cellStyle name="Note 5 2 4 3 2" xfId="52522" xr:uid="{00000000-0005-0000-0000-0000C4CC0000}"/>
    <cellStyle name="Note 5 2 4 4" xfId="52523" xr:uid="{00000000-0005-0000-0000-0000C5CC0000}"/>
    <cellStyle name="Note 5 2 5" xfId="52524" xr:uid="{00000000-0005-0000-0000-0000C6CC0000}"/>
    <cellStyle name="Note 5 2 5 2" xfId="52525" xr:uid="{00000000-0005-0000-0000-0000C7CC0000}"/>
    <cellStyle name="Note 5 2 5 2 2" xfId="52526" xr:uid="{00000000-0005-0000-0000-0000C8CC0000}"/>
    <cellStyle name="Note 5 2 5 2 3" xfId="52527" xr:uid="{00000000-0005-0000-0000-0000C9CC0000}"/>
    <cellStyle name="Note 5 2 5 3" xfId="52528" xr:uid="{00000000-0005-0000-0000-0000CACC0000}"/>
    <cellStyle name="Note 5 2 5 3 2" xfId="52529" xr:uid="{00000000-0005-0000-0000-0000CBCC0000}"/>
    <cellStyle name="Note 5 2 5 4" xfId="52530" xr:uid="{00000000-0005-0000-0000-0000CCCC0000}"/>
    <cellStyle name="Note 5 2 6" xfId="52531" xr:uid="{00000000-0005-0000-0000-0000CDCC0000}"/>
    <cellStyle name="Note 5 2 6 2" xfId="52532" xr:uid="{00000000-0005-0000-0000-0000CECC0000}"/>
    <cellStyle name="Note 5 2 6 3" xfId="52533" xr:uid="{00000000-0005-0000-0000-0000CFCC0000}"/>
    <cellStyle name="Note 5 2 7" xfId="52534" xr:uid="{00000000-0005-0000-0000-0000D0CC0000}"/>
    <cellStyle name="Note 5 2 7 2" xfId="52535" xr:uid="{00000000-0005-0000-0000-0000D1CC0000}"/>
    <cellStyle name="Note 5 2 7 3" xfId="52536" xr:uid="{00000000-0005-0000-0000-0000D2CC0000}"/>
    <cellStyle name="Note 5 2 8" xfId="52537" xr:uid="{00000000-0005-0000-0000-0000D3CC0000}"/>
    <cellStyle name="Note 5 2 9" xfId="52538" xr:uid="{00000000-0005-0000-0000-0000D4CC0000}"/>
    <cellStyle name="Note 5 3" xfId="52539" xr:uid="{00000000-0005-0000-0000-0000D5CC0000}"/>
    <cellStyle name="Note 5 3 2" xfId="52540" xr:uid="{00000000-0005-0000-0000-0000D6CC0000}"/>
    <cellStyle name="Note 5 3 2 2" xfId="52541" xr:uid="{00000000-0005-0000-0000-0000D7CC0000}"/>
    <cellStyle name="Note 5 3 2 2 2" xfId="52542" xr:uid="{00000000-0005-0000-0000-0000D8CC0000}"/>
    <cellStyle name="Note 5 3 2 3" xfId="52543" xr:uid="{00000000-0005-0000-0000-0000D9CC0000}"/>
    <cellStyle name="Note 5 3 3" xfId="52544" xr:uid="{00000000-0005-0000-0000-0000DACC0000}"/>
    <cellStyle name="Note 5 3 3 2" xfId="52545" xr:uid="{00000000-0005-0000-0000-0000DBCC0000}"/>
    <cellStyle name="Note 5 3 4" xfId="52546" xr:uid="{00000000-0005-0000-0000-0000DCCC0000}"/>
    <cellStyle name="Note 5 3 5" xfId="52547" xr:uid="{00000000-0005-0000-0000-0000DDCC0000}"/>
    <cellStyle name="Note 5 3 6" xfId="52548" xr:uid="{00000000-0005-0000-0000-0000DECC0000}"/>
    <cellStyle name="Note 5 4" xfId="52549" xr:uid="{00000000-0005-0000-0000-0000DFCC0000}"/>
    <cellStyle name="Note 5 4 2" xfId="52550" xr:uid="{00000000-0005-0000-0000-0000E0CC0000}"/>
    <cellStyle name="Note 5 4 2 2" xfId="52551" xr:uid="{00000000-0005-0000-0000-0000E1CC0000}"/>
    <cellStyle name="Note 5 4 2 2 2" xfId="52552" xr:uid="{00000000-0005-0000-0000-0000E2CC0000}"/>
    <cellStyle name="Note 5 4 2 3" xfId="52553" xr:uid="{00000000-0005-0000-0000-0000E3CC0000}"/>
    <cellStyle name="Note 5 4 3" xfId="52554" xr:uid="{00000000-0005-0000-0000-0000E4CC0000}"/>
    <cellStyle name="Note 5 4 3 2" xfId="52555" xr:uid="{00000000-0005-0000-0000-0000E5CC0000}"/>
    <cellStyle name="Note 5 4 4" xfId="52556" xr:uid="{00000000-0005-0000-0000-0000E6CC0000}"/>
    <cellStyle name="Note 5 4 5" xfId="52557" xr:uid="{00000000-0005-0000-0000-0000E7CC0000}"/>
    <cellStyle name="Note 5 5" xfId="52558" xr:uid="{00000000-0005-0000-0000-0000E8CC0000}"/>
    <cellStyle name="Note 5 5 2" xfId="52559" xr:uid="{00000000-0005-0000-0000-0000E9CC0000}"/>
    <cellStyle name="Note 5 5 2 2" xfId="52560" xr:uid="{00000000-0005-0000-0000-0000EACC0000}"/>
    <cellStyle name="Note 5 5 3" xfId="52561" xr:uid="{00000000-0005-0000-0000-0000EBCC0000}"/>
    <cellStyle name="Note 5 6" xfId="52562" xr:uid="{00000000-0005-0000-0000-0000ECCC0000}"/>
    <cellStyle name="Note 5 6 2" xfId="52563" xr:uid="{00000000-0005-0000-0000-0000EDCC0000}"/>
    <cellStyle name="Note 5 6 2 2" xfId="52564" xr:uid="{00000000-0005-0000-0000-0000EECC0000}"/>
    <cellStyle name="Note 5 6 2 2 2" xfId="52565" xr:uid="{00000000-0005-0000-0000-0000EFCC0000}"/>
    <cellStyle name="Note 5 6 2 3" xfId="52566" xr:uid="{00000000-0005-0000-0000-0000F0CC0000}"/>
    <cellStyle name="Note 5 6 3" xfId="52567" xr:uid="{00000000-0005-0000-0000-0000F1CC0000}"/>
    <cellStyle name="Note 5 6 3 2" xfId="52568" xr:uid="{00000000-0005-0000-0000-0000F2CC0000}"/>
    <cellStyle name="Note 5 6 4" xfId="52569" xr:uid="{00000000-0005-0000-0000-0000F3CC0000}"/>
    <cellStyle name="Note 5 7" xfId="52570" xr:uid="{00000000-0005-0000-0000-0000F4CC0000}"/>
    <cellStyle name="Note 5 7 2" xfId="52571" xr:uid="{00000000-0005-0000-0000-0000F5CC0000}"/>
    <cellStyle name="Note 5 7 2 2" xfId="52572" xr:uid="{00000000-0005-0000-0000-0000F6CC0000}"/>
    <cellStyle name="Note 5 7 2 3" xfId="52573" xr:uid="{00000000-0005-0000-0000-0000F7CC0000}"/>
    <cellStyle name="Note 5 7 3" xfId="52574" xr:uid="{00000000-0005-0000-0000-0000F8CC0000}"/>
    <cellStyle name="Note 5 7 3 2" xfId="52575" xr:uid="{00000000-0005-0000-0000-0000F9CC0000}"/>
    <cellStyle name="Note 5 7 4" xfId="52576" xr:uid="{00000000-0005-0000-0000-0000FACC0000}"/>
    <cellStyle name="Note 5 8" xfId="52577" xr:uid="{00000000-0005-0000-0000-0000FBCC0000}"/>
    <cellStyle name="Note 5 8 2" xfId="52578" xr:uid="{00000000-0005-0000-0000-0000FCCC0000}"/>
    <cellStyle name="Note 5 8 2 2" xfId="52579" xr:uid="{00000000-0005-0000-0000-0000FDCC0000}"/>
    <cellStyle name="Note 5 8 2 3" xfId="52580" xr:uid="{00000000-0005-0000-0000-0000FECC0000}"/>
    <cellStyle name="Note 5 8 3" xfId="52581" xr:uid="{00000000-0005-0000-0000-0000FFCC0000}"/>
    <cellStyle name="Note 5 8 3 2" xfId="52582" xr:uid="{00000000-0005-0000-0000-000000CD0000}"/>
    <cellStyle name="Note 5 8 4" xfId="52583" xr:uid="{00000000-0005-0000-0000-000001CD0000}"/>
    <cellStyle name="Note 5 9" xfId="52584" xr:uid="{00000000-0005-0000-0000-000002CD0000}"/>
    <cellStyle name="Note 5 9 2" xfId="52585" xr:uid="{00000000-0005-0000-0000-000003CD0000}"/>
    <cellStyle name="Note 5 9 3" xfId="52586" xr:uid="{00000000-0005-0000-0000-000004CD0000}"/>
    <cellStyle name="Note 6" xfId="52587" xr:uid="{00000000-0005-0000-0000-000005CD0000}"/>
    <cellStyle name="Note 6 10" xfId="52588" xr:uid="{00000000-0005-0000-0000-000006CD0000}"/>
    <cellStyle name="Note 6 11" xfId="52589" xr:uid="{00000000-0005-0000-0000-000007CD0000}"/>
    <cellStyle name="Note 6 2" xfId="52590" xr:uid="{00000000-0005-0000-0000-000008CD0000}"/>
    <cellStyle name="Note 6 2 2" xfId="52591" xr:uid="{00000000-0005-0000-0000-000009CD0000}"/>
    <cellStyle name="Note 6 2 2 2" xfId="52592" xr:uid="{00000000-0005-0000-0000-00000ACD0000}"/>
    <cellStyle name="Note 6 2 2 2 2" xfId="52593" xr:uid="{00000000-0005-0000-0000-00000BCD0000}"/>
    <cellStyle name="Note 6 2 2 2 2 2" xfId="52594" xr:uid="{00000000-0005-0000-0000-00000CCD0000}"/>
    <cellStyle name="Note 6 2 2 2 3" xfId="52595" xr:uid="{00000000-0005-0000-0000-00000DCD0000}"/>
    <cellStyle name="Note 6 2 2 3" xfId="52596" xr:uid="{00000000-0005-0000-0000-00000ECD0000}"/>
    <cellStyle name="Note 6 2 2 3 2" xfId="52597" xr:uid="{00000000-0005-0000-0000-00000FCD0000}"/>
    <cellStyle name="Note 6 2 2 4" xfId="52598" xr:uid="{00000000-0005-0000-0000-000010CD0000}"/>
    <cellStyle name="Note 6 2 3" xfId="52599" xr:uid="{00000000-0005-0000-0000-000011CD0000}"/>
    <cellStyle name="Note 6 2 3 2" xfId="52600" xr:uid="{00000000-0005-0000-0000-000012CD0000}"/>
    <cellStyle name="Note 6 2 3 2 2" xfId="52601" xr:uid="{00000000-0005-0000-0000-000013CD0000}"/>
    <cellStyle name="Note 6 2 3 2 2 2" xfId="52602" xr:uid="{00000000-0005-0000-0000-000014CD0000}"/>
    <cellStyle name="Note 6 2 3 2 3" xfId="52603" xr:uid="{00000000-0005-0000-0000-000015CD0000}"/>
    <cellStyle name="Note 6 2 3 3" xfId="52604" xr:uid="{00000000-0005-0000-0000-000016CD0000}"/>
    <cellStyle name="Note 6 2 3 3 2" xfId="52605" xr:uid="{00000000-0005-0000-0000-000017CD0000}"/>
    <cellStyle name="Note 6 2 3 4" xfId="52606" xr:uid="{00000000-0005-0000-0000-000018CD0000}"/>
    <cellStyle name="Note 6 2 4" xfId="52607" xr:uid="{00000000-0005-0000-0000-000019CD0000}"/>
    <cellStyle name="Note 6 2 4 2" xfId="52608" xr:uid="{00000000-0005-0000-0000-00001ACD0000}"/>
    <cellStyle name="Note 6 2 4 2 2" xfId="52609" xr:uid="{00000000-0005-0000-0000-00001BCD0000}"/>
    <cellStyle name="Note 6 2 4 2 2 2" xfId="52610" xr:uid="{00000000-0005-0000-0000-00001CCD0000}"/>
    <cellStyle name="Note 6 2 4 2 3" xfId="52611" xr:uid="{00000000-0005-0000-0000-00001DCD0000}"/>
    <cellStyle name="Note 6 2 4 3" xfId="52612" xr:uid="{00000000-0005-0000-0000-00001ECD0000}"/>
    <cellStyle name="Note 6 2 4 3 2" xfId="52613" xr:uid="{00000000-0005-0000-0000-00001FCD0000}"/>
    <cellStyle name="Note 6 2 4 4" xfId="52614" xr:uid="{00000000-0005-0000-0000-000020CD0000}"/>
    <cellStyle name="Note 6 2 5" xfId="52615" xr:uid="{00000000-0005-0000-0000-000021CD0000}"/>
    <cellStyle name="Note 6 2 5 2" xfId="52616" xr:uid="{00000000-0005-0000-0000-000022CD0000}"/>
    <cellStyle name="Note 6 2 5 2 2" xfId="52617" xr:uid="{00000000-0005-0000-0000-000023CD0000}"/>
    <cellStyle name="Note 6 2 5 2 3" xfId="52618" xr:uid="{00000000-0005-0000-0000-000024CD0000}"/>
    <cellStyle name="Note 6 2 5 3" xfId="52619" xr:uid="{00000000-0005-0000-0000-000025CD0000}"/>
    <cellStyle name="Note 6 2 5 3 2" xfId="52620" xr:uid="{00000000-0005-0000-0000-000026CD0000}"/>
    <cellStyle name="Note 6 2 5 4" xfId="52621" xr:uid="{00000000-0005-0000-0000-000027CD0000}"/>
    <cellStyle name="Note 6 2 6" xfId="52622" xr:uid="{00000000-0005-0000-0000-000028CD0000}"/>
    <cellStyle name="Note 6 2 7" xfId="52623" xr:uid="{00000000-0005-0000-0000-000029CD0000}"/>
    <cellStyle name="Note 6 2 8" xfId="52624" xr:uid="{00000000-0005-0000-0000-00002ACD0000}"/>
    <cellStyle name="Note 6 2 9" xfId="52625" xr:uid="{00000000-0005-0000-0000-00002BCD0000}"/>
    <cellStyle name="Note 6 3" xfId="52626" xr:uid="{00000000-0005-0000-0000-00002CCD0000}"/>
    <cellStyle name="Note 6 3 2" xfId="52627" xr:uid="{00000000-0005-0000-0000-00002DCD0000}"/>
    <cellStyle name="Note 6 3 2 2" xfId="52628" xr:uid="{00000000-0005-0000-0000-00002ECD0000}"/>
    <cellStyle name="Note 6 3 2 2 2" xfId="52629" xr:uid="{00000000-0005-0000-0000-00002FCD0000}"/>
    <cellStyle name="Note 6 3 2 3" xfId="52630" xr:uid="{00000000-0005-0000-0000-000030CD0000}"/>
    <cellStyle name="Note 6 3 3" xfId="52631" xr:uid="{00000000-0005-0000-0000-000031CD0000}"/>
    <cellStyle name="Note 6 3 3 2" xfId="52632" xr:uid="{00000000-0005-0000-0000-000032CD0000}"/>
    <cellStyle name="Note 6 3 4" xfId="52633" xr:uid="{00000000-0005-0000-0000-000033CD0000}"/>
    <cellStyle name="Note 6 4" xfId="52634" xr:uid="{00000000-0005-0000-0000-000034CD0000}"/>
    <cellStyle name="Note 6 4 2" xfId="52635" xr:uid="{00000000-0005-0000-0000-000035CD0000}"/>
    <cellStyle name="Note 6 4 2 2" xfId="52636" xr:uid="{00000000-0005-0000-0000-000036CD0000}"/>
    <cellStyle name="Note 6 4 2 2 2" xfId="52637" xr:uid="{00000000-0005-0000-0000-000037CD0000}"/>
    <cellStyle name="Note 6 4 2 3" xfId="52638" xr:uid="{00000000-0005-0000-0000-000038CD0000}"/>
    <cellStyle name="Note 6 4 3" xfId="52639" xr:uid="{00000000-0005-0000-0000-000039CD0000}"/>
    <cellStyle name="Note 6 4 3 2" xfId="52640" xr:uid="{00000000-0005-0000-0000-00003ACD0000}"/>
    <cellStyle name="Note 6 4 4" xfId="52641" xr:uid="{00000000-0005-0000-0000-00003BCD0000}"/>
    <cellStyle name="Note 6 5" xfId="52642" xr:uid="{00000000-0005-0000-0000-00003CCD0000}"/>
    <cellStyle name="Note 6 5 2" xfId="52643" xr:uid="{00000000-0005-0000-0000-00003DCD0000}"/>
    <cellStyle name="Note 6 5 2 2" xfId="52644" xr:uid="{00000000-0005-0000-0000-00003ECD0000}"/>
    <cellStyle name="Note 6 5 3" xfId="52645" xr:uid="{00000000-0005-0000-0000-00003FCD0000}"/>
    <cellStyle name="Note 6 6" xfId="52646" xr:uid="{00000000-0005-0000-0000-000040CD0000}"/>
    <cellStyle name="Note 6 6 2" xfId="52647" xr:uid="{00000000-0005-0000-0000-000041CD0000}"/>
    <cellStyle name="Note 6 6 2 2" xfId="52648" xr:uid="{00000000-0005-0000-0000-000042CD0000}"/>
    <cellStyle name="Note 6 6 2 2 2" xfId="52649" xr:uid="{00000000-0005-0000-0000-000043CD0000}"/>
    <cellStyle name="Note 6 6 2 3" xfId="52650" xr:uid="{00000000-0005-0000-0000-000044CD0000}"/>
    <cellStyle name="Note 6 6 3" xfId="52651" xr:uid="{00000000-0005-0000-0000-000045CD0000}"/>
    <cellStyle name="Note 6 6 3 2" xfId="52652" xr:uid="{00000000-0005-0000-0000-000046CD0000}"/>
    <cellStyle name="Note 6 6 4" xfId="52653" xr:uid="{00000000-0005-0000-0000-000047CD0000}"/>
    <cellStyle name="Note 6 7" xfId="52654" xr:uid="{00000000-0005-0000-0000-000048CD0000}"/>
    <cellStyle name="Note 6 7 2" xfId="52655" xr:uid="{00000000-0005-0000-0000-000049CD0000}"/>
    <cellStyle name="Note 6 7 2 2" xfId="52656" xr:uid="{00000000-0005-0000-0000-00004ACD0000}"/>
    <cellStyle name="Note 6 7 2 3" xfId="52657" xr:uid="{00000000-0005-0000-0000-00004BCD0000}"/>
    <cellStyle name="Note 6 7 3" xfId="52658" xr:uid="{00000000-0005-0000-0000-00004CCD0000}"/>
    <cellStyle name="Note 6 7 3 2" xfId="52659" xr:uid="{00000000-0005-0000-0000-00004DCD0000}"/>
    <cellStyle name="Note 6 7 4" xfId="52660" xr:uid="{00000000-0005-0000-0000-00004ECD0000}"/>
    <cellStyle name="Note 6 8" xfId="52661" xr:uid="{00000000-0005-0000-0000-00004FCD0000}"/>
    <cellStyle name="Note 6 9" xfId="52662" xr:uid="{00000000-0005-0000-0000-000050CD0000}"/>
    <cellStyle name="Note 7" xfId="52663" xr:uid="{00000000-0005-0000-0000-000051CD0000}"/>
    <cellStyle name="Note 7 10" xfId="52664" xr:uid="{00000000-0005-0000-0000-000052CD0000}"/>
    <cellStyle name="Note 7 11" xfId="52665" xr:uid="{00000000-0005-0000-0000-000053CD0000}"/>
    <cellStyle name="Note 7 2" xfId="52666" xr:uid="{00000000-0005-0000-0000-000054CD0000}"/>
    <cellStyle name="Note 7 2 2" xfId="52667" xr:uid="{00000000-0005-0000-0000-000055CD0000}"/>
    <cellStyle name="Note 7 2 2 2" xfId="52668" xr:uid="{00000000-0005-0000-0000-000056CD0000}"/>
    <cellStyle name="Note 7 2 2 2 2" xfId="52669" xr:uid="{00000000-0005-0000-0000-000057CD0000}"/>
    <cellStyle name="Note 7 2 2 2 2 2" xfId="52670" xr:uid="{00000000-0005-0000-0000-000058CD0000}"/>
    <cellStyle name="Note 7 2 2 2 3" xfId="52671" xr:uid="{00000000-0005-0000-0000-000059CD0000}"/>
    <cellStyle name="Note 7 2 2 3" xfId="52672" xr:uid="{00000000-0005-0000-0000-00005ACD0000}"/>
    <cellStyle name="Note 7 2 2 3 2" xfId="52673" xr:uid="{00000000-0005-0000-0000-00005BCD0000}"/>
    <cellStyle name="Note 7 2 2 4" xfId="52674" xr:uid="{00000000-0005-0000-0000-00005CCD0000}"/>
    <cellStyle name="Note 7 2 3" xfId="52675" xr:uid="{00000000-0005-0000-0000-00005DCD0000}"/>
    <cellStyle name="Note 7 2 3 2" xfId="52676" xr:uid="{00000000-0005-0000-0000-00005ECD0000}"/>
    <cellStyle name="Note 7 2 3 2 2" xfId="52677" xr:uid="{00000000-0005-0000-0000-00005FCD0000}"/>
    <cellStyle name="Note 7 2 3 2 2 2" xfId="52678" xr:uid="{00000000-0005-0000-0000-000060CD0000}"/>
    <cellStyle name="Note 7 2 3 2 3" xfId="52679" xr:uid="{00000000-0005-0000-0000-000061CD0000}"/>
    <cellStyle name="Note 7 2 3 3" xfId="52680" xr:uid="{00000000-0005-0000-0000-000062CD0000}"/>
    <cellStyle name="Note 7 2 3 3 2" xfId="52681" xr:uid="{00000000-0005-0000-0000-000063CD0000}"/>
    <cellStyle name="Note 7 2 3 4" xfId="52682" xr:uid="{00000000-0005-0000-0000-000064CD0000}"/>
    <cellStyle name="Note 7 2 4" xfId="52683" xr:uid="{00000000-0005-0000-0000-000065CD0000}"/>
    <cellStyle name="Note 7 2 4 2" xfId="52684" xr:uid="{00000000-0005-0000-0000-000066CD0000}"/>
    <cellStyle name="Note 7 2 4 2 2" xfId="52685" xr:uid="{00000000-0005-0000-0000-000067CD0000}"/>
    <cellStyle name="Note 7 2 4 2 2 2" xfId="52686" xr:uid="{00000000-0005-0000-0000-000068CD0000}"/>
    <cellStyle name="Note 7 2 4 2 3" xfId="52687" xr:uid="{00000000-0005-0000-0000-000069CD0000}"/>
    <cellStyle name="Note 7 2 4 3" xfId="52688" xr:uid="{00000000-0005-0000-0000-00006ACD0000}"/>
    <cellStyle name="Note 7 2 4 3 2" xfId="52689" xr:uid="{00000000-0005-0000-0000-00006BCD0000}"/>
    <cellStyle name="Note 7 2 4 4" xfId="52690" xr:uid="{00000000-0005-0000-0000-00006CCD0000}"/>
    <cellStyle name="Note 7 2 5" xfId="52691" xr:uid="{00000000-0005-0000-0000-00006DCD0000}"/>
    <cellStyle name="Note 7 2 5 2" xfId="52692" xr:uid="{00000000-0005-0000-0000-00006ECD0000}"/>
    <cellStyle name="Note 7 2 5 2 2" xfId="52693" xr:uid="{00000000-0005-0000-0000-00006FCD0000}"/>
    <cellStyle name="Note 7 2 5 2 3" xfId="52694" xr:uid="{00000000-0005-0000-0000-000070CD0000}"/>
    <cellStyle name="Note 7 2 5 3" xfId="52695" xr:uid="{00000000-0005-0000-0000-000071CD0000}"/>
    <cellStyle name="Note 7 2 5 3 2" xfId="52696" xr:uid="{00000000-0005-0000-0000-000072CD0000}"/>
    <cellStyle name="Note 7 2 5 4" xfId="52697" xr:uid="{00000000-0005-0000-0000-000073CD0000}"/>
    <cellStyle name="Note 7 2 6" xfId="52698" xr:uid="{00000000-0005-0000-0000-000074CD0000}"/>
    <cellStyle name="Note 7 2 7" xfId="52699" xr:uid="{00000000-0005-0000-0000-000075CD0000}"/>
    <cellStyle name="Note 7 2 8" xfId="52700" xr:uid="{00000000-0005-0000-0000-000076CD0000}"/>
    <cellStyle name="Note 7 2 9" xfId="52701" xr:uid="{00000000-0005-0000-0000-000077CD0000}"/>
    <cellStyle name="Note 7 3" xfId="52702" xr:uid="{00000000-0005-0000-0000-000078CD0000}"/>
    <cellStyle name="Note 7 3 2" xfId="52703" xr:uid="{00000000-0005-0000-0000-000079CD0000}"/>
    <cellStyle name="Note 7 3 2 2" xfId="52704" xr:uid="{00000000-0005-0000-0000-00007ACD0000}"/>
    <cellStyle name="Note 7 3 2 2 2" xfId="52705" xr:uid="{00000000-0005-0000-0000-00007BCD0000}"/>
    <cellStyle name="Note 7 3 2 3" xfId="52706" xr:uid="{00000000-0005-0000-0000-00007CCD0000}"/>
    <cellStyle name="Note 7 3 3" xfId="52707" xr:uid="{00000000-0005-0000-0000-00007DCD0000}"/>
    <cellStyle name="Note 7 3 3 2" xfId="52708" xr:uid="{00000000-0005-0000-0000-00007ECD0000}"/>
    <cellStyle name="Note 7 3 4" xfId="52709" xr:uid="{00000000-0005-0000-0000-00007FCD0000}"/>
    <cellStyle name="Note 7 4" xfId="52710" xr:uid="{00000000-0005-0000-0000-000080CD0000}"/>
    <cellStyle name="Note 7 4 2" xfId="52711" xr:uid="{00000000-0005-0000-0000-000081CD0000}"/>
    <cellStyle name="Note 7 4 2 2" xfId="52712" xr:uid="{00000000-0005-0000-0000-000082CD0000}"/>
    <cellStyle name="Note 7 4 2 2 2" xfId="52713" xr:uid="{00000000-0005-0000-0000-000083CD0000}"/>
    <cellStyle name="Note 7 4 2 3" xfId="52714" xr:uid="{00000000-0005-0000-0000-000084CD0000}"/>
    <cellStyle name="Note 7 4 3" xfId="52715" xr:uid="{00000000-0005-0000-0000-000085CD0000}"/>
    <cellStyle name="Note 7 4 3 2" xfId="52716" xr:uid="{00000000-0005-0000-0000-000086CD0000}"/>
    <cellStyle name="Note 7 4 4" xfId="52717" xr:uid="{00000000-0005-0000-0000-000087CD0000}"/>
    <cellStyle name="Note 7 5" xfId="52718" xr:uid="{00000000-0005-0000-0000-000088CD0000}"/>
    <cellStyle name="Note 7 5 2" xfId="52719" xr:uid="{00000000-0005-0000-0000-000089CD0000}"/>
    <cellStyle name="Note 7 5 2 2" xfId="52720" xr:uid="{00000000-0005-0000-0000-00008ACD0000}"/>
    <cellStyle name="Note 7 5 3" xfId="52721" xr:uid="{00000000-0005-0000-0000-00008BCD0000}"/>
    <cellStyle name="Note 7 6" xfId="52722" xr:uid="{00000000-0005-0000-0000-00008CCD0000}"/>
    <cellStyle name="Note 7 6 2" xfId="52723" xr:uid="{00000000-0005-0000-0000-00008DCD0000}"/>
    <cellStyle name="Note 7 6 2 2" xfId="52724" xr:uid="{00000000-0005-0000-0000-00008ECD0000}"/>
    <cellStyle name="Note 7 6 2 2 2" xfId="52725" xr:uid="{00000000-0005-0000-0000-00008FCD0000}"/>
    <cellStyle name="Note 7 6 2 3" xfId="52726" xr:uid="{00000000-0005-0000-0000-000090CD0000}"/>
    <cellStyle name="Note 7 6 3" xfId="52727" xr:uid="{00000000-0005-0000-0000-000091CD0000}"/>
    <cellStyle name="Note 7 6 3 2" xfId="52728" xr:uid="{00000000-0005-0000-0000-000092CD0000}"/>
    <cellStyle name="Note 7 6 4" xfId="52729" xr:uid="{00000000-0005-0000-0000-000093CD0000}"/>
    <cellStyle name="Note 7 7" xfId="52730" xr:uid="{00000000-0005-0000-0000-000094CD0000}"/>
    <cellStyle name="Note 7 7 2" xfId="52731" xr:uid="{00000000-0005-0000-0000-000095CD0000}"/>
    <cellStyle name="Note 7 7 2 2" xfId="52732" xr:uid="{00000000-0005-0000-0000-000096CD0000}"/>
    <cellStyle name="Note 7 7 2 3" xfId="52733" xr:uid="{00000000-0005-0000-0000-000097CD0000}"/>
    <cellStyle name="Note 7 7 3" xfId="52734" xr:uid="{00000000-0005-0000-0000-000098CD0000}"/>
    <cellStyle name="Note 7 7 3 2" xfId="52735" xr:uid="{00000000-0005-0000-0000-000099CD0000}"/>
    <cellStyle name="Note 7 7 4" xfId="52736" xr:uid="{00000000-0005-0000-0000-00009ACD0000}"/>
    <cellStyle name="Note 7 8" xfId="52737" xr:uid="{00000000-0005-0000-0000-00009BCD0000}"/>
    <cellStyle name="Note 7 9" xfId="52738" xr:uid="{00000000-0005-0000-0000-00009CCD0000}"/>
    <cellStyle name="Note 8" xfId="52739" xr:uid="{00000000-0005-0000-0000-00009DCD0000}"/>
    <cellStyle name="Note 8 10" xfId="52740" xr:uid="{00000000-0005-0000-0000-00009ECD0000}"/>
    <cellStyle name="Note 8 11" xfId="52741" xr:uid="{00000000-0005-0000-0000-00009FCD0000}"/>
    <cellStyle name="Note 8 2" xfId="52742" xr:uid="{00000000-0005-0000-0000-0000A0CD0000}"/>
    <cellStyle name="Note 8 2 2" xfId="52743" xr:uid="{00000000-0005-0000-0000-0000A1CD0000}"/>
    <cellStyle name="Note 8 2 2 2" xfId="52744" xr:uid="{00000000-0005-0000-0000-0000A2CD0000}"/>
    <cellStyle name="Note 8 2 2 2 2" xfId="52745" xr:uid="{00000000-0005-0000-0000-0000A3CD0000}"/>
    <cellStyle name="Note 8 2 2 2 2 2" xfId="52746" xr:uid="{00000000-0005-0000-0000-0000A4CD0000}"/>
    <cellStyle name="Note 8 2 2 2 3" xfId="52747" xr:uid="{00000000-0005-0000-0000-0000A5CD0000}"/>
    <cellStyle name="Note 8 2 2 3" xfId="52748" xr:uid="{00000000-0005-0000-0000-0000A6CD0000}"/>
    <cellStyle name="Note 8 2 2 3 2" xfId="52749" xr:uid="{00000000-0005-0000-0000-0000A7CD0000}"/>
    <cellStyle name="Note 8 2 2 4" xfId="52750" xr:uid="{00000000-0005-0000-0000-0000A8CD0000}"/>
    <cellStyle name="Note 8 2 3" xfId="52751" xr:uid="{00000000-0005-0000-0000-0000A9CD0000}"/>
    <cellStyle name="Note 8 2 3 2" xfId="52752" xr:uid="{00000000-0005-0000-0000-0000AACD0000}"/>
    <cellStyle name="Note 8 2 3 2 2" xfId="52753" xr:uid="{00000000-0005-0000-0000-0000ABCD0000}"/>
    <cellStyle name="Note 8 2 3 3" xfId="52754" xr:uid="{00000000-0005-0000-0000-0000ACCD0000}"/>
    <cellStyle name="Note 8 2 4" xfId="52755" xr:uid="{00000000-0005-0000-0000-0000ADCD0000}"/>
    <cellStyle name="Note 8 2 4 2" xfId="52756" xr:uid="{00000000-0005-0000-0000-0000AECD0000}"/>
    <cellStyle name="Note 8 2 4 2 2" xfId="52757" xr:uid="{00000000-0005-0000-0000-0000AFCD0000}"/>
    <cellStyle name="Note 8 2 4 2 2 2" xfId="52758" xr:uid="{00000000-0005-0000-0000-0000B0CD0000}"/>
    <cellStyle name="Note 8 2 4 2 3" xfId="52759" xr:uid="{00000000-0005-0000-0000-0000B1CD0000}"/>
    <cellStyle name="Note 8 2 4 3" xfId="52760" xr:uid="{00000000-0005-0000-0000-0000B2CD0000}"/>
    <cellStyle name="Note 8 2 4 3 2" xfId="52761" xr:uid="{00000000-0005-0000-0000-0000B3CD0000}"/>
    <cellStyle name="Note 8 2 4 4" xfId="52762" xr:uid="{00000000-0005-0000-0000-0000B4CD0000}"/>
    <cellStyle name="Note 8 2 5" xfId="52763" xr:uid="{00000000-0005-0000-0000-0000B5CD0000}"/>
    <cellStyle name="Note 8 2 5 2" xfId="52764" xr:uid="{00000000-0005-0000-0000-0000B6CD0000}"/>
    <cellStyle name="Note 8 2 5 2 2" xfId="52765" xr:uid="{00000000-0005-0000-0000-0000B7CD0000}"/>
    <cellStyle name="Note 8 2 5 2 3" xfId="52766" xr:uid="{00000000-0005-0000-0000-0000B8CD0000}"/>
    <cellStyle name="Note 8 2 5 3" xfId="52767" xr:uid="{00000000-0005-0000-0000-0000B9CD0000}"/>
    <cellStyle name="Note 8 2 5 3 2" xfId="52768" xr:uid="{00000000-0005-0000-0000-0000BACD0000}"/>
    <cellStyle name="Note 8 2 5 4" xfId="52769" xr:uid="{00000000-0005-0000-0000-0000BBCD0000}"/>
    <cellStyle name="Note 8 2 6" xfId="52770" xr:uid="{00000000-0005-0000-0000-0000BCCD0000}"/>
    <cellStyle name="Note 8 2 7" xfId="52771" xr:uid="{00000000-0005-0000-0000-0000BDCD0000}"/>
    <cellStyle name="Note 8 2 8" xfId="52772" xr:uid="{00000000-0005-0000-0000-0000BECD0000}"/>
    <cellStyle name="Note 8 2 9" xfId="52773" xr:uid="{00000000-0005-0000-0000-0000BFCD0000}"/>
    <cellStyle name="Note 8 3" xfId="52774" xr:uid="{00000000-0005-0000-0000-0000C0CD0000}"/>
    <cellStyle name="Note 8 3 2" xfId="52775" xr:uid="{00000000-0005-0000-0000-0000C1CD0000}"/>
    <cellStyle name="Note 8 3 2 2" xfId="52776" xr:uid="{00000000-0005-0000-0000-0000C2CD0000}"/>
    <cellStyle name="Note 8 3 2 2 2" xfId="52777" xr:uid="{00000000-0005-0000-0000-0000C3CD0000}"/>
    <cellStyle name="Note 8 3 2 3" xfId="52778" xr:uid="{00000000-0005-0000-0000-0000C4CD0000}"/>
    <cellStyle name="Note 8 3 3" xfId="52779" xr:uid="{00000000-0005-0000-0000-0000C5CD0000}"/>
    <cellStyle name="Note 8 3 3 2" xfId="52780" xr:uid="{00000000-0005-0000-0000-0000C6CD0000}"/>
    <cellStyle name="Note 8 3 4" xfId="52781" xr:uid="{00000000-0005-0000-0000-0000C7CD0000}"/>
    <cellStyle name="Note 8 4" xfId="52782" xr:uid="{00000000-0005-0000-0000-0000C8CD0000}"/>
    <cellStyle name="Note 8 4 2" xfId="52783" xr:uid="{00000000-0005-0000-0000-0000C9CD0000}"/>
    <cellStyle name="Note 8 4 2 2" xfId="52784" xr:uid="{00000000-0005-0000-0000-0000CACD0000}"/>
    <cellStyle name="Note 8 4 2 2 2" xfId="52785" xr:uid="{00000000-0005-0000-0000-0000CBCD0000}"/>
    <cellStyle name="Note 8 4 2 3" xfId="52786" xr:uid="{00000000-0005-0000-0000-0000CCCD0000}"/>
    <cellStyle name="Note 8 4 3" xfId="52787" xr:uid="{00000000-0005-0000-0000-0000CDCD0000}"/>
    <cellStyle name="Note 8 4 3 2" xfId="52788" xr:uid="{00000000-0005-0000-0000-0000CECD0000}"/>
    <cellStyle name="Note 8 4 4" xfId="52789" xr:uid="{00000000-0005-0000-0000-0000CFCD0000}"/>
    <cellStyle name="Note 8 5" xfId="52790" xr:uid="{00000000-0005-0000-0000-0000D0CD0000}"/>
    <cellStyle name="Note 8 5 2" xfId="52791" xr:uid="{00000000-0005-0000-0000-0000D1CD0000}"/>
    <cellStyle name="Note 8 5 2 2" xfId="52792" xr:uid="{00000000-0005-0000-0000-0000D2CD0000}"/>
    <cellStyle name="Note 8 5 3" xfId="52793" xr:uid="{00000000-0005-0000-0000-0000D3CD0000}"/>
    <cellStyle name="Note 8 6" xfId="52794" xr:uid="{00000000-0005-0000-0000-0000D4CD0000}"/>
    <cellStyle name="Note 8 6 2" xfId="52795" xr:uid="{00000000-0005-0000-0000-0000D5CD0000}"/>
    <cellStyle name="Note 8 6 2 2" xfId="52796" xr:uid="{00000000-0005-0000-0000-0000D6CD0000}"/>
    <cellStyle name="Note 8 6 2 2 2" xfId="52797" xr:uid="{00000000-0005-0000-0000-0000D7CD0000}"/>
    <cellStyle name="Note 8 6 2 3" xfId="52798" xr:uid="{00000000-0005-0000-0000-0000D8CD0000}"/>
    <cellStyle name="Note 8 6 3" xfId="52799" xr:uid="{00000000-0005-0000-0000-0000D9CD0000}"/>
    <cellStyle name="Note 8 6 3 2" xfId="52800" xr:uid="{00000000-0005-0000-0000-0000DACD0000}"/>
    <cellStyle name="Note 8 6 4" xfId="52801" xr:uid="{00000000-0005-0000-0000-0000DBCD0000}"/>
    <cellStyle name="Note 8 7" xfId="52802" xr:uid="{00000000-0005-0000-0000-0000DCCD0000}"/>
    <cellStyle name="Note 8 7 2" xfId="52803" xr:uid="{00000000-0005-0000-0000-0000DDCD0000}"/>
    <cellStyle name="Note 8 7 2 2" xfId="52804" xr:uid="{00000000-0005-0000-0000-0000DECD0000}"/>
    <cellStyle name="Note 8 7 2 3" xfId="52805" xr:uid="{00000000-0005-0000-0000-0000DFCD0000}"/>
    <cellStyle name="Note 8 7 3" xfId="52806" xr:uid="{00000000-0005-0000-0000-0000E0CD0000}"/>
    <cellStyle name="Note 8 7 3 2" xfId="52807" xr:uid="{00000000-0005-0000-0000-0000E1CD0000}"/>
    <cellStyle name="Note 8 7 4" xfId="52808" xr:uid="{00000000-0005-0000-0000-0000E2CD0000}"/>
    <cellStyle name="Note 8 8" xfId="52809" xr:uid="{00000000-0005-0000-0000-0000E3CD0000}"/>
    <cellStyle name="Note 8 9" xfId="52810" xr:uid="{00000000-0005-0000-0000-0000E4CD0000}"/>
    <cellStyle name="Note 9" xfId="52811" xr:uid="{00000000-0005-0000-0000-0000E5CD0000}"/>
    <cellStyle name="Note 9 2" xfId="52812" xr:uid="{00000000-0005-0000-0000-0000E6CD0000}"/>
    <cellStyle name="Notes" xfId="59" xr:uid="{00000000-0005-0000-0000-0000E7CD0000}"/>
    <cellStyle name="Output 10" xfId="52813" xr:uid="{00000000-0005-0000-0000-0000E8CD0000}"/>
    <cellStyle name="Output 11" xfId="52814" xr:uid="{00000000-0005-0000-0000-0000E9CD0000}"/>
    <cellStyle name="Output 12" xfId="52815" xr:uid="{00000000-0005-0000-0000-0000EACD0000}"/>
    <cellStyle name="Output 2" xfId="52816" xr:uid="{00000000-0005-0000-0000-0000EBCD0000}"/>
    <cellStyle name="Output 2 10" xfId="52817" xr:uid="{00000000-0005-0000-0000-0000ECCD0000}"/>
    <cellStyle name="Output 2 10 2" xfId="52818" xr:uid="{00000000-0005-0000-0000-0000EDCD0000}"/>
    <cellStyle name="Output 2 11" xfId="52819" xr:uid="{00000000-0005-0000-0000-0000EECD0000}"/>
    <cellStyle name="Output 2 11 2" xfId="52820" xr:uid="{00000000-0005-0000-0000-0000EFCD0000}"/>
    <cellStyle name="Output 2 12" xfId="52821" xr:uid="{00000000-0005-0000-0000-0000F0CD0000}"/>
    <cellStyle name="Output 2 12 2" xfId="52822" xr:uid="{00000000-0005-0000-0000-0000F1CD0000}"/>
    <cellStyle name="Output 2 13" xfId="52823" xr:uid="{00000000-0005-0000-0000-0000F2CD0000}"/>
    <cellStyle name="Output 2 13 2" xfId="52824" xr:uid="{00000000-0005-0000-0000-0000F3CD0000}"/>
    <cellStyle name="Output 2 14" xfId="52825" xr:uid="{00000000-0005-0000-0000-0000F4CD0000}"/>
    <cellStyle name="Output 2 15" xfId="52826" xr:uid="{00000000-0005-0000-0000-0000F5CD0000}"/>
    <cellStyle name="Output 2 16" xfId="52827" xr:uid="{00000000-0005-0000-0000-0000F6CD0000}"/>
    <cellStyle name="Output 2 2" xfId="52828" xr:uid="{00000000-0005-0000-0000-0000F7CD0000}"/>
    <cellStyle name="Output 2 2 10" xfId="52829" xr:uid="{00000000-0005-0000-0000-0000F8CD0000}"/>
    <cellStyle name="Output 2 2 2" xfId="52830" xr:uid="{00000000-0005-0000-0000-0000F9CD0000}"/>
    <cellStyle name="Output 2 2 2 2" xfId="52831" xr:uid="{00000000-0005-0000-0000-0000FACD0000}"/>
    <cellStyle name="Output 2 2 2 2 2" xfId="52832" xr:uid="{00000000-0005-0000-0000-0000FBCD0000}"/>
    <cellStyle name="Output 2 2 2 2 2 2" xfId="52833" xr:uid="{00000000-0005-0000-0000-0000FCCD0000}"/>
    <cellStyle name="Output 2 2 2 2 3" xfId="52834" xr:uid="{00000000-0005-0000-0000-0000FDCD0000}"/>
    <cellStyle name="Output 2 2 2 2 3 2" xfId="52835" xr:uid="{00000000-0005-0000-0000-0000FECD0000}"/>
    <cellStyle name="Output 2 2 2 2 4" xfId="52836" xr:uid="{00000000-0005-0000-0000-0000FFCD0000}"/>
    <cellStyle name="Output 2 2 2 2 4 2" xfId="52837" xr:uid="{00000000-0005-0000-0000-000000CE0000}"/>
    <cellStyle name="Output 2 2 2 2 5" xfId="52838" xr:uid="{00000000-0005-0000-0000-000001CE0000}"/>
    <cellStyle name="Output 2 2 2 3" xfId="52839" xr:uid="{00000000-0005-0000-0000-000002CE0000}"/>
    <cellStyle name="Output 2 2 2 3 2" xfId="52840" xr:uid="{00000000-0005-0000-0000-000003CE0000}"/>
    <cellStyle name="Output 2 2 2 3 2 2" xfId="52841" xr:uid="{00000000-0005-0000-0000-000004CE0000}"/>
    <cellStyle name="Output 2 2 2 3 3" xfId="52842" xr:uid="{00000000-0005-0000-0000-000005CE0000}"/>
    <cellStyle name="Output 2 2 2 3 3 2" xfId="52843" xr:uid="{00000000-0005-0000-0000-000006CE0000}"/>
    <cellStyle name="Output 2 2 2 3 4" xfId="52844" xr:uid="{00000000-0005-0000-0000-000007CE0000}"/>
    <cellStyle name="Output 2 2 2 4" xfId="52845" xr:uid="{00000000-0005-0000-0000-000008CE0000}"/>
    <cellStyle name="Output 2 2 2 4 2" xfId="52846" xr:uid="{00000000-0005-0000-0000-000009CE0000}"/>
    <cellStyle name="Output 2 2 2 5" xfId="52847" xr:uid="{00000000-0005-0000-0000-00000ACE0000}"/>
    <cellStyle name="Output 2 2 2 5 2" xfId="52848" xr:uid="{00000000-0005-0000-0000-00000BCE0000}"/>
    <cellStyle name="Output 2 2 2 6" xfId="52849" xr:uid="{00000000-0005-0000-0000-00000CCE0000}"/>
    <cellStyle name="Output 2 2 2 6 2" xfId="52850" xr:uid="{00000000-0005-0000-0000-00000DCE0000}"/>
    <cellStyle name="Output 2 2 2 7" xfId="52851" xr:uid="{00000000-0005-0000-0000-00000ECE0000}"/>
    <cellStyle name="Output 2 2 2 8" xfId="52852" xr:uid="{00000000-0005-0000-0000-00000FCE0000}"/>
    <cellStyle name="Output 2 2 2 9" xfId="52853" xr:uid="{00000000-0005-0000-0000-000010CE0000}"/>
    <cellStyle name="Output 2 2 3" xfId="52854" xr:uid="{00000000-0005-0000-0000-000011CE0000}"/>
    <cellStyle name="Output 2 2 3 2" xfId="52855" xr:uid="{00000000-0005-0000-0000-000012CE0000}"/>
    <cellStyle name="Output 2 2 3 2 2" xfId="52856" xr:uid="{00000000-0005-0000-0000-000013CE0000}"/>
    <cellStyle name="Output 2 2 3 3" xfId="52857" xr:uid="{00000000-0005-0000-0000-000014CE0000}"/>
    <cellStyle name="Output 2 2 3 3 2" xfId="52858" xr:uid="{00000000-0005-0000-0000-000015CE0000}"/>
    <cellStyle name="Output 2 2 3 4" xfId="52859" xr:uid="{00000000-0005-0000-0000-000016CE0000}"/>
    <cellStyle name="Output 2 2 3 4 2" xfId="52860" xr:uid="{00000000-0005-0000-0000-000017CE0000}"/>
    <cellStyle name="Output 2 2 4" xfId="52861" xr:uid="{00000000-0005-0000-0000-000018CE0000}"/>
    <cellStyle name="Output 2 2 4 2" xfId="52862" xr:uid="{00000000-0005-0000-0000-000019CE0000}"/>
    <cellStyle name="Output 2 2 4 2 2" xfId="52863" xr:uid="{00000000-0005-0000-0000-00001ACE0000}"/>
    <cellStyle name="Output 2 2 4 3" xfId="52864" xr:uid="{00000000-0005-0000-0000-00001BCE0000}"/>
    <cellStyle name="Output 2 2 4 3 2" xfId="52865" xr:uid="{00000000-0005-0000-0000-00001CCE0000}"/>
    <cellStyle name="Output 2 2 4 4" xfId="52866" xr:uid="{00000000-0005-0000-0000-00001DCE0000}"/>
    <cellStyle name="Output 2 2 4 4 2" xfId="52867" xr:uid="{00000000-0005-0000-0000-00001ECE0000}"/>
    <cellStyle name="Output 2 2 4 5" xfId="52868" xr:uid="{00000000-0005-0000-0000-00001FCE0000}"/>
    <cellStyle name="Output 2 2 5" xfId="52869" xr:uid="{00000000-0005-0000-0000-000020CE0000}"/>
    <cellStyle name="Output 2 2 5 2" xfId="52870" xr:uid="{00000000-0005-0000-0000-000021CE0000}"/>
    <cellStyle name="Output 2 2 6" xfId="52871" xr:uid="{00000000-0005-0000-0000-000022CE0000}"/>
    <cellStyle name="Output 2 2 6 2" xfId="52872" xr:uid="{00000000-0005-0000-0000-000023CE0000}"/>
    <cellStyle name="Output 2 2 7" xfId="52873" xr:uid="{00000000-0005-0000-0000-000024CE0000}"/>
    <cellStyle name="Output 2 2 7 2" xfId="52874" xr:uid="{00000000-0005-0000-0000-000025CE0000}"/>
    <cellStyle name="Output 2 2 8" xfId="52875" xr:uid="{00000000-0005-0000-0000-000026CE0000}"/>
    <cellStyle name="Output 2 2 8 2" xfId="52876" xr:uid="{00000000-0005-0000-0000-000027CE0000}"/>
    <cellStyle name="Output 2 2 9" xfId="52877" xr:uid="{00000000-0005-0000-0000-000028CE0000}"/>
    <cellStyle name="Output 2 3" xfId="52878" xr:uid="{00000000-0005-0000-0000-000029CE0000}"/>
    <cellStyle name="Output 2 3 2" xfId="52879" xr:uid="{00000000-0005-0000-0000-00002ACE0000}"/>
    <cellStyle name="Output 2 3 2 2" xfId="52880" xr:uid="{00000000-0005-0000-0000-00002BCE0000}"/>
    <cellStyle name="Output 2 3 2 2 2" xfId="52881" xr:uid="{00000000-0005-0000-0000-00002CCE0000}"/>
    <cellStyle name="Output 2 3 2 3" xfId="52882" xr:uid="{00000000-0005-0000-0000-00002DCE0000}"/>
    <cellStyle name="Output 2 3 2 3 2" xfId="52883" xr:uid="{00000000-0005-0000-0000-00002ECE0000}"/>
    <cellStyle name="Output 2 3 2 4" xfId="52884" xr:uid="{00000000-0005-0000-0000-00002FCE0000}"/>
    <cellStyle name="Output 2 3 2 4 2" xfId="52885" xr:uid="{00000000-0005-0000-0000-000030CE0000}"/>
    <cellStyle name="Output 2 3 2 5" xfId="52886" xr:uid="{00000000-0005-0000-0000-000031CE0000}"/>
    <cellStyle name="Output 2 3 3" xfId="52887" xr:uid="{00000000-0005-0000-0000-000032CE0000}"/>
    <cellStyle name="Output 2 3 3 2" xfId="52888" xr:uid="{00000000-0005-0000-0000-000033CE0000}"/>
    <cellStyle name="Output 2 3 3 2 2" xfId="52889" xr:uid="{00000000-0005-0000-0000-000034CE0000}"/>
    <cellStyle name="Output 2 3 3 3" xfId="52890" xr:uid="{00000000-0005-0000-0000-000035CE0000}"/>
    <cellStyle name="Output 2 3 3 3 2" xfId="52891" xr:uid="{00000000-0005-0000-0000-000036CE0000}"/>
    <cellStyle name="Output 2 3 3 4" xfId="52892" xr:uid="{00000000-0005-0000-0000-000037CE0000}"/>
    <cellStyle name="Output 2 3 3 4 2" xfId="52893" xr:uid="{00000000-0005-0000-0000-000038CE0000}"/>
    <cellStyle name="Output 2 3 4" xfId="52894" xr:uid="{00000000-0005-0000-0000-000039CE0000}"/>
    <cellStyle name="Output 2 3 4 2" xfId="52895" xr:uid="{00000000-0005-0000-0000-00003ACE0000}"/>
    <cellStyle name="Output 2 3 5" xfId="52896" xr:uid="{00000000-0005-0000-0000-00003BCE0000}"/>
    <cellStyle name="Output 2 3 5 2" xfId="52897" xr:uid="{00000000-0005-0000-0000-00003CCE0000}"/>
    <cellStyle name="Output 2 3 6" xfId="52898" xr:uid="{00000000-0005-0000-0000-00003DCE0000}"/>
    <cellStyle name="Output 2 3 6 2" xfId="52899" xr:uid="{00000000-0005-0000-0000-00003ECE0000}"/>
    <cellStyle name="Output 2 3 7" xfId="52900" xr:uid="{00000000-0005-0000-0000-00003FCE0000}"/>
    <cellStyle name="Output 2 3 8" xfId="52901" xr:uid="{00000000-0005-0000-0000-000040CE0000}"/>
    <cellStyle name="Output 2 3 9" xfId="52902" xr:uid="{00000000-0005-0000-0000-000041CE0000}"/>
    <cellStyle name="Output 2 4" xfId="52903" xr:uid="{00000000-0005-0000-0000-000042CE0000}"/>
    <cellStyle name="Output 2 4 2" xfId="52904" xr:uid="{00000000-0005-0000-0000-000043CE0000}"/>
    <cellStyle name="Output 2 4 3" xfId="52905" xr:uid="{00000000-0005-0000-0000-000044CE0000}"/>
    <cellStyle name="Output 2 4 3 2" xfId="52906" xr:uid="{00000000-0005-0000-0000-000045CE0000}"/>
    <cellStyle name="Output 2 4 4" xfId="52907" xr:uid="{00000000-0005-0000-0000-000046CE0000}"/>
    <cellStyle name="Output 2 4 4 2" xfId="52908" xr:uid="{00000000-0005-0000-0000-000047CE0000}"/>
    <cellStyle name="Output 2 4 5" xfId="52909" xr:uid="{00000000-0005-0000-0000-000048CE0000}"/>
    <cellStyle name="Output 2 4 5 2" xfId="52910" xr:uid="{00000000-0005-0000-0000-000049CE0000}"/>
    <cellStyle name="Output 2 4 6" xfId="52911" xr:uid="{00000000-0005-0000-0000-00004ACE0000}"/>
    <cellStyle name="Output 2 4 7" xfId="52912" xr:uid="{00000000-0005-0000-0000-00004BCE0000}"/>
    <cellStyle name="Output 2 5" xfId="52913" xr:uid="{00000000-0005-0000-0000-00004CCE0000}"/>
    <cellStyle name="Output 2 5 2" xfId="52914" xr:uid="{00000000-0005-0000-0000-00004DCE0000}"/>
    <cellStyle name="Output 2 5 2 2" xfId="52915" xr:uid="{00000000-0005-0000-0000-00004ECE0000}"/>
    <cellStyle name="Output 2 5 3" xfId="52916" xr:uid="{00000000-0005-0000-0000-00004FCE0000}"/>
    <cellStyle name="Output 2 5 3 2" xfId="52917" xr:uid="{00000000-0005-0000-0000-000050CE0000}"/>
    <cellStyle name="Output 2 5 4" xfId="52918" xr:uid="{00000000-0005-0000-0000-000051CE0000}"/>
    <cellStyle name="Output 2 5 4 2" xfId="52919" xr:uid="{00000000-0005-0000-0000-000052CE0000}"/>
    <cellStyle name="Output 2 5 5" xfId="52920" xr:uid="{00000000-0005-0000-0000-000053CE0000}"/>
    <cellStyle name="Output 2 5 5 2" xfId="52921" xr:uid="{00000000-0005-0000-0000-000054CE0000}"/>
    <cellStyle name="Output 2 5 6" xfId="52922" xr:uid="{00000000-0005-0000-0000-000055CE0000}"/>
    <cellStyle name="Output 2 6" xfId="52923" xr:uid="{00000000-0005-0000-0000-000056CE0000}"/>
    <cellStyle name="Output 2 6 2" xfId="52924" xr:uid="{00000000-0005-0000-0000-000057CE0000}"/>
    <cellStyle name="Output 2 6 3" xfId="52925" xr:uid="{00000000-0005-0000-0000-000058CE0000}"/>
    <cellStyle name="Output 2 6 3 2" xfId="52926" xr:uid="{00000000-0005-0000-0000-000059CE0000}"/>
    <cellStyle name="Output 2 6 4" xfId="52927" xr:uid="{00000000-0005-0000-0000-00005ACE0000}"/>
    <cellStyle name="Output 2 6 4 2" xfId="52928" xr:uid="{00000000-0005-0000-0000-00005BCE0000}"/>
    <cellStyle name="Output 2 6 5" xfId="52929" xr:uid="{00000000-0005-0000-0000-00005CCE0000}"/>
    <cellStyle name="Output 2 6 5 2" xfId="52930" xr:uid="{00000000-0005-0000-0000-00005DCE0000}"/>
    <cellStyle name="Output 2 7" xfId="52931" xr:uid="{00000000-0005-0000-0000-00005ECE0000}"/>
    <cellStyle name="Output 2 7 2" xfId="52932" xr:uid="{00000000-0005-0000-0000-00005FCE0000}"/>
    <cellStyle name="Output 2 7 2 2" xfId="52933" xr:uid="{00000000-0005-0000-0000-000060CE0000}"/>
    <cellStyle name="Output 2 8" xfId="52934" xr:uid="{00000000-0005-0000-0000-000061CE0000}"/>
    <cellStyle name="Output 2 8 2" xfId="52935" xr:uid="{00000000-0005-0000-0000-000062CE0000}"/>
    <cellStyle name="Output 2 9" xfId="52936" xr:uid="{00000000-0005-0000-0000-000063CE0000}"/>
    <cellStyle name="Output 2 9 2" xfId="52937" xr:uid="{00000000-0005-0000-0000-000064CE0000}"/>
    <cellStyle name="Output 3" xfId="52938" xr:uid="{00000000-0005-0000-0000-000065CE0000}"/>
    <cellStyle name="Output 3 10" xfId="52939" xr:uid="{00000000-0005-0000-0000-000066CE0000}"/>
    <cellStyle name="Output 3 10 2" xfId="52940" xr:uid="{00000000-0005-0000-0000-000067CE0000}"/>
    <cellStyle name="Output 3 11" xfId="52941" xr:uid="{00000000-0005-0000-0000-000068CE0000}"/>
    <cellStyle name="Output 3 12" xfId="52942" xr:uid="{00000000-0005-0000-0000-000069CE0000}"/>
    <cellStyle name="Output 3 2" xfId="52943" xr:uid="{00000000-0005-0000-0000-00006ACE0000}"/>
    <cellStyle name="Output 3 2 2" xfId="52944" xr:uid="{00000000-0005-0000-0000-00006BCE0000}"/>
    <cellStyle name="Output 3 2 2 2" xfId="52945" xr:uid="{00000000-0005-0000-0000-00006CCE0000}"/>
    <cellStyle name="Output 3 2 2 2 2" xfId="52946" xr:uid="{00000000-0005-0000-0000-00006DCE0000}"/>
    <cellStyle name="Output 3 2 2 3" xfId="52947" xr:uid="{00000000-0005-0000-0000-00006ECE0000}"/>
    <cellStyle name="Output 3 2 2 3 2" xfId="52948" xr:uid="{00000000-0005-0000-0000-00006FCE0000}"/>
    <cellStyle name="Output 3 2 2 4" xfId="52949" xr:uid="{00000000-0005-0000-0000-000070CE0000}"/>
    <cellStyle name="Output 3 2 2 4 2" xfId="52950" xr:uid="{00000000-0005-0000-0000-000071CE0000}"/>
    <cellStyle name="Output 3 2 2 5" xfId="52951" xr:uid="{00000000-0005-0000-0000-000072CE0000}"/>
    <cellStyle name="Output 3 2 2 6" xfId="52952" xr:uid="{00000000-0005-0000-0000-000073CE0000}"/>
    <cellStyle name="Output 3 2 3" xfId="52953" xr:uid="{00000000-0005-0000-0000-000074CE0000}"/>
    <cellStyle name="Output 3 2 3 2" xfId="52954" xr:uid="{00000000-0005-0000-0000-000075CE0000}"/>
    <cellStyle name="Output 3 2 3 2 2" xfId="52955" xr:uid="{00000000-0005-0000-0000-000076CE0000}"/>
    <cellStyle name="Output 3 2 3 3" xfId="52956" xr:uid="{00000000-0005-0000-0000-000077CE0000}"/>
    <cellStyle name="Output 3 2 3 3 2" xfId="52957" xr:uid="{00000000-0005-0000-0000-000078CE0000}"/>
    <cellStyle name="Output 3 2 3 4" xfId="52958" xr:uid="{00000000-0005-0000-0000-000079CE0000}"/>
    <cellStyle name="Output 3 2 3 4 2" xfId="52959" xr:uid="{00000000-0005-0000-0000-00007ACE0000}"/>
    <cellStyle name="Output 3 2 3 5" xfId="52960" xr:uid="{00000000-0005-0000-0000-00007BCE0000}"/>
    <cellStyle name="Output 3 2 3 6" xfId="52961" xr:uid="{00000000-0005-0000-0000-00007CCE0000}"/>
    <cellStyle name="Output 3 2 4" xfId="52962" xr:uid="{00000000-0005-0000-0000-00007DCE0000}"/>
    <cellStyle name="Output 3 2 4 2" xfId="52963" xr:uid="{00000000-0005-0000-0000-00007ECE0000}"/>
    <cellStyle name="Output 3 2 4 3" xfId="52964" xr:uid="{00000000-0005-0000-0000-00007FCE0000}"/>
    <cellStyle name="Output 3 2 5" xfId="52965" xr:uid="{00000000-0005-0000-0000-000080CE0000}"/>
    <cellStyle name="Output 3 2 5 2" xfId="52966" xr:uid="{00000000-0005-0000-0000-000081CE0000}"/>
    <cellStyle name="Output 3 2 6" xfId="52967" xr:uid="{00000000-0005-0000-0000-000082CE0000}"/>
    <cellStyle name="Output 3 2 6 2" xfId="52968" xr:uid="{00000000-0005-0000-0000-000083CE0000}"/>
    <cellStyle name="Output 3 2 7" xfId="52969" xr:uid="{00000000-0005-0000-0000-000084CE0000}"/>
    <cellStyle name="Output 3 2 7 2" xfId="52970" xr:uid="{00000000-0005-0000-0000-000085CE0000}"/>
    <cellStyle name="Output 3 2 8" xfId="52971" xr:uid="{00000000-0005-0000-0000-000086CE0000}"/>
    <cellStyle name="Output 3 2 9" xfId="52972" xr:uid="{00000000-0005-0000-0000-000087CE0000}"/>
    <cellStyle name="Output 3 3" xfId="52973" xr:uid="{00000000-0005-0000-0000-000088CE0000}"/>
    <cellStyle name="Output 3 3 2" xfId="52974" xr:uid="{00000000-0005-0000-0000-000089CE0000}"/>
    <cellStyle name="Output 3 3 2 2" xfId="52975" xr:uid="{00000000-0005-0000-0000-00008ACE0000}"/>
    <cellStyle name="Output 3 3 3" xfId="52976" xr:uid="{00000000-0005-0000-0000-00008BCE0000}"/>
    <cellStyle name="Output 3 3 3 2" xfId="52977" xr:uid="{00000000-0005-0000-0000-00008CCE0000}"/>
    <cellStyle name="Output 3 3 4" xfId="52978" xr:uid="{00000000-0005-0000-0000-00008DCE0000}"/>
    <cellStyle name="Output 3 3 4 2" xfId="52979" xr:uid="{00000000-0005-0000-0000-00008ECE0000}"/>
    <cellStyle name="Output 3 3 5" xfId="52980" xr:uid="{00000000-0005-0000-0000-00008FCE0000}"/>
    <cellStyle name="Output 3 3 5 2" xfId="52981" xr:uid="{00000000-0005-0000-0000-000090CE0000}"/>
    <cellStyle name="Output 3 3 6" xfId="52982" xr:uid="{00000000-0005-0000-0000-000091CE0000}"/>
    <cellStyle name="Output 3 3 7" xfId="52983" xr:uid="{00000000-0005-0000-0000-000092CE0000}"/>
    <cellStyle name="Output 3 3 8" xfId="52984" xr:uid="{00000000-0005-0000-0000-000093CE0000}"/>
    <cellStyle name="Output 3 4" xfId="52985" xr:uid="{00000000-0005-0000-0000-000094CE0000}"/>
    <cellStyle name="Output 3 4 2" xfId="52986" xr:uid="{00000000-0005-0000-0000-000095CE0000}"/>
    <cellStyle name="Output 3 4 2 2" xfId="52987" xr:uid="{00000000-0005-0000-0000-000096CE0000}"/>
    <cellStyle name="Output 3 4 3" xfId="52988" xr:uid="{00000000-0005-0000-0000-000097CE0000}"/>
    <cellStyle name="Output 3 4 3 2" xfId="52989" xr:uid="{00000000-0005-0000-0000-000098CE0000}"/>
    <cellStyle name="Output 3 4 4" xfId="52990" xr:uid="{00000000-0005-0000-0000-000099CE0000}"/>
    <cellStyle name="Output 3 4 4 2" xfId="52991" xr:uid="{00000000-0005-0000-0000-00009ACE0000}"/>
    <cellStyle name="Output 3 4 5" xfId="52992" xr:uid="{00000000-0005-0000-0000-00009BCE0000}"/>
    <cellStyle name="Output 3 4 6" xfId="52993" xr:uid="{00000000-0005-0000-0000-00009CCE0000}"/>
    <cellStyle name="Output 3 5" xfId="52994" xr:uid="{00000000-0005-0000-0000-00009DCE0000}"/>
    <cellStyle name="Output 3 5 2" xfId="52995" xr:uid="{00000000-0005-0000-0000-00009ECE0000}"/>
    <cellStyle name="Output 3 5 2 2" xfId="52996" xr:uid="{00000000-0005-0000-0000-00009FCE0000}"/>
    <cellStyle name="Output 3 5 3" xfId="52997" xr:uid="{00000000-0005-0000-0000-0000A0CE0000}"/>
    <cellStyle name="Output 3 5 3 2" xfId="52998" xr:uid="{00000000-0005-0000-0000-0000A1CE0000}"/>
    <cellStyle name="Output 3 5 4" xfId="52999" xr:uid="{00000000-0005-0000-0000-0000A2CE0000}"/>
    <cellStyle name="Output 3 5 4 2" xfId="53000" xr:uid="{00000000-0005-0000-0000-0000A3CE0000}"/>
    <cellStyle name="Output 3 5 5" xfId="53001" xr:uid="{00000000-0005-0000-0000-0000A4CE0000}"/>
    <cellStyle name="Output 3 5 6" xfId="53002" xr:uid="{00000000-0005-0000-0000-0000A5CE0000}"/>
    <cellStyle name="Output 3 6" xfId="53003" xr:uid="{00000000-0005-0000-0000-0000A6CE0000}"/>
    <cellStyle name="Output 3 6 2" xfId="53004" xr:uid="{00000000-0005-0000-0000-0000A7CE0000}"/>
    <cellStyle name="Output 3 6 2 2" xfId="53005" xr:uid="{00000000-0005-0000-0000-0000A8CE0000}"/>
    <cellStyle name="Output 3 6 3" xfId="53006" xr:uid="{00000000-0005-0000-0000-0000A9CE0000}"/>
    <cellStyle name="Output 3 6 3 2" xfId="53007" xr:uid="{00000000-0005-0000-0000-0000AACE0000}"/>
    <cellStyle name="Output 3 6 4" xfId="53008" xr:uid="{00000000-0005-0000-0000-0000ABCE0000}"/>
    <cellStyle name="Output 3 7" xfId="53009" xr:uid="{00000000-0005-0000-0000-0000ACCE0000}"/>
    <cellStyle name="Output 3 7 2" xfId="53010" xr:uid="{00000000-0005-0000-0000-0000ADCE0000}"/>
    <cellStyle name="Output 3 8" xfId="53011" xr:uid="{00000000-0005-0000-0000-0000AECE0000}"/>
    <cellStyle name="Output 3 8 2" xfId="53012" xr:uid="{00000000-0005-0000-0000-0000AFCE0000}"/>
    <cellStyle name="Output 3 9" xfId="53013" xr:uid="{00000000-0005-0000-0000-0000B0CE0000}"/>
    <cellStyle name="Output 3 9 2" xfId="53014" xr:uid="{00000000-0005-0000-0000-0000B1CE0000}"/>
    <cellStyle name="Output 4" xfId="53015" xr:uid="{00000000-0005-0000-0000-0000B2CE0000}"/>
    <cellStyle name="Output 4 2" xfId="53016" xr:uid="{00000000-0005-0000-0000-0000B3CE0000}"/>
    <cellStyle name="Output 4 2 2" xfId="53017" xr:uid="{00000000-0005-0000-0000-0000B4CE0000}"/>
    <cellStyle name="Output 4 2 2 2" xfId="53018" xr:uid="{00000000-0005-0000-0000-0000B5CE0000}"/>
    <cellStyle name="Output 4 2 3" xfId="53019" xr:uid="{00000000-0005-0000-0000-0000B6CE0000}"/>
    <cellStyle name="Output 4 2 3 2" xfId="53020" xr:uid="{00000000-0005-0000-0000-0000B7CE0000}"/>
    <cellStyle name="Output 4 2 3 3" xfId="53021" xr:uid="{00000000-0005-0000-0000-0000B8CE0000}"/>
    <cellStyle name="Output 4 2 4" xfId="53022" xr:uid="{00000000-0005-0000-0000-0000B9CE0000}"/>
    <cellStyle name="Output 4 2 4 2" xfId="53023" xr:uid="{00000000-0005-0000-0000-0000BACE0000}"/>
    <cellStyle name="Output 4 2 4 3" xfId="53024" xr:uid="{00000000-0005-0000-0000-0000BBCE0000}"/>
    <cellStyle name="Output 4 2 5" xfId="53025" xr:uid="{00000000-0005-0000-0000-0000BCCE0000}"/>
    <cellStyle name="Output 4 3" xfId="53026" xr:uid="{00000000-0005-0000-0000-0000BDCE0000}"/>
    <cellStyle name="Output 4 3 2" xfId="53027" xr:uid="{00000000-0005-0000-0000-0000BECE0000}"/>
    <cellStyle name="Output 4 4" xfId="53028" xr:uid="{00000000-0005-0000-0000-0000BFCE0000}"/>
    <cellStyle name="Output 4 4 2" xfId="53029" xr:uid="{00000000-0005-0000-0000-0000C0CE0000}"/>
    <cellStyle name="Output 4 4 3" xfId="53030" xr:uid="{00000000-0005-0000-0000-0000C1CE0000}"/>
    <cellStyle name="Output 4 5" xfId="53031" xr:uid="{00000000-0005-0000-0000-0000C2CE0000}"/>
    <cellStyle name="Output 4 5 2" xfId="53032" xr:uid="{00000000-0005-0000-0000-0000C3CE0000}"/>
    <cellStyle name="Output 4 5 3" xfId="53033" xr:uid="{00000000-0005-0000-0000-0000C4CE0000}"/>
    <cellStyle name="Output 4 6" xfId="53034" xr:uid="{00000000-0005-0000-0000-0000C5CE0000}"/>
    <cellStyle name="Output 4 7" xfId="53035" xr:uid="{00000000-0005-0000-0000-0000C6CE0000}"/>
    <cellStyle name="Output 4 8" xfId="53036" xr:uid="{00000000-0005-0000-0000-0000C7CE0000}"/>
    <cellStyle name="Output 5" xfId="53037" xr:uid="{00000000-0005-0000-0000-0000C8CE0000}"/>
    <cellStyle name="Output 5 2" xfId="53038" xr:uid="{00000000-0005-0000-0000-0000C9CE0000}"/>
    <cellStyle name="Output 5 2 2" xfId="53039" xr:uid="{00000000-0005-0000-0000-0000CACE0000}"/>
    <cellStyle name="Output 5 2 2 2" xfId="53040" xr:uid="{00000000-0005-0000-0000-0000CBCE0000}"/>
    <cellStyle name="Output 5 2 3" xfId="53041" xr:uid="{00000000-0005-0000-0000-0000CCCE0000}"/>
    <cellStyle name="Output 5 2 3 2" xfId="53042" xr:uid="{00000000-0005-0000-0000-0000CDCE0000}"/>
    <cellStyle name="Output 5 2 3 3" xfId="53043" xr:uid="{00000000-0005-0000-0000-0000CECE0000}"/>
    <cellStyle name="Output 5 2 4" xfId="53044" xr:uid="{00000000-0005-0000-0000-0000CFCE0000}"/>
    <cellStyle name="Output 5 2 4 2" xfId="53045" xr:uid="{00000000-0005-0000-0000-0000D0CE0000}"/>
    <cellStyle name="Output 5 2 4 3" xfId="53046" xr:uid="{00000000-0005-0000-0000-0000D1CE0000}"/>
    <cellStyle name="Output 5 2 5" xfId="53047" xr:uid="{00000000-0005-0000-0000-0000D2CE0000}"/>
    <cellStyle name="Output 5 3" xfId="53048" xr:uid="{00000000-0005-0000-0000-0000D3CE0000}"/>
    <cellStyle name="Output 5 3 2" xfId="53049" xr:uid="{00000000-0005-0000-0000-0000D4CE0000}"/>
    <cellStyle name="Output 5 4" xfId="53050" xr:uid="{00000000-0005-0000-0000-0000D5CE0000}"/>
    <cellStyle name="Output 5 4 2" xfId="53051" xr:uid="{00000000-0005-0000-0000-0000D6CE0000}"/>
    <cellStyle name="Output 5 4 3" xfId="53052" xr:uid="{00000000-0005-0000-0000-0000D7CE0000}"/>
    <cellStyle name="Output 5 5" xfId="53053" xr:uid="{00000000-0005-0000-0000-0000D8CE0000}"/>
    <cellStyle name="Output 5 5 2" xfId="53054" xr:uid="{00000000-0005-0000-0000-0000D9CE0000}"/>
    <cellStyle name="Output 5 5 3" xfId="53055" xr:uid="{00000000-0005-0000-0000-0000DACE0000}"/>
    <cellStyle name="Output 5 6" xfId="53056" xr:uid="{00000000-0005-0000-0000-0000DBCE0000}"/>
    <cellStyle name="Output 5 6 2" xfId="53057" xr:uid="{00000000-0005-0000-0000-0000DCCE0000}"/>
    <cellStyle name="Output 5 7" xfId="53058" xr:uid="{00000000-0005-0000-0000-0000DDCE0000}"/>
    <cellStyle name="Output 5 8" xfId="53059" xr:uid="{00000000-0005-0000-0000-0000DECE0000}"/>
    <cellStyle name="Output 5 9" xfId="53060" xr:uid="{00000000-0005-0000-0000-0000DFCE0000}"/>
    <cellStyle name="Output 6" xfId="53061" xr:uid="{00000000-0005-0000-0000-0000E0CE0000}"/>
    <cellStyle name="Output 6 2" xfId="53062" xr:uid="{00000000-0005-0000-0000-0000E1CE0000}"/>
    <cellStyle name="Output 6 2 2" xfId="53063" xr:uid="{00000000-0005-0000-0000-0000E2CE0000}"/>
    <cellStyle name="Output 6 2 2 2" xfId="53064" xr:uid="{00000000-0005-0000-0000-0000E3CE0000}"/>
    <cellStyle name="Output 6 2 3" xfId="53065" xr:uid="{00000000-0005-0000-0000-0000E4CE0000}"/>
    <cellStyle name="Output 6 2 3 2" xfId="53066" xr:uid="{00000000-0005-0000-0000-0000E5CE0000}"/>
    <cellStyle name="Output 6 2 3 3" xfId="53067" xr:uid="{00000000-0005-0000-0000-0000E6CE0000}"/>
    <cellStyle name="Output 6 2 4" xfId="53068" xr:uid="{00000000-0005-0000-0000-0000E7CE0000}"/>
    <cellStyle name="Output 6 2 4 2" xfId="53069" xr:uid="{00000000-0005-0000-0000-0000E8CE0000}"/>
    <cellStyle name="Output 6 2 4 3" xfId="53070" xr:uid="{00000000-0005-0000-0000-0000E9CE0000}"/>
    <cellStyle name="Output 6 2 5" xfId="53071" xr:uid="{00000000-0005-0000-0000-0000EACE0000}"/>
    <cellStyle name="Output 6 3" xfId="53072" xr:uid="{00000000-0005-0000-0000-0000EBCE0000}"/>
    <cellStyle name="Output 6 3 2" xfId="53073" xr:uid="{00000000-0005-0000-0000-0000ECCE0000}"/>
    <cellStyle name="Output 6 4" xfId="53074" xr:uid="{00000000-0005-0000-0000-0000EDCE0000}"/>
    <cellStyle name="Output 6 4 2" xfId="53075" xr:uid="{00000000-0005-0000-0000-0000EECE0000}"/>
    <cellStyle name="Output 6 4 3" xfId="53076" xr:uid="{00000000-0005-0000-0000-0000EFCE0000}"/>
    <cellStyle name="Output 6 5" xfId="53077" xr:uid="{00000000-0005-0000-0000-0000F0CE0000}"/>
    <cellStyle name="Output 6 5 2" xfId="53078" xr:uid="{00000000-0005-0000-0000-0000F1CE0000}"/>
    <cellStyle name="Output 6 5 3" xfId="53079" xr:uid="{00000000-0005-0000-0000-0000F2CE0000}"/>
    <cellStyle name="Output 6 6" xfId="53080" xr:uid="{00000000-0005-0000-0000-0000F3CE0000}"/>
    <cellStyle name="Output 6 7" xfId="53081" xr:uid="{00000000-0005-0000-0000-0000F4CE0000}"/>
    <cellStyle name="Output 7" xfId="53082" xr:uid="{00000000-0005-0000-0000-0000F5CE0000}"/>
    <cellStyle name="Output 7 2" xfId="53083" xr:uid="{00000000-0005-0000-0000-0000F6CE0000}"/>
    <cellStyle name="Output 7 2 2" xfId="53084" xr:uid="{00000000-0005-0000-0000-0000F7CE0000}"/>
    <cellStyle name="Output 7 2 2 2" xfId="53085" xr:uid="{00000000-0005-0000-0000-0000F8CE0000}"/>
    <cellStyle name="Output 7 2 3" xfId="53086" xr:uid="{00000000-0005-0000-0000-0000F9CE0000}"/>
    <cellStyle name="Output 7 2 3 2" xfId="53087" xr:uid="{00000000-0005-0000-0000-0000FACE0000}"/>
    <cellStyle name="Output 7 2 3 3" xfId="53088" xr:uid="{00000000-0005-0000-0000-0000FBCE0000}"/>
    <cellStyle name="Output 7 2 4" xfId="53089" xr:uid="{00000000-0005-0000-0000-0000FCCE0000}"/>
    <cellStyle name="Output 7 2 4 2" xfId="53090" xr:uid="{00000000-0005-0000-0000-0000FDCE0000}"/>
    <cellStyle name="Output 7 2 4 3" xfId="53091" xr:uid="{00000000-0005-0000-0000-0000FECE0000}"/>
    <cellStyle name="Output 7 2 5" xfId="53092" xr:uid="{00000000-0005-0000-0000-0000FFCE0000}"/>
    <cellStyle name="Output 7 3" xfId="53093" xr:uid="{00000000-0005-0000-0000-000000CF0000}"/>
    <cellStyle name="Output 7 3 2" xfId="53094" xr:uid="{00000000-0005-0000-0000-000001CF0000}"/>
    <cellStyle name="Output 7 4" xfId="53095" xr:uid="{00000000-0005-0000-0000-000002CF0000}"/>
    <cellStyle name="Output 7 4 2" xfId="53096" xr:uid="{00000000-0005-0000-0000-000003CF0000}"/>
    <cellStyle name="Output 7 4 3" xfId="53097" xr:uid="{00000000-0005-0000-0000-000004CF0000}"/>
    <cellStyle name="Output 7 5" xfId="53098" xr:uid="{00000000-0005-0000-0000-000005CF0000}"/>
    <cellStyle name="Output 7 5 2" xfId="53099" xr:uid="{00000000-0005-0000-0000-000006CF0000}"/>
    <cellStyle name="Output 7 5 3" xfId="53100" xr:uid="{00000000-0005-0000-0000-000007CF0000}"/>
    <cellStyle name="Output 7 6" xfId="53101" xr:uid="{00000000-0005-0000-0000-000008CF0000}"/>
    <cellStyle name="Output 7 7" xfId="53102" xr:uid="{00000000-0005-0000-0000-000009CF0000}"/>
    <cellStyle name="Output 8" xfId="53103" xr:uid="{00000000-0005-0000-0000-00000ACF0000}"/>
    <cellStyle name="Output 8 2" xfId="53104" xr:uid="{00000000-0005-0000-0000-00000BCF0000}"/>
    <cellStyle name="Output 8 3" xfId="53105" xr:uid="{00000000-0005-0000-0000-00000CCF0000}"/>
    <cellStyle name="Output 9" xfId="53106" xr:uid="{00000000-0005-0000-0000-00000DCF0000}"/>
    <cellStyle name="Output 9 2" xfId="53107" xr:uid="{00000000-0005-0000-0000-00000ECF0000}"/>
    <cellStyle name="Owed_Amt" xfId="60" xr:uid="{00000000-0005-0000-0000-00000FCF0000}"/>
    <cellStyle name="Paid_Amt" xfId="61" xr:uid="{00000000-0005-0000-0000-000010CF0000}"/>
    <cellStyle name="pb_page_heading_LS" xfId="62" xr:uid="{00000000-0005-0000-0000-000011CF0000}"/>
    <cellStyle name="Pct_of_Sales" xfId="63" xr:uid="{00000000-0005-0000-0000-000012CF0000}"/>
    <cellStyle name="Percent" xfId="64" builtinId="5"/>
    <cellStyle name="Percent [2]" xfId="65" xr:uid="{00000000-0005-0000-0000-000014CF0000}"/>
    <cellStyle name="Percent [2] 2" xfId="337" xr:uid="{00000000-0005-0000-0000-000015CF0000}"/>
    <cellStyle name="Percent [2] 2 2" xfId="53108" xr:uid="{00000000-0005-0000-0000-000016CF0000}"/>
    <cellStyle name="Percent [2] 2 3" xfId="53109" xr:uid="{00000000-0005-0000-0000-000017CF0000}"/>
    <cellStyle name="Percent [2] 2 4" xfId="53110" xr:uid="{00000000-0005-0000-0000-000018CF0000}"/>
    <cellStyle name="Percent [2] 3" xfId="53111" xr:uid="{00000000-0005-0000-0000-000019CF0000}"/>
    <cellStyle name="Percent [2] 3 2" xfId="53112" xr:uid="{00000000-0005-0000-0000-00001ACF0000}"/>
    <cellStyle name="Percent [2] 3 2 2" xfId="53113" xr:uid="{00000000-0005-0000-0000-00001BCF0000}"/>
    <cellStyle name="Percent [2] 3 3" xfId="53114" xr:uid="{00000000-0005-0000-0000-00001CCF0000}"/>
    <cellStyle name="Percent [2] 4" xfId="53115" xr:uid="{00000000-0005-0000-0000-00001DCF0000}"/>
    <cellStyle name="Percent [2] 5" xfId="53116" xr:uid="{00000000-0005-0000-0000-00001ECF0000}"/>
    <cellStyle name="Percent [2] 6" xfId="53117" xr:uid="{00000000-0005-0000-0000-00001FCF0000}"/>
    <cellStyle name="Percent 10" xfId="338" xr:uid="{00000000-0005-0000-0000-000020CF0000}"/>
    <cellStyle name="Percent 10 2" xfId="339" xr:uid="{00000000-0005-0000-0000-000021CF0000}"/>
    <cellStyle name="Percent 10 2 2" xfId="53118" xr:uid="{00000000-0005-0000-0000-000022CF0000}"/>
    <cellStyle name="Percent 10 2 3" xfId="53119" xr:uid="{00000000-0005-0000-0000-000023CF0000}"/>
    <cellStyle name="Percent 10 2 4" xfId="53120" xr:uid="{00000000-0005-0000-0000-000024CF0000}"/>
    <cellStyle name="Percent 10 2 5" xfId="53121" xr:uid="{00000000-0005-0000-0000-000025CF0000}"/>
    <cellStyle name="Percent 10 3" xfId="53122" xr:uid="{00000000-0005-0000-0000-000026CF0000}"/>
    <cellStyle name="Percent 10 3 2" xfId="53123" xr:uid="{00000000-0005-0000-0000-000027CF0000}"/>
    <cellStyle name="Percent 10 4" xfId="53124" xr:uid="{00000000-0005-0000-0000-000028CF0000}"/>
    <cellStyle name="Percent 10 4 2" xfId="53125" xr:uid="{00000000-0005-0000-0000-000029CF0000}"/>
    <cellStyle name="Percent 10 5" xfId="53126" xr:uid="{00000000-0005-0000-0000-00002ACF0000}"/>
    <cellStyle name="Percent 10 6" xfId="53127" xr:uid="{00000000-0005-0000-0000-00002BCF0000}"/>
    <cellStyle name="Percent 100" xfId="53128" xr:uid="{00000000-0005-0000-0000-00002CCF0000}"/>
    <cellStyle name="Percent 101" xfId="53129" xr:uid="{00000000-0005-0000-0000-00002DCF0000}"/>
    <cellStyle name="Percent 102" xfId="53130" xr:uid="{00000000-0005-0000-0000-00002ECF0000}"/>
    <cellStyle name="Percent 103" xfId="53131" xr:uid="{00000000-0005-0000-0000-00002FCF0000}"/>
    <cellStyle name="Percent 104" xfId="53132" xr:uid="{00000000-0005-0000-0000-000030CF0000}"/>
    <cellStyle name="Percent 105" xfId="53133" xr:uid="{00000000-0005-0000-0000-000031CF0000}"/>
    <cellStyle name="Percent 106" xfId="53134" xr:uid="{00000000-0005-0000-0000-000032CF0000}"/>
    <cellStyle name="Percent 107" xfId="53135" xr:uid="{00000000-0005-0000-0000-000033CF0000}"/>
    <cellStyle name="Percent 108" xfId="53136" xr:uid="{00000000-0005-0000-0000-000034CF0000}"/>
    <cellStyle name="Percent 109" xfId="53137" xr:uid="{00000000-0005-0000-0000-000035CF0000}"/>
    <cellStyle name="Percent 11" xfId="340" xr:uid="{00000000-0005-0000-0000-000036CF0000}"/>
    <cellStyle name="Percent 11 2" xfId="53138" xr:uid="{00000000-0005-0000-0000-000037CF0000}"/>
    <cellStyle name="Percent 11 2 2" xfId="53139" xr:uid="{00000000-0005-0000-0000-000038CF0000}"/>
    <cellStyle name="Percent 11 2 3" xfId="53140" xr:uid="{00000000-0005-0000-0000-000039CF0000}"/>
    <cellStyle name="Percent 11 2 4" xfId="53141" xr:uid="{00000000-0005-0000-0000-00003ACF0000}"/>
    <cellStyle name="Percent 11 3" xfId="53142" xr:uid="{00000000-0005-0000-0000-00003BCF0000}"/>
    <cellStyle name="Percent 11 3 2" xfId="53143" xr:uid="{00000000-0005-0000-0000-00003CCF0000}"/>
    <cellStyle name="Percent 11 4" xfId="53144" xr:uid="{00000000-0005-0000-0000-00003DCF0000}"/>
    <cellStyle name="Percent 11 5" xfId="53145" xr:uid="{00000000-0005-0000-0000-00003ECF0000}"/>
    <cellStyle name="Percent 11 6" xfId="53146" xr:uid="{00000000-0005-0000-0000-00003FCF0000}"/>
    <cellStyle name="Percent 110" xfId="53147" xr:uid="{00000000-0005-0000-0000-000040CF0000}"/>
    <cellStyle name="Percent 111" xfId="53148" xr:uid="{00000000-0005-0000-0000-000041CF0000}"/>
    <cellStyle name="Percent 112" xfId="53149" xr:uid="{00000000-0005-0000-0000-000042CF0000}"/>
    <cellStyle name="Percent 113" xfId="53150" xr:uid="{00000000-0005-0000-0000-000043CF0000}"/>
    <cellStyle name="Percent 114" xfId="53151" xr:uid="{00000000-0005-0000-0000-000044CF0000}"/>
    <cellStyle name="Percent 115" xfId="53152" xr:uid="{00000000-0005-0000-0000-000045CF0000}"/>
    <cellStyle name="Percent 116" xfId="53153" xr:uid="{00000000-0005-0000-0000-000046CF0000}"/>
    <cellStyle name="Percent 117" xfId="53154" xr:uid="{00000000-0005-0000-0000-000047CF0000}"/>
    <cellStyle name="Percent 118" xfId="53155" xr:uid="{00000000-0005-0000-0000-000048CF0000}"/>
    <cellStyle name="Percent 119" xfId="53156" xr:uid="{00000000-0005-0000-0000-000049CF0000}"/>
    <cellStyle name="Percent 12" xfId="341" xr:uid="{00000000-0005-0000-0000-00004ACF0000}"/>
    <cellStyle name="Percent 12 2" xfId="342" xr:uid="{00000000-0005-0000-0000-00004BCF0000}"/>
    <cellStyle name="Percent 12 2 2" xfId="53157" xr:uid="{00000000-0005-0000-0000-00004CCF0000}"/>
    <cellStyle name="Percent 12 2 2 2" xfId="53158" xr:uid="{00000000-0005-0000-0000-00004DCF0000}"/>
    <cellStyle name="Percent 12 2 2 3" xfId="53159" xr:uid="{00000000-0005-0000-0000-00004ECF0000}"/>
    <cellStyle name="Percent 12 2 2 4" xfId="53160" xr:uid="{00000000-0005-0000-0000-00004FCF0000}"/>
    <cellStyle name="Percent 12 2 3" xfId="53161" xr:uid="{00000000-0005-0000-0000-000050CF0000}"/>
    <cellStyle name="Percent 12 2 3 2" xfId="53162" xr:uid="{00000000-0005-0000-0000-000051CF0000}"/>
    <cellStyle name="Percent 12 2 3 3" xfId="53163" xr:uid="{00000000-0005-0000-0000-000052CF0000}"/>
    <cellStyle name="Percent 12 2 4" xfId="53164" xr:uid="{00000000-0005-0000-0000-000053CF0000}"/>
    <cellStyle name="Percent 12 2 5" xfId="53165" xr:uid="{00000000-0005-0000-0000-000054CF0000}"/>
    <cellStyle name="Percent 12 2 6" xfId="53166" xr:uid="{00000000-0005-0000-0000-000055CF0000}"/>
    <cellStyle name="Percent 12 3" xfId="53167" xr:uid="{00000000-0005-0000-0000-000056CF0000}"/>
    <cellStyle name="Percent 12 3 2" xfId="53168" xr:uid="{00000000-0005-0000-0000-000057CF0000}"/>
    <cellStyle name="Percent 12 3 3" xfId="53169" xr:uid="{00000000-0005-0000-0000-000058CF0000}"/>
    <cellStyle name="Percent 12 3 4" xfId="53170" xr:uid="{00000000-0005-0000-0000-000059CF0000}"/>
    <cellStyle name="Percent 12 4" xfId="53171" xr:uid="{00000000-0005-0000-0000-00005ACF0000}"/>
    <cellStyle name="Percent 12 4 2" xfId="53172" xr:uid="{00000000-0005-0000-0000-00005BCF0000}"/>
    <cellStyle name="Percent 12 4 3" xfId="53173" xr:uid="{00000000-0005-0000-0000-00005CCF0000}"/>
    <cellStyle name="Percent 12 4 4" xfId="53174" xr:uid="{00000000-0005-0000-0000-00005DCF0000}"/>
    <cellStyle name="Percent 12 4 5" xfId="53175" xr:uid="{00000000-0005-0000-0000-00005ECF0000}"/>
    <cellStyle name="Percent 12 5" xfId="53176" xr:uid="{00000000-0005-0000-0000-00005FCF0000}"/>
    <cellStyle name="Percent 12 5 2" xfId="53177" xr:uid="{00000000-0005-0000-0000-000060CF0000}"/>
    <cellStyle name="Percent 12 5 3" xfId="53178" xr:uid="{00000000-0005-0000-0000-000061CF0000}"/>
    <cellStyle name="Percent 12 6" xfId="53179" xr:uid="{00000000-0005-0000-0000-000062CF0000}"/>
    <cellStyle name="Percent 12 7" xfId="53180" xr:uid="{00000000-0005-0000-0000-000063CF0000}"/>
    <cellStyle name="Percent 12 8" xfId="53181" xr:uid="{00000000-0005-0000-0000-000064CF0000}"/>
    <cellStyle name="Percent 120" xfId="53182" xr:uid="{00000000-0005-0000-0000-000065CF0000}"/>
    <cellStyle name="Percent 121" xfId="53183" xr:uid="{00000000-0005-0000-0000-000066CF0000}"/>
    <cellStyle name="Percent 122" xfId="53184" xr:uid="{00000000-0005-0000-0000-000067CF0000}"/>
    <cellStyle name="Percent 123" xfId="53185" xr:uid="{00000000-0005-0000-0000-000068CF0000}"/>
    <cellStyle name="Percent 124" xfId="53186" xr:uid="{00000000-0005-0000-0000-000069CF0000}"/>
    <cellStyle name="Percent 125" xfId="53187" xr:uid="{00000000-0005-0000-0000-00006ACF0000}"/>
    <cellStyle name="Percent 126" xfId="53188" xr:uid="{00000000-0005-0000-0000-00006BCF0000}"/>
    <cellStyle name="Percent 127" xfId="53189" xr:uid="{00000000-0005-0000-0000-00006CCF0000}"/>
    <cellStyle name="Percent 128" xfId="53190" xr:uid="{00000000-0005-0000-0000-00006DCF0000}"/>
    <cellStyle name="Percent 129" xfId="53191" xr:uid="{00000000-0005-0000-0000-00006ECF0000}"/>
    <cellStyle name="Percent 13" xfId="343" xr:uid="{00000000-0005-0000-0000-00006FCF0000}"/>
    <cellStyle name="Percent 13 2" xfId="53192" xr:uid="{00000000-0005-0000-0000-000070CF0000}"/>
    <cellStyle name="Percent 13 2 2" xfId="53193" xr:uid="{00000000-0005-0000-0000-000071CF0000}"/>
    <cellStyle name="Percent 13 2 2 2" xfId="53194" xr:uid="{00000000-0005-0000-0000-000072CF0000}"/>
    <cellStyle name="Percent 13 2 3" xfId="53195" xr:uid="{00000000-0005-0000-0000-000073CF0000}"/>
    <cellStyle name="Percent 13 2 3 2" xfId="53196" xr:uid="{00000000-0005-0000-0000-000074CF0000}"/>
    <cellStyle name="Percent 13 2 4" xfId="53197" xr:uid="{00000000-0005-0000-0000-000075CF0000}"/>
    <cellStyle name="Percent 13 2 5" xfId="53198" xr:uid="{00000000-0005-0000-0000-000076CF0000}"/>
    <cellStyle name="Percent 13 3" xfId="53199" xr:uid="{00000000-0005-0000-0000-000077CF0000}"/>
    <cellStyle name="Percent 13 3 2" xfId="53200" xr:uid="{00000000-0005-0000-0000-000078CF0000}"/>
    <cellStyle name="Percent 13 3 2 2" xfId="53201" xr:uid="{00000000-0005-0000-0000-000079CF0000}"/>
    <cellStyle name="Percent 13 3 3" xfId="53202" xr:uid="{00000000-0005-0000-0000-00007ACF0000}"/>
    <cellStyle name="Percent 13 3 4" xfId="53203" xr:uid="{00000000-0005-0000-0000-00007BCF0000}"/>
    <cellStyle name="Percent 13 3 5" xfId="53204" xr:uid="{00000000-0005-0000-0000-00007CCF0000}"/>
    <cellStyle name="Percent 13 4" xfId="53205" xr:uid="{00000000-0005-0000-0000-00007DCF0000}"/>
    <cellStyle name="Percent 13 4 2" xfId="53206" xr:uid="{00000000-0005-0000-0000-00007ECF0000}"/>
    <cellStyle name="Percent 13 5" xfId="53207" xr:uid="{00000000-0005-0000-0000-00007FCF0000}"/>
    <cellStyle name="Percent 13 6" xfId="53208" xr:uid="{00000000-0005-0000-0000-000080CF0000}"/>
    <cellStyle name="Percent 130" xfId="53209" xr:uid="{00000000-0005-0000-0000-000081CF0000}"/>
    <cellStyle name="Percent 131" xfId="53210" xr:uid="{00000000-0005-0000-0000-000082CF0000}"/>
    <cellStyle name="Percent 132" xfId="53211" xr:uid="{00000000-0005-0000-0000-000083CF0000}"/>
    <cellStyle name="Percent 133" xfId="53212" xr:uid="{00000000-0005-0000-0000-000084CF0000}"/>
    <cellStyle name="Percent 134" xfId="53213" xr:uid="{00000000-0005-0000-0000-000085CF0000}"/>
    <cellStyle name="Percent 135" xfId="53214" xr:uid="{00000000-0005-0000-0000-000086CF0000}"/>
    <cellStyle name="Percent 136" xfId="53215" xr:uid="{00000000-0005-0000-0000-000087CF0000}"/>
    <cellStyle name="Percent 137" xfId="53216" xr:uid="{00000000-0005-0000-0000-000088CF0000}"/>
    <cellStyle name="Percent 138" xfId="53217" xr:uid="{00000000-0005-0000-0000-000089CF0000}"/>
    <cellStyle name="Percent 139" xfId="53218" xr:uid="{00000000-0005-0000-0000-00008ACF0000}"/>
    <cellStyle name="Percent 14" xfId="344" xr:uid="{00000000-0005-0000-0000-00008BCF0000}"/>
    <cellStyle name="Percent 14 2" xfId="345" xr:uid="{00000000-0005-0000-0000-00008CCF0000}"/>
    <cellStyle name="Percent 14 2 2" xfId="53219" xr:uid="{00000000-0005-0000-0000-00008DCF0000}"/>
    <cellStyle name="Percent 14 2 2 2" xfId="53220" xr:uid="{00000000-0005-0000-0000-00008ECF0000}"/>
    <cellStyle name="Percent 14 2 3" xfId="53221" xr:uid="{00000000-0005-0000-0000-00008FCF0000}"/>
    <cellStyle name="Percent 14 2 3 2" xfId="53222" xr:uid="{00000000-0005-0000-0000-000090CF0000}"/>
    <cellStyle name="Percent 14 2 4" xfId="53223" xr:uid="{00000000-0005-0000-0000-000091CF0000}"/>
    <cellStyle name="Percent 14 2 5" xfId="53224" xr:uid="{00000000-0005-0000-0000-000092CF0000}"/>
    <cellStyle name="Percent 14 3" xfId="53225" xr:uid="{00000000-0005-0000-0000-000093CF0000}"/>
    <cellStyle name="Percent 14 3 2" xfId="53226" xr:uid="{00000000-0005-0000-0000-000094CF0000}"/>
    <cellStyle name="Percent 14 3 2 2" xfId="53227" xr:uid="{00000000-0005-0000-0000-000095CF0000}"/>
    <cellStyle name="Percent 14 3 3" xfId="53228" xr:uid="{00000000-0005-0000-0000-000096CF0000}"/>
    <cellStyle name="Percent 14 3 4" xfId="53229" xr:uid="{00000000-0005-0000-0000-000097CF0000}"/>
    <cellStyle name="Percent 14 3 5" xfId="53230" xr:uid="{00000000-0005-0000-0000-000098CF0000}"/>
    <cellStyle name="Percent 14 4" xfId="53231" xr:uid="{00000000-0005-0000-0000-000099CF0000}"/>
    <cellStyle name="Percent 14 4 2" xfId="53232" xr:uid="{00000000-0005-0000-0000-00009ACF0000}"/>
    <cellStyle name="Percent 14 4 3" xfId="53233" xr:uid="{00000000-0005-0000-0000-00009BCF0000}"/>
    <cellStyle name="Percent 14 5" xfId="53234" xr:uid="{00000000-0005-0000-0000-00009CCF0000}"/>
    <cellStyle name="Percent 14 6" xfId="53235" xr:uid="{00000000-0005-0000-0000-00009DCF0000}"/>
    <cellStyle name="Percent 14 7" xfId="53236" xr:uid="{00000000-0005-0000-0000-00009ECF0000}"/>
    <cellStyle name="Percent 140" xfId="53237" xr:uid="{00000000-0005-0000-0000-00009FCF0000}"/>
    <cellStyle name="Percent 141" xfId="53238" xr:uid="{00000000-0005-0000-0000-0000A0CF0000}"/>
    <cellStyle name="Percent 142" xfId="53239" xr:uid="{00000000-0005-0000-0000-0000A1CF0000}"/>
    <cellStyle name="Percent 143" xfId="53240" xr:uid="{00000000-0005-0000-0000-0000A2CF0000}"/>
    <cellStyle name="Percent 144" xfId="53241" xr:uid="{00000000-0005-0000-0000-0000A3CF0000}"/>
    <cellStyle name="Percent 145" xfId="53242" xr:uid="{00000000-0005-0000-0000-0000A4CF0000}"/>
    <cellStyle name="Percent 146" xfId="53243" xr:uid="{00000000-0005-0000-0000-0000A5CF0000}"/>
    <cellStyle name="Percent 147" xfId="53244" xr:uid="{00000000-0005-0000-0000-0000A6CF0000}"/>
    <cellStyle name="Percent 148" xfId="53245" xr:uid="{00000000-0005-0000-0000-0000A7CF0000}"/>
    <cellStyle name="Percent 149" xfId="53246" xr:uid="{00000000-0005-0000-0000-0000A8CF0000}"/>
    <cellStyle name="Percent 149 2" xfId="53247" xr:uid="{00000000-0005-0000-0000-0000A9CF0000}"/>
    <cellStyle name="Percent 149 2 2" xfId="53248" xr:uid="{00000000-0005-0000-0000-0000AACF0000}"/>
    <cellStyle name="Percent 149 2 2 2" xfId="53249" xr:uid="{00000000-0005-0000-0000-0000ABCF0000}"/>
    <cellStyle name="Percent 149 2 3" xfId="53250" xr:uid="{00000000-0005-0000-0000-0000ACCF0000}"/>
    <cellStyle name="Percent 149 2 3 2" xfId="53251" xr:uid="{00000000-0005-0000-0000-0000ADCF0000}"/>
    <cellStyle name="Percent 149 2 4" xfId="53252" xr:uid="{00000000-0005-0000-0000-0000AECF0000}"/>
    <cellStyle name="Percent 149 2 5" xfId="53253" xr:uid="{00000000-0005-0000-0000-0000AFCF0000}"/>
    <cellStyle name="Percent 149 2 6" xfId="53254" xr:uid="{00000000-0005-0000-0000-0000B0CF0000}"/>
    <cellStyle name="Percent 149 2 7" xfId="53255" xr:uid="{00000000-0005-0000-0000-0000B1CF0000}"/>
    <cellStyle name="Percent 149 3" xfId="53256" xr:uid="{00000000-0005-0000-0000-0000B2CF0000}"/>
    <cellStyle name="Percent 149 4" xfId="53257" xr:uid="{00000000-0005-0000-0000-0000B3CF0000}"/>
    <cellStyle name="Percent 15" xfId="346" xr:uid="{00000000-0005-0000-0000-0000B4CF0000}"/>
    <cellStyle name="Percent 15 2" xfId="53258" xr:uid="{00000000-0005-0000-0000-0000B5CF0000}"/>
    <cellStyle name="Percent 15 2 2" xfId="53259" xr:uid="{00000000-0005-0000-0000-0000B6CF0000}"/>
    <cellStyle name="Percent 15 2 2 2" xfId="53260" xr:uid="{00000000-0005-0000-0000-0000B7CF0000}"/>
    <cellStyle name="Percent 15 2 3" xfId="53261" xr:uid="{00000000-0005-0000-0000-0000B8CF0000}"/>
    <cellStyle name="Percent 15 2 4" xfId="53262" xr:uid="{00000000-0005-0000-0000-0000B9CF0000}"/>
    <cellStyle name="Percent 15 3" xfId="53263" xr:uid="{00000000-0005-0000-0000-0000BACF0000}"/>
    <cellStyle name="Percent 15 3 2" xfId="53264" xr:uid="{00000000-0005-0000-0000-0000BBCF0000}"/>
    <cellStyle name="Percent 15 3 3" xfId="53265" xr:uid="{00000000-0005-0000-0000-0000BCCF0000}"/>
    <cellStyle name="Percent 15 3 4" xfId="53266" xr:uid="{00000000-0005-0000-0000-0000BDCF0000}"/>
    <cellStyle name="Percent 15 3 5" xfId="53267" xr:uid="{00000000-0005-0000-0000-0000BECF0000}"/>
    <cellStyle name="Percent 15 4" xfId="53268" xr:uid="{00000000-0005-0000-0000-0000BFCF0000}"/>
    <cellStyle name="Percent 15 4 2" xfId="53269" xr:uid="{00000000-0005-0000-0000-0000C0CF0000}"/>
    <cellStyle name="Percent 15 5" xfId="53270" xr:uid="{00000000-0005-0000-0000-0000C1CF0000}"/>
    <cellStyle name="Percent 15 6" xfId="53271" xr:uid="{00000000-0005-0000-0000-0000C2CF0000}"/>
    <cellStyle name="Percent 150" xfId="53272" xr:uid="{00000000-0005-0000-0000-0000C3CF0000}"/>
    <cellStyle name="Percent 151" xfId="53273" xr:uid="{00000000-0005-0000-0000-0000C4CF0000}"/>
    <cellStyle name="Percent 151 2" xfId="53274" xr:uid="{00000000-0005-0000-0000-0000C5CF0000}"/>
    <cellStyle name="Percent 151 2 2" xfId="53275" xr:uid="{00000000-0005-0000-0000-0000C6CF0000}"/>
    <cellStyle name="Percent 151 2 2 2" xfId="53276" xr:uid="{00000000-0005-0000-0000-0000C7CF0000}"/>
    <cellStyle name="Percent 151 2 3" xfId="53277" xr:uid="{00000000-0005-0000-0000-0000C8CF0000}"/>
    <cellStyle name="Percent 151 2 3 2" xfId="53278" xr:uid="{00000000-0005-0000-0000-0000C9CF0000}"/>
    <cellStyle name="Percent 151 2 4" xfId="53279" xr:uid="{00000000-0005-0000-0000-0000CACF0000}"/>
    <cellStyle name="Percent 151 2 5" xfId="53280" xr:uid="{00000000-0005-0000-0000-0000CBCF0000}"/>
    <cellStyle name="Percent 151 2 6" xfId="53281" xr:uid="{00000000-0005-0000-0000-0000CCCF0000}"/>
    <cellStyle name="Percent 151 2 7" xfId="53282" xr:uid="{00000000-0005-0000-0000-0000CDCF0000}"/>
    <cellStyle name="Percent 151 3" xfId="53283" xr:uid="{00000000-0005-0000-0000-0000CECF0000}"/>
    <cellStyle name="Percent 151 4" xfId="53284" xr:uid="{00000000-0005-0000-0000-0000CFCF0000}"/>
    <cellStyle name="Percent 151 4 2" xfId="53285" xr:uid="{00000000-0005-0000-0000-0000D0CF0000}"/>
    <cellStyle name="Percent 151 5" xfId="53286" xr:uid="{00000000-0005-0000-0000-0000D1CF0000}"/>
    <cellStyle name="Percent 151 5 2" xfId="53287" xr:uid="{00000000-0005-0000-0000-0000D2CF0000}"/>
    <cellStyle name="Percent 151 6" xfId="53288" xr:uid="{00000000-0005-0000-0000-0000D3CF0000}"/>
    <cellStyle name="Percent 151 7" xfId="53289" xr:uid="{00000000-0005-0000-0000-0000D4CF0000}"/>
    <cellStyle name="Percent 151 8" xfId="53290" xr:uid="{00000000-0005-0000-0000-0000D5CF0000}"/>
    <cellStyle name="Percent 151 9" xfId="53291" xr:uid="{00000000-0005-0000-0000-0000D6CF0000}"/>
    <cellStyle name="Percent 152" xfId="53292" xr:uid="{00000000-0005-0000-0000-0000D7CF0000}"/>
    <cellStyle name="Percent 153" xfId="53293" xr:uid="{00000000-0005-0000-0000-0000D8CF0000}"/>
    <cellStyle name="Percent 154" xfId="53294" xr:uid="{00000000-0005-0000-0000-0000D9CF0000}"/>
    <cellStyle name="Percent 155" xfId="53295" xr:uid="{00000000-0005-0000-0000-0000DACF0000}"/>
    <cellStyle name="Percent 156" xfId="53296" xr:uid="{00000000-0005-0000-0000-0000DBCF0000}"/>
    <cellStyle name="Percent 157" xfId="53297" xr:uid="{00000000-0005-0000-0000-0000DCCF0000}"/>
    <cellStyle name="Percent 158" xfId="53298" xr:uid="{00000000-0005-0000-0000-0000DDCF0000}"/>
    <cellStyle name="Percent 159" xfId="53299" xr:uid="{00000000-0005-0000-0000-0000DECF0000}"/>
    <cellStyle name="Percent 16" xfId="347" xr:uid="{00000000-0005-0000-0000-0000DFCF0000}"/>
    <cellStyle name="Percent 16 2" xfId="53300" xr:uid="{00000000-0005-0000-0000-0000E0CF0000}"/>
    <cellStyle name="Percent 16 2 2" xfId="53301" xr:uid="{00000000-0005-0000-0000-0000E1CF0000}"/>
    <cellStyle name="Percent 16 2 2 2" xfId="53302" xr:uid="{00000000-0005-0000-0000-0000E2CF0000}"/>
    <cellStyle name="Percent 16 2 3" xfId="53303" xr:uid="{00000000-0005-0000-0000-0000E3CF0000}"/>
    <cellStyle name="Percent 16 2 4" xfId="53304" xr:uid="{00000000-0005-0000-0000-0000E4CF0000}"/>
    <cellStyle name="Percent 16 3" xfId="53305" xr:uid="{00000000-0005-0000-0000-0000E5CF0000}"/>
    <cellStyle name="Percent 16 3 2" xfId="53306" xr:uid="{00000000-0005-0000-0000-0000E6CF0000}"/>
    <cellStyle name="Percent 16 3 3" xfId="53307" xr:uid="{00000000-0005-0000-0000-0000E7CF0000}"/>
    <cellStyle name="Percent 16 3 4" xfId="53308" xr:uid="{00000000-0005-0000-0000-0000E8CF0000}"/>
    <cellStyle name="Percent 16 3 5" xfId="53309" xr:uid="{00000000-0005-0000-0000-0000E9CF0000}"/>
    <cellStyle name="Percent 16 4" xfId="53310" xr:uid="{00000000-0005-0000-0000-0000EACF0000}"/>
    <cellStyle name="Percent 16 4 2" xfId="53311" xr:uid="{00000000-0005-0000-0000-0000EBCF0000}"/>
    <cellStyle name="Percent 16 5" xfId="53312" xr:uid="{00000000-0005-0000-0000-0000ECCF0000}"/>
    <cellStyle name="Percent 16 6" xfId="53313" xr:uid="{00000000-0005-0000-0000-0000EDCF0000}"/>
    <cellStyle name="Percent 160" xfId="53314" xr:uid="{00000000-0005-0000-0000-0000EECF0000}"/>
    <cellStyle name="Percent 161" xfId="53315" xr:uid="{00000000-0005-0000-0000-0000EFCF0000}"/>
    <cellStyle name="Percent 162" xfId="53316" xr:uid="{00000000-0005-0000-0000-0000F0CF0000}"/>
    <cellStyle name="Percent 163" xfId="53317" xr:uid="{00000000-0005-0000-0000-0000F1CF0000}"/>
    <cellStyle name="Percent 164" xfId="53318" xr:uid="{00000000-0005-0000-0000-0000F2CF0000}"/>
    <cellStyle name="Percent 165" xfId="53319" xr:uid="{00000000-0005-0000-0000-0000F3CF0000}"/>
    <cellStyle name="Percent 166" xfId="53320" xr:uid="{00000000-0005-0000-0000-0000F4CF0000}"/>
    <cellStyle name="Percent 167" xfId="53321" xr:uid="{00000000-0005-0000-0000-0000F5CF0000}"/>
    <cellStyle name="Percent 168" xfId="53322" xr:uid="{00000000-0005-0000-0000-0000F6CF0000}"/>
    <cellStyle name="Percent 169" xfId="53323" xr:uid="{00000000-0005-0000-0000-0000F7CF0000}"/>
    <cellStyle name="Percent 17" xfId="348" xr:uid="{00000000-0005-0000-0000-0000F8CF0000}"/>
    <cellStyle name="Percent 17 2" xfId="53324" xr:uid="{00000000-0005-0000-0000-0000F9CF0000}"/>
    <cellStyle name="Percent 17 2 2" xfId="53325" xr:uid="{00000000-0005-0000-0000-0000FACF0000}"/>
    <cellStyle name="Percent 17 2 3" xfId="53326" xr:uid="{00000000-0005-0000-0000-0000FBCF0000}"/>
    <cellStyle name="Percent 17 2 4" xfId="53327" xr:uid="{00000000-0005-0000-0000-0000FCCF0000}"/>
    <cellStyle name="Percent 17 2 5" xfId="53328" xr:uid="{00000000-0005-0000-0000-0000FDCF0000}"/>
    <cellStyle name="Percent 17 3" xfId="53329" xr:uid="{00000000-0005-0000-0000-0000FECF0000}"/>
    <cellStyle name="Percent 17 3 2" xfId="53330" xr:uid="{00000000-0005-0000-0000-0000FFCF0000}"/>
    <cellStyle name="Percent 17 4" xfId="53331" xr:uid="{00000000-0005-0000-0000-000000D00000}"/>
    <cellStyle name="Percent 17 5" xfId="53332" xr:uid="{00000000-0005-0000-0000-000001D00000}"/>
    <cellStyle name="Percent 17 5 2" xfId="53333" xr:uid="{00000000-0005-0000-0000-000002D00000}"/>
    <cellStyle name="Percent 17 6" xfId="53334" xr:uid="{00000000-0005-0000-0000-000003D00000}"/>
    <cellStyle name="Percent 17 7" xfId="53335" xr:uid="{00000000-0005-0000-0000-000004D00000}"/>
    <cellStyle name="Percent 170" xfId="53336" xr:uid="{00000000-0005-0000-0000-000005D00000}"/>
    <cellStyle name="Percent 171" xfId="53337" xr:uid="{00000000-0005-0000-0000-000006D00000}"/>
    <cellStyle name="Percent 172" xfId="53338" xr:uid="{00000000-0005-0000-0000-000007D00000}"/>
    <cellStyle name="Percent 173" xfId="53339" xr:uid="{00000000-0005-0000-0000-000008D00000}"/>
    <cellStyle name="Percent 174" xfId="53340" xr:uid="{00000000-0005-0000-0000-000009D00000}"/>
    <cellStyle name="Percent 175" xfId="53341" xr:uid="{00000000-0005-0000-0000-00000AD00000}"/>
    <cellStyle name="Percent 176" xfId="53342" xr:uid="{00000000-0005-0000-0000-00000BD00000}"/>
    <cellStyle name="Percent 177" xfId="53343" xr:uid="{00000000-0005-0000-0000-00000CD00000}"/>
    <cellStyle name="Percent 178" xfId="53344" xr:uid="{00000000-0005-0000-0000-00000DD00000}"/>
    <cellStyle name="Percent 179" xfId="53345" xr:uid="{00000000-0005-0000-0000-00000ED00000}"/>
    <cellStyle name="Percent 18" xfId="349" xr:uid="{00000000-0005-0000-0000-00000FD00000}"/>
    <cellStyle name="Percent 18 2" xfId="53346" xr:uid="{00000000-0005-0000-0000-000010D00000}"/>
    <cellStyle name="Percent 18 2 2" xfId="53347" xr:uid="{00000000-0005-0000-0000-000011D00000}"/>
    <cellStyle name="Percent 18 2 3" xfId="53348" xr:uid="{00000000-0005-0000-0000-000012D00000}"/>
    <cellStyle name="Percent 18 2 4" xfId="53349" xr:uid="{00000000-0005-0000-0000-000013D00000}"/>
    <cellStyle name="Percent 18 3" xfId="53350" xr:uid="{00000000-0005-0000-0000-000014D00000}"/>
    <cellStyle name="Percent 18 4" xfId="53351" xr:uid="{00000000-0005-0000-0000-000015D00000}"/>
    <cellStyle name="Percent 18 5" xfId="53352" xr:uid="{00000000-0005-0000-0000-000016D00000}"/>
    <cellStyle name="Percent 18 5 2" xfId="53353" xr:uid="{00000000-0005-0000-0000-000017D00000}"/>
    <cellStyle name="Percent 180" xfId="53354" xr:uid="{00000000-0005-0000-0000-000018D00000}"/>
    <cellStyle name="Percent 181" xfId="53355" xr:uid="{00000000-0005-0000-0000-000019D00000}"/>
    <cellStyle name="Percent 182" xfId="53356" xr:uid="{00000000-0005-0000-0000-00001AD00000}"/>
    <cellStyle name="Percent 183" xfId="53357" xr:uid="{00000000-0005-0000-0000-00001BD00000}"/>
    <cellStyle name="Percent 184" xfId="53358" xr:uid="{00000000-0005-0000-0000-00001CD00000}"/>
    <cellStyle name="Percent 185" xfId="53359" xr:uid="{00000000-0005-0000-0000-00001DD00000}"/>
    <cellStyle name="Percent 186" xfId="53360" xr:uid="{00000000-0005-0000-0000-00001ED00000}"/>
    <cellStyle name="Percent 187" xfId="53361" xr:uid="{00000000-0005-0000-0000-00001FD00000}"/>
    <cellStyle name="Percent 188" xfId="53362" xr:uid="{00000000-0005-0000-0000-000020D00000}"/>
    <cellStyle name="Percent 189" xfId="53363" xr:uid="{00000000-0005-0000-0000-000021D00000}"/>
    <cellStyle name="Percent 19" xfId="53364" xr:uid="{00000000-0005-0000-0000-000022D00000}"/>
    <cellStyle name="Percent 19 2" xfId="53365" xr:uid="{00000000-0005-0000-0000-000023D00000}"/>
    <cellStyle name="Percent 19 2 2" xfId="53366" xr:uid="{00000000-0005-0000-0000-000024D00000}"/>
    <cellStyle name="Percent 19 2 3" xfId="53367" xr:uid="{00000000-0005-0000-0000-000025D00000}"/>
    <cellStyle name="Percent 19 2 4" xfId="53368" xr:uid="{00000000-0005-0000-0000-000026D00000}"/>
    <cellStyle name="Percent 19 2 5" xfId="53369" xr:uid="{00000000-0005-0000-0000-000027D00000}"/>
    <cellStyle name="Percent 19 3" xfId="53370" xr:uid="{00000000-0005-0000-0000-000028D00000}"/>
    <cellStyle name="Percent 19 3 2" xfId="53371" xr:uid="{00000000-0005-0000-0000-000029D00000}"/>
    <cellStyle name="Percent 19 3 3" xfId="53372" xr:uid="{00000000-0005-0000-0000-00002AD00000}"/>
    <cellStyle name="Percent 19 3 4" xfId="53373" xr:uid="{00000000-0005-0000-0000-00002BD00000}"/>
    <cellStyle name="Percent 19 3 5" xfId="53374" xr:uid="{00000000-0005-0000-0000-00002CD00000}"/>
    <cellStyle name="Percent 19 4" xfId="53375" xr:uid="{00000000-0005-0000-0000-00002DD00000}"/>
    <cellStyle name="Percent 19 5" xfId="53376" xr:uid="{00000000-0005-0000-0000-00002ED00000}"/>
    <cellStyle name="Percent 19 5 2" xfId="53377" xr:uid="{00000000-0005-0000-0000-00002FD00000}"/>
    <cellStyle name="Percent 19 6" xfId="53378" xr:uid="{00000000-0005-0000-0000-000030D00000}"/>
    <cellStyle name="Percent 19 7" xfId="53379" xr:uid="{00000000-0005-0000-0000-000031D00000}"/>
    <cellStyle name="Percent 190" xfId="53380" xr:uid="{00000000-0005-0000-0000-000032D00000}"/>
    <cellStyle name="Percent 191" xfId="53381" xr:uid="{00000000-0005-0000-0000-000033D00000}"/>
    <cellStyle name="Percent 192" xfId="53382" xr:uid="{00000000-0005-0000-0000-000034D00000}"/>
    <cellStyle name="Percent 193" xfId="53383" xr:uid="{00000000-0005-0000-0000-000035D00000}"/>
    <cellStyle name="Percent 194" xfId="53384" xr:uid="{00000000-0005-0000-0000-000036D00000}"/>
    <cellStyle name="Percent 195" xfId="53385" xr:uid="{00000000-0005-0000-0000-000037D00000}"/>
    <cellStyle name="Percent 196" xfId="53386" xr:uid="{00000000-0005-0000-0000-000038D00000}"/>
    <cellStyle name="Percent 197" xfId="53387" xr:uid="{00000000-0005-0000-0000-000039D00000}"/>
    <cellStyle name="Percent 198" xfId="53388" xr:uid="{00000000-0005-0000-0000-00003AD00000}"/>
    <cellStyle name="Percent 199" xfId="53389" xr:uid="{00000000-0005-0000-0000-00003BD00000}"/>
    <cellStyle name="Percent 2" xfId="350" xr:uid="{00000000-0005-0000-0000-00003CD00000}"/>
    <cellStyle name="Percent 2 10" xfId="53390" xr:uid="{00000000-0005-0000-0000-00003DD00000}"/>
    <cellStyle name="Percent 2 11" xfId="53391" xr:uid="{00000000-0005-0000-0000-00003ED00000}"/>
    <cellStyle name="Percent 2 12" xfId="61192" xr:uid="{428BF29C-2594-4CE6-BDF9-E6C09542EFB4}"/>
    <cellStyle name="Percent 2 2" xfId="116" xr:uid="{00000000-0005-0000-0000-00003FD00000}"/>
    <cellStyle name="Percent 2 2 2" xfId="351" xr:uid="{00000000-0005-0000-0000-000040D00000}"/>
    <cellStyle name="Percent 2 2 2 2" xfId="53392" xr:uid="{00000000-0005-0000-0000-000041D00000}"/>
    <cellStyle name="Percent 2 2 2 2 2" xfId="53393" xr:uid="{00000000-0005-0000-0000-000042D00000}"/>
    <cellStyle name="Percent 2 2 2 3" xfId="53394" xr:uid="{00000000-0005-0000-0000-000043D00000}"/>
    <cellStyle name="Percent 2 2 2 4" xfId="53395" xr:uid="{00000000-0005-0000-0000-000044D00000}"/>
    <cellStyle name="Percent 2 2 3" xfId="53396" xr:uid="{00000000-0005-0000-0000-000045D00000}"/>
    <cellStyle name="Percent 2 2 3 2" xfId="53397" xr:uid="{00000000-0005-0000-0000-000046D00000}"/>
    <cellStyle name="Percent 2 2 3 3" xfId="53398" xr:uid="{00000000-0005-0000-0000-000047D00000}"/>
    <cellStyle name="Percent 2 2 3 4" xfId="53399" xr:uid="{00000000-0005-0000-0000-000048D00000}"/>
    <cellStyle name="Percent 2 2 4" xfId="53400" xr:uid="{00000000-0005-0000-0000-000049D00000}"/>
    <cellStyle name="Percent 2 2 4 2" xfId="53401" xr:uid="{00000000-0005-0000-0000-00004AD00000}"/>
    <cellStyle name="Percent 2 2 4 3" xfId="53402" xr:uid="{00000000-0005-0000-0000-00004BD00000}"/>
    <cellStyle name="Percent 2 2 4 4" xfId="53403" xr:uid="{00000000-0005-0000-0000-00004CD00000}"/>
    <cellStyle name="Percent 2 2 5" xfId="53404" xr:uid="{00000000-0005-0000-0000-00004DD00000}"/>
    <cellStyle name="Percent 2 2 5 2" xfId="53405" xr:uid="{00000000-0005-0000-0000-00004ED00000}"/>
    <cellStyle name="Percent 2 2 6" xfId="53406" xr:uid="{00000000-0005-0000-0000-00004FD00000}"/>
    <cellStyle name="Percent 2 2 7" xfId="53407" xr:uid="{00000000-0005-0000-0000-000050D00000}"/>
    <cellStyle name="Percent 2 3" xfId="352" xr:uid="{00000000-0005-0000-0000-000051D00000}"/>
    <cellStyle name="Percent 2 3 2" xfId="53408" xr:uid="{00000000-0005-0000-0000-000052D00000}"/>
    <cellStyle name="Percent 2 3 2 2" xfId="53409" xr:uid="{00000000-0005-0000-0000-000053D00000}"/>
    <cellStyle name="Percent 2 3 2 2 2" xfId="53410" xr:uid="{00000000-0005-0000-0000-000054D00000}"/>
    <cellStyle name="Percent 2 3 2 2 2 2" xfId="53411" xr:uid="{00000000-0005-0000-0000-000055D00000}"/>
    <cellStyle name="Percent 2 3 2 2 3" xfId="53412" xr:uid="{00000000-0005-0000-0000-000056D00000}"/>
    <cellStyle name="Percent 2 3 2 2 4" xfId="53413" xr:uid="{00000000-0005-0000-0000-000057D00000}"/>
    <cellStyle name="Percent 2 3 2 3" xfId="53414" xr:uid="{00000000-0005-0000-0000-000058D00000}"/>
    <cellStyle name="Percent 2 3 2 3 2" xfId="53415" xr:uid="{00000000-0005-0000-0000-000059D00000}"/>
    <cellStyle name="Percent 2 3 2 4" xfId="53416" xr:uid="{00000000-0005-0000-0000-00005AD00000}"/>
    <cellStyle name="Percent 2 3 2 5" xfId="53417" xr:uid="{00000000-0005-0000-0000-00005BD00000}"/>
    <cellStyle name="Percent 2 3 3" xfId="53418" xr:uid="{00000000-0005-0000-0000-00005CD00000}"/>
    <cellStyle name="Percent 2 3 3 2" xfId="53419" xr:uid="{00000000-0005-0000-0000-00005DD00000}"/>
    <cellStyle name="Percent 2 3 3 2 2" xfId="53420" xr:uid="{00000000-0005-0000-0000-00005ED00000}"/>
    <cellStyle name="Percent 2 3 3 2 3" xfId="53421" xr:uid="{00000000-0005-0000-0000-00005FD00000}"/>
    <cellStyle name="Percent 2 3 3 2 4" xfId="53422" xr:uid="{00000000-0005-0000-0000-000060D00000}"/>
    <cellStyle name="Percent 2 3 3 3" xfId="53423" xr:uid="{00000000-0005-0000-0000-000061D00000}"/>
    <cellStyle name="Percent 2 3 3 3 2" xfId="53424" xr:uid="{00000000-0005-0000-0000-000062D00000}"/>
    <cellStyle name="Percent 2 3 3 4" xfId="53425" xr:uid="{00000000-0005-0000-0000-000063D00000}"/>
    <cellStyle name="Percent 2 3 3 5" xfId="53426" xr:uid="{00000000-0005-0000-0000-000064D00000}"/>
    <cellStyle name="Percent 2 3 4" xfId="53427" xr:uid="{00000000-0005-0000-0000-000065D00000}"/>
    <cellStyle name="Percent 2 3 4 2" xfId="53428" xr:uid="{00000000-0005-0000-0000-000066D00000}"/>
    <cellStyle name="Percent 2 3 4 3" xfId="53429" xr:uid="{00000000-0005-0000-0000-000067D00000}"/>
    <cellStyle name="Percent 2 3 5" xfId="53430" xr:uid="{00000000-0005-0000-0000-000068D00000}"/>
    <cellStyle name="Percent 2 3 6" xfId="53431" xr:uid="{00000000-0005-0000-0000-000069D00000}"/>
    <cellStyle name="Percent 2 3 7" xfId="53432" xr:uid="{00000000-0005-0000-0000-00006AD00000}"/>
    <cellStyle name="Percent 2 4" xfId="353" xr:uid="{00000000-0005-0000-0000-00006BD00000}"/>
    <cellStyle name="Percent 2 4 2" xfId="354" xr:uid="{00000000-0005-0000-0000-00006CD00000}"/>
    <cellStyle name="Percent 2 4 2 2" xfId="53433" xr:uid="{00000000-0005-0000-0000-00006DD00000}"/>
    <cellStyle name="Percent 2 4 2 3" xfId="53434" xr:uid="{00000000-0005-0000-0000-00006ED00000}"/>
    <cellStyle name="Percent 2 4 3" xfId="53435" xr:uid="{00000000-0005-0000-0000-00006FD00000}"/>
    <cellStyle name="Percent 2 4 3 2" xfId="53436" xr:uid="{00000000-0005-0000-0000-000070D00000}"/>
    <cellStyle name="Percent 2 4 4" xfId="53437" xr:uid="{00000000-0005-0000-0000-000071D00000}"/>
    <cellStyle name="Percent 2 4 5" xfId="53438" xr:uid="{00000000-0005-0000-0000-000072D00000}"/>
    <cellStyle name="Percent 2 4 6" xfId="53439" xr:uid="{00000000-0005-0000-0000-000073D00000}"/>
    <cellStyle name="Percent 2 4 7" xfId="53440" xr:uid="{00000000-0005-0000-0000-000074D00000}"/>
    <cellStyle name="Percent 2 5" xfId="53441" xr:uid="{00000000-0005-0000-0000-000075D00000}"/>
    <cellStyle name="Percent 2 5 2" xfId="53442" xr:uid="{00000000-0005-0000-0000-000076D00000}"/>
    <cellStyle name="Percent 2 5 2 2" xfId="53443" xr:uid="{00000000-0005-0000-0000-000077D00000}"/>
    <cellStyle name="Percent 2 5 2 2 2" xfId="53444" xr:uid="{00000000-0005-0000-0000-000078D00000}"/>
    <cellStyle name="Percent 2 5 2 3" xfId="53445" xr:uid="{00000000-0005-0000-0000-000079D00000}"/>
    <cellStyle name="Percent 2 5 2 4" xfId="53446" xr:uid="{00000000-0005-0000-0000-00007AD00000}"/>
    <cellStyle name="Percent 2 5 3" xfId="53447" xr:uid="{00000000-0005-0000-0000-00007BD00000}"/>
    <cellStyle name="Percent 2 5 3 2" xfId="53448" xr:uid="{00000000-0005-0000-0000-00007CD00000}"/>
    <cellStyle name="Percent 2 5 4" xfId="53449" xr:uid="{00000000-0005-0000-0000-00007DD00000}"/>
    <cellStyle name="Percent 2 5 4 2" xfId="53450" xr:uid="{00000000-0005-0000-0000-00007ED00000}"/>
    <cellStyle name="Percent 2 5 5" xfId="53451" xr:uid="{00000000-0005-0000-0000-00007FD00000}"/>
    <cellStyle name="Percent 2 6" xfId="53452" xr:uid="{00000000-0005-0000-0000-000080D00000}"/>
    <cellStyle name="Percent 2 6 2" xfId="53453" xr:uid="{00000000-0005-0000-0000-000081D00000}"/>
    <cellStyle name="Percent 2 6 2 2" xfId="53454" xr:uid="{00000000-0005-0000-0000-000082D00000}"/>
    <cellStyle name="Percent 2 6 2 3" xfId="53455" xr:uid="{00000000-0005-0000-0000-000083D00000}"/>
    <cellStyle name="Percent 2 6 3" xfId="53456" xr:uid="{00000000-0005-0000-0000-000084D00000}"/>
    <cellStyle name="Percent 2 6 4" xfId="53457" xr:uid="{00000000-0005-0000-0000-000085D00000}"/>
    <cellStyle name="Percent 2 6 5" xfId="53458" xr:uid="{00000000-0005-0000-0000-000086D00000}"/>
    <cellStyle name="Percent 2 7" xfId="53459" xr:uid="{00000000-0005-0000-0000-000087D00000}"/>
    <cellStyle name="Percent 2 7 2" xfId="53460" xr:uid="{00000000-0005-0000-0000-000088D00000}"/>
    <cellStyle name="Percent 2 7 3" xfId="53461" xr:uid="{00000000-0005-0000-0000-000089D00000}"/>
    <cellStyle name="Percent 2 7 4" xfId="53462" xr:uid="{00000000-0005-0000-0000-00008AD00000}"/>
    <cellStyle name="Percent 2 7 5" xfId="53463" xr:uid="{00000000-0005-0000-0000-00008BD00000}"/>
    <cellStyle name="Percent 2 8" xfId="53464" xr:uid="{00000000-0005-0000-0000-00008CD00000}"/>
    <cellStyle name="Percent 2 8 2" xfId="53465" xr:uid="{00000000-0005-0000-0000-00008DD00000}"/>
    <cellStyle name="Percent 2 8 2 2" xfId="53466" xr:uid="{00000000-0005-0000-0000-00008ED00000}"/>
    <cellStyle name="Percent 2 8 3" xfId="53467" xr:uid="{00000000-0005-0000-0000-00008FD00000}"/>
    <cellStyle name="Percent 2 9" xfId="53468" xr:uid="{00000000-0005-0000-0000-000090D00000}"/>
    <cellStyle name="Percent 2 9 2" xfId="53469" xr:uid="{00000000-0005-0000-0000-000091D00000}"/>
    <cellStyle name="Percent 20" xfId="53470" xr:uid="{00000000-0005-0000-0000-000092D00000}"/>
    <cellStyle name="Percent 20 2" xfId="53471" xr:uid="{00000000-0005-0000-0000-000093D00000}"/>
    <cellStyle name="Percent 20 2 2" xfId="53472" xr:uid="{00000000-0005-0000-0000-000094D00000}"/>
    <cellStyle name="Percent 20 2 3" xfId="53473" xr:uid="{00000000-0005-0000-0000-000095D00000}"/>
    <cellStyle name="Percent 20 2 4" xfId="53474" xr:uid="{00000000-0005-0000-0000-000096D00000}"/>
    <cellStyle name="Percent 20 3" xfId="53475" xr:uid="{00000000-0005-0000-0000-000097D00000}"/>
    <cellStyle name="Percent 20 4" xfId="53476" xr:uid="{00000000-0005-0000-0000-000098D00000}"/>
    <cellStyle name="Percent 20 5" xfId="53477" xr:uid="{00000000-0005-0000-0000-000099D00000}"/>
    <cellStyle name="Percent 20 5 2" xfId="53478" xr:uid="{00000000-0005-0000-0000-00009AD00000}"/>
    <cellStyle name="Percent 200" xfId="53479" xr:uid="{00000000-0005-0000-0000-00009BD00000}"/>
    <cellStyle name="Percent 201" xfId="53480" xr:uid="{00000000-0005-0000-0000-00009CD00000}"/>
    <cellStyle name="Percent 202" xfId="53481" xr:uid="{00000000-0005-0000-0000-00009DD00000}"/>
    <cellStyle name="Percent 203" xfId="53482" xr:uid="{00000000-0005-0000-0000-00009ED00000}"/>
    <cellStyle name="Percent 204" xfId="53483" xr:uid="{00000000-0005-0000-0000-00009FD00000}"/>
    <cellStyle name="Percent 205" xfId="53484" xr:uid="{00000000-0005-0000-0000-0000A0D00000}"/>
    <cellStyle name="Percent 206" xfId="53485" xr:uid="{00000000-0005-0000-0000-0000A1D00000}"/>
    <cellStyle name="Percent 207" xfId="53486" xr:uid="{00000000-0005-0000-0000-0000A2D00000}"/>
    <cellStyle name="Percent 208" xfId="53487" xr:uid="{00000000-0005-0000-0000-0000A3D00000}"/>
    <cellStyle name="Percent 209" xfId="53488" xr:uid="{00000000-0005-0000-0000-0000A4D00000}"/>
    <cellStyle name="Percent 21" xfId="53489" xr:uid="{00000000-0005-0000-0000-0000A5D00000}"/>
    <cellStyle name="Percent 21 2" xfId="53490" xr:uid="{00000000-0005-0000-0000-0000A6D00000}"/>
    <cellStyle name="Percent 21 2 2" xfId="53491" xr:uid="{00000000-0005-0000-0000-0000A7D00000}"/>
    <cellStyle name="Percent 21 2 2 2" xfId="53492" xr:uid="{00000000-0005-0000-0000-0000A8D00000}"/>
    <cellStyle name="Percent 21 2 2 2 2" xfId="53493" xr:uid="{00000000-0005-0000-0000-0000A9D00000}"/>
    <cellStyle name="Percent 21 2 2 3" xfId="53494" xr:uid="{00000000-0005-0000-0000-0000AAD00000}"/>
    <cellStyle name="Percent 21 2 3" xfId="53495" xr:uid="{00000000-0005-0000-0000-0000ABD00000}"/>
    <cellStyle name="Percent 21 2 3 2" xfId="53496" xr:uid="{00000000-0005-0000-0000-0000ACD00000}"/>
    <cellStyle name="Percent 21 2 4" xfId="53497" xr:uid="{00000000-0005-0000-0000-0000ADD00000}"/>
    <cellStyle name="Percent 21 3" xfId="53498" xr:uid="{00000000-0005-0000-0000-0000AED00000}"/>
    <cellStyle name="Percent 21 3 2" xfId="53499" xr:uid="{00000000-0005-0000-0000-0000AFD00000}"/>
    <cellStyle name="Percent 21 3 2 2" xfId="53500" xr:uid="{00000000-0005-0000-0000-0000B0D00000}"/>
    <cellStyle name="Percent 21 3 3" xfId="53501" xr:uid="{00000000-0005-0000-0000-0000B1D00000}"/>
    <cellStyle name="Percent 21 4" xfId="53502" xr:uid="{00000000-0005-0000-0000-0000B2D00000}"/>
    <cellStyle name="Percent 21 5" xfId="53503" xr:uid="{00000000-0005-0000-0000-0000B3D00000}"/>
    <cellStyle name="Percent 21 5 2" xfId="53504" xr:uid="{00000000-0005-0000-0000-0000B4D00000}"/>
    <cellStyle name="Percent 21 6" xfId="53505" xr:uid="{00000000-0005-0000-0000-0000B5D00000}"/>
    <cellStyle name="Percent 21 7" xfId="53506" xr:uid="{00000000-0005-0000-0000-0000B6D00000}"/>
    <cellStyle name="Percent 210" xfId="53507" xr:uid="{00000000-0005-0000-0000-0000B7D00000}"/>
    <cellStyle name="Percent 211" xfId="53508" xr:uid="{00000000-0005-0000-0000-0000B8D00000}"/>
    <cellStyle name="Percent 211 2" xfId="53509" xr:uid="{00000000-0005-0000-0000-0000B9D00000}"/>
    <cellStyle name="Percent 211 3" xfId="53510" xr:uid="{00000000-0005-0000-0000-0000BAD00000}"/>
    <cellStyle name="Percent 212" xfId="53511" xr:uid="{00000000-0005-0000-0000-0000BBD00000}"/>
    <cellStyle name="Percent 212 2" xfId="53512" xr:uid="{00000000-0005-0000-0000-0000BCD00000}"/>
    <cellStyle name="Percent 213" xfId="53513" xr:uid="{00000000-0005-0000-0000-0000BDD00000}"/>
    <cellStyle name="Percent 213 2" xfId="53514" xr:uid="{00000000-0005-0000-0000-0000BED00000}"/>
    <cellStyle name="Percent 214" xfId="53515" xr:uid="{00000000-0005-0000-0000-0000BFD00000}"/>
    <cellStyle name="Percent 214 2" xfId="53516" xr:uid="{00000000-0005-0000-0000-0000C0D00000}"/>
    <cellStyle name="Percent 215" xfId="53517" xr:uid="{00000000-0005-0000-0000-0000C1D00000}"/>
    <cellStyle name="Percent 215 2" xfId="53518" xr:uid="{00000000-0005-0000-0000-0000C2D00000}"/>
    <cellStyle name="Percent 216" xfId="53519" xr:uid="{00000000-0005-0000-0000-0000C3D00000}"/>
    <cellStyle name="Percent 216 2" xfId="53520" xr:uid="{00000000-0005-0000-0000-0000C4D00000}"/>
    <cellStyle name="Percent 217" xfId="53521" xr:uid="{00000000-0005-0000-0000-0000C5D00000}"/>
    <cellStyle name="Percent 217 2" xfId="53522" xr:uid="{00000000-0005-0000-0000-0000C6D00000}"/>
    <cellStyle name="Percent 218" xfId="53523" xr:uid="{00000000-0005-0000-0000-0000C7D00000}"/>
    <cellStyle name="Percent 218 2" xfId="53524" xr:uid="{00000000-0005-0000-0000-0000C8D00000}"/>
    <cellStyle name="Percent 219" xfId="53525" xr:uid="{00000000-0005-0000-0000-0000C9D00000}"/>
    <cellStyle name="Percent 219 2" xfId="53526" xr:uid="{00000000-0005-0000-0000-0000CAD00000}"/>
    <cellStyle name="Percent 22" xfId="53527" xr:uid="{00000000-0005-0000-0000-0000CBD00000}"/>
    <cellStyle name="Percent 22 2" xfId="53528" xr:uid="{00000000-0005-0000-0000-0000CCD00000}"/>
    <cellStyle name="Percent 22 2 2" xfId="53529" xr:uid="{00000000-0005-0000-0000-0000CDD00000}"/>
    <cellStyle name="Percent 22 2 2 2" xfId="53530" xr:uid="{00000000-0005-0000-0000-0000CED00000}"/>
    <cellStyle name="Percent 22 2 2 2 2" xfId="53531" xr:uid="{00000000-0005-0000-0000-0000CFD00000}"/>
    <cellStyle name="Percent 22 2 2 3" xfId="53532" xr:uid="{00000000-0005-0000-0000-0000D0D00000}"/>
    <cellStyle name="Percent 22 2 3" xfId="53533" xr:uid="{00000000-0005-0000-0000-0000D1D00000}"/>
    <cellStyle name="Percent 22 2 3 2" xfId="53534" xr:uid="{00000000-0005-0000-0000-0000D2D00000}"/>
    <cellStyle name="Percent 22 2 4" xfId="53535" xr:uid="{00000000-0005-0000-0000-0000D3D00000}"/>
    <cellStyle name="Percent 22 3" xfId="53536" xr:uid="{00000000-0005-0000-0000-0000D4D00000}"/>
    <cellStyle name="Percent 22 3 2" xfId="53537" xr:uid="{00000000-0005-0000-0000-0000D5D00000}"/>
    <cellStyle name="Percent 22 3 2 2" xfId="53538" xr:uid="{00000000-0005-0000-0000-0000D6D00000}"/>
    <cellStyle name="Percent 22 3 3" xfId="53539" xr:uid="{00000000-0005-0000-0000-0000D7D00000}"/>
    <cellStyle name="Percent 22 4" xfId="53540" xr:uid="{00000000-0005-0000-0000-0000D8D00000}"/>
    <cellStyle name="Percent 22 5" xfId="53541" xr:uid="{00000000-0005-0000-0000-0000D9D00000}"/>
    <cellStyle name="Percent 22 5 2" xfId="53542" xr:uid="{00000000-0005-0000-0000-0000DAD00000}"/>
    <cellStyle name="Percent 22 6" xfId="53543" xr:uid="{00000000-0005-0000-0000-0000DBD00000}"/>
    <cellStyle name="Percent 22 7" xfId="53544" xr:uid="{00000000-0005-0000-0000-0000DCD00000}"/>
    <cellStyle name="Percent 220" xfId="53545" xr:uid="{00000000-0005-0000-0000-0000DDD00000}"/>
    <cellStyle name="Percent 220 2" xfId="53546" xr:uid="{00000000-0005-0000-0000-0000DED00000}"/>
    <cellStyle name="Percent 221" xfId="53547" xr:uid="{00000000-0005-0000-0000-0000DFD00000}"/>
    <cellStyle name="Percent 222" xfId="53548" xr:uid="{00000000-0005-0000-0000-0000E0D00000}"/>
    <cellStyle name="Percent 223" xfId="61193" xr:uid="{1CAACF9F-B9ED-437F-B80C-490DDA949944}"/>
    <cellStyle name="Percent 224" xfId="61199" xr:uid="{0AC40B26-3403-4765-A837-175D61175F34}"/>
    <cellStyle name="Percent 225" xfId="61202" xr:uid="{C92F2E5A-F585-44B4-81E7-B3F699B381CE}"/>
    <cellStyle name="Percent 23" xfId="53549" xr:uid="{00000000-0005-0000-0000-0000E1D00000}"/>
    <cellStyle name="Percent 23 2" xfId="53550" xr:uid="{00000000-0005-0000-0000-0000E2D00000}"/>
    <cellStyle name="Percent 23 2 2" xfId="53551" xr:uid="{00000000-0005-0000-0000-0000E3D00000}"/>
    <cellStyle name="Percent 23 2 3" xfId="53552" xr:uid="{00000000-0005-0000-0000-0000E4D00000}"/>
    <cellStyle name="Percent 23 2 4" xfId="53553" xr:uid="{00000000-0005-0000-0000-0000E5D00000}"/>
    <cellStyle name="Percent 23 3" xfId="53554" xr:uid="{00000000-0005-0000-0000-0000E6D00000}"/>
    <cellStyle name="Percent 23 4" xfId="53555" xr:uid="{00000000-0005-0000-0000-0000E7D00000}"/>
    <cellStyle name="Percent 23 5" xfId="53556" xr:uid="{00000000-0005-0000-0000-0000E8D00000}"/>
    <cellStyle name="Percent 23 5 2" xfId="53557" xr:uid="{00000000-0005-0000-0000-0000E9D00000}"/>
    <cellStyle name="Percent 24" xfId="53558" xr:uid="{00000000-0005-0000-0000-0000EAD00000}"/>
    <cellStyle name="Percent 24 2" xfId="53559" xr:uid="{00000000-0005-0000-0000-0000EBD00000}"/>
    <cellStyle name="Percent 24 2 2" xfId="53560" xr:uid="{00000000-0005-0000-0000-0000ECD00000}"/>
    <cellStyle name="Percent 24 2 3" xfId="53561" xr:uid="{00000000-0005-0000-0000-0000EDD00000}"/>
    <cellStyle name="Percent 24 2 4" xfId="53562" xr:uid="{00000000-0005-0000-0000-0000EED00000}"/>
    <cellStyle name="Percent 24 3" xfId="53563" xr:uid="{00000000-0005-0000-0000-0000EFD00000}"/>
    <cellStyle name="Percent 24 4" xfId="53564" xr:uid="{00000000-0005-0000-0000-0000F0D00000}"/>
    <cellStyle name="Percent 24 5" xfId="53565" xr:uid="{00000000-0005-0000-0000-0000F1D00000}"/>
    <cellStyle name="Percent 24 5 2" xfId="53566" xr:uid="{00000000-0005-0000-0000-0000F2D00000}"/>
    <cellStyle name="Percent 25" xfId="53567" xr:uid="{00000000-0005-0000-0000-0000F3D00000}"/>
    <cellStyle name="Percent 25 2" xfId="53568" xr:uid="{00000000-0005-0000-0000-0000F4D00000}"/>
    <cellStyle name="Percent 25 2 2" xfId="53569" xr:uid="{00000000-0005-0000-0000-0000F5D00000}"/>
    <cellStyle name="Percent 25 2 3" xfId="53570" xr:uid="{00000000-0005-0000-0000-0000F6D00000}"/>
    <cellStyle name="Percent 25 2 4" xfId="53571" xr:uid="{00000000-0005-0000-0000-0000F7D00000}"/>
    <cellStyle name="Percent 25 2 5" xfId="53572" xr:uid="{00000000-0005-0000-0000-0000F8D00000}"/>
    <cellStyle name="Percent 25 3" xfId="53573" xr:uid="{00000000-0005-0000-0000-0000F9D00000}"/>
    <cellStyle name="Percent 25 4" xfId="53574" xr:uid="{00000000-0005-0000-0000-0000FAD00000}"/>
    <cellStyle name="Percent 25 5" xfId="53575" xr:uid="{00000000-0005-0000-0000-0000FBD00000}"/>
    <cellStyle name="Percent 25 5 2" xfId="53576" xr:uid="{00000000-0005-0000-0000-0000FCD00000}"/>
    <cellStyle name="Percent 25 6" xfId="53577" xr:uid="{00000000-0005-0000-0000-0000FDD00000}"/>
    <cellStyle name="Percent 26" xfId="53578" xr:uid="{00000000-0005-0000-0000-0000FED00000}"/>
    <cellStyle name="Percent 26 2" xfId="53579" xr:uid="{00000000-0005-0000-0000-0000FFD00000}"/>
    <cellStyle name="Percent 26 2 2" xfId="53580" xr:uid="{00000000-0005-0000-0000-000000D10000}"/>
    <cellStyle name="Percent 26 2 3" xfId="53581" xr:uid="{00000000-0005-0000-0000-000001D10000}"/>
    <cellStyle name="Percent 26 2 4" xfId="53582" xr:uid="{00000000-0005-0000-0000-000002D10000}"/>
    <cellStyle name="Percent 26 2 5" xfId="53583" xr:uid="{00000000-0005-0000-0000-000003D10000}"/>
    <cellStyle name="Percent 26 3" xfId="53584" xr:uid="{00000000-0005-0000-0000-000004D10000}"/>
    <cellStyle name="Percent 26 4" xfId="53585" xr:uid="{00000000-0005-0000-0000-000005D10000}"/>
    <cellStyle name="Percent 26 5" xfId="53586" xr:uid="{00000000-0005-0000-0000-000006D10000}"/>
    <cellStyle name="Percent 26 5 2" xfId="53587" xr:uid="{00000000-0005-0000-0000-000007D10000}"/>
    <cellStyle name="Percent 26 6" xfId="53588" xr:uid="{00000000-0005-0000-0000-000008D10000}"/>
    <cellStyle name="Percent 27" xfId="53589" xr:uid="{00000000-0005-0000-0000-000009D10000}"/>
    <cellStyle name="Percent 27 2" xfId="53590" xr:uid="{00000000-0005-0000-0000-00000AD10000}"/>
    <cellStyle name="Percent 27 2 2" xfId="53591" xr:uid="{00000000-0005-0000-0000-00000BD10000}"/>
    <cellStyle name="Percent 27 2 3" xfId="53592" xr:uid="{00000000-0005-0000-0000-00000CD10000}"/>
    <cellStyle name="Percent 27 2 4" xfId="53593" xr:uid="{00000000-0005-0000-0000-00000DD10000}"/>
    <cellStyle name="Percent 27 2 5" xfId="53594" xr:uid="{00000000-0005-0000-0000-00000ED10000}"/>
    <cellStyle name="Percent 27 3" xfId="53595" xr:uid="{00000000-0005-0000-0000-00000FD10000}"/>
    <cellStyle name="Percent 27 4" xfId="53596" xr:uid="{00000000-0005-0000-0000-000010D10000}"/>
    <cellStyle name="Percent 27 5" xfId="53597" xr:uid="{00000000-0005-0000-0000-000011D10000}"/>
    <cellStyle name="Percent 27 5 2" xfId="53598" xr:uid="{00000000-0005-0000-0000-000012D10000}"/>
    <cellStyle name="Percent 27 6" xfId="53599" xr:uid="{00000000-0005-0000-0000-000013D10000}"/>
    <cellStyle name="Percent 28" xfId="53600" xr:uid="{00000000-0005-0000-0000-000014D10000}"/>
    <cellStyle name="Percent 28 2" xfId="53601" xr:uid="{00000000-0005-0000-0000-000015D10000}"/>
    <cellStyle name="Percent 28 2 2" xfId="53602" xr:uid="{00000000-0005-0000-0000-000016D10000}"/>
    <cellStyle name="Percent 28 2 3" xfId="53603" xr:uid="{00000000-0005-0000-0000-000017D10000}"/>
    <cellStyle name="Percent 28 2 4" xfId="53604" xr:uid="{00000000-0005-0000-0000-000018D10000}"/>
    <cellStyle name="Percent 28 2 5" xfId="53605" xr:uid="{00000000-0005-0000-0000-000019D10000}"/>
    <cellStyle name="Percent 28 3" xfId="53606" xr:uid="{00000000-0005-0000-0000-00001AD10000}"/>
    <cellStyle name="Percent 28 4" xfId="53607" xr:uid="{00000000-0005-0000-0000-00001BD10000}"/>
    <cellStyle name="Percent 28 5" xfId="53608" xr:uid="{00000000-0005-0000-0000-00001CD10000}"/>
    <cellStyle name="Percent 28 5 2" xfId="53609" xr:uid="{00000000-0005-0000-0000-00001DD10000}"/>
    <cellStyle name="Percent 28 6" xfId="53610" xr:uid="{00000000-0005-0000-0000-00001ED10000}"/>
    <cellStyle name="Percent 29" xfId="53611" xr:uid="{00000000-0005-0000-0000-00001FD10000}"/>
    <cellStyle name="Percent 29 2" xfId="53612" xr:uid="{00000000-0005-0000-0000-000020D10000}"/>
    <cellStyle name="Percent 29 2 2" xfId="53613" xr:uid="{00000000-0005-0000-0000-000021D10000}"/>
    <cellStyle name="Percent 29 2 3" xfId="53614" xr:uid="{00000000-0005-0000-0000-000022D10000}"/>
    <cellStyle name="Percent 29 2 4" xfId="53615" xr:uid="{00000000-0005-0000-0000-000023D10000}"/>
    <cellStyle name="Percent 29 2 5" xfId="53616" xr:uid="{00000000-0005-0000-0000-000024D10000}"/>
    <cellStyle name="Percent 29 3" xfId="53617" xr:uid="{00000000-0005-0000-0000-000025D10000}"/>
    <cellStyle name="Percent 29 4" xfId="53618" xr:uid="{00000000-0005-0000-0000-000026D10000}"/>
    <cellStyle name="Percent 29 5" xfId="53619" xr:uid="{00000000-0005-0000-0000-000027D10000}"/>
    <cellStyle name="Percent 29 5 2" xfId="53620" xr:uid="{00000000-0005-0000-0000-000028D10000}"/>
    <cellStyle name="Percent 29 6" xfId="53621" xr:uid="{00000000-0005-0000-0000-000029D10000}"/>
    <cellStyle name="Percent 3" xfId="355" xr:uid="{00000000-0005-0000-0000-00002AD10000}"/>
    <cellStyle name="Percent 3 10" xfId="53622" xr:uid="{00000000-0005-0000-0000-00002BD10000}"/>
    <cellStyle name="Percent 3 10 2" xfId="53623" xr:uid="{00000000-0005-0000-0000-00002CD10000}"/>
    <cellStyle name="Percent 3 10 3" xfId="53624" xr:uid="{00000000-0005-0000-0000-00002DD10000}"/>
    <cellStyle name="Percent 3 11" xfId="53625" xr:uid="{00000000-0005-0000-0000-00002ED10000}"/>
    <cellStyle name="Percent 3 11 2" xfId="53626" xr:uid="{00000000-0005-0000-0000-00002FD10000}"/>
    <cellStyle name="Percent 3 11 3" xfId="53627" xr:uid="{00000000-0005-0000-0000-000030D10000}"/>
    <cellStyle name="Percent 3 12" xfId="53628" xr:uid="{00000000-0005-0000-0000-000031D10000}"/>
    <cellStyle name="Percent 3 12 2" xfId="53629" xr:uid="{00000000-0005-0000-0000-000032D10000}"/>
    <cellStyle name="Percent 3 12 3" xfId="53630" xr:uid="{00000000-0005-0000-0000-000033D10000}"/>
    <cellStyle name="Percent 3 13" xfId="53631" xr:uid="{00000000-0005-0000-0000-000034D10000}"/>
    <cellStyle name="Percent 3 13 2" xfId="53632" xr:uid="{00000000-0005-0000-0000-000035D10000}"/>
    <cellStyle name="Percent 3 13 3" xfId="53633" xr:uid="{00000000-0005-0000-0000-000036D10000}"/>
    <cellStyle name="Percent 3 14" xfId="53634" xr:uid="{00000000-0005-0000-0000-000037D10000}"/>
    <cellStyle name="Percent 3 15" xfId="53635" xr:uid="{00000000-0005-0000-0000-000038D10000}"/>
    <cellStyle name="Percent 3 2" xfId="356" xr:uid="{00000000-0005-0000-0000-000039D10000}"/>
    <cellStyle name="Percent 3 2 2" xfId="53636" xr:uid="{00000000-0005-0000-0000-00003AD10000}"/>
    <cellStyle name="Percent 3 2 2 2" xfId="53637" xr:uid="{00000000-0005-0000-0000-00003BD10000}"/>
    <cellStyle name="Percent 3 2 2 2 2" xfId="53638" xr:uid="{00000000-0005-0000-0000-00003CD10000}"/>
    <cellStyle name="Percent 3 2 2 2 3" xfId="53639" xr:uid="{00000000-0005-0000-0000-00003DD10000}"/>
    <cellStyle name="Percent 3 2 2 3" xfId="53640" xr:uid="{00000000-0005-0000-0000-00003ED10000}"/>
    <cellStyle name="Percent 3 2 3" xfId="53641" xr:uid="{00000000-0005-0000-0000-00003FD10000}"/>
    <cellStyle name="Percent 3 2 3 2" xfId="53642" xr:uid="{00000000-0005-0000-0000-000040D10000}"/>
    <cellStyle name="Percent 3 2 4" xfId="53643" xr:uid="{00000000-0005-0000-0000-000041D10000}"/>
    <cellStyle name="Percent 3 2 4 2" xfId="53644" xr:uid="{00000000-0005-0000-0000-000042D10000}"/>
    <cellStyle name="Percent 3 2 4 3" xfId="53645" xr:uid="{00000000-0005-0000-0000-000043D10000}"/>
    <cellStyle name="Percent 3 2 5" xfId="53646" xr:uid="{00000000-0005-0000-0000-000044D10000}"/>
    <cellStyle name="Percent 3 2 5 2" xfId="53647" xr:uid="{00000000-0005-0000-0000-000045D10000}"/>
    <cellStyle name="Percent 3 2 5 3" xfId="53648" xr:uid="{00000000-0005-0000-0000-000046D10000}"/>
    <cellStyle name="Percent 3 2 6" xfId="53649" xr:uid="{00000000-0005-0000-0000-000047D10000}"/>
    <cellStyle name="Percent 3 2 7" xfId="53650" xr:uid="{00000000-0005-0000-0000-000048D10000}"/>
    <cellStyle name="Percent 3 3" xfId="357" xr:uid="{00000000-0005-0000-0000-000049D10000}"/>
    <cellStyle name="Percent 3 3 2" xfId="53651" xr:uid="{00000000-0005-0000-0000-00004AD10000}"/>
    <cellStyle name="Percent 3 3 2 2" xfId="53652" xr:uid="{00000000-0005-0000-0000-00004BD10000}"/>
    <cellStyle name="Percent 3 3 2 3" xfId="53653" xr:uid="{00000000-0005-0000-0000-00004CD10000}"/>
    <cellStyle name="Percent 3 3 3" xfId="53654" xr:uid="{00000000-0005-0000-0000-00004DD10000}"/>
    <cellStyle name="Percent 3 3 4" xfId="53655" xr:uid="{00000000-0005-0000-0000-00004ED10000}"/>
    <cellStyle name="Percent 3 3 5" xfId="53656" xr:uid="{00000000-0005-0000-0000-00004FD10000}"/>
    <cellStyle name="Percent 3 4" xfId="53657" xr:uid="{00000000-0005-0000-0000-000050D10000}"/>
    <cellStyle name="Percent 3 4 2" xfId="53658" xr:uid="{00000000-0005-0000-0000-000051D10000}"/>
    <cellStyle name="Percent 3 4 3" xfId="53659" xr:uid="{00000000-0005-0000-0000-000052D10000}"/>
    <cellStyle name="Percent 3 4 4" xfId="53660" xr:uid="{00000000-0005-0000-0000-000053D10000}"/>
    <cellStyle name="Percent 3 5" xfId="53661" xr:uid="{00000000-0005-0000-0000-000054D10000}"/>
    <cellStyle name="Percent 3 5 2" xfId="53662" xr:uid="{00000000-0005-0000-0000-000055D10000}"/>
    <cellStyle name="Percent 3 5 3" xfId="53663" xr:uid="{00000000-0005-0000-0000-000056D10000}"/>
    <cellStyle name="Percent 3 5 4" xfId="53664" xr:uid="{00000000-0005-0000-0000-000057D10000}"/>
    <cellStyle name="Percent 3 6" xfId="53665" xr:uid="{00000000-0005-0000-0000-000058D10000}"/>
    <cellStyle name="Percent 3 6 2" xfId="53666" xr:uid="{00000000-0005-0000-0000-000059D10000}"/>
    <cellStyle name="Percent 3 6 2 2" xfId="53667" xr:uid="{00000000-0005-0000-0000-00005AD10000}"/>
    <cellStyle name="Percent 3 6 3" xfId="53668" xr:uid="{00000000-0005-0000-0000-00005BD10000}"/>
    <cellStyle name="Percent 3 6 4" xfId="53669" xr:uid="{00000000-0005-0000-0000-00005CD10000}"/>
    <cellStyle name="Percent 3 6 5" xfId="53670" xr:uid="{00000000-0005-0000-0000-00005DD10000}"/>
    <cellStyle name="Percent 3 6 6" xfId="53671" xr:uid="{00000000-0005-0000-0000-00005ED10000}"/>
    <cellStyle name="Percent 3 7" xfId="53672" xr:uid="{00000000-0005-0000-0000-00005FD10000}"/>
    <cellStyle name="Percent 3 7 2" xfId="53673" xr:uid="{00000000-0005-0000-0000-000060D10000}"/>
    <cellStyle name="Percent 3 7 3" xfId="53674" xr:uid="{00000000-0005-0000-0000-000061D10000}"/>
    <cellStyle name="Percent 3 7 4" xfId="53675" xr:uid="{00000000-0005-0000-0000-000062D10000}"/>
    <cellStyle name="Percent 3 8" xfId="53676" xr:uid="{00000000-0005-0000-0000-000063D10000}"/>
    <cellStyle name="Percent 3 8 2" xfId="53677" xr:uid="{00000000-0005-0000-0000-000064D10000}"/>
    <cellStyle name="Percent 3 8 2 2" xfId="53678" xr:uid="{00000000-0005-0000-0000-000065D10000}"/>
    <cellStyle name="Percent 3 8 2 2 2" xfId="53679" xr:uid="{00000000-0005-0000-0000-000066D10000}"/>
    <cellStyle name="Percent 3 8 2 3" xfId="53680" xr:uid="{00000000-0005-0000-0000-000067D10000}"/>
    <cellStyle name="Percent 3 8 3" xfId="53681" xr:uid="{00000000-0005-0000-0000-000068D10000}"/>
    <cellStyle name="Percent 3 8 4" xfId="53682" xr:uid="{00000000-0005-0000-0000-000069D10000}"/>
    <cellStyle name="Percent 3 8 5" xfId="53683" xr:uid="{00000000-0005-0000-0000-00006AD10000}"/>
    <cellStyle name="Percent 3 8 6" xfId="53684" xr:uid="{00000000-0005-0000-0000-00006BD10000}"/>
    <cellStyle name="Percent 3 9" xfId="53685" xr:uid="{00000000-0005-0000-0000-00006CD10000}"/>
    <cellStyle name="Percent 3 9 2" xfId="53686" xr:uid="{00000000-0005-0000-0000-00006DD10000}"/>
    <cellStyle name="Percent 3 9 3" xfId="53687" xr:uid="{00000000-0005-0000-0000-00006ED10000}"/>
    <cellStyle name="Percent 30" xfId="53688" xr:uid="{00000000-0005-0000-0000-00006FD10000}"/>
    <cellStyle name="Percent 30 2" xfId="53689" xr:uid="{00000000-0005-0000-0000-000070D10000}"/>
    <cellStyle name="Percent 30 2 2" xfId="53690" xr:uid="{00000000-0005-0000-0000-000071D10000}"/>
    <cellStyle name="Percent 30 2 3" xfId="53691" xr:uid="{00000000-0005-0000-0000-000072D10000}"/>
    <cellStyle name="Percent 30 2 4" xfId="53692" xr:uid="{00000000-0005-0000-0000-000073D10000}"/>
    <cellStyle name="Percent 30 2 5" xfId="53693" xr:uid="{00000000-0005-0000-0000-000074D10000}"/>
    <cellStyle name="Percent 30 3" xfId="53694" xr:uid="{00000000-0005-0000-0000-000075D10000}"/>
    <cellStyle name="Percent 30 4" xfId="53695" xr:uid="{00000000-0005-0000-0000-000076D10000}"/>
    <cellStyle name="Percent 30 5" xfId="53696" xr:uid="{00000000-0005-0000-0000-000077D10000}"/>
    <cellStyle name="Percent 30 5 2" xfId="53697" xr:uid="{00000000-0005-0000-0000-000078D10000}"/>
    <cellStyle name="Percent 30 6" xfId="53698" xr:uid="{00000000-0005-0000-0000-000079D10000}"/>
    <cellStyle name="Percent 31" xfId="53699" xr:uid="{00000000-0005-0000-0000-00007AD10000}"/>
    <cellStyle name="Percent 31 2" xfId="53700" xr:uid="{00000000-0005-0000-0000-00007BD10000}"/>
    <cellStyle name="Percent 31 2 2" xfId="53701" xr:uid="{00000000-0005-0000-0000-00007CD10000}"/>
    <cellStyle name="Percent 31 2 3" xfId="53702" xr:uid="{00000000-0005-0000-0000-00007DD10000}"/>
    <cellStyle name="Percent 31 2 4" xfId="53703" xr:uid="{00000000-0005-0000-0000-00007ED10000}"/>
    <cellStyle name="Percent 31 2 5" xfId="53704" xr:uid="{00000000-0005-0000-0000-00007FD10000}"/>
    <cellStyle name="Percent 31 3" xfId="53705" xr:uid="{00000000-0005-0000-0000-000080D10000}"/>
    <cellStyle name="Percent 31 4" xfId="53706" xr:uid="{00000000-0005-0000-0000-000081D10000}"/>
    <cellStyle name="Percent 31 5" xfId="53707" xr:uid="{00000000-0005-0000-0000-000082D10000}"/>
    <cellStyle name="Percent 31 5 2" xfId="53708" xr:uid="{00000000-0005-0000-0000-000083D10000}"/>
    <cellStyle name="Percent 31 6" xfId="53709" xr:uid="{00000000-0005-0000-0000-000084D10000}"/>
    <cellStyle name="Percent 32" xfId="53710" xr:uid="{00000000-0005-0000-0000-000085D10000}"/>
    <cellStyle name="Percent 32 2" xfId="53711" xr:uid="{00000000-0005-0000-0000-000086D10000}"/>
    <cellStyle name="Percent 32 2 2" xfId="53712" xr:uid="{00000000-0005-0000-0000-000087D10000}"/>
    <cellStyle name="Percent 32 2 3" xfId="53713" xr:uid="{00000000-0005-0000-0000-000088D10000}"/>
    <cellStyle name="Percent 32 2 4" xfId="53714" xr:uid="{00000000-0005-0000-0000-000089D10000}"/>
    <cellStyle name="Percent 32 3" xfId="53715" xr:uid="{00000000-0005-0000-0000-00008AD10000}"/>
    <cellStyle name="Percent 32 4" xfId="53716" xr:uid="{00000000-0005-0000-0000-00008BD10000}"/>
    <cellStyle name="Percent 32 5" xfId="53717" xr:uid="{00000000-0005-0000-0000-00008CD10000}"/>
    <cellStyle name="Percent 32 5 2" xfId="53718" xr:uid="{00000000-0005-0000-0000-00008DD10000}"/>
    <cellStyle name="Percent 33" xfId="53719" xr:uid="{00000000-0005-0000-0000-00008ED10000}"/>
    <cellStyle name="Percent 33 2" xfId="53720" xr:uid="{00000000-0005-0000-0000-00008FD10000}"/>
    <cellStyle name="Percent 33 2 2" xfId="53721" xr:uid="{00000000-0005-0000-0000-000090D10000}"/>
    <cellStyle name="Percent 33 2 3" xfId="53722" xr:uid="{00000000-0005-0000-0000-000091D10000}"/>
    <cellStyle name="Percent 33 2 4" xfId="53723" xr:uid="{00000000-0005-0000-0000-000092D10000}"/>
    <cellStyle name="Percent 33 3" xfId="53724" xr:uid="{00000000-0005-0000-0000-000093D10000}"/>
    <cellStyle name="Percent 33 4" xfId="53725" xr:uid="{00000000-0005-0000-0000-000094D10000}"/>
    <cellStyle name="Percent 33 5" xfId="53726" xr:uid="{00000000-0005-0000-0000-000095D10000}"/>
    <cellStyle name="Percent 33 5 2" xfId="53727" xr:uid="{00000000-0005-0000-0000-000096D10000}"/>
    <cellStyle name="Percent 34" xfId="53728" xr:uid="{00000000-0005-0000-0000-000097D10000}"/>
    <cellStyle name="Percent 34 2" xfId="53729" xr:uid="{00000000-0005-0000-0000-000098D10000}"/>
    <cellStyle name="Percent 34 2 2" xfId="53730" xr:uid="{00000000-0005-0000-0000-000099D10000}"/>
    <cellStyle name="Percent 34 2 3" xfId="53731" xr:uid="{00000000-0005-0000-0000-00009AD10000}"/>
    <cellStyle name="Percent 34 2 4" xfId="53732" xr:uid="{00000000-0005-0000-0000-00009BD10000}"/>
    <cellStyle name="Percent 34 3" xfId="53733" xr:uid="{00000000-0005-0000-0000-00009CD10000}"/>
    <cellStyle name="Percent 34 4" xfId="53734" xr:uid="{00000000-0005-0000-0000-00009DD10000}"/>
    <cellStyle name="Percent 34 5" xfId="53735" xr:uid="{00000000-0005-0000-0000-00009ED10000}"/>
    <cellStyle name="Percent 34 5 2" xfId="53736" xr:uid="{00000000-0005-0000-0000-00009FD10000}"/>
    <cellStyle name="Percent 35" xfId="53737" xr:uid="{00000000-0005-0000-0000-0000A0D10000}"/>
    <cellStyle name="Percent 35 2" xfId="53738" xr:uid="{00000000-0005-0000-0000-0000A1D10000}"/>
    <cellStyle name="Percent 35 2 2" xfId="53739" xr:uid="{00000000-0005-0000-0000-0000A2D10000}"/>
    <cellStyle name="Percent 35 2 3" xfId="53740" xr:uid="{00000000-0005-0000-0000-0000A3D10000}"/>
    <cellStyle name="Percent 35 2 4" xfId="53741" xr:uid="{00000000-0005-0000-0000-0000A4D10000}"/>
    <cellStyle name="Percent 35 3" xfId="53742" xr:uid="{00000000-0005-0000-0000-0000A5D10000}"/>
    <cellStyle name="Percent 35 4" xfId="53743" xr:uid="{00000000-0005-0000-0000-0000A6D10000}"/>
    <cellStyle name="Percent 35 5" xfId="53744" xr:uid="{00000000-0005-0000-0000-0000A7D10000}"/>
    <cellStyle name="Percent 35 5 2" xfId="53745" xr:uid="{00000000-0005-0000-0000-0000A8D10000}"/>
    <cellStyle name="Percent 36" xfId="53746" xr:uid="{00000000-0005-0000-0000-0000A9D10000}"/>
    <cellStyle name="Percent 36 2" xfId="53747" xr:uid="{00000000-0005-0000-0000-0000AAD10000}"/>
    <cellStyle name="Percent 36 2 2" xfId="53748" xr:uid="{00000000-0005-0000-0000-0000ABD10000}"/>
    <cellStyle name="Percent 36 2 3" xfId="53749" xr:uid="{00000000-0005-0000-0000-0000ACD10000}"/>
    <cellStyle name="Percent 36 2 4" xfId="53750" xr:uid="{00000000-0005-0000-0000-0000ADD10000}"/>
    <cellStyle name="Percent 36 3" xfId="53751" xr:uid="{00000000-0005-0000-0000-0000AED10000}"/>
    <cellStyle name="Percent 36 4" xfId="53752" xr:uid="{00000000-0005-0000-0000-0000AFD10000}"/>
    <cellStyle name="Percent 36 5" xfId="53753" xr:uid="{00000000-0005-0000-0000-0000B0D10000}"/>
    <cellStyle name="Percent 36 5 2" xfId="53754" xr:uid="{00000000-0005-0000-0000-0000B1D10000}"/>
    <cellStyle name="Percent 37" xfId="53755" xr:uid="{00000000-0005-0000-0000-0000B2D10000}"/>
    <cellStyle name="Percent 37 2" xfId="53756" xr:uid="{00000000-0005-0000-0000-0000B3D10000}"/>
    <cellStyle name="Percent 37 2 2" xfId="53757" xr:uid="{00000000-0005-0000-0000-0000B4D10000}"/>
    <cellStyle name="Percent 37 2 3" xfId="53758" xr:uid="{00000000-0005-0000-0000-0000B5D10000}"/>
    <cellStyle name="Percent 37 2 4" xfId="53759" xr:uid="{00000000-0005-0000-0000-0000B6D10000}"/>
    <cellStyle name="Percent 37 3" xfId="53760" xr:uid="{00000000-0005-0000-0000-0000B7D10000}"/>
    <cellStyle name="Percent 37 4" xfId="53761" xr:uid="{00000000-0005-0000-0000-0000B8D10000}"/>
    <cellStyle name="Percent 37 5" xfId="53762" xr:uid="{00000000-0005-0000-0000-0000B9D10000}"/>
    <cellStyle name="Percent 37 5 2" xfId="53763" xr:uid="{00000000-0005-0000-0000-0000BAD10000}"/>
    <cellStyle name="Percent 38" xfId="53764" xr:uid="{00000000-0005-0000-0000-0000BBD10000}"/>
    <cellStyle name="Percent 38 2" xfId="53765" xr:uid="{00000000-0005-0000-0000-0000BCD10000}"/>
    <cellStyle name="Percent 38 2 2" xfId="53766" xr:uid="{00000000-0005-0000-0000-0000BDD10000}"/>
    <cellStyle name="Percent 38 2 3" xfId="53767" xr:uid="{00000000-0005-0000-0000-0000BED10000}"/>
    <cellStyle name="Percent 38 2 4" xfId="53768" xr:uid="{00000000-0005-0000-0000-0000BFD10000}"/>
    <cellStyle name="Percent 38 3" xfId="53769" xr:uid="{00000000-0005-0000-0000-0000C0D10000}"/>
    <cellStyle name="Percent 38 4" xfId="53770" xr:uid="{00000000-0005-0000-0000-0000C1D10000}"/>
    <cellStyle name="Percent 38 5" xfId="53771" xr:uid="{00000000-0005-0000-0000-0000C2D10000}"/>
    <cellStyle name="Percent 38 5 2" xfId="53772" xr:uid="{00000000-0005-0000-0000-0000C3D10000}"/>
    <cellStyle name="Percent 39" xfId="53773" xr:uid="{00000000-0005-0000-0000-0000C4D10000}"/>
    <cellStyle name="Percent 39 2" xfId="53774" xr:uid="{00000000-0005-0000-0000-0000C5D10000}"/>
    <cellStyle name="Percent 39 2 2" xfId="53775" xr:uid="{00000000-0005-0000-0000-0000C6D10000}"/>
    <cellStyle name="Percent 39 2 3" xfId="53776" xr:uid="{00000000-0005-0000-0000-0000C7D10000}"/>
    <cellStyle name="Percent 39 2 4" xfId="53777" xr:uid="{00000000-0005-0000-0000-0000C8D10000}"/>
    <cellStyle name="Percent 39 3" xfId="53778" xr:uid="{00000000-0005-0000-0000-0000C9D10000}"/>
    <cellStyle name="Percent 39 4" xfId="53779" xr:uid="{00000000-0005-0000-0000-0000CAD10000}"/>
    <cellStyle name="Percent 39 5" xfId="53780" xr:uid="{00000000-0005-0000-0000-0000CBD10000}"/>
    <cellStyle name="Percent 39 5 2" xfId="53781" xr:uid="{00000000-0005-0000-0000-0000CCD10000}"/>
    <cellStyle name="Percent 4" xfId="358" xr:uid="{00000000-0005-0000-0000-0000CDD10000}"/>
    <cellStyle name="Percent 4 2" xfId="359" xr:uid="{00000000-0005-0000-0000-0000CED10000}"/>
    <cellStyle name="Percent 4 2 2" xfId="53782" xr:uid="{00000000-0005-0000-0000-0000CFD10000}"/>
    <cellStyle name="Percent 4 2 2 2" xfId="53783" xr:uid="{00000000-0005-0000-0000-0000D0D10000}"/>
    <cellStyle name="Percent 4 2 3" xfId="53784" xr:uid="{00000000-0005-0000-0000-0000D1D10000}"/>
    <cellStyle name="Percent 4 2 3 2" xfId="53785" xr:uid="{00000000-0005-0000-0000-0000D2D10000}"/>
    <cellStyle name="Percent 4 2 4" xfId="53786" xr:uid="{00000000-0005-0000-0000-0000D3D10000}"/>
    <cellStyle name="Percent 4 3" xfId="53787" xr:uid="{00000000-0005-0000-0000-0000D4D10000}"/>
    <cellStyle name="Percent 4 3 2" xfId="53788" xr:uid="{00000000-0005-0000-0000-0000D5D10000}"/>
    <cellStyle name="Percent 4 3 2 2" xfId="53789" xr:uid="{00000000-0005-0000-0000-0000D6D10000}"/>
    <cellStyle name="Percent 4 3 2 3" xfId="53790" xr:uid="{00000000-0005-0000-0000-0000D7D10000}"/>
    <cellStyle name="Percent 4 3 2 4" xfId="53791" xr:uid="{00000000-0005-0000-0000-0000D8D10000}"/>
    <cellStyle name="Percent 4 3 3" xfId="53792" xr:uid="{00000000-0005-0000-0000-0000D9D10000}"/>
    <cellStyle name="Percent 4 3 3 2" xfId="53793" xr:uid="{00000000-0005-0000-0000-0000DAD10000}"/>
    <cellStyle name="Percent 4 3 4" xfId="53794" xr:uid="{00000000-0005-0000-0000-0000DBD10000}"/>
    <cellStyle name="Percent 4 3 5" xfId="53795" xr:uid="{00000000-0005-0000-0000-0000DCD10000}"/>
    <cellStyle name="Percent 4 4" xfId="53796" xr:uid="{00000000-0005-0000-0000-0000DDD10000}"/>
    <cellStyle name="Percent 4 4 2" xfId="53797" xr:uid="{00000000-0005-0000-0000-0000DED10000}"/>
    <cellStyle name="Percent 4 4 2 2" xfId="53798" xr:uid="{00000000-0005-0000-0000-0000DFD10000}"/>
    <cellStyle name="Percent 4 4 2 3" xfId="53799" xr:uid="{00000000-0005-0000-0000-0000E0D10000}"/>
    <cellStyle name="Percent 4 4 3" xfId="53800" xr:uid="{00000000-0005-0000-0000-0000E1D10000}"/>
    <cellStyle name="Percent 4 4 3 2" xfId="53801" xr:uid="{00000000-0005-0000-0000-0000E2D10000}"/>
    <cellStyle name="Percent 4 4 4" xfId="53802" xr:uid="{00000000-0005-0000-0000-0000E3D10000}"/>
    <cellStyle name="Percent 4 4 5" xfId="53803" xr:uid="{00000000-0005-0000-0000-0000E4D10000}"/>
    <cellStyle name="Percent 4 4 6" xfId="53804" xr:uid="{00000000-0005-0000-0000-0000E5D10000}"/>
    <cellStyle name="Percent 4 4 7" xfId="53805" xr:uid="{00000000-0005-0000-0000-0000E6D10000}"/>
    <cellStyle name="Percent 4 4 8" xfId="53806" xr:uid="{00000000-0005-0000-0000-0000E7D10000}"/>
    <cellStyle name="Percent 4 5" xfId="53807" xr:uid="{00000000-0005-0000-0000-0000E8D10000}"/>
    <cellStyle name="Percent 4 5 2" xfId="53808" xr:uid="{00000000-0005-0000-0000-0000E9D10000}"/>
    <cellStyle name="Percent 4 5 3" xfId="53809" xr:uid="{00000000-0005-0000-0000-0000EAD10000}"/>
    <cellStyle name="Percent 4 5 4" xfId="53810" xr:uid="{00000000-0005-0000-0000-0000EBD10000}"/>
    <cellStyle name="Percent 4 6" xfId="53811" xr:uid="{00000000-0005-0000-0000-0000ECD10000}"/>
    <cellStyle name="Percent 4 6 2" xfId="53812" xr:uid="{00000000-0005-0000-0000-0000EDD10000}"/>
    <cellStyle name="Percent 4 6 2 2" xfId="53813" xr:uid="{00000000-0005-0000-0000-0000EED10000}"/>
    <cellStyle name="Percent 4 6 2 2 2" xfId="53814" xr:uid="{00000000-0005-0000-0000-0000EFD10000}"/>
    <cellStyle name="Percent 4 6 2 3" xfId="53815" xr:uid="{00000000-0005-0000-0000-0000F0D10000}"/>
    <cellStyle name="Percent 4 6 3" xfId="53816" xr:uid="{00000000-0005-0000-0000-0000F1D10000}"/>
    <cellStyle name="Percent 4 6 4" xfId="53817" xr:uid="{00000000-0005-0000-0000-0000F2D10000}"/>
    <cellStyle name="Percent 4 6 5" xfId="53818" xr:uid="{00000000-0005-0000-0000-0000F3D10000}"/>
    <cellStyle name="Percent 4 6 6" xfId="53819" xr:uid="{00000000-0005-0000-0000-0000F4D10000}"/>
    <cellStyle name="Percent 4 7" xfId="53820" xr:uid="{00000000-0005-0000-0000-0000F5D10000}"/>
    <cellStyle name="Percent 4 7 2" xfId="53821" xr:uid="{00000000-0005-0000-0000-0000F6D10000}"/>
    <cellStyle name="Percent 4 8" xfId="53822" xr:uid="{00000000-0005-0000-0000-0000F7D10000}"/>
    <cellStyle name="Percent 4 9" xfId="53823" xr:uid="{00000000-0005-0000-0000-0000F8D10000}"/>
    <cellStyle name="Percent 40" xfId="53824" xr:uid="{00000000-0005-0000-0000-0000F9D10000}"/>
    <cellStyle name="Percent 40 2" xfId="53825" xr:uid="{00000000-0005-0000-0000-0000FAD10000}"/>
    <cellStyle name="Percent 40 2 2" xfId="53826" xr:uid="{00000000-0005-0000-0000-0000FBD10000}"/>
    <cellStyle name="Percent 40 2 3" xfId="53827" xr:uid="{00000000-0005-0000-0000-0000FCD10000}"/>
    <cellStyle name="Percent 40 2 4" xfId="53828" xr:uid="{00000000-0005-0000-0000-0000FDD10000}"/>
    <cellStyle name="Percent 40 3" xfId="53829" xr:uid="{00000000-0005-0000-0000-0000FED10000}"/>
    <cellStyle name="Percent 40 4" xfId="53830" xr:uid="{00000000-0005-0000-0000-0000FFD10000}"/>
    <cellStyle name="Percent 40 5" xfId="53831" xr:uid="{00000000-0005-0000-0000-000000D20000}"/>
    <cellStyle name="Percent 40 5 2" xfId="53832" xr:uid="{00000000-0005-0000-0000-000001D20000}"/>
    <cellStyle name="Percent 41" xfId="53833" xr:uid="{00000000-0005-0000-0000-000002D20000}"/>
    <cellStyle name="Percent 41 2" xfId="53834" xr:uid="{00000000-0005-0000-0000-000003D20000}"/>
    <cellStyle name="Percent 41 2 2" xfId="53835" xr:uid="{00000000-0005-0000-0000-000004D20000}"/>
    <cellStyle name="Percent 41 2 3" xfId="53836" xr:uid="{00000000-0005-0000-0000-000005D20000}"/>
    <cellStyle name="Percent 41 2 4" xfId="53837" xr:uid="{00000000-0005-0000-0000-000006D20000}"/>
    <cellStyle name="Percent 41 3" xfId="53838" xr:uid="{00000000-0005-0000-0000-000007D20000}"/>
    <cellStyle name="Percent 41 4" xfId="53839" xr:uid="{00000000-0005-0000-0000-000008D20000}"/>
    <cellStyle name="Percent 41 5" xfId="53840" xr:uid="{00000000-0005-0000-0000-000009D20000}"/>
    <cellStyle name="Percent 41 5 2" xfId="53841" xr:uid="{00000000-0005-0000-0000-00000AD20000}"/>
    <cellStyle name="Percent 42" xfId="53842" xr:uid="{00000000-0005-0000-0000-00000BD20000}"/>
    <cellStyle name="Percent 42 10" xfId="53843" xr:uid="{00000000-0005-0000-0000-00000CD20000}"/>
    <cellStyle name="Percent 42 11" xfId="53844" xr:uid="{00000000-0005-0000-0000-00000DD20000}"/>
    <cellStyle name="Percent 42 2" xfId="53845" xr:uid="{00000000-0005-0000-0000-00000ED20000}"/>
    <cellStyle name="Percent 42 2 2" xfId="53846" xr:uid="{00000000-0005-0000-0000-00000FD20000}"/>
    <cellStyle name="Percent 42 2 2 2" xfId="53847" xr:uid="{00000000-0005-0000-0000-000010D20000}"/>
    <cellStyle name="Percent 42 2 2 2 2" xfId="53848" xr:uid="{00000000-0005-0000-0000-000011D20000}"/>
    <cellStyle name="Percent 42 2 2 3" xfId="53849" xr:uid="{00000000-0005-0000-0000-000012D20000}"/>
    <cellStyle name="Percent 42 2 2 3 2" xfId="53850" xr:uid="{00000000-0005-0000-0000-000013D20000}"/>
    <cellStyle name="Percent 42 2 2 4" xfId="53851" xr:uid="{00000000-0005-0000-0000-000014D20000}"/>
    <cellStyle name="Percent 42 2 2 5" xfId="53852" xr:uid="{00000000-0005-0000-0000-000015D20000}"/>
    <cellStyle name="Percent 42 2 2 6" xfId="53853" xr:uid="{00000000-0005-0000-0000-000016D20000}"/>
    <cellStyle name="Percent 42 2 2 7" xfId="53854" xr:uid="{00000000-0005-0000-0000-000017D20000}"/>
    <cellStyle name="Percent 42 2 3" xfId="53855" xr:uid="{00000000-0005-0000-0000-000018D20000}"/>
    <cellStyle name="Percent 42 2 4" xfId="53856" xr:uid="{00000000-0005-0000-0000-000019D20000}"/>
    <cellStyle name="Percent 42 2 4 2" xfId="53857" xr:uid="{00000000-0005-0000-0000-00001AD20000}"/>
    <cellStyle name="Percent 42 2 5" xfId="53858" xr:uid="{00000000-0005-0000-0000-00001BD20000}"/>
    <cellStyle name="Percent 42 2 5 2" xfId="53859" xr:uid="{00000000-0005-0000-0000-00001CD20000}"/>
    <cellStyle name="Percent 42 2 6" xfId="53860" xr:uid="{00000000-0005-0000-0000-00001DD20000}"/>
    <cellStyle name="Percent 42 2 6 2" xfId="53861" xr:uid="{00000000-0005-0000-0000-00001ED20000}"/>
    <cellStyle name="Percent 42 2 7" xfId="53862" xr:uid="{00000000-0005-0000-0000-00001FD20000}"/>
    <cellStyle name="Percent 42 2 8" xfId="53863" xr:uid="{00000000-0005-0000-0000-000020D20000}"/>
    <cellStyle name="Percent 42 2 9" xfId="53864" xr:uid="{00000000-0005-0000-0000-000021D20000}"/>
    <cellStyle name="Percent 42 3" xfId="53865" xr:uid="{00000000-0005-0000-0000-000022D20000}"/>
    <cellStyle name="Percent 42 3 2" xfId="53866" xr:uid="{00000000-0005-0000-0000-000023D20000}"/>
    <cellStyle name="Percent 42 3 2 2" xfId="53867" xr:uid="{00000000-0005-0000-0000-000024D20000}"/>
    <cellStyle name="Percent 42 3 2 3" xfId="53868" xr:uid="{00000000-0005-0000-0000-000025D20000}"/>
    <cellStyle name="Percent 42 3 3" xfId="53869" xr:uid="{00000000-0005-0000-0000-000026D20000}"/>
    <cellStyle name="Percent 42 3 3 2" xfId="53870" xr:uid="{00000000-0005-0000-0000-000027D20000}"/>
    <cellStyle name="Percent 42 3 4" xfId="53871" xr:uid="{00000000-0005-0000-0000-000028D20000}"/>
    <cellStyle name="Percent 42 3 4 2" xfId="53872" xr:uid="{00000000-0005-0000-0000-000029D20000}"/>
    <cellStyle name="Percent 42 3 5" xfId="53873" xr:uid="{00000000-0005-0000-0000-00002AD20000}"/>
    <cellStyle name="Percent 42 3 6" xfId="53874" xr:uid="{00000000-0005-0000-0000-00002BD20000}"/>
    <cellStyle name="Percent 42 3 7" xfId="53875" xr:uid="{00000000-0005-0000-0000-00002CD20000}"/>
    <cellStyle name="Percent 42 4" xfId="53876" xr:uid="{00000000-0005-0000-0000-00002DD20000}"/>
    <cellStyle name="Percent 42 4 2" xfId="53877" xr:uid="{00000000-0005-0000-0000-00002ED20000}"/>
    <cellStyle name="Percent 42 4 2 2" xfId="53878" xr:uid="{00000000-0005-0000-0000-00002FD20000}"/>
    <cellStyle name="Percent 42 4 3" xfId="53879" xr:uid="{00000000-0005-0000-0000-000030D20000}"/>
    <cellStyle name="Percent 42 4 3 2" xfId="53880" xr:uid="{00000000-0005-0000-0000-000031D20000}"/>
    <cellStyle name="Percent 42 4 4" xfId="53881" xr:uid="{00000000-0005-0000-0000-000032D20000}"/>
    <cellStyle name="Percent 42 4 5" xfId="53882" xr:uid="{00000000-0005-0000-0000-000033D20000}"/>
    <cellStyle name="Percent 42 4 6" xfId="53883" xr:uid="{00000000-0005-0000-0000-000034D20000}"/>
    <cellStyle name="Percent 42 4 7" xfId="53884" xr:uid="{00000000-0005-0000-0000-000035D20000}"/>
    <cellStyle name="Percent 42 5" xfId="53885" xr:uid="{00000000-0005-0000-0000-000036D20000}"/>
    <cellStyle name="Percent 42 6" xfId="53886" xr:uid="{00000000-0005-0000-0000-000037D20000}"/>
    <cellStyle name="Percent 42 6 2" xfId="53887" xr:uid="{00000000-0005-0000-0000-000038D20000}"/>
    <cellStyle name="Percent 42 6 3" xfId="53888" xr:uid="{00000000-0005-0000-0000-000039D20000}"/>
    <cellStyle name="Percent 42 7" xfId="53889" xr:uid="{00000000-0005-0000-0000-00003AD20000}"/>
    <cellStyle name="Percent 42 7 2" xfId="53890" xr:uid="{00000000-0005-0000-0000-00003BD20000}"/>
    <cellStyle name="Percent 42 8" xfId="53891" xr:uid="{00000000-0005-0000-0000-00003CD20000}"/>
    <cellStyle name="Percent 42 8 2" xfId="53892" xr:uid="{00000000-0005-0000-0000-00003DD20000}"/>
    <cellStyle name="Percent 42 9" xfId="53893" xr:uid="{00000000-0005-0000-0000-00003ED20000}"/>
    <cellStyle name="Percent 43" xfId="53894" xr:uid="{00000000-0005-0000-0000-00003FD20000}"/>
    <cellStyle name="Percent 43 10" xfId="53895" xr:uid="{00000000-0005-0000-0000-000040D20000}"/>
    <cellStyle name="Percent 43 11" xfId="53896" xr:uid="{00000000-0005-0000-0000-000041D20000}"/>
    <cellStyle name="Percent 43 2" xfId="53897" xr:uid="{00000000-0005-0000-0000-000042D20000}"/>
    <cellStyle name="Percent 43 2 2" xfId="53898" xr:uid="{00000000-0005-0000-0000-000043D20000}"/>
    <cellStyle name="Percent 43 2 2 2" xfId="53899" xr:uid="{00000000-0005-0000-0000-000044D20000}"/>
    <cellStyle name="Percent 43 2 2 2 2" xfId="53900" xr:uid="{00000000-0005-0000-0000-000045D20000}"/>
    <cellStyle name="Percent 43 2 2 3" xfId="53901" xr:uid="{00000000-0005-0000-0000-000046D20000}"/>
    <cellStyle name="Percent 43 2 2 3 2" xfId="53902" xr:uid="{00000000-0005-0000-0000-000047D20000}"/>
    <cellStyle name="Percent 43 2 2 4" xfId="53903" xr:uid="{00000000-0005-0000-0000-000048D20000}"/>
    <cellStyle name="Percent 43 2 2 5" xfId="53904" xr:uid="{00000000-0005-0000-0000-000049D20000}"/>
    <cellStyle name="Percent 43 2 2 6" xfId="53905" xr:uid="{00000000-0005-0000-0000-00004AD20000}"/>
    <cellStyle name="Percent 43 2 2 7" xfId="53906" xr:uid="{00000000-0005-0000-0000-00004BD20000}"/>
    <cellStyle name="Percent 43 2 3" xfId="53907" xr:uid="{00000000-0005-0000-0000-00004CD20000}"/>
    <cellStyle name="Percent 43 2 4" xfId="53908" xr:uid="{00000000-0005-0000-0000-00004DD20000}"/>
    <cellStyle name="Percent 43 2 4 2" xfId="53909" xr:uid="{00000000-0005-0000-0000-00004ED20000}"/>
    <cellStyle name="Percent 43 2 5" xfId="53910" xr:uid="{00000000-0005-0000-0000-00004FD20000}"/>
    <cellStyle name="Percent 43 2 5 2" xfId="53911" xr:uid="{00000000-0005-0000-0000-000050D20000}"/>
    <cellStyle name="Percent 43 2 6" xfId="53912" xr:uid="{00000000-0005-0000-0000-000051D20000}"/>
    <cellStyle name="Percent 43 2 6 2" xfId="53913" xr:uid="{00000000-0005-0000-0000-000052D20000}"/>
    <cellStyle name="Percent 43 2 7" xfId="53914" xr:uid="{00000000-0005-0000-0000-000053D20000}"/>
    <cellStyle name="Percent 43 2 8" xfId="53915" xr:uid="{00000000-0005-0000-0000-000054D20000}"/>
    <cellStyle name="Percent 43 2 9" xfId="53916" xr:uid="{00000000-0005-0000-0000-000055D20000}"/>
    <cellStyle name="Percent 43 3" xfId="53917" xr:uid="{00000000-0005-0000-0000-000056D20000}"/>
    <cellStyle name="Percent 43 3 2" xfId="53918" xr:uid="{00000000-0005-0000-0000-000057D20000}"/>
    <cellStyle name="Percent 43 3 2 2" xfId="53919" xr:uid="{00000000-0005-0000-0000-000058D20000}"/>
    <cellStyle name="Percent 43 3 2 3" xfId="53920" xr:uid="{00000000-0005-0000-0000-000059D20000}"/>
    <cellStyle name="Percent 43 3 3" xfId="53921" xr:uid="{00000000-0005-0000-0000-00005AD20000}"/>
    <cellStyle name="Percent 43 3 3 2" xfId="53922" xr:uid="{00000000-0005-0000-0000-00005BD20000}"/>
    <cellStyle name="Percent 43 3 4" xfId="53923" xr:uid="{00000000-0005-0000-0000-00005CD20000}"/>
    <cellStyle name="Percent 43 3 4 2" xfId="53924" xr:uid="{00000000-0005-0000-0000-00005DD20000}"/>
    <cellStyle name="Percent 43 3 5" xfId="53925" xr:uid="{00000000-0005-0000-0000-00005ED20000}"/>
    <cellStyle name="Percent 43 3 6" xfId="53926" xr:uid="{00000000-0005-0000-0000-00005FD20000}"/>
    <cellStyle name="Percent 43 3 7" xfId="53927" xr:uid="{00000000-0005-0000-0000-000060D20000}"/>
    <cellStyle name="Percent 43 4" xfId="53928" xr:uid="{00000000-0005-0000-0000-000061D20000}"/>
    <cellStyle name="Percent 43 4 2" xfId="53929" xr:uid="{00000000-0005-0000-0000-000062D20000}"/>
    <cellStyle name="Percent 43 4 2 2" xfId="53930" xr:uid="{00000000-0005-0000-0000-000063D20000}"/>
    <cellStyle name="Percent 43 4 3" xfId="53931" xr:uid="{00000000-0005-0000-0000-000064D20000}"/>
    <cellStyle name="Percent 43 4 3 2" xfId="53932" xr:uid="{00000000-0005-0000-0000-000065D20000}"/>
    <cellStyle name="Percent 43 4 4" xfId="53933" xr:uid="{00000000-0005-0000-0000-000066D20000}"/>
    <cellStyle name="Percent 43 4 5" xfId="53934" xr:uid="{00000000-0005-0000-0000-000067D20000}"/>
    <cellStyle name="Percent 43 4 6" xfId="53935" xr:uid="{00000000-0005-0000-0000-000068D20000}"/>
    <cellStyle name="Percent 43 4 7" xfId="53936" xr:uid="{00000000-0005-0000-0000-000069D20000}"/>
    <cellStyle name="Percent 43 5" xfId="53937" xr:uid="{00000000-0005-0000-0000-00006AD20000}"/>
    <cellStyle name="Percent 43 6" xfId="53938" xr:uid="{00000000-0005-0000-0000-00006BD20000}"/>
    <cellStyle name="Percent 43 6 2" xfId="53939" xr:uid="{00000000-0005-0000-0000-00006CD20000}"/>
    <cellStyle name="Percent 43 6 3" xfId="53940" xr:uid="{00000000-0005-0000-0000-00006DD20000}"/>
    <cellStyle name="Percent 43 7" xfId="53941" xr:uid="{00000000-0005-0000-0000-00006ED20000}"/>
    <cellStyle name="Percent 43 7 2" xfId="53942" xr:uid="{00000000-0005-0000-0000-00006FD20000}"/>
    <cellStyle name="Percent 43 8" xfId="53943" xr:uid="{00000000-0005-0000-0000-000070D20000}"/>
    <cellStyle name="Percent 43 8 2" xfId="53944" xr:uid="{00000000-0005-0000-0000-000071D20000}"/>
    <cellStyle name="Percent 43 9" xfId="53945" xr:uid="{00000000-0005-0000-0000-000072D20000}"/>
    <cellStyle name="Percent 44" xfId="53946" xr:uid="{00000000-0005-0000-0000-000073D20000}"/>
    <cellStyle name="Percent 44 10" xfId="53947" xr:uid="{00000000-0005-0000-0000-000074D20000}"/>
    <cellStyle name="Percent 44 11" xfId="53948" xr:uid="{00000000-0005-0000-0000-000075D20000}"/>
    <cellStyle name="Percent 44 2" xfId="53949" xr:uid="{00000000-0005-0000-0000-000076D20000}"/>
    <cellStyle name="Percent 44 2 2" xfId="53950" xr:uid="{00000000-0005-0000-0000-000077D20000}"/>
    <cellStyle name="Percent 44 2 2 2" xfId="53951" xr:uid="{00000000-0005-0000-0000-000078D20000}"/>
    <cellStyle name="Percent 44 2 2 2 2" xfId="53952" xr:uid="{00000000-0005-0000-0000-000079D20000}"/>
    <cellStyle name="Percent 44 2 2 3" xfId="53953" xr:uid="{00000000-0005-0000-0000-00007AD20000}"/>
    <cellStyle name="Percent 44 2 2 3 2" xfId="53954" xr:uid="{00000000-0005-0000-0000-00007BD20000}"/>
    <cellStyle name="Percent 44 2 2 4" xfId="53955" xr:uid="{00000000-0005-0000-0000-00007CD20000}"/>
    <cellStyle name="Percent 44 2 2 5" xfId="53956" xr:uid="{00000000-0005-0000-0000-00007DD20000}"/>
    <cellStyle name="Percent 44 2 2 6" xfId="53957" xr:uid="{00000000-0005-0000-0000-00007ED20000}"/>
    <cellStyle name="Percent 44 2 2 7" xfId="53958" xr:uid="{00000000-0005-0000-0000-00007FD20000}"/>
    <cellStyle name="Percent 44 2 3" xfId="53959" xr:uid="{00000000-0005-0000-0000-000080D20000}"/>
    <cellStyle name="Percent 44 2 4" xfId="53960" xr:uid="{00000000-0005-0000-0000-000081D20000}"/>
    <cellStyle name="Percent 44 2 4 2" xfId="53961" xr:uid="{00000000-0005-0000-0000-000082D20000}"/>
    <cellStyle name="Percent 44 2 5" xfId="53962" xr:uid="{00000000-0005-0000-0000-000083D20000}"/>
    <cellStyle name="Percent 44 2 5 2" xfId="53963" xr:uid="{00000000-0005-0000-0000-000084D20000}"/>
    <cellStyle name="Percent 44 2 6" xfId="53964" xr:uid="{00000000-0005-0000-0000-000085D20000}"/>
    <cellStyle name="Percent 44 2 6 2" xfId="53965" xr:uid="{00000000-0005-0000-0000-000086D20000}"/>
    <cellStyle name="Percent 44 2 7" xfId="53966" xr:uid="{00000000-0005-0000-0000-000087D20000}"/>
    <cellStyle name="Percent 44 2 8" xfId="53967" xr:uid="{00000000-0005-0000-0000-000088D20000}"/>
    <cellStyle name="Percent 44 2 9" xfId="53968" xr:uid="{00000000-0005-0000-0000-000089D20000}"/>
    <cellStyle name="Percent 44 3" xfId="53969" xr:uid="{00000000-0005-0000-0000-00008AD20000}"/>
    <cellStyle name="Percent 44 3 2" xfId="53970" xr:uid="{00000000-0005-0000-0000-00008BD20000}"/>
    <cellStyle name="Percent 44 3 2 2" xfId="53971" xr:uid="{00000000-0005-0000-0000-00008CD20000}"/>
    <cellStyle name="Percent 44 3 2 3" xfId="53972" xr:uid="{00000000-0005-0000-0000-00008DD20000}"/>
    <cellStyle name="Percent 44 3 3" xfId="53973" xr:uid="{00000000-0005-0000-0000-00008ED20000}"/>
    <cellStyle name="Percent 44 3 3 2" xfId="53974" xr:uid="{00000000-0005-0000-0000-00008FD20000}"/>
    <cellStyle name="Percent 44 3 4" xfId="53975" xr:uid="{00000000-0005-0000-0000-000090D20000}"/>
    <cellStyle name="Percent 44 3 4 2" xfId="53976" xr:uid="{00000000-0005-0000-0000-000091D20000}"/>
    <cellStyle name="Percent 44 3 5" xfId="53977" xr:uid="{00000000-0005-0000-0000-000092D20000}"/>
    <cellStyle name="Percent 44 3 6" xfId="53978" xr:uid="{00000000-0005-0000-0000-000093D20000}"/>
    <cellStyle name="Percent 44 3 7" xfId="53979" xr:uid="{00000000-0005-0000-0000-000094D20000}"/>
    <cellStyle name="Percent 44 4" xfId="53980" xr:uid="{00000000-0005-0000-0000-000095D20000}"/>
    <cellStyle name="Percent 44 4 2" xfId="53981" xr:uid="{00000000-0005-0000-0000-000096D20000}"/>
    <cellStyle name="Percent 44 4 2 2" xfId="53982" xr:uid="{00000000-0005-0000-0000-000097D20000}"/>
    <cellStyle name="Percent 44 4 3" xfId="53983" xr:uid="{00000000-0005-0000-0000-000098D20000}"/>
    <cellStyle name="Percent 44 4 3 2" xfId="53984" xr:uid="{00000000-0005-0000-0000-000099D20000}"/>
    <cellStyle name="Percent 44 4 4" xfId="53985" xr:uid="{00000000-0005-0000-0000-00009AD20000}"/>
    <cellStyle name="Percent 44 4 5" xfId="53986" xr:uid="{00000000-0005-0000-0000-00009BD20000}"/>
    <cellStyle name="Percent 44 4 6" xfId="53987" xr:uid="{00000000-0005-0000-0000-00009CD20000}"/>
    <cellStyle name="Percent 44 4 7" xfId="53988" xr:uid="{00000000-0005-0000-0000-00009DD20000}"/>
    <cellStyle name="Percent 44 5" xfId="53989" xr:uid="{00000000-0005-0000-0000-00009ED20000}"/>
    <cellStyle name="Percent 44 6" xfId="53990" xr:uid="{00000000-0005-0000-0000-00009FD20000}"/>
    <cellStyle name="Percent 44 6 2" xfId="53991" xr:uid="{00000000-0005-0000-0000-0000A0D20000}"/>
    <cellStyle name="Percent 44 6 3" xfId="53992" xr:uid="{00000000-0005-0000-0000-0000A1D20000}"/>
    <cellStyle name="Percent 44 7" xfId="53993" xr:uid="{00000000-0005-0000-0000-0000A2D20000}"/>
    <cellStyle name="Percent 44 7 2" xfId="53994" xr:uid="{00000000-0005-0000-0000-0000A3D20000}"/>
    <cellStyle name="Percent 44 8" xfId="53995" xr:uid="{00000000-0005-0000-0000-0000A4D20000}"/>
    <cellStyle name="Percent 44 8 2" xfId="53996" xr:uid="{00000000-0005-0000-0000-0000A5D20000}"/>
    <cellStyle name="Percent 44 9" xfId="53997" xr:uid="{00000000-0005-0000-0000-0000A6D20000}"/>
    <cellStyle name="Percent 45" xfId="53998" xr:uid="{00000000-0005-0000-0000-0000A7D20000}"/>
    <cellStyle name="Percent 45 10" xfId="53999" xr:uid="{00000000-0005-0000-0000-0000A8D20000}"/>
    <cellStyle name="Percent 45 11" xfId="54000" xr:uid="{00000000-0005-0000-0000-0000A9D20000}"/>
    <cellStyle name="Percent 45 2" xfId="54001" xr:uid="{00000000-0005-0000-0000-0000AAD20000}"/>
    <cellStyle name="Percent 45 2 2" xfId="54002" xr:uid="{00000000-0005-0000-0000-0000ABD20000}"/>
    <cellStyle name="Percent 45 2 2 2" xfId="54003" xr:uid="{00000000-0005-0000-0000-0000ACD20000}"/>
    <cellStyle name="Percent 45 2 2 2 2" xfId="54004" xr:uid="{00000000-0005-0000-0000-0000ADD20000}"/>
    <cellStyle name="Percent 45 2 2 3" xfId="54005" xr:uid="{00000000-0005-0000-0000-0000AED20000}"/>
    <cellStyle name="Percent 45 2 2 3 2" xfId="54006" xr:uid="{00000000-0005-0000-0000-0000AFD20000}"/>
    <cellStyle name="Percent 45 2 2 4" xfId="54007" xr:uid="{00000000-0005-0000-0000-0000B0D20000}"/>
    <cellStyle name="Percent 45 2 2 5" xfId="54008" xr:uid="{00000000-0005-0000-0000-0000B1D20000}"/>
    <cellStyle name="Percent 45 2 2 6" xfId="54009" xr:uid="{00000000-0005-0000-0000-0000B2D20000}"/>
    <cellStyle name="Percent 45 2 2 7" xfId="54010" xr:uid="{00000000-0005-0000-0000-0000B3D20000}"/>
    <cellStyle name="Percent 45 2 3" xfId="54011" xr:uid="{00000000-0005-0000-0000-0000B4D20000}"/>
    <cellStyle name="Percent 45 2 4" xfId="54012" xr:uid="{00000000-0005-0000-0000-0000B5D20000}"/>
    <cellStyle name="Percent 45 2 4 2" xfId="54013" xr:uid="{00000000-0005-0000-0000-0000B6D20000}"/>
    <cellStyle name="Percent 45 2 5" xfId="54014" xr:uid="{00000000-0005-0000-0000-0000B7D20000}"/>
    <cellStyle name="Percent 45 2 5 2" xfId="54015" xr:uid="{00000000-0005-0000-0000-0000B8D20000}"/>
    <cellStyle name="Percent 45 2 6" xfId="54016" xr:uid="{00000000-0005-0000-0000-0000B9D20000}"/>
    <cellStyle name="Percent 45 2 6 2" xfId="54017" xr:uid="{00000000-0005-0000-0000-0000BAD20000}"/>
    <cellStyle name="Percent 45 2 7" xfId="54018" xr:uid="{00000000-0005-0000-0000-0000BBD20000}"/>
    <cellStyle name="Percent 45 2 8" xfId="54019" xr:uid="{00000000-0005-0000-0000-0000BCD20000}"/>
    <cellStyle name="Percent 45 2 9" xfId="54020" xr:uid="{00000000-0005-0000-0000-0000BDD20000}"/>
    <cellStyle name="Percent 45 3" xfId="54021" xr:uid="{00000000-0005-0000-0000-0000BED20000}"/>
    <cellStyle name="Percent 45 3 2" xfId="54022" xr:uid="{00000000-0005-0000-0000-0000BFD20000}"/>
    <cellStyle name="Percent 45 3 2 2" xfId="54023" xr:uid="{00000000-0005-0000-0000-0000C0D20000}"/>
    <cellStyle name="Percent 45 3 2 3" xfId="54024" xr:uid="{00000000-0005-0000-0000-0000C1D20000}"/>
    <cellStyle name="Percent 45 3 3" xfId="54025" xr:uid="{00000000-0005-0000-0000-0000C2D20000}"/>
    <cellStyle name="Percent 45 3 3 2" xfId="54026" xr:uid="{00000000-0005-0000-0000-0000C3D20000}"/>
    <cellStyle name="Percent 45 3 4" xfId="54027" xr:uid="{00000000-0005-0000-0000-0000C4D20000}"/>
    <cellStyle name="Percent 45 3 4 2" xfId="54028" xr:uid="{00000000-0005-0000-0000-0000C5D20000}"/>
    <cellStyle name="Percent 45 3 5" xfId="54029" xr:uid="{00000000-0005-0000-0000-0000C6D20000}"/>
    <cellStyle name="Percent 45 3 6" xfId="54030" xr:uid="{00000000-0005-0000-0000-0000C7D20000}"/>
    <cellStyle name="Percent 45 3 7" xfId="54031" xr:uid="{00000000-0005-0000-0000-0000C8D20000}"/>
    <cellStyle name="Percent 45 4" xfId="54032" xr:uid="{00000000-0005-0000-0000-0000C9D20000}"/>
    <cellStyle name="Percent 45 4 2" xfId="54033" xr:uid="{00000000-0005-0000-0000-0000CAD20000}"/>
    <cellStyle name="Percent 45 4 2 2" xfId="54034" xr:uid="{00000000-0005-0000-0000-0000CBD20000}"/>
    <cellStyle name="Percent 45 4 3" xfId="54035" xr:uid="{00000000-0005-0000-0000-0000CCD20000}"/>
    <cellStyle name="Percent 45 4 3 2" xfId="54036" xr:uid="{00000000-0005-0000-0000-0000CDD20000}"/>
    <cellStyle name="Percent 45 4 4" xfId="54037" xr:uid="{00000000-0005-0000-0000-0000CED20000}"/>
    <cellStyle name="Percent 45 4 5" xfId="54038" xr:uid="{00000000-0005-0000-0000-0000CFD20000}"/>
    <cellStyle name="Percent 45 4 6" xfId="54039" xr:uid="{00000000-0005-0000-0000-0000D0D20000}"/>
    <cellStyle name="Percent 45 4 7" xfId="54040" xr:uid="{00000000-0005-0000-0000-0000D1D20000}"/>
    <cellStyle name="Percent 45 5" xfId="54041" xr:uid="{00000000-0005-0000-0000-0000D2D20000}"/>
    <cellStyle name="Percent 45 6" xfId="54042" xr:uid="{00000000-0005-0000-0000-0000D3D20000}"/>
    <cellStyle name="Percent 45 6 2" xfId="54043" xr:uid="{00000000-0005-0000-0000-0000D4D20000}"/>
    <cellStyle name="Percent 45 6 3" xfId="54044" xr:uid="{00000000-0005-0000-0000-0000D5D20000}"/>
    <cellStyle name="Percent 45 7" xfId="54045" xr:uid="{00000000-0005-0000-0000-0000D6D20000}"/>
    <cellStyle name="Percent 45 7 2" xfId="54046" xr:uid="{00000000-0005-0000-0000-0000D7D20000}"/>
    <cellStyle name="Percent 45 8" xfId="54047" xr:uid="{00000000-0005-0000-0000-0000D8D20000}"/>
    <cellStyle name="Percent 45 8 2" xfId="54048" xr:uid="{00000000-0005-0000-0000-0000D9D20000}"/>
    <cellStyle name="Percent 45 9" xfId="54049" xr:uid="{00000000-0005-0000-0000-0000DAD20000}"/>
    <cellStyle name="Percent 46" xfId="54050" xr:uid="{00000000-0005-0000-0000-0000DBD20000}"/>
    <cellStyle name="Percent 46 2" xfId="54051" xr:uid="{00000000-0005-0000-0000-0000DCD20000}"/>
    <cellStyle name="Percent 46 3" xfId="54052" xr:uid="{00000000-0005-0000-0000-0000DDD20000}"/>
    <cellStyle name="Percent 46 4" xfId="54053" xr:uid="{00000000-0005-0000-0000-0000DED20000}"/>
    <cellStyle name="Percent 47" xfId="54054" xr:uid="{00000000-0005-0000-0000-0000DFD20000}"/>
    <cellStyle name="Percent 47 2" xfId="54055" xr:uid="{00000000-0005-0000-0000-0000E0D20000}"/>
    <cellStyle name="Percent 47 3" xfId="54056" xr:uid="{00000000-0005-0000-0000-0000E1D20000}"/>
    <cellStyle name="Percent 47 4" xfId="54057" xr:uid="{00000000-0005-0000-0000-0000E2D20000}"/>
    <cellStyle name="Percent 48" xfId="54058" xr:uid="{00000000-0005-0000-0000-0000E3D20000}"/>
    <cellStyle name="Percent 48 2" xfId="54059" xr:uid="{00000000-0005-0000-0000-0000E4D20000}"/>
    <cellStyle name="Percent 48 3" xfId="54060" xr:uid="{00000000-0005-0000-0000-0000E5D20000}"/>
    <cellStyle name="Percent 48 4" xfId="54061" xr:uid="{00000000-0005-0000-0000-0000E6D20000}"/>
    <cellStyle name="Percent 49" xfId="54062" xr:uid="{00000000-0005-0000-0000-0000E7D20000}"/>
    <cellStyle name="Percent 49 2" xfId="54063" xr:uid="{00000000-0005-0000-0000-0000E8D20000}"/>
    <cellStyle name="Percent 49 3" xfId="54064" xr:uid="{00000000-0005-0000-0000-0000E9D20000}"/>
    <cellStyle name="Percent 49 4" xfId="54065" xr:uid="{00000000-0005-0000-0000-0000EAD20000}"/>
    <cellStyle name="Percent 5" xfId="360" xr:uid="{00000000-0005-0000-0000-0000EBD20000}"/>
    <cellStyle name="Percent 5 2" xfId="361" xr:uid="{00000000-0005-0000-0000-0000ECD20000}"/>
    <cellStyle name="Percent 5 2 2" xfId="54066" xr:uid="{00000000-0005-0000-0000-0000EDD20000}"/>
    <cellStyle name="Percent 5 2 2 2" xfId="54067" xr:uid="{00000000-0005-0000-0000-0000EED20000}"/>
    <cellStyle name="Percent 5 2 2 3" xfId="54068" xr:uid="{00000000-0005-0000-0000-0000EFD20000}"/>
    <cellStyle name="Percent 5 2 2 4" xfId="54069" xr:uid="{00000000-0005-0000-0000-0000F0D20000}"/>
    <cellStyle name="Percent 5 2 2 5" xfId="54070" xr:uid="{00000000-0005-0000-0000-0000F1D20000}"/>
    <cellStyle name="Percent 5 2 3" xfId="54071" xr:uid="{00000000-0005-0000-0000-0000F2D20000}"/>
    <cellStyle name="Percent 5 2 3 2" xfId="54072" xr:uid="{00000000-0005-0000-0000-0000F3D20000}"/>
    <cellStyle name="Percent 5 2 4" xfId="54073" xr:uid="{00000000-0005-0000-0000-0000F4D20000}"/>
    <cellStyle name="Percent 5 2 5" xfId="54074" xr:uid="{00000000-0005-0000-0000-0000F5D20000}"/>
    <cellStyle name="Percent 5 3" xfId="54075" xr:uid="{00000000-0005-0000-0000-0000F6D20000}"/>
    <cellStyle name="Percent 5 3 2" xfId="54076" xr:uid="{00000000-0005-0000-0000-0000F7D20000}"/>
    <cellStyle name="Percent 5 3 3" xfId="54077" xr:uid="{00000000-0005-0000-0000-0000F8D20000}"/>
    <cellStyle name="Percent 5 4" xfId="54078" xr:uid="{00000000-0005-0000-0000-0000F9D20000}"/>
    <cellStyle name="Percent 5 4 2" xfId="54079" xr:uid="{00000000-0005-0000-0000-0000FAD20000}"/>
    <cellStyle name="Percent 5 5" xfId="54080" xr:uid="{00000000-0005-0000-0000-0000FBD20000}"/>
    <cellStyle name="Percent 5 6" xfId="54081" xr:uid="{00000000-0005-0000-0000-0000FCD20000}"/>
    <cellStyle name="Percent 5 6 2" xfId="54082" xr:uid="{00000000-0005-0000-0000-0000FDD20000}"/>
    <cellStyle name="Percent 5 7" xfId="54083" xr:uid="{00000000-0005-0000-0000-0000FED20000}"/>
    <cellStyle name="Percent 5 8" xfId="54084" xr:uid="{00000000-0005-0000-0000-0000FFD20000}"/>
    <cellStyle name="Percent 50" xfId="54085" xr:uid="{00000000-0005-0000-0000-000000D30000}"/>
    <cellStyle name="Percent 50 2" xfId="54086" xr:uid="{00000000-0005-0000-0000-000001D30000}"/>
    <cellStyle name="Percent 50 3" xfId="54087" xr:uid="{00000000-0005-0000-0000-000002D30000}"/>
    <cellStyle name="Percent 50 4" xfId="54088" xr:uid="{00000000-0005-0000-0000-000003D30000}"/>
    <cellStyle name="Percent 51" xfId="54089" xr:uid="{00000000-0005-0000-0000-000004D30000}"/>
    <cellStyle name="Percent 51 2" xfId="54090" xr:uid="{00000000-0005-0000-0000-000005D30000}"/>
    <cellStyle name="Percent 51 3" xfId="54091" xr:uid="{00000000-0005-0000-0000-000006D30000}"/>
    <cellStyle name="Percent 51 4" xfId="54092" xr:uid="{00000000-0005-0000-0000-000007D30000}"/>
    <cellStyle name="Percent 52" xfId="54093" xr:uid="{00000000-0005-0000-0000-000008D30000}"/>
    <cellStyle name="Percent 52 2" xfId="54094" xr:uid="{00000000-0005-0000-0000-000009D30000}"/>
    <cellStyle name="Percent 52 3" xfId="54095" xr:uid="{00000000-0005-0000-0000-00000AD30000}"/>
    <cellStyle name="Percent 52 4" xfId="54096" xr:uid="{00000000-0005-0000-0000-00000BD30000}"/>
    <cellStyle name="Percent 53" xfId="54097" xr:uid="{00000000-0005-0000-0000-00000CD30000}"/>
    <cellStyle name="Percent 53 2" xfId="54098" xr:uid="{00000000-0005-0000-0000-00000DD30000}"/>
    <cellStyle name="Percent 53 3" xfId="54099" xr:uid="{00000000-0005-0000-0000-00000ED30000}"/>
    <cellStyle name="Percent 53 4" xfId="54100" xr:uid="{00000000-0005-0000-0000-00000FD30000}"/>
    <cellStyle name="Percent 54" xfId="54101" xr:uid="{00000000-0005-0000-0000-000010D30000}"/>
    <cellStyle name="Percent 54 2" xfId="54102" xr:uid="{00000000-0005-0000-0000-000011D30000}"/>
    <cellStyle name="Percent 54 3" xfId="54103" xr:uid="{00000000-0005-0000-0000-000012D30000}"/>
    <cellStyle name="Percent 54 4" xfId="54104" xr:uid="{00000000-0005-0000-0000-000013D30000}"/>
    <cellStyle name="Percent 55" xfId="54105" xr:uid="{00000000-0005-0000-0000-000014D30000}"/>
    <cellStyle name="Percent 55 2" xfId="54106" xr:uid="{00000000-0005-0000-0000-000015D30000}"/>
    <cellStyle name="Percent 55 3" xfId="54107" xr:uid="{00000000-0005-0000-0000-000016D30000}"/>
    <cellStyle name="Percent 55 4" xfId="54108" xr:uid="{00000000-0005-0000-0000-000017D30000}"/>
    <cellStyle name="Percent 56" xfId="54109" xr:uid="{00000000-0005-0000-0000-000018D30000}"/>
    <cellStyle name="Percent 56 2" xfId="54110" xr:uid="{00000000-0005-0000-0000-000019D30000}"/>
    <cellStyle name="Percent 56 3" xfId="54111" xr:uid="{00000000-0005-0000-0000-00001AD30000}"/>
    <cellStyle name="Percent 56 4" xfId="54112" xr:uid="{00000000-0005-0000-0000-00001BD30000}"/>
    <cellStyle name="Percent 57" xfId="54113" xr:uid="{00000000-0005-0000-0000-00001CD30000}"/>
    <cellStyle name="Percent 57 2" xfId="54114" xr:uid="{00000000-0005-0000-0000-00001DD30000}"/>
    <cellStyle name="Percent 57 3" xfId="54115" xr:uid="{00000000-0005-0000-0000-00001ED30000}"/>
    <cellStyle name="Percent 57 4" xfId="54116" xr:uid="{00000000-0005-0000-0000-00001FD30000}"/>
    <cellStyle name="Percent 58" xfId="54117" xr:uid="{00000000-0005-0000-0000-000020D30000}"/>
    <cellStyle name="Percent 59" xfId="54118" xr:uid="{00000000-0005-0000-0000-000021D30000}"/>
    <cellStyle name="Percent 6" xfId="362" xr:uid="{00000000-0005-0000-0000-000022D30000}"/>
    <cellStyle name="Percent 6 2" xfId="363" xr:uid="{00000000-0005-0000-0000-000023D30000}"/>
    <cellStyle name="Percent 6 2 2" xfId="54119" xr:uid="{00000000-0005-0000-0000-000024D30000}"/>
    <cellStyle name="Percent 6 2 2 2" xfId="54120" xr:uid="{00000000-0005-0000-0000-000025D30000}"/>
    <cellStyle name="Percent 6 2 3" xfId="54121" xr:uid="{00000000-0005-0000-0000-000026D30000}"/>
    <cellStyle name="Percent 6 2 4" xfId="54122" xr:uid="{00000000-0005-0000-0000-000027D30000}"/>
    <cellStyle name="Percent 6 2 5" xfId="54123" xr:uid="{00000000-0005-0000-0000-000028D30000}"/>
    <cellStyle name="Percent 6 3" xfId="54124" xr:uid="{00000000-0005-0000-0000-000029D30000}"/>
    <cellStyle name="Percent 6 3 2" xfId="54125" xr:uid="{00000000-0005-0000-0000-00002AD30000}"/>
    <cellStyle name="Percent 6 3 2 2" xfId="54126" xr:uid="{00000000-0005-0000-0000-00002BD30000}"/>
    <cellStyle name="Percent 6 3 2 2 2" xfId="54127" xr:uid="{00000000-0005-0000-0000-00002CD30000}"/>
    <cellStyle name="Percent 6 3 2 3" xfId="54128" xr:uid="{00000000-0005-0000-0000-00002DD30000}"/>
    <cellStyle name="Percent 6 3 3" xfId="54129" xr:uid="{00000000-0005-0000-0000-00002ED30000}"/>
    <cellStyle name="Percent 6 3 3 2" xfId="54130" xr:uid="{00000000-0005-0000-0000-00002FD30000}"/>
    <cellStyle name="Percent 6 3 4" xfId="54131" xr:uid="{00000000-0005-0000-0000-000030D30000}"/>
    <cellStyle name="Percent 6 3 5" xfId="54132" xr:uid="{00000000-0005-0000-0000-000031D30000}"/>
    <cellStyle name="Percent 6 3 6" xfId="54133" xr:uid="{00000000-0005-0000-0000-000032D30000}"/>
    <cellStyle name="Percent 6 4" xfId="54134" xr:uid="{00000000-0005-0000-0000-000033D30000}"/>
    <cellStyle name="Percent 6 4 2" xfId="54135" xr:uid="{00000000-0005-0000-0000-000034D30000}"/>
    <cellStyle name="Percent 6 4 2 2" xfId="54136" xr:uid="{00000000-0005-0000-0000-000035D30000}"/>
    <cellStyle name="Percent 6 4 2 2 2" xfId="54137" xr:uid="{00000000-0005-0000-0000-000036D30000}"/>
    <cellStyle name="Percent 6 4 2 3" xfId="54138" xr:uid="{00000000-0005-0000-0000-000037D30000}"/>
    <cellStyle name="Percent 6 4 3" xfId="54139" xr:uid="{00000000-0005-0000-0000-000038D30000}"/>
    <cellStyle name="Percent 6 4 3 2" xfId="54140" xr:uid="{00000000-0005-0000-0000-000039D30000}"/>
    <cellStyle name="Percent 6 4 4" xfId="54141" xr:uid="{00000000-0005-0000-0000-00003AD30000}"/>
    <cellStyle name="Percent 6 5" xfId="54142" xr:uid="{00000000-0005-0000-0000-00003BD30000}"/>
    <cellStyle name="Percent 6 5 2" xfId="54143" xr:uid="{00000000-0005-0000-0000-00003CD30000}"/>
    <cellStyle name="Percent 6 6" xfId="54144" xr:uid="{00000000-0005-0000-0000-00003DD30000}"/>
    <cellStyle name="Percent 6 7" xfId="54145" xr:uid="{00000000-0005-0000-0000-00003ED30000}"/>
    <cellStyle name="Percent 60" xfId="54146" xr:uid="{00000000-0005-0000-0000-00003FD30000}"/>
    <cellStyle name="Percent 61" xfId="54147" xr:uid="{00000000-0005-0000-0000-000040D30000}"/>
    <cellStyle name="Percent 62" xfId="54148" xr:uid="{00000000-0005-0000-0000-000041D30000}"/>
    <cellStyle name="Percent 63" xfId="54149" xr:uid="{00000000-0005-0000-0000-000042D30000}"/>
    <cellStyle name="Percent 64" xfId="54150" xr:uid="{00000000-0005-0000-0000-000043D30000}"/>
    <cellStyle name="Percent 65" xfId="54151" xr:uid="{00000000-0005-0000-0000-000044D30000}"/>
    <cellStyle name="Percent 65 2" xfId="54152" xr:uid="{00000000-0005-0000-0000-000045D30000}"/>
    <cellStyle name="Percent 66" xfId="54153" xr:uid="{00000000-0005-0000-0000-000046D30000}"/>
    <cellStyle name="Percent 67" xfId="54154" xr:uid="{00000000-0005-0000-0000-000047D30000}"/>
    <cellStyle name="Percent 68" xfId="54155" xr:uid="{00000000-0005-0000-0000-000048D30000}"/>
    <cellStyle name="Percent 68 2" xfId="54156" xr:uid="{00000000-0005-0000-0000-000049D30000}"/>
    <cellStyle name="Percent 69" xfId="54157" xr:uid="{00000000-0005-0000-0000-00004AD30000}"/>
    <cellStyle name="Percent 7" xfId="364" xr:uid="{00000000-0005-0000-0000-00004BD30000}"/>
    <cellStyle name="Percent 7 2" xfId="365" xr:uid="{00000000-0005-0000-0000-00004CD30000}"/>
    <cellStyle name="Percent 7 2 2" xfId="54158" xr:uid="{00000000-0005-0000-0000-00004DD30000}"/>
    <cellStyle name="Percent 7 2 2 2" xfId="54159" xr:uid="{00000000-0005-0000-0000-00004ED30000}"/>
    <cellStyle name="Percent 7 2 3" xfId="54160" xr:uid="{00000000-0005-0000-0000-00004FD30000}"/>
    <cellStyle name="Percent 7 2 4" xfId="54161" xr:uid="{00000000-0005-0000-0000-000050D30000}"/>
    <cellStyle name="Percent 7 3" xfId="54162" xr:uid="{00000000-0005-0000-0000-000051D30000}"/>
    <cellStyle name="Percent 7 3 2" xfId="54163" xr:uid="{00000000-0005-0000-0000-000052D30000}"/>
    <cellStyle name="Percent 7 3 3" xfId="54164" xr:uid="{00000000-0005-0000-0000-000053D30000}"/>
    <cellStyle name="Percent 7 4" xfId="54165" xr:uid="{00000000-0005-0000-0000-000054D30000}"/>
    <cellStyle name="Percent 7 4 2" xfId="54166" xr:uid="{00000000-0005-0000-0000-000055D30000}"/>
    <cellStyle name="Percent 7 5" xfId="54167" xr:uid="{00000000-0005-0000-0000-000056D30000}"/>
    <cellStyle name="Percent 70" xfId="54168" xr:uid="{00000000-0005-0000-0000-000057D30000}"/>
    <cellStyle name="Percent 71" xfId="54169" xr:uid="{00000000-0005-0000-0000-000058D30000}"/>
    <cellStyle name="Percent 72" xfId="54170" xr:uid="{00000000-0005-0000-0000-000059D30000}"/>
    <cellStyle name="Percent 73" xfId="54171" xr:uid="{00000000-0005-0000-0000-00005AD30000}"/>
    <cellStyle name="Percent 74" xfId="54172" xr:uid="{00000000-0005-0000-0000-00005BD30000}"/>
    <cellStyle name="Percent 75" xfId="54173" xr:uid="{00000000-0005-0000-0000-00005CD30000}"/>
    <cellStyle name="Percent 76" xfId="54174" xr:uid="{00000000-0005-0000-0000-00005DD30000}"/>
    <cellStyle name="Percent 77" xfId="54175" xr:uid="{00000000-0005-0000-0000-00005ED30000}"/>
    <cellStyle name="Percent 78" xfId="54176" xr:uid="{00000000-0005-0000-0000-00005FD30000}"/>
    <cellStyle name="Percent 79" xfId="54177" xr:uid="{00000000-0005-0000-0000-000060D30000}"/>
    <cellStyle name="Percent 8" xfId="366" xr:uid="{00000000-0005-0000-0000-000061D30000}"/>
    <cellStyle name="Percent 8 2" xfId="367" xr:uid="{00000000-0005-0000-0000-000062D30000}"/>
    <cellStyle name="Percent 8 2 2" xfId="54178" xr:uid="{00000000-0005-0000-0000-000063D30000}"/>
    <cellStyle name="Percent 8 2 2 2" xfId="54179" xr:uid="{00000000-0005-0000-0000-000064D30000}"/>
    <cellStyle name="Percent 8 2 3" xfId="54180" xr:uid="{00000000-0005-0000-0000-000065D30000}"/>
    <cellStyle name="Percent 8 2 4" xfId="54181" xr:uid="{00000000-0005-0000-0000-000066D30000}"/>
    <cellStyle name="Percent 8 3" xfId="54182" xr:uid="{00000000-0005-0000-0000-000067D30000}"/>
    <cellStyle name="Percent 8 3 2" xfId="54183" xr:uid="{00000000-0005-0000-0000-000068D30000}"/>
    <cellStyle name="Percent 8 3 3" xfId="54184" xr:uid="{00000000-0005-0000-0000-000069D30000}"/>
    <cellStyle name="Percent 8 4" xfId="54185" xr:uid="{00000000-0005-0000-0000-00006AD30000}"/>
    <cellStyle name="Percent 8 4 2" xfId="54186" xr:uid="{00000000-0005-0000-0000-00006BD30000}"/>
    <cellStyle name="Percent 8 5" xfId="54187" xr:uid="{00000000-0005-0000-0000-00006CD30000}"/>
    <cellStyle name="Percent 8 6" xfId="54188" xr:uid="{00000000-0005-0000-0000-00006DD30000}"/>
    <cellStyle name="Percent 80" xfId="54189" xr:uid="{00000000-0005-0000-0000-00006ED30000}"/>
    <cellStyle name="Percent 81" xfId="54190" xr:uid="{00000000-0005-0000-0000-00006FD30000}"/>
    <cellStyle name="Percent 82" xfId="54191" xr:uid="{00000000-0005-0000-0000-000070D30000}"/>
    <cellStyle name="Percent 83" xfId="54192" xr:uid="{00000000-0005-0000-0000-000071D30000}"/>
    <cellStyle name="Percent 84" xfId="54193" xr:uid="{00000000-0005-0000-0000-000072D30000}"/>
    <cellStyle name="Percent 85" xfId="54194" xr:uid="{00000000-0005-0000-0000-000073D30000}"/>
    <cellStyle name="Percent 86" xfId="54195" xr:uid="{00000000-0005-0000-0000-000074D30000}"/>
    <cellStyle name="Percent 87" xfId="54196" xr:uid="{00000000-0005-0000-0000-000075D30000}"/>
    <cellStyle name="Percent 88" xfId="54197" xr:uid="{00000000-0005-0000-0000-000076D30000}"/>
    <cellStyle name="Percent 89" xfId="54198" xr:uid="{00000000-0005-0000-0000-000077D30000}"/>
    <cellStyle name="Percent 9" xfId="368" xr:uid="{00000000-0005-0000-0000-000078D30000}"/>
    <cellStyle name="Percent 9 2" xfId="54199" xr:uid="{00000000-0005-0000-0000-000079D30000}"/>
    <cellStyle name="Percent 9 2 2" xfId="54200" xr:uid="{00000000-0005-0000-0000-00007AD30000}"/>
    <cellStyle name="Percent 9 2 2 2" xfId="54201" xr:uid="{00000000-0005-0000-0000-00007BD30000}"/>
    <cellStyle name="Percent 9 2 2 2 2" xfId="54202" xr:uid="{00000000-0005-0000-0000-00007CD30000}"/>
    <cellStyle name="Percent 9 2 2 3" xfId="54203" xr:uid="{00000000-0005-0000-0000-00007DD30000}"/>
    <cellStyle name="Percent 9 2 2 4" xfId="54204" xr:uid="{00000000-0005-0000-0000-00007ED30000}"/>
    <cellStyle name="Percent 9 2 3" xfId="54205" xr:uid="{00000000-0005-0000-0000-00007FD30000}"/>
    <cellStyle name="Percent 9 2 3 2" xfId="54206" xr:uid="{00000000-0005-0000-0000-000080D30000}"/>
    <cellStyle name="Percent 9 2 4" xfId="54207" xr:uid="{00000000-0005-0000-0000-000081D30000}"/>
    <cellStyle name="Percent 9 2 5" xfId="54208" xr:uid="{00000000-0005-0000-0000-000082D30000}"/>
    <cellStyle name="Percent 9 3" xfId="54209" xr:uid="{00000000-0005-0000-0000-000083D30000}"/>
    <cellStyle name="Percent 9 3 2" xfId="54210" xr:uid="{00000000-0005-0000-0000-000084D30000}"/>
    <cellStyle name="Percent 9 3 2 2" xfId="54211" xr:uid="{00000000-0005-0000-0000-000085D30000}"/>
    <cellStyle name="Percent 9 3 3" xfId="54212" xr:uid="{00000000-0005-0000-0000-000086D30000}"/>
    <cellStyle name="Percent 9 3 4" xfId="54213" xr:uid="{00000000-0005-0000-0000-000087D30000}"/>
    <cellStyle name="Percent 9 4" xfId="54214" xr:uid="{00000000-0005-0000-0000-000088D30000}"/>
    <cellStyle name="Percent 9 4 2" xfId="54215" xr:uid="{00000000-0005-0000-0000-000089D30000}"/>
    <cellStyle name="Percent 9 5" xfId="54216" xr:uid="{00000000-0005-0000-0000-00008AD30000}"/>
    <cellStyle name="Percent 9 6" xfId="54217" xr:uid="{00000000-0005-0000-0000-00008BD30000}"/>
    <cellStyle name="Percent 90" xfId="54218" xr:uid="{00000000-0005-0000-0000-00008CD30000}"/>
    <cellStyle name="Percent 91" xfId="54219" xr:uid="{00000000-0005-0000-0000-00008DD30000}"/>
    <cellStyle name="Percent 92" xfId="54220" xr:uid="{00000000-0005-0000-0000-00008ED30000}"/>
    <cellStyle name="Percent 93" xfId="54221" xr:uid="{00000000-0005-0000-0000-00008FD30000}"/>
    <cellStyle name="Percent 94" xfId="54222" xr:uid="{00000000-0005-0000-0000-000090D30000}"/>
    <cellStyle name="Percent 95" xfId="54223" xr:uid="{00000000-0005-0000-0000-000091D30000}"/>
    <cellStyle name="Percent 96" xfId="54224" xr:uid="{00000000-0005-0000-0000-000092D30000}"/>
    <cellStyle name="Percent 97" xfId="54225" xr:uid="{00000000-0005-0000-0000-000093D30000}"/>
    <cellStyle name="Percent 98" xfId="54226" xr:uid="{00000000-0005-0000-0000-000094D30000}"/>
    <cellStyle name="Percent 99" xfId="54227" xr:uid="{00000000-0005-0000-0000-000095D30000}"/>
    <cellStyle name="Percent2" xfId="54228" xr:uid="{00000000-0005-0000-0000-000096D30000}"/>
    <cellStyle name="Percent2 2" xfId="54229" xr:uid="{00000000-0005-0000-0000-000097D30000}"/>
    <cellStyle name="Percent2 2 2" xfId="54230" xr:uid="{00000000-0005-0000-0000-000098D30000}"/>
    <cellStyle name="Percent2 3" xfId="54231" xr:uid="{00000000-0005-0000-0000-000099D30000}"/>
    <cellStyle name="Phone_No" xfId="66" xr:uid="{00000000-0005-0000-0000-00009AD30000}"/>
    <cellStyle name="Red Text" xfId="54232" xr:uid="{00000000-0005-0000-0000-00009BD30000}"/>
    <cellStyle name="Red Text 2" xfId="54233" xr:uid="{00000000-0005-0000-0000-00009CD30000}"/>
    <cellStyle name="Red Text 2 2" xfId="54234" xr:uid="{00000000-0005-0000-0000-00009DD30000}"/>
    <cellStyle name="Red Text 3" xfId="54235" xr:uid="{00000000-0005-0000-0000-00009ED30000}"/>
    <cellStyle name="Remote" xfId="67" xr:uid="{00000000-0005-0000-0000-00009FD30000}"/>
    <cellStyle name="Revenue" xfId="68" xr:uid="{00000000-0005-0000-0000-0000A0D30000}"/>
    <cellStyle name="RevList" xfId="69" xr:uid="{00000000-0005-0000-0000-0000A1D30000}"/>
    <cellStyle name="s]_x000d__x000a_spooler=no_x000d__x000a_LOAD=C:\CONTROL\VIRUSCAN\VSHWIN.EXE_x000d__x000a_run=_x000d__x000a_Beep=yes_x000d__x000a_NullPort=None_x000d__x000a_BorderWidth=3_x000d__x000a_CursorBlinkRate=530_x000d_" xfId="54236" xr:uid="{00000000-0005-0000-0000-0000A2D30000}"/>
    <cellStyle name="s]_x000d__x000a_spooler=no_x000d__x000a_LOAD=C:\CONTROL\VIRUSCAN\VSHWIN.EXE_x000d__x000a_run=_x000d__x000a_Beep=yes_x000d__x000a_NullPort=None_x000d__x000a_BorderWidth=3_x000d__x000a_CursorBlinkRate=530_x000d_ 2" xfId="54237" xr:uid="{00000000-0005-0000-0000-0000A3D30000}"/>
    <cellStyle name="s]_x000d__x000a_spooler=no_x000d__x000a_LOAD=C:\CONTROL\VIRUSCAN\VSHWIN.EXE_x000d__x000a_run=_x000d__x000a_Beep=yes_x000d__x000a_NullPort=None_x000d__x000a_BorderWidth=3_x000d__x000a_CursorBlinkRate=530_x000d_ 3" xfId="54238" xr:uid="{00000000-0005-0000-0000-0000A4D30000}"/>
    <cellStyle name="Sales_Amt" xfId="70" xr:uid="{00000000-0005-0000-0000-0000A5D30000}"/>
    <cellStyle name="SAPBEXaggData" xfId="369" xr:uid="{00000000-0005-0000-0000-0000A6D30000}"/>
    <cellStyle name="SAPBEXaggData 10" xfId="54239" xr:uid="{00000000-0005-0000-0000-0000A7D30000}"/>
    <cellStyle name="SAPBEXaggData 11" xfId="54240" xr:uid="{00000000-0005-0000-0000-0000A8D30000}"/>
    <cellStyle name="SAPBEXaggData 2" xfId="54241" xr:uid="{00000000-0005-0000-0000-0000A9D30000}"/>
    <cellStyle name="SAPBEXaggData 2 2" xfId="54242" xr:uid="{00000000-0005-0000-0000-0000AAD30000}"/>
    <cellStyle name="SAPBEXaggData 2 2 2" xfId="54243" xr:uid="{00000000-0005-0000-0000-0000ABD30000}"/>
    <cellStyle name="SAPBEXaggData 2 2 2 2" xfId="54244" xr:uid="{00000000-0005-0000-0000-0000ACD30000}"/>
    <cellStyle name="SAPBEXaggData 2 2 2 3" xfId="54245" xr:uid="{00000000-0005-0000-0000-0000ADD30000}"/>
    <cellStyle name="SAPBEXaggData 2 2 2 4" xfId="54246" xr:uid="{00000000-0005-0000-0000-0000AED30000}"/>
    <cellStyle name="SAPBEXaggData 2 2 3" xfId="54247" xr:uid="{00000000-0005-0000-0000-0000AFD30000}"/>
    <cellStyle name="SAPBEXaggData 2 2 3 2" xfId="54248" xr:uid="{00000000-0005-0000-0000-0000B0D30000}"/>
    <cellStyle name="SAPBEXaggData 2 2 4" xfId="54249" xr:uid="{00000000-0005-0000-0000-0000B1D30000}"/>
    <cellStyle name="SAPBEXaggData 2 2 5" xfId="54250" xr:uid="{00000000-0005-0000-0000-0000B2D30000}"/>
    <cellStyle name="SAPBEXaggData 2 2 6" xfId="54251" xr:uid="{00000000-0005-0000-0000-0000B3D30000}"/>
    <cellStyle name="SAPBEXaggData 2 3" xfId="54252" xr:uid="{00000000-0005-0000-0000-0000B4D30000}"/>
    <cellStyle name="SAPBEXaggData 2 3 2" xfId="54253" xr:uid="{00000000-0005-0000-0000-0000B5D30000}"/>
    <cellStyle name="SAPBEXaggData 2 3 2 2" xfId="54254" xr:uid="{00000000-0005-0000-0000-0000B6D30000}"/>
    <cellStyle name="SAPBEXaggData 2 3 2 3" xfId="54255" xr:uid="{00000000-0005-0000-0000-0000B7D30000}"/>
    <cellStyle name="SAPBEXaggData 2 3 3" xfId="54256" xr:uid="{00000000-0005-0000-0000-0000B8D30000}"/>
    <cellStyle name="SAPBEXaggData 2 3 3 2" xfId="54257" xr:uid="{00000000-0005-0000-0000-0000B9D30000}"/>
    <cellStyle name="SAPBEXaggData 2 3 4" xfId="54258" xr:uid="{00000000-0005-0000-0000-0000BAD30000}"/>
    <cellStyle name="SAPBEXaggData 2 3 5" xfId="54259" xr:uid="{00000000-0005-0000-0000-0000BBD30000}"/>
    <cellStyle name="SAPBEXaggData 2 4" xfId="54260" xr:uid="{00000000-0005-0000-0000-0000BCD30000}"/>
    <cellStyle name="SAPBEXaggData 2 4 2" xfId="54261" xr:uid="{00000000-0005-0000-0000-0000BDD30000}"/>
    <cellStyle name="SAPBEXaggData 2 4 2 2" xfId="54262" xr:uid="{00000000-0005-0000-0000-0000BED30000}"/>
    <cellStyle name="SAPBEXaggData 2 4 2 3" xfId="54263" xr:uid="{00000000-0005-0000-0000-0000BFD30000}"/>
    <cellStyle name="SAPBEXaggData 2 4 3" xfId="54264" xr:uid="{00000000-0005-0000-0000-0000C0D30000}"/>
    <cellStyle name="SAPBEXaggData 2 4 3 2" xfId="54265" xr:uid="{00000000-0005-0000-0000-0000C1D30000}"/>
    <cellStyle name="SAPBEXaggData 2 4 4" xfId="54266" xr:uid="{00000000-0005-0000-0000-0000C2D30000}"/>
    <cellStyle name="SAPBEXaggData 2 4 5" xfId="54267" xr:uid="{00000000-0005-0000-0000-0000C3D30000}"/>
    <cellStyle name="SAPBEXaggData 2 5" xfId="54268" xr:uid="{00000000-0005-0000-0000-0000C4D30000}"/>
    <cellStyle name="SAPBEXaggData 2 5 2" xfId="54269" xr:uid="{00000000-0005-0000-0000-0000C5D30000}"/>
    <cellStyle name="SAPBEXaggData 2 5 2 2" xfId="54270" xr:uid="{00000000-0005-0000-0000-0000C6D30000}"/>
    <cellStyle name="SAPBEXaggData 2 5 3" xfId="54271" xr:uid="{00000000-0005-0000-0000-0000C7D30000}"/>
    <cellStyle name="SAPBEXaggData 2 6" xfId="54272" xr:uid="{00000000-0005-0000-0000-0000C8D30000}"/>
    <cellStyle name="SAPBEXaggData 2 6 2" xfId="54273" xr:uid="{00000000-0005-0000-0000-0000C9D30000}"/>
    <cellStyle name="SAPBEXaggData 2 6 2 2" xfId="54274" xr:uid="{00000000-0005-0000-0000-0000CAD30000}"/>
    <cellStyle name="SAPBEXaggData 2 6 3" xfId="54275" xr:uid="{00000000-0005-0000-0000-0000CBD30000}"/>
    <cellStyle name="SAPBEXaggData 2 7" xfId="54276" xr:uid="{00000000-0005-0000-0000-0000CCD30000}"/>
    <cellStyle name="SAPBEXaggData 2 7 2" xfId="54277" xr:uid="{00000000-0005-0000-0000-0000CDD30000}"/>
    <cellStyle name="SAPBEXaggData 2 7 3" xfId="54278" xr:uid="{00000000-0005-0000-0000-0000CED30000}"/>
    <cellStyle name="SAPBEXaggData 2 8" xfId="54279" xr:uid="{00000000-0005-0000-0000-0000CFD30000}"/>
    <cellStyle name="SAPBEXaggData 2 8 2" xfId="54280" xr:uid="{00000000-0005-0000-0000-0000D0D30000}"/>
    <cellStyle name="SAPBEXaggData 3" xfId="54281" xr:uid="{00000000-0005-0000-0000-0000D1D30000}"/>
    <cellStyle name="SAPBEXaggData 3 10" xfId="54282" xr:uid="{00000000-0005-0000-0000-0000D2D30000}"/>
    <cellStyle name="SAPBEXaggData 3 11" xfId="54283" xr:uid="{00000000-0005-0000-0000-0000D3D30000}"/>
    <cellStyle name="SAPBEXaggData 3 12" xfId="54284" xr:uid="{00000000-0005-0000-0000-0000D4D30000}"/>
    <cellStyle name="SAPBEXaggData 3 2" xfId="54285" xr:uid="{00000000-0005-0000-0000-0000D5D30000}"/>
    <cellStyle name="SAPBEXaggData 3 2 2" xfId="54286" xr:uid="{00000000-0005-0000-0000-0000D6D30000}"/>
    <cellStyle name="SAPBEXaggData 3 2 2 2" xfId="54287" xr:uid="{00000000-0005-0000-0000-0000D7D30000}"/>
    <cellStyle name="SAPBEXaggData 3 2 2 2 2" xfId="54288" xr:uid="{00000000-0005-0000-0000-0000D8D30000}"/>
    <cellStyle name="SAPBEXaggData 3 2 2 3" xfId="54289" xr:uid="{00000000-0005-0000-0000-0000D9D30000}"/>
    <cellStyle name="SAPBEXaggData 3 2 2 3 2" xfId="54290" xr:uid="{00000000-0005-0000-0000-0000DAD30000}"/>
    <cellStyle name="SAPBEXaggData 3 2 2 4" xfId="54291" xr:uid="{00000000-0005-0000-0000-0000DBD30000}"/>
    <cellStyle name="SAPBEXaggData 3 2 3" xfId="54292" xr:uid="{00000000-0005-0000-0000-0000DCD30000}"/>
    <cellStyle name="SAPBEXaggData 3 2 3 2" xfId="54293" xr:uid="{00000000-0005-0000-0000-0000DDD30000}"/>
    <cellStyle name="SAPBEXaggData 3 2 3 2 2" xfId="54294" xr:uid="{00000000-0005-0000-0000-0000DED30000}"/>
    <cellStyle name="SAPBEXaggData 3 2 3 3" xfId="54295" xr:uid="{00000000-0005-0000-0000-0000DFD30000}"/>
    <cellStyle name="SAPBEXaggData 3 2 3 3 2" xfId="54296" xr:uid="{00000000-0005-0000-0000-0000E0D30000}"/>
    <cellStyle name="SAPBEXaggData 3 2 3 4" xfId="54297" xr:uid="{00000000-0005-0000-0000-0000E1D30000}"/>
    <cellStyle name="SAPBEXaggData 3 2 4" xfId="54298" xr:uid="{00000000-0005-0000-0000-0000E2D30000}"/>
    <cellStyle name="SAPBEXaggData 3 2 4 2" xfId="54299" xr:uid="{00000000-0005-0000-0000-0000E3D30000}"/>
    <cellStyle name="SAPBEXaggData 3 2 5" xfId="54300" xr:uid="{00000000-0005-0000-0000-0000E4D30000}"/>
    <cellStyle name="SAPBEXaggData 3 2 5 2" xfId="54301" xr:uid="{00000000-0005-0000-0000-0000E5D30000}"/>
    <cellStyle name="SAPBEXaggData 3 2 6" xfId="54302" xr:uid="{00000000-0005-0000-0000-0000E6D30000}"/>
    <cellStyle name="SAPBEXaggData 3 2 7" xfId="54303" xr:uid="{00000000-0005-0000-0000-0000E7D30000}"/>
    <cellStyle name="SAPBEXaggData 3 3" xfId="54304" xr:uid="{00000000-0005-0000-0000-0000E8D30000}"/>
    <cellStyle name="SAPBEXaggData 3 3 2" xfId="54305" xr:uid="{00000000-0005-0000-0000-0000E9D30000}"/>
    <cellStyle name="SAPBEXaggData 3 3 2 2" xfId="54306" xr:uid="{00000000-0005-0000-0000-0000EAD30000}"/>
    <cellStyle name="SAPBEXaggData 3 3 3" xfId="54307" xr:uid="{00000000-0005-0000-0000-0000EBD30000}"/>
    <cellStyle name="SAPBEXaggData 3 3 3 2" xfId="54308" xr:uid="{00000000-0005-0000-0000-0000ECD30000}"/>
    <cellStyle name="SAPBEXaggData 3 3 4" xfId="54309" xr:uid="{00000000-0005-0000-0000-0000EDD30000}"/>
    <cellStyle name="SAPBEXaggData 3 4" xfId="54310" xr:uid="{00000000-0005-0000-0000-0000EED30000}"/>
    <cellStyle name="SAPBEXaggData 3 4 2" xfId="54311" xr:uid="{00000000-0005-0000-0000-0000EFD30000}"/>
    <cellStyle name="SAPBEXaggData 3 4 2 2" xfId="54312" xr:uid="{00000000-0005-0000-0000-0000F0D30000}"/>
    <cellStyle name="SAPBEXaggData 3 4 3" xfId="54313" xr:uid="{00000000-0005-0000-0000-0000F1D30000}"/>
    <cellStyle name="SAPBEXaggData 3 4 3 2" xfId="54314" xr:uid="{00000000-0005-0000-0000-0000F2D30000}"/>
    <cellStyle name="SAPBEXaggData 3 4 4" xfId="54315" xr:uid="{00000000-0005-0000-0000-0000F3D30000}"/>
    <cellStyle name="SAPBEXaggData 3 5" xfId="54316" xr:uid="{00000000-0005-0000-0000-0000F4D30000}"/>
    <cellStyle name="SAPBEXaggData 3 5 2" xfId="54317" xr:uid="{00000000-0005-0000-0000-0000F5D30000}"/>
    <cellStyle name="SAPBEXaggData 3 6" xfId="54318" xr:uid="{00000000-0005-0000-0000-0000F6D30000}"/>
    <cellStyle name="SAPBEXaggData 3 6 2" xfId="54319" xr:uid="{00000000-0005-0000-0000-0000F7D30000}"/>
    <cellStyle name="SAPBEXaggData 3 7" xfId="54320" xr:uid="{00000000-0005-0000-0000-0000F8D30000}"/>
    <cellStyle name="SAPBEXaggData 3 8" xfId="54321" xr:uid="{00000000-0005-0000-0000-0000F9D30000}"/>
    <cellStyle name="SAPBEXaggData 3 9" xfId="54322" xr:uid="{00000000-0005-0000-0000-0000FAD30000}"/>
    <cellStyle name="SAPBEXaggData 4" xfId="54323" xr:uid="{00000000-0005-0000-0000-0000FBD30000}"/>
    <cellStyle name="SAPBEXaggData 4 2" xfId="54324" xr:uid="{00000000-0005-0000-0000-0000FCD30000}"/>
    <cellStyle name="SAPBEXaggData 4 2 2" xfId="54325" xr:uid="{00000000-0005-0000-0000-0000FDD30000}"/>
    <cellStyle name="SAPBEXaggData 4 2 3" xfId="54326" xr:uid="{00000000-0005-0000-0000-0000FED30000}"/>
    <cellStyle name="SAPBEXaggData 4 3" xfId="54327" xr:uid="{00000000-0005-0000-0000-0000FFD30000}"/>
    <cellStyle name="SAPBEXaggData 4 3 2" xfId="54328" xr:uid="{00000000-0005-0000-0000-000000D40000}"/>
    <cellStyle name="SAPBEXaggData 4 4" xfId="54329" xr:uid="{00000000-0005-0000-0000-000001D40000}"/>
    <cellStyle name="SAPBEXaggData 4 5" xfId="54330" xr:uid="{00000000-0005-0000-0000-000002D40000}"/>
    <cellStyle name="SAPBEXaggData 4 6" xfId="54331" xr:uid="{00000000-0005-0000-0000-000003D40000}"/>
    <cellStyle name="SAPBEXaggData 4 7" xfId="54332" xr:uid="{00000000-0005-0000-0000-000004D40000}"/>
    <cellStyle name="SAPBEXaggData 5" xfId="54333" xr:uid="{00000000-0005-0000-0000-000005D40000}"/>
    <cellStyle name="SAPBEXaggData 5 2" xfId="54334" xr:uid="{00000000-0005-0000-0000-000006D40000}"/>
    <cellStyle name="SAPBEXaggData 5 2 2" xfId="54335" xr:uid="{00000000-0005-0000-0000-000007D40000}"/>
    <cellStyle name="SAPBEXaggData 5 2 3" xfId="54336" xr:uid="{00000000-0005-0000-0000-000008D40000}"/>
    <cellStyle name="SAPBEXaggData 5 3" xfId="54337" xr:uid="{00000000-0005-0000-0000-000009D40000}"/>
    <cellStyle name="SAPBEXaggData 5 3 2" xfId="54338" xr:uid="{00000000-0005-0000-0000-00000AD40000}"/>
    <cellStyle name="SAPBEXaggData 5 4" xfId="54339" xr:uid="{00000000-0005-0000-0000-00000BD40000}"/>
    <cellStyle name="SAPBEXaggData 5 5" xfId="54340" xr:uid="{00000000-0005-0000-0000-00000CD40000}"/>
    <cellStyle name="SAPBEXaggData 6" xfId="54341" xr:uid="{00000000-0005-0000-0000-00000DD40000}"/>
    <cellStyle name="SAPBEXaggData 6 2" xfId="54342" xr:uid="{00000000-0005-0000-0000-00000ED40000}"/>
    <cellStyle name="SAPBEXaggData 6 2 2" xfId="54343" xr:uid="{00000000-0005-0000-0000-00000FD40000}"/>
    <cellStyle name="SAPBEXaggData 6 2 3" xfId="54344" xr:uid="{00000000-0005-0000-0000-000010D40000}"/>
    <cellStyle name="SAPBEXaggData 6 3" xfId="54345" xr:uid="{00000000-0005-0000-0000-000011D40000}"/>
    <cellStyle name="SAPBEXaggData 6 3 2" xfId="54346" xr:uid="{00000000-0005-0000-0000-000012D40000}"/>
    <cellStyle name="SAPBEXaggData 6 4" xfId="54347" xr:uid="{00000000-0005-0000-0000-000013D40000}"/>
    <cellStyle name="SAPBEXaggData 6 5" xfId="54348" xr:uid="{00000000-0005-0000-0000-000014D40000}"/>
    <cellStyle name="SAPBEXaggData 6 6" xfId="54349" xr:uid="{00000000-0005-0000-0000-000015D40000}"/>
    <cellStyle name="SAPBEXaggData 6 7" xfId="54350" xr:uid="{00000000-0005-0000-0000-000016D40000}"/>
    <cellStyle name="SAPBEXaggData 7" xfId="54351" xr:uid="{00000000-0005-0000-0000-000017D40000}"/>
    <cellStyle name="SAPBEXaggData 7 2" xfId="54352" xr:uid="{00000000-0005-0000-0000-000018D40000}"/>
    <cellStyle name="SAPBEXaggData 7 2 2" xfId="54353" xr:uid="{00000000-0005-0000-0000-000019D40000}"/>
    <cellStyle name="SAPBEXaggData 7 3" xfId="54354" xr:uid="{00000000-0005-0000-0000-00001AD40000}"/>
    <cellStyle name="SAPBEXaggData 8" xfId="54355" xr:uid="{00000000-0005-0000-0000-00001BD40000}"/>
    <cellStyle name="SAPBEXaggData 8 2" xfId="54356" xr:uid="{00000000-0005-0000-0000-00001CD40000}"/>
    <cellStyle name="SAPBEXaggData 8 3" xfId="54357" xr:uid="{00000000-0005-0000-0000-00001DD40000}"/>
    <cellStyle name="SAPBEXaggData 9" xfId="54358" xr:uid="{00000000-0005-0000-0000-00001ED40000}"/>
    <cellStyle name="SAPBEXaggData 9 2" xfId="54359" xr:uid="{00000000-0005-0000-0000-00001FD40000}"/>
    <cellStyle name="SAPBEXaggData_2010 Balancing account budget upload" xfId="54360" xr:uid="{00000000-0005-0000-0000-000020D40000}"/>
    <cellStyle name="SAPBEXaggDataEmph" xfId="54361" xr:uid="{00000000-0005-0000-0000-000021D40000}"/>
    <cellStyle name="SAPBEXaggDataEmph 10" xfId="54362" xr:uid="{00000000-0005-0000-0000-000022D40000}"/>
    <cellStyle name="SAPBEXaggDataEmph 11" xfId="54363" xr:uid="{00000000-0005-0000-0000-000023D40000}"/>
    <cellStyle name="SAPBEXaggDataEmph 2" xfId="54364" xr:uid="{00000000-0005-0000-0000-000024D40000}"/>
    <cellStyle name="SAPBEXaggDataEmph 2 10" xfId="54365" xr:uid="{00000000-0005-0000-0000-000025D40000}"/>
    <cellStyle name="SAPBEXaggDataEmph 2 2" xfId="54366" xr:uid="{00000000-0005-0000-0000-000026D40000}"/>
    <cellStyle name="SAPBEXaggDataEmph 2 2 2" xfId="54367" xr:uid="{00000000-0005-0000-0000-000027D40000}"/>
    <cellStyle name="SAPBEXaggDataEmph 2 2 2 2" xfId="54368" xr:uid="{00000000-0005-0000-0000-000028D40000}"/>
    <cellStyle name="SAPBEXaggDataEmph 2 2 3" xfId="54369" xr:uid="{00000000-0005-0000-0000-000029D40000}"/>
    <cellStyle name="SAPBEXaggDataEmph 2 2 3 2" xfId="54370" xr:uid="{00000000-0005-0000-0000-00002AD40000}"/>
    <cellStyle name="SAPBEXaggDataEmph 2 2 4" xfId="54371" xr:uid="{00000000-0005-0000-0000-00002BD40000}"/>
    <cellStyle name="SAPBEXaggDataEmph 2 3" xfId="54372" xr:uid="{00000000-0005-0000-0000-00002CD40000}"/>
    <cellStyle name="SAPBEXaggDataEmph 2 3 2" xfId="54373" xr:uid="{00000000-0005-0000-0000-00002DD40000}"/>
    <cellStyle name="SAPBEXaggDataEmph 2 3 2 2" xfId="54374" xr:uid="{00000000-0005-0000-0000-00002ED40000}"/>
    <cellStyle name="SAPBEXaggDataEmph 2 3 3" xfId="54375" xr:uid="{00000000-0005-0000-0000-00002FD40000}"/>
    <cellStyle name="SAPBEXaggDataEmph 2 3 3 2" xfId="54376" xr:uid="{00000000-0005-0000-0000-000030D40000}"/>
    <cellStyle name="SAPBEXaggDataEmph 2 3 4" xfId="54377" xr:uid="{00000000-0005-0000-0000-000031D40000}"/>
    <cellStyle name="SAPBEXaggDataEmph 2 4" xfId="54378" xr:uid="{00000000-0005-0000-0000-000032D40000}"/>
    <cellStyle name="SAPBEXaggDataEmph 2 4 2" xfId="54379" xr:uid="{00000000-0005-0000-0000-000033D40000}"/>
    <cellStyle name="SAPBEXaggDataEmph 2 4 2 2" xfId="54380" xr:uid="{00000000-0005-0000-0000-000034D40000}"/>
    <cellStyle name="SAPBEXaggDataEmph 2 4 3" xfId="54381" xr:uid="{00000000-0005-0000-0000-000035D40000}"/>
    <cellStyle name="SAPBEXaggDataEmph 2 4 3 2" xfId="54382" xr:uid="{00000000-0005-0000-0000-000036D40000}"/>
    <cellStyle name="SAPBEXaggDataEmph 2 4 4" xfId="54383" xr:uid="{00000000-0005-0000-0000-000037D40000}"/>
    <cellStyle name="SAPBEXaggDataEmph 2 5" xfId="54384" xr:uid="{00000000-0005-0000-0000-000038D40000}"/>
    <cellStyle name="SAPBEXaggDataEmph 2 5 2" xfId="54385" xr:uid="{00000000-0005-0000-0000-000039D40000}"/>
    <cellStyle name="SAPBEXaggDataEmph 2 6" xfId="54386" xr:uid="{00000000-0005-0000-0000-00003AD40000}"/>
    <cellStyle name="SAPBEXaggDataEmph 2 6 2" xfId="54387" xr:uid="{00000000-0005-0000-0000-00003BD40000}"/>
    <cellStyle name="SAPBEXaggDataEmph 2 7" xfId="54388" xr:uid="{00000000-0005-0000-0000-00003CD40000}"/>
    <cellStyle name="SAPBEXaggDataEmph 2 8" xfId="54389" xr:uid="{00000000-0005-0000-0000-00003DD40000}"/>
    <cellStyle name="SAPBEXaggDataEmph 2 9" xfId="54390" xr:uid="{00000000-0005-0000-0000-00003ED40000}"/>
    <cellStyle name="SAPBEXaggDataEmph 3" xfId="54391" xr:uid="{00000000-0005-0000-0000-00003FD40000}"/>
    <cellStyle name="SAPBEXaggDataEmph 3 2" xfId="54392" xr:uid="{00000000-0005-0000-0000-000040D40000}"/>
    <cellStyle name="SAPBEXaggDataEmph 3 2 2" xfId="54393" xr:uid="{00000000-0005-0000-0000-000041D40000}"/>
    <cellStyle name="SAPBEXaggDataEmph 3 2 2 2" xfId="54394" xr:uid="{00000000-0005-0000-0000-000042D40000}"/>
    <cellStyle name="SAPBEXaggDataEmph 3 2 2 2 2" xfId="54395" xr:uid="{00000000-0005-0000-0000-000043D40000}"/>
    <cellStyle name="SAPBEXaggDataEmph 3 2 2 3" xfId="54396" xr:uid="{00000000-0005-0000-0000-000044D40000}"/>
    <cellStyle name="SAPBEXaggDataEmph 3 2 2 3 2" xfId="54397" xr:uid="{00000000-0005-0000-0000-000045D40000}"/>
    <cellStyle name="SAPBEXaggDataEmph 3 2 2 4" xfId="54398" xr:uid="{00000000-0005-0000-0000-000046D40000}"/>
    <cellStyle name="SAPBEXaggDataEmph 3 2 3" xfId="54399" xr:uid="{00000000-0005-0000-0000-000047D40000}"/>
    <cellStyle name="SAPBEXaggDataEmph 3 2 3 2" xfId="54400" xr:uid="{00000000-0005-0000-0000-000048D40000}"/>
    <cellStyle name="SAPBEXaggDataEmph 3 2 3 2 2" xfId="54401" xr:uid="{00000000-0005-0000-0000-000049D40000}"/>
    <cellStyle name="SAPBEXaggDataEmph 3 2 3 3" xfId="54402" xr:uid="{00000000-0005-0000-0000-00004AD40000}"/>
    <cellStyle name="SAPBEXaggDataEmph 3 2 3 3 2" xfId="54403" xr:uid="{00000000-0005-0000-0000-00004BD40000}"/>
    <cellStyle name="SAPBEXaggDataEmph 3 2 3 4" xfId="54404" xr:uid="{00000000-0005-0000-0000-00004CD40000}"/>
    <cellStyle name="SAPBEXaggDataEmph 3 2 4" xfId="54405" xr:uid="{00000000-0005-0000-0000-00004DD40000}"/>
    <cellStyle name="SAPBEXaggDataEmph 3 2 4 2" xfId="54406" xr:uid="{00000000-0005-0000-0000-00004ED40000}"/>
    <cellStyle name="SAPBEXaggDataEmph 3 2 5" xfId="54407" xr:uid="{00000000-0005-0000-0000-00004FD40000}"/>
    <cellStyle name="SAPBEXaggDataEmph 3 2 5 2" xfId="54408" xr:uid="{00000000-0005-0000-0000-000050D40000}"/>
    <cellStyle name="SAPBEXaggDataEmph 3 2 6" xfId="54409" xr:uid="{00000000-0005-0000-0000-000051D40000}"/>
    <cellStyle name="SAPBEXaggDataEmph 3 3" xfId="54410" xr:uid="{00000000-0005-0000-0000-000052D40000}"/>
    <cellStyle name="SAPBEXaggDataEmph 3 3 2" xfId="54411" xr:uid="{00000000-0005-0000-0000-000053D40000}"/>
    <cellStyle name="SAPBEXaggDataEmph 3 3 2 2" xfId="54412" xr:uid="{00000000-0005-0000-0000-000054D40000}"/>
    <cellStyle name="SAPBEXaggDataEmph 3 3 3" xfId="54413" xr:uid="{00000000-0005-0000-0000-000055D40000}"/>
    <cellStyle name="SAPBEXaggDataEmph 3 3 3 2" xfId="54414" xr:uid="{00000000-0005-0000-0000-000056D40000}"/>
    <cellStyle name="SAPBEXaggDataEmph 3 3 4" xfId="54415" xr:uid="{00000000-0005-0000-0000-000057D40000}"/>
    <cellStyle name="SAPBEXaggDataEmph 3 4" xfId="54416" xr:uid="{00000000-0005-0000-0000-000058D40000}"/>
    <cellStyle name="SAPBEXaggDataEmph 3 4 2" xfId="54417" xr:uid="{00000000-0005-0000-0000-000059D40000}"/>
    <cellStyle name="SAPBEXaggDataEmph 3 4 2 2" xfId="54418" xr:uid="{00000000-0005-0000-0000-00005AD40000}"/>
    <cellStyle name="SAPBEXaggDataEmph 3 4 3" xfId="54419" xr:uid="{00000000-0005-0000-0000-00005BD40000}"/>
    <cellStyle name="SAPBEXaggDataEmph 3 4 3 2" xfId="54420" xr:uid="{00000000-0005-0000-0000-00005CD40000}"/>
    <cellStyle name="SAPBEXaggDataEmph 3 4 4" xfId="54421" xr:uid="{00000000-0005-0000-0000-00005DD40000}"/>
    <cellStyle name="SAPBEXaggDataEmph 3 5" xfId="54422" xr:uid="{00000000-0005-0000-0000-00005ED40000}"/>
    <cellStyle name="SAPBEXaggDataEmph 3 5 2" xfId="54423" xr:uid="{00000000-0005-0000-0000-00005FD40000}"/>
    <cellStyle name="SAPBEXaggDataEmph 3 6" xfId="54424" xr:uid="{00000000-0005-0000-0000-000060D40000}"/>
    <cellStyle name="SAPBEXaggDataEmph 3 6 2" xfId="54425" xr:uid="{00000000-0005-0000-0000-000061D40000}"/>
    <cellStyle name="SAPBEXaggDataEmph 3 7" xfId="54426" xr:uid="{00000000-0005-0000-0000-000062D40000}"/>
    <cellStyle name="SAPBEXaggDataEmph 3 8" xfId="54427" xr:uid="{00000000-0005-0000-0000-000063D40000}"/>
    <cellStyle name="SAPBEXaggDataEmph 4" xfId="54428" xr:uid="{00000000-0005-0000-0000-000064D40000}"/>
    <cellStyle name="SAPBEXaggDataEmph 4 2" xfId="54429" xr:uid="{00000000-0005-0000-0000-000065D40000}"/>
    <cellStyle name="SAPBEXaggDataEmph 4 2 2" xfId="54430" xr:uid="{00000000-0005-0000-0000-000066D40000}"/>
    <cellStyle name="SAPBEXaggDataEmph 4 3" xfId="54431" xr:uid="{00000000-0005-0000-0000-000067D40000}"/>
    <cellStyle name="SAPBEXaggDataEmph 4 3 2" xfId="54432" xr:uid="{00000000-0005-0000-0000-000068D40000}"/>
    <cellStyle name="SAPBEXaggDataEmph 4 4" xfId="54433" xr:uid="{00000000-0005-0000-0000-000069D40000}"/>
    <cellStyle name="SAPBEXaggDataEmph 5" xfId="54434" xr:uid="{00000000-0005-0000-0000-00006AD40000}"/>
    <cellStyle name="SAPBEXaggDataEmph 5 2" xfId="54435" xr:uid="{00000000-0005-0000-0000-00006BD40000}"/>
    <cellStyle name="SAPBEXaggDataEmph 5 2 2" xfId="54436" xr:uid="{00000000-0005-0000-0000-00006CD40000}"/>
    <cellStyle name="SAPBEXaggDataEmph 5 3" xfId="54437" xr:uid="{00000000-0005-0000-0000-00006DD40000}"/>
    <cellStyle name="SAPBEXaggDataEmph 5 3 2" xfId="54438" xr:uid="{00000000-0005-0000-0000-00006ED40000}"/>
    <cellStyle name="SAPBEXaggDataEmph 5 4" xfId="54439" xr:uid="{00000000-0005-0000-0000-00006FD40000}"/>
    <cellStyle name="SAPBEXaggDataEmph 6" xfId="54440" xr:uid="{00000000-0005-0000-0000-000070D40000}"/>
    <cellStyle name="SAPBEXaggDataEmph 6 2" xfId="54441" xr:uid="{00000000-0005-0000-0000-000071D40000}"/>
    <cellStyle name="SAPBEXaggDataEmph 6 2 2" xfId="54442" xr:uid="{00000000-0005-0000-0000-000072D40000}"/>
    <cellStyle name="SAPBEXaggDataEmph 6 3" xfId="54443" xr:uid="{00000000-0005-0000-0000-000073D40000}"/>
    <cellStyle name="SAPBEXaggDataEmph 6 3 2" xfId="54444" xr:uid="{00000000-0005-0000-0000-000074D40000}"/>
    <cellStyle name="SAPBEXaggDataEmph 6 4" xfId="54445" xr:uid="{00000000-0005-0000-0000-000075D40000}"/>
    <cellStyle name="SAPBEXaggDataEmph 7" xfId="54446" xr:uid="{00000000-0005-0000-0000-000076D40000}"/>
    <cellStyle name="SAPBEXaggDataEmph 7 2" xfId="54447" xr:uid="{00000000-0005-0000-0000-000077D40000}"/>
    <cellStyle name="SAPBEXaggDataEmph 8" xfId="54448" xr:uid="{00000000-0005-0000-0000-000078D40000}"/>
    <cellStyle name="SAPBEXaggDataEmph 8 2" xfId="54449" xr:uid="{00000000-0005-0000-0000-000079D40000}"/>
    <cellStyle name="SAPBEXaggDataEmph 9" xfId="54450" xr:uid="{00000000-0005-0000-0000-00007AD40000}"/>
    <cellStyle name="SAPBEXaggDataEmph 9 2" xfId="54451" xr:uid="{00000000-0005-0000-0000-00007BD40000}"/>
    <cellStyle name="SAPBEXaggExc1" xfId="54452" xr:uid="{00000000-0005-0000-0000-00007CD40000}"/>
    <cellStyle name="SAPBEXaggExc1 2" xfId="54453" xr:uid="{00000000-0005-0000-0000-00007DD40000}"/>
    <cellStyle name="SAPBEXaggExc1 2 2" xfId="54454" xr:uid="{00000000-0005-0000-0000-00007ED40000}"/>
    <cellStyle name="SAPBEXaggExc1 3" xfId="54455" xr:uid="{00000000-0005-0000-0000-00007FD40000}"/>
    <cellStyle name="SAPBEXaggExc1Emph" xfId="54456" xr:uid="{00000000-0005-0000-0000-000080D40000}"/>
    <cellStyle name="SAPBEXaggExc1Emph 2" xfId="54457" xr:uid="{00000000-0005-0000-0000-000081D40000}"/>
    <cellStyle name="SAPBEXaggExc1Emph 2 2" xfId="54458" xr:uid="{00000000-0005-0000-0000-000082D40000}"/>
    <cellStyle name="SAPBEXaggExc1Emph 3" xfId="54459" xr:uid="{00000000-0005-0000-0000-000083D40000}"/>
    <cellStyle name="SAPBEXaggExc2" xfId="54460" xr:uid="{00000000-0005-0000-0000-000084D40000}"/>
    <cellStyle name="SAPBEXaggExc2 2" xfId="54461" xr:uid="{00000000-0005-0000-0000-000085D40000}"/>
    <cellStyle name="SAPBEXaggExc2 2 2" xfId="54462" xr:uid="{00000000-0005-0000-0000-000086D40000}"/>
    <cellStyle name="SAPBEXaggExc2 3" xfId="54463" xr:uid="{00000000-0005-0000-0000-000087D40000}"/>
    <cellStyle name="SAPBEXaggExc2Emph" xfId="54464" xr:uid="{00000000-0005-0000-0000-000088D40000}"/>
    <cellStyle name="SAPBEXaggExc2Emph 2" xfId="54465" xr:uid="{00000000-0005-0000-0000-000089D40000}"/>
    <cellStyle name="SAPBEXaggExc2Emph 2 2" xfId="54466" xr:uid="{00000000-0005-0000-0000-00008AD40000}"/>
    <cellStyle name="SAPBEXaggExc2Emph 3" xfId="54467" xr:uid="{00000000-0005-0000-0000-00008BD40000}"/>
    <cellStyle name="SAPBEXaggItem" xfId="54468" xr:uid="{00000000-0005-0000-0000-00008CD40000}"/>
    <cellStyle name="SAPBEXaggItem 10" xfId="54469" xr:uid="{00000000-0005-0000-0000-00008DD40000}"/>
    <cellStyle name="SAPBEXaggItem 11" xfId="54470" xr:uid="{00000000-0005-0000-0000-00008ED40000}"/>
    <cellStyle name="SAPBEXaggItem 2" xfId="54471" xr:uid="{00000000-0005-0000-0000-00008FD40000}"/>
    <cellStyle name="SAPBEXaggItem 2 2" xfId="54472" xr:uid="{00000000-0005-0000-0000-000090D40000}"/>
    <cellStyle name="SAPBEXaggItem 2 2 2" xfId="54473" xr:uid="{00000000-0005-0000-0000-000091D40000}"/>
    <cellStyle name="SAPBEXaggItem 2 2 2 2" xfId="54474" xr:uid="{00000000-0005-0000-0000-000092D40000}"/>
    <cellStyle name="SAPBEXaggItem 2 2 2 3" xfId="54475" xr:uid="{00000000-0005-0000-0000-000093D40000}"/>
    <cellStyle name="SAPBEXaggItem 2 2 3" xfId="54476" xr:uid="{00000000-0005-0000-0000-000094D40000}"/>
    <cellStyle name="SAPBEXaggItem 2 2 3 2" xfId="54477" xr:uid="{00000000-0005-0000-0000-000095D40000}"/>
    <cellStyle name="SAPBEXaggItem 2 2 4" xfId="54478" xr:uid="{00000000-0005-0000-0000-000096D40000}"/>
    <cellStyle name="SAPBEXaggItem 2 2 5" xfId="54479" xr:uid="{00000000-0005-0000-0000-000097D40000}"/>
    <cellStyle name="SAPBEXaggItem 2 3" xfId="54480" xr:uid="{00000000-0005-0000-0000-000098D40000}"/>
    <cellStyle name="SAPBEXaggItem 2 3 2" xfId="54481" xr:uid="{00000000-0005-0000-0000-000099D40000}"/>
    <cellStyle name="SAPBEXaggItem 2 3 2 2" xfId="54482" xr:uid="{00000000-0005-0000-0000-00009AD40000}"/>
    <cellStyle name="SAPBEXaggItem 2 3 2 3" xfId="54483" xr:uid="{00000000-0005-0000-0000-00009BD40000}"/>
    <cellStyle name="SAPBEXaggItem 2 3 3" xfId="54484" xr:uid="{00000000-0005-0000-0000-00009CD40000}"/>
    <cellStyle name="SAPBEXaggItem 2 3 3 2" xfId="54485" xr:uid="{00000000-0005-0000-0000-00009DD40000}"/>
    <cellStyle name="SAPBEXaggItem 2 3 4" xfId="54486" xr:uid="{00000000-0005-0000-0000-00009ED40000}"/>
    <cellStyle name="SAPBEXaggItem 2 3 5" xfId="54487" xr:uid="{00000000-0005-0000-0000-00009FD40000}"/>
    <cellStyle name="SAPBEXaggItem 2 4" xfId="54488" xr:uid="{00000000-0005-0000-0000-0000A0D40000}"/>
    <cellStyle name="SAPBEXaggItem 2 4 2" xfId="54489" xr:uid="{00000000-0005-0000-0000-0000A1D40000}"/>
    <cellStyle name="SAPBEXaggItem 2 4 2 2" xfId="54490" xr:uid="{00000000-0005-0000-0000-0000A2D40000}"/>
    <cellStyle name="SAPBEXaggItem 2 4 2 3" xfId="54491" xr:uid="{00000000-0005-0000-0000-0000A3D40000}"/>
    <cellStyle name="SAPBEXaggItem 2 4 3" xfId="54492" xr:uid="{00000000-0005-0000-0000-0000A4D40000}"/>
    <cellStyle name="SAPBEXaggItem 2 4 3 2" xfId="54493" xr:uid="{00000000-0005-0000-0000-0000A5D40000}"/>
    <cellStyle name="SAPBEXaggItem 2 4 4" xfId="54494" xr:uid="{00000000-0005-0000-0000-0000A6D40000}"/>
    <cellStyle name="SAPBEXaggItem 2 4 5" xfId="54495" xr:uid="{00000000-0005-0000-0000-0000A7D40000}"/>
    <cellStyle name="SAPBEXaggItem 2 5" xfId="54496" xr:uid="{00000000-0005-0000-0000-0000A8D40000}"/>
    <cellStyle name="SAPBEXaggItem 2 5 2" xfId="54497" xr:uid="{00000000-0005-0000-0000-0000A9D40000}"/>
    <cellStyle name="SAPBEXaggItem 2 5 2 2" xfId="54498" xr:uid="{00000000-0005-0000-0000-0000AAD40000}"/>
    <cellStyle name="SAPBEXaggItem 2 5 3" xfId="54499" xr:uid="{00000000-0005-0000-0000-0000ABD40000}"/>
    <cellStyle name="SAPBEXaggItem 2 6" xfId="54500" xr:uid="{00000000-0005-0000-0000-0000ACD40000}"/>
    <cellStyle name="SAPBEXaggItem 2 6 2" xfId="54501" xr:uid="{00000000-0005-0000-0000-0000ADD40000}"/>
    <cellStyle name="SAPBEXaggItem 2 6 2 2" xfId="54502" xr:uid="{00000000-0005-0000-0000-0000AED40000}"/>
    <cellStyle name="SAPBEXaggItem 2 6 3" xfId="54503" xr:uid="{00000000-0005-0000-0000-0000AFD40000}"/>
    <cellStyle name="SAPBEXaggItem 2 7" xfId="54504" xr:uid="{00000000-0005-0000-0000-0000B0D40000}"/>
    <cellStyle name="SAPBEXaggItem 2 7 2" xfId="54505" xr:uid="{00000000-0005-0000-0000-0000B1D40000}"/>
    <cellStyle name="SAPBEXaggItem 2 7 3" xfId="54506" xr:uid="{00000000-0005-0000-0000-0000B2D40000}"/>
    <cellStyle name="SAPBEXaggItem 2 8" xfId="54507" xr:uid="{00000000-0005-0000-0000-0000B3D40000}"/>
    <cellStyle name="SAPBEXaggItem 2 8 2" xfId="54508" xr:uid="{00000000-0005-0000-0000-0000B4D40000}"/>
    <cellStyle name="SAPBEXaggItem 3" xfId="54509" xr:uid="{00000000-0005-0000-0000-0000B5D40000}"/>
    <cellStyle name="SAPBEXaggItem 3 10" xfId="54510" xr:uid="{00000000-0005-0000-0000-0000B6D40000}"/>
    <cellStyle name="SAPBEXaggItem 3 11" xfId="54511" xr:uid="{00000000-0005-0000-0000-0000B7D40000}"/>
    <cellStyle name="SAPBEXaggItem 3 12" xfId="54512" xr:uid="{00000000-0005-0000-0000-0000B8D40000}"/>
    <cellStyle name="SAPBEXaggItem 3 2" xfId="54513" xr:uid="{00000000-0005-0000-0000-0000B9D40000}"/>
    <cellStyle name="SAPBEXaggItem 3 2 2" xfId="54514" xr:uid="{00000000-0005-0000-0000-0000BAD40000}"/>
    <cellStyle name="SAPBEXaggItem 3 2 2 2" xfId="54515" xr:uid="{00000000-0005-0000-0000-0000BBD40000}"/>
    <cellStyle name="SAPBEXaggItem 3 2 2 2 2" xfId="54516" xr:uid="{00000000-0005-0000-0000-0000BCD40000}"/>
    <cellStyle name="SAPBEXaggItem 3 2 2 3" xfId="54517" xr:uid="{00000000-0005-0000-0000-0000BDD40000}"/>
    <cellStyle name="SAPBEXaggItem 3 2 2 3 2" xfId="54518" xr:uid="{00000000-0005-0000-0000-0000BED40000}"/>
    <cellStyle name="SAPBEXaggItem 3 2 2 4" xfId="54519" xr:uid="{00000000-0005-0000-0000-0000BFD40000}"/>
    <cellStyle name="SAPBEXaggItem 3 2 3" xfId="54520" xr:uid="{00000000-0005-0000-0000-0000C0D40000}"/>
    <cellStyle name="SAPBEXaggItem 3 2 3 2" xfId="54521" xr:uid="{00000000-0005-0000-0000-0000C1D40000}"/>
    <cellStyle name="SAPBEXaggItem 3 2 3 2 2" xfId="54522" xr:uid="{00000000-0005-0000-0000-0000C2D40000}"/>
    <cellStyle name="SAPBEXaggItem 3 2 3 3" xfId="54523" xr:uid="{00000000-0005-0000-0000-0000C3D40000}"/>
    <cellStyle name="SAPBEXaggItem 3 2 3 3 2" xfId="54524" xr:uid="{00000000-0005-0000-0000-0000C4D40000}"/>
    <cellStyle name="SAPBEXaggItem 3 2 3 4" xfId="54525" xr:uid="{00000000-0005-0000-0000-0000C5D40000}"/>
    <cellStyle name="SAPBEXaggItem 3 2 4" xfId="54526" xr:uid="{00000000-0005-0000-0000-0000C6D40000}"/>
    <cellStyle name="SAPBEXaggItem 3 2 4 2" xfId="54527" xr:uid="{00000000-0005-0000-0000-0000C7D40000}"/>
    <cellStyle name="SAPBEXaggItem 3 2 5" xfId="54528" xr:uid="{00000000-0005-0000-0000-0000C8D40000}"/>
    <cellStyle name="SAPBEXaggItem 3 2 5 2" xfId="54529" xr:uid="{00000000-0005-0000-0000-0000C9D40000}"/>
    <cellStyle name="SAPBEXaggItem 3 2 6" xfId="54530" xr:uid="{00000000-0005-0000-0000-0000CAD40000}"/>
    <cellStyle name="SAPBEXaggItem 3 2 7" xfId="54531" xr:uid="{00000000-0005-0000-0000-0000CBD40000}"/>
    <cellStyle name="SAPBEXaggItem 3 3" xfId="54532" xr:uid="{00000000-0005-0000-0000-0000CCD40000}"/>
    <cellStyle name="SAPBEXaggItem 3 3 2" xfId="54533" xr:uid="{00000000-0005-0000-0000-0000CDD40000}"/>
    <cellStyle name="SAPBEXaggItem 3 3 2 2" xfId="54534" xr:uid="{00000000-0005-0000-0000-0000CED40000}"/>
    <cellStyle name="SAPBEXaggItem 3 3 3" xfId="54535" xr:uid="{00000000-0005-0000-0000-0000CFD40000}"/>
    <cellStyle name="SAPBEXaggItem 3 3 3 2" xfId="54536" xr:uid="{00000000-0005-0000-0000-0000D0D40000}"/>
    <cellStyle name="SAPBEXaggItem 3 3 4" xfId="54537" xr:uid="{00000000-0005-0000-0000-0000D1D40000}"/>
    <cellStyle name="SAPBEXaggItem 3 4" xfId="54538" xr:uid="{00000000-0005-0000-0000-0000D2D40000}"/>
    <cellStyle name="SAPBEXaggItem 3 4 2" xfId="54539" xr:uid="{00000000-0005-0000-0000-0000D3D40000}"/>
    <cellStyle name="SAPBEXaggItem 3 4 2 2" xfId="54540" xr:uid="{00000000-0005-0000-0000-0000D4D40000}"/>
    <cellStyle name="SAPBEXaggItem 3 4 3" xfId="54541" xr:uid="{00000000-0005-0000-0000-0000D5D40000}"/>
    <cellStyle name="SAPBEXaggItem 3 4 3 2" xfId="54542" xr:uid="{00000000-0005-0000-0000-0000D6D40000}"/>
    <cellStyle name="SAPBEXaggItem 3 4 4" xfId="54543" xr:uid="{00000000-0005-0000-0000-0000D7D40000}"/>
    <cellStyle name="SAPBEXaggItem 3 5" xfId="54544" xr:uid="{00000000-0005-0000-0000-0000D8D40000}"/>
    <cellStyle name="SAPBEXaggItem 3 5 2" xfId="54545" xr:uid="{00000000-0005-0000-0000-0000D9D40000}"/>
    <cellStyle name="SAPBEXaggItem 3 6" xfId="54546" xr:uid="{00000000-0005-0000-0000-0000DAD40000}"/>
    <cellStyle name="SAPBEXaggItem 3 6 2" xfId="54547" xr:uid="{00000000-0005-0000-0000-0000DBD40000}"/>
    <cellStyle name="SAPBEXaggItem 3 7" xfId="54548" xr:uid="{00000000-0005-0000-0000-0000DCD40000}"/>
    <cellStyle name="SAPBEXaggItem 3 8" xfId="54549" xr:uid="{00000000-0005-0000-0000-0000DDD40000}"/>
    <cellStyle name="SAPBEXaggItem 3 9" xfId="54550" xr:uid="{00000000-0005-0000-0000-0000DED40000}"/>
    <cellStyle name="SAPBEXaggItem 4" xfId="54551" xr:uid="{00000000-0005-0000-0000-0000DFD40000}"/>
    <cellStyle name="SAPBEXaggItem 4 2" xfId="54552" xr:uid="{00000000-0005-0000-0000-0000E0D40000}"/>
    <cellStyle name="SAPBEXaggItem 4 2 2" xfId="54553" xr:uid="{00000000-0005-0000-0000-0000E1D40000}"/>
    <cellStyle name="SAPBEXaggItem 4 2 3" xfId="54554" xr:uid="{00000000-0005-0000-0000-0000E2D40000}"/>
    <cellStyle name="SAPBEXaggItem 4 3" xfId="54555" xr:uid="{00000000-0005-0000-0000-0000E3D40000}"/>
    <cellStyle name="SAPBEXaggItem 4 3 2" xfId="54556" xr:uid="{00000000-0005-0000-0000-0000E4D40000}"/>
    <cellStyle name="SAPBEXaggItem 4 4" xfId="54557" xr:uid="{00000000-0005-0000-0000-0000E5D40000}"/>
    <cellStyle name="SAPBEXaggItem 4 5" xfId="54558" xr:uid="{00000000-0005-0000-0000-0000E6D40000}"/>
    <cellStyle name="SAPBEXaggItem 4 6" xfId="54559" xr:uid="{00000000-0005-0000-0000-0000E7D40000}"/>
    <cellStyle name="SAPBEXaggItem 4 7" xfId="54560" xr:uid="{00000000-0005-0000-0000-0000E8D40000}"/>
    <cellStyle name="SAPBEXaggItem 5" xfId="54561" xr:uid="{00000000-0005-0000-0000-0000E9D40000}"/>
    <cellStyle name="SAPBEXaggItem 5 2" xfId="54562" xr:uid="{00000000-0005-0000-0000-0000EAD40000}"/>
    <cellStyle name="SAPBEXaggItem 5 2 2" xfId="54563" xr:uid="{00000000-0005-0000-0000-0000EBD40000}"/>
    <cellStyle name="SAPBEXaggItem 5 2 3" xfId="54564" xr:uid="{00000000-0005-0000-0000-0000ECD40000}"/>
    <cellStyle name="SAPBEXaggItem 5 3" xfId="54565" xr:uid="{00000000-0005-0000-0000-0000EDD40000}"/>
    <cellStyle name="SAPBEXaggItem 5 3 2" xfId="54566" xr:uid="{00000000-0005-0000-0000-0000EED40000}"/>
    <cellStyle name="SAPBEXaggItem 5 4" xfId="54567" xr:uid="{00000000-0005-0000-0000-0000EFD40000}"/>
    <cellStyle name="SAPBEXaggItem 5 5" xfId="54568" xr:uid="{00000000-0005-0000-0000-0000F0D40000}"/>
    <cellStyle name="SAPBEXaggItem 6" xfId="54569" xr:uid="{00000000-0005-0000-0000-0000F1D40000}"/>
    <cellStyle name="SAPBEXaggItem 6 2" xfId="54570" xr:uid="{00000000-0005-0000-0000-0000F2D40000}"/>
    <cellStyle name="SAPBEXaggItem 6 2 2" xfId="54571" xr:uid="{00000000-0005-0000-0000-0000F3D40000}"/>
    <cellStyle name="SAPBEXaggItem 6 2 3" xfId="54572" xr:uid="{00000000-0005-0000-0000-0000F4D40000}"/>
    <cellStyle name="SAPBEXaggItem 6 3" xfId="54573" xr:uid="{00000000-0005-0000-0000-0000F5D40000}"/>
    <cellStyle name="SAPBEXaggItem 6 3 2" xfId="54574" xr:uid="{00000000-0005-0000-0000-0000F6D40000}"/>
    <cellStyle name="SAPBEXaggItem 6 4" xfId="54575" xr:uid="{00000000-0005-0000-0000-0000F7D40000}"/>
    <cellStyle name="SAPBEXaggItem 6 5" xfId="54576" xr:uid="{00000000-0005-0000-0000-0000F8D40000}"/>
    <cellStyle name="SAPBEXaggItem 6 6" xfId="54577" xr:uid="{00000000-0005-0000-0000-0000F9D40000}"/>
    <cellStyle name="SAPBEXaggItem 6 7" xfId="54578" xr:uid="{00000000-0005-0000-0000-0000FAD40000}"/>
    <cellStyle name="SAPBEXaggItem 7" xfId="54579" xr:uid="{00000000-0005-0000-0000-0000FBD40000}"/>
    <cellStyle name="SAPBEXaggItem 7 2" xfId="54580" xr:uid="{00000000-0005-0000-0000-0000FCD40000}"/>
    <cellStyle name="SAPBEXaggItem 7 2 2" xfId="54581" xr:uid="{00000000-0005-0000-0000-0000FDD40000}"/>
    <cellStyle name="SAPBEXaggItem 7 3" xfId="54582" xr:uid="{00000000-0005-0000-0000-0000FED40000}"/>
    <cellStyle name="SAPBEXaggItem 8" xfId="54583" xr:uid="{00000000-0005-0000-0000-0000FFD40000}"/>
    <cellStyle name="SAPBEXaggItem 8 2" xfId="54584" xr:uid="{00000000-0005-0000-0000-000000D50000}"/>
    <cellStyle name="SAPBEXaggItem 8 3" xfId="54585" xr:uid="{00000000-0005-0000-0000-000001D50000}"/>
    <cellStyle name="SAPBEXaggItem 9" xfId="54586" xr:uid="{00000000-0005-0000-0000-000002D50000}"/>
    <cellStyle name="SAPBEXaggItem 9 2" xfId="54587" xr:uid="{00000000-0005-0000-0000-000003D50000}"/>
    <cellStyle name="SAPBEXaggItem_2010 Balancing account budget upload" xfId="54588" xr:uid="{00000000-0005-0000-0000-000004D50000}"/>
    <cellStyle name="SAPBEXaggItemX" xfId="54589" xr:uid="{00000000-0005-0000-0000-000005D50000}"/>
    <cellStyle name="SAPBEXaggItemX 10" xfId="54590" xr:uid="{00000000-0005-0000-0000-000006D50000}"/>
    <cellStyle name="SAPBEXaggItemX 10 2" xfId="54591" xr:uid="{00000000-0005-0000-0000-000007D50000}"/>
    <cellStyle name="SAPBEXaggItemX 11" xfId="54592" xr:uid="{00000000-0005-0000-0000-000008D50000}"/>
    <cellStyle name="SAPBEXaggItemX 11 2" xfId="54593" xr:uid="{00000000-0005-0000-0000-000009D50000}"/>
    <cellStyle name="SAPBEXaggItemX 12" xfId="54594" xr:uid="{00000000-0005-0000-0000-00000AD50000}"/>
    <cellStyle name="SAPBEXaggItemX 13" xfId="54595" xr:uid="{00000000-0005-0000-0000-00000BD50000}"/>
    <cellStyle name="SAPBEXaggItemX 14" xfId="54596" xr:uid="{00000000-0005-0000-0000-00000CD50000}"/>
    <cellStyle name="SAPBEXaggItemX 2" xfId="54597" xr:uid="{00000000-0005-0000-0000-00000DD50000}"/>
    <cellStyle name="SAPBEXaggItemX 2 10" xfId="54598" xr:uid="{00000000-0005-0000-0000-00000ED50000}"/>
    <cellStyle name="SAPBEXaggItemX 2 11" xfId="54599" xr:uid="{00000000-0005-0000-0000-00000FD50000}"/>
    <cellStyle name="SAPBEXaggItemX 2 12" xfId="54600" xr:uid="{00000000-0005-0000-0000-000010D50000}"/>
    <cellStyle name="SAPBEXaggItemX 2 13" xfId="54601" xr:uid="{00000000-0005-0000-0000-000011D50000}"/>
    <cellStyle name="SAPBEXaggItemX 2 2" xfId="54602" xr:uid="{00000000-0005-0000-0000-000012D50000}"/>
    <cellStyle name="SAPBEXaggItemX 2 2 2" xfId="54603" xr:uid="{00000000-0005-0000-0000-000013D50000}"/>
    <cellStyle name="SAPBEXaggItemX 2 2 2 2" xfId="54604" xr:uid="{00000000-0005-0000-0000-000014D50000}"/>
    <cellStyle name="SAPBEXaggItemX 2 2 2 2 2" xfId="54605" xr:uid="{00000000-0005-0000-0000-000015D50000}"/>
    <cellStyle name="SAPBEXaggItemX 2 2 2 3" xfId="54606" xr:uid="{00000000-0005-0000-0000-000016D50000}"/>
    <cellStyle name="SAPBEXaggItemX 2 2 2 3 2" xfId="54607" xr:uid="{00000000-0005-0000-0000-000017D50000}"/>
    <cellStyle name="SAPBEXaggItemX 2 2 2 4" xfId="54608" xr:uid="{00000000-0005-0000-0000-000018D50000}"/>
    <cellStyle name="SAPBEXaggItemX 2 2 2 5" xfId="54609" xr:uid="{00000000-0005-0000-0000-000019D50000}"/>
    <cellStyle name="SAPBEXaggItemX 2 2 2 6" xfId="54610" xr:uid="{00000000-0005-0000-0000-00001AD50000}"/>
    <cellStyle name="SAPBEXaggItemX 2 2 3" xfId="54611" xr:uid="{00000000-0005-0000-0000-00001BD50000}"/>
    <cellStyle name="SAPBEXaggItemX 2 2 3 2" xfId="54612" xr:uid="{00000000-0005-0000-0000-00001CD50000}"/>
    <cellStyle name="SAPBEXaggItemX 2 2 3 2 2" xfId="54613" xr:uid="{00000000-0005-0000-0000-00001DD50000}"/>
    <cellStyle name="SAPBEXaggItemX 2 2 3 3" xfId="54614" xr:uid="{00000000-0005-0000-0000-00001ED50000}"/>
    <cellStyle name="SAPBEXaggItemX 2 2 3 3 2" xfId="54615" xr:uid="{00000000-0005-0000-0000-00001FD50000}"/>
    <cellStyle name="SAPBEXaggItemX 2 2 3 4" xfId="54616" xr:uid="{00000000-0005-0000-0000-000020D50000}"/>
    <cellStyle name="SAPBEXaggItemX 2 2 4" xfId="54617" xr:uid="{00000000-0005-0000-0000-000021D50000}"/>
    <cellStyle name="SAPBEXaggItemX 2 2 4 2" xfId="54618" xr:uid="{00000000-0005-0000-0000-000022D50000}"/>
    <cellStyle name="SAPBEXaggItemX 2 2 5" xfId="54619" xr:uid="{00000000-0005-0000-0000-000023D50000}"/>
    <cellStyle name="SAPBEXaggItemX 2 2 5 2" xfId="54620" xr:uid="{00000000-0005-0000-0000-000024D50000}"/>
    <cellStyle name="SAPBEXaggItemX 2 2 6" xfId="54621" xr:uid="{00000000-0005-0000-0000-000025D50000}"/>
    <cellStyle name="SAPBEXaggItemX 2 2 6 2" xfId="54622" xr:uid="{00000000-0005-0000-0000-000026D50000}"/>
    <cellStyle name="SAPBEXaggItemX 2 2 7" xfId="54623" xr:uid="{00000000-0005-0000-0000-000027D50000}"/>
    <cellStyle name="SAPBEXaggItemX 2 2 8" xfId="54624" xr:uid="{00000000-0005-0000-0000-000028D50000}"/>
    <cellStyle name="SAPBEXaggItemX 2 2 9" xfId="54625" xr:uid="{00000000-0005-0000-0000-000029D50000}"/>
    <cellStyle name="SAPBEXaggItemX 2 3" xfId="54626" xr:uid="{00000000-0005-0000-0000-00002AD50000}"/>
    <cellStyle name="SAPBEXaggItemX 2 3 2" xfId="54627" xr:uid="{00000000-0005-0000-0000-00002BD50000}"/>
    <cellStyle name="SAPBEXaggItemX 2 3 2 2" xfId="54628" xr:uid="{00000000-0005-0000-0000-00002CD50000}"/>
    <cellStyle name="SAPBEXaggItemX 2 3 3" xfId="54629" xr:uid="{00000000-0005-0000-0000-00002DD50000}"/>
    <cellStyle name="SAPBEXaggItemX 2 3 3 2" xfId="54630" xr:uid="{00000000-0005-0000-0000-00002ED50000}"/>
    <cellStyle name="SAPBEXaggItemX 2 3 4" xfId="54631" xr:uid="{00000000-0005-0000-0000-00002FD50000}"/>
    <cellStyle name="SAPBEXaggItemX 2 3 4 2" xfId="54632" xr:uid="{00000000-0005-0000-0000-000030D50000}"/>
    <cellStyle name="SAPBEXaggItemX 2 3 5" xfId="54633" xr:uid="{00000000-0005-0000-0000-000031D50000}"/>
    <cellStyle name="SAPBEXaggItemX 2 3 6" xfId="54634" xr:uid="{00000000-0005-0000-0000-000032D50000}"/>
    <cellStyle name="SAPBEXaggItemX 2 3 7" xfId="54635" xr:uid="{00000000-0005-0000-0000-000033D50000}"/>
    <cellStyle name="SAPBEXaggItemX 2 4" xfId="54636" xr:uid="{00000000-0005-0000-0000-000034D50000}"/>
    <cellStyle name="SAPBEXaggItemX 2 4 2" xfId="54637" xr:uid="{00000000-0005-0000-0000-000035D50000}"/>
    <cellStyle name="SAPBEXaggItemX 2 4 2 2" xfId="54638" xr:uid="{00000000-0005-0000-0000-000036D50000}"/>
    <cellStyle name="SAPBEXaggItemX 2 4 3" xfId="54639" xr:uid="{00000000-0005-0000-0000-000037D50000}"/>
    <cellStyle name="SAPBEXaggItemX 2 4 3 2" xfId="54640" xr:uid="{00000000-0005-0000-0000-000038D50000}"/>
    <cellStyle name="SAPBEXaggItemX 2 4 4" xfId="54641" xr:uid="{00000000-0005-0000-0000-000039D50000}"/>
    <cellStyle name="SAPBEXaggItemX 2 5" xfId="54642" xr:uid="{00000000-0005-0000-0000-00003AD50000}"/>
    <cellStyle name="SAPBEXaggItemX 2 5 2" xfId="54643" xr:uid="{00000000-0005-0000-0000-00003BD50000}"/>
    <cellStyle name="SAPBEXaggItemX 2 5 2 2" xfId="54644" xr:uid="{00000000-0005-0000-0000-00003CD50000}"/>
    <cellStyle name="SAPBEXaggItemX 2 5 3" xfId="54645" xr:uid="{00000000-0005-0000-0000-00003DD50000}"/>
    <cellStyle name="SAPBEXaggItemX 2 5 3 2" xfId="54646" xr:uid="{00000000-0005-0000-0000-00003ED50000}"/>
    <cellStyle name="SAPBEXaggItemX 2 5 4" xfId="54647" xr:uid="{00000000-0005-0000-0000-00003FD50000}"/>
    <cellStyle name="SAPBEXaggItemX 2 6" xfId="54648" xr:uid="{00000000-0005-0000-0000-000040D50000}"/>
    <cellStyle name="SAPBEXaggItemX 2 6 2" xfId="54649" xr:uid="{00000000-0005-0000-0000-000041D50000}"/>
    <cellStyle name="SAPBEXaggItemX 2 7" xfId="54650" xr:uid="{00000000-0005-0000-0000-000042D50000}"/>
    <cellStyle name="SAPBEXaggItemX 2 7 2" xfId="54651" xr:uid="{00000000-0005-0000-0000-000043D50000}"/>
    <cellStyle name="SAPBEXaggItemX 2 8" xfId="54652" xr:uid="{00000000-0005-0000-0000-000044D50000}"/>
    <cellStyle name="SAPBEXaggItemX 2 8 2" xfId="54653" xr:uid="{00000000-0005-0000-0000-000045D50000}"/>
    <cellStyle name="SAPBEXaggItemX 2 9" xfId="54654" xr:uid="{00000000-0005-0000-0000-000046D50000}"/>
    <cellStyle name="SAPBEXaggItemX 2 9 2" xfId="54655" xr:uid="{00000000-0005-0000-0000-000047D50000}"/>
    <cellStyle name="SAPBEXaggItemX 3" xfId="54656" xr:uid="{00000000-0005-0000-0000-000048D50000}"/>
    <cellStyle name="SAPBEXaggItemX 3 2" xfId="54657" xr:uid="{00000000-0005-0000-0000-000049D50000}"/>
    <cellStyle name="SAPBEXaggItemX 3 2 2" xfId="54658" xr:uid="{00000000-0005-0000-0000-00004AD50000}"/>
    <cellStyle name="SAPBEXaggItemX 3 2 2 2" xfId="54659" xr:uid="{00000000-0005-0000-0000-00004BD50000}"/>
    <cellStyle name="SAPBEXaggItemX 3 2 2 2 2" xfId="54660" xr:uid="{00000000-0005-0000-0000-00004CD50000}"/>
    <cellStyle name="SAPBEXaggItemX 3 2 2 3" xfId="54661" xr:uid="{00000000-0005-0000-0000-00004DD50000}"/>
    <cellStyle name="SAPBEXaggItemX 3 2 2 3 2" xfId="54662" xr:uid="{00000000-0005-0000-0000-00004ED50000}"/>
    <cellStyle name="SAPBEXaggItemX 3 2 2 4" xfId="54663" xr:uid="{00000000-0005-0000-0000-00004FD50000}"/>
    <cellStyle name="SAPBEXaggItemX 3 2 3" xfId="54664" xr:uid="{00000000-0005-0000-0000-000050D50000}"/>
    <cellStyle name="SAPBEXaggItemX 3 2 3 2" xfId="54665" xr:uid="{00000000-0005-0000-0000-000051D50000}"/>
    <cellStyle name="SAPBEXaggItemX 3 2 3 2 2" xfId="54666" xr:uid="{00000000-0005-0000-0000-000052D50000}"/>
    <cellStyle name="SAPBEXaggItemX 3 2 3 3" xfId="54667" xr:uid="{00000000-0005-0000-0000-000053D50000}"/>
    <cellStyle name="SAPBEXaggItemX 3 2 3 3 2" xfId="54668" xr:uid="{00000000-0005-0000-0000-000054D50000}"/>
    <cellStyle name="SAPBEXaggItemX 3 2 3 4" xfId="54669" xr:uid="{00000000-0005-0000-0000-000055D50000}"/>
    <cellStyle name="SAPBEXaggItemX 3 2 4" xfId="54670" xr:uid="{00000000-0005-0000-0000-000056D50000}"/>
    <cellStyle name="SAPBEXaggItemX 3 2 4 2" xfId="54671" xr:uid="{00000000-0005-0000-0000-000057D50000}"/>
    <cellStyle name="SAPBEXaggItemX 3 2 5" xfId="54672" xr:uid="{00000000-0005-0000-0000-000058D50000}"/>
    <cellStyle name="SAPBEXaggItemX 3 2 5 2" xfId="54673" xr:uid="{00000000-0005-0000-0000-000059D50000}"/>
    <cellStyle name="SAPBEXaggItemX 3 2 6" xfId="54674" xr:uid="{00000000-0005-0000-0000-00005AD50000}"/>
    <cellStyle name="SAPBEXaggItemX 3 2 6 2" xfId="54675" xr:uid="{00000000-0005-0000-0000-00005BD50000}"/>
    <cellStyle name="SAPBEXaggItemX 3 2 7" xfId="54676" xr:uid="{00000000-0005-0000-0000-00005CD50000}"/>
    <cellStyle name="SAPBEXaggItemX 3 2 8" xfId="54677" xr:uid="{00000000-0005-0000-0000-00005DD50000}"/>
    <cellStyle name="SAPBEXaggItemX 3 2 9" xfId="54678" xr:uid="{00000000-0005-0000-0000-00005ED50000}"/>
    <cellStyle name="SAPBEXaggItemX 3 3" xfId="54679" xr:uid="{00000000-0005-0000-0000-00005FD50000}"/>
    <cellStyle name="SAPBEXaggItemX 3 3 2" xfId="54680" xr:uid="{00000000-0005-0000-0000-000060D50000}"/>
    <cellStyle name="SAPBEXaggItemX 3 3 2 2" xfId="54681" xr:uid="{00000000-0005-0000-0000-000061D50000}"/>
    <cellStyle name="SAPBEXaggItemX 3 3 3" xfId="54682" xr:uid="{00000000-0005-0000-0000-000062D50000}"/>
    <cellStyle name="SAPBEXaggItemX 3 3 3 2" xfId="54683" xr:uid="{00000000-0005-0000-0000-000063D50000}"/>
    <cellStyle name="SAPBEXaggItemX 3 3 4" xfId="54684" xr:uid="{00000000-0005-0000-0000-000064D50000}"/>
    <cellStyle name="SAPBEXaggItemX 3 4" xfId="54685" xr:uid="{00000000-0005-0000-0000-000065D50000}"/>
    <cellStyle name="SAPBEXaggItemX 3 4 2" xfId="54686" xr:uid="{00000000-0005-0000-0000-000066D50000}"/>
    <cellStyle name="SAPBEXaggItemX 3 4 2 2" xfId="54687" xr:uid="{00000000-0005-0000-0000-000067D50000}"/>
    <cellStyle name="SAPBEXaggItemX 3 4 3" xfId="54688" xr:uid="{00000000-0005-0000-0000-000068D50000}"/>
    <cellStyle name="SAPBEXaggItemX 3 4 3 2" xfId="54689" xr:uid="{00000000-0005-0000-0000-000069D50000}"/>
    <cellStyle name="SAPBEXaggItemX 3 4 4" xfId="54690" xr:uid="{00000000-0005-0000-0000-00006AD50000}"/>
    <cellStyle name="SAPBEXaggItemX 3 5" xfId="54691" xr:uid="{00000000-0005-0000-0000-00006BD50000}"/>
    <cellStyle name="SAPBEXaggItemX 3 5 2" xfId="54692" xr:uid="{00000000-0005-0000-0000-00006CD50000}"/>
    <cellStyle name="SAPBEXaggItemX 3 6" xfId="54693" xr:uid="{00000000-0005-0000-0000-00006DD50000}"/>
    <cellStyle name="SAPBEXaggItemX 3 6 2" xfId="54694" xr:uid="{00000000-0005-0000-0000-00006ED50000}"/>
    <cellStyle name="SAPBEXaggItemX 3 7" xfId="54695" xr:uid="{00000000-0005-0000-0000-00006FD50000}"/>
    <cellStyle name="SAPBEXaggItemX 3 7 2" xfId="54696" xr:uid="{00000000-0005-0000-0000-000070D50000}"/>
    <cellStyle name="SAPBEXaggItemX 3 8" xfId="54697" xr:uid="{00000000-0005-0000-0000-000071D50000}"/>
    <cellStyle name="SAPBEXaggItemX 3 9" xfId="54698" xr:uid="{00000000-0005-0000-0000-000072D50000}"/>
    <cellStyle name="SAPBEXaggItemX 4" xfId="54699" xr:uid="{00000000-0005-0000-0000-000073D50000}"/>
    <cellStyle name="SAPBEXaggItemX 4 10" xfId="54700" xr:uid="{00000000-0005-0000-0000-000074D50000}"/>
    <cellStyle name="SAPBEXaggItemX 4 2" xfId="54701" xr:uid="{00000000-0005-0000-0000-000075D50000}"/>
    <cellStyle name="SAPBEXaggItemX 4 2 2" xfId="54702" xr:uid="{00000000-0005-0000-0000-000076D50000}"/>
    <cellStyle name="SAPBEXaggItemX 4 2 2 2" xfId="54703" xr:uid="{00000000-0005-0000-0000-000077D50000}"/>
    <cellStyle name="SAPBEXaggItemX 4 2 2 2 2" xfId="54704" xr:uid="{00000000-0005-0000-0000-000078D50000}"/>
    <cellStyle name="SAPBEXaggItemX 4 2 2 3" xfId="54705" xr:uid="{00000000-0005-0000-0000-000079D50000}"/>
    <cellStyle name="SAPBEXaggItemX 4 2 2 3 2" xfId="54706" xr:uid="{00000000-0005-0000-0000-00007AD50000}"/>
    <cellStyle name="SAPBEXaggItemX 4 2 2 4" xfId="54707" xr:uid="{00000000-0005-0000-0000-00007BD50000}"/>
    <cellStyle name="SAPBEXaggItemX 4 2 3" xfId="54708" xr:uid="{00000000-0005-0000-0000-00007CD50000}"/>
    <cellStyle name="SAPBEXaggItemX 4 2 3 2" xfId="54709" xr:uid="{00000000-0005-0000-0000-00007DD50000}"/>
    <cellStyle name="SAPBEXaggItemX 4 2 3 2 2" xfId="54710" xr:uid="{00000000-0005-0000-0000-00007ED50000}"/>
    <cellStyle name="SAPBEXaggItemX 4 2 3 3" xfId="54711" xr:uid="{00000000-0005-0000-0000-00007FD50000}"/>
    <cellStyle name="SAPBEXaggItemX 4 2 3 3 2" xfId="54712" xr:uid="{00000000-0005-0000-0000-000080D50000}"/>
    <cellStyle name="SAPBEXaggItemX 4 2 3 4" xfId="54713" xr:uid="{00000000-0005-0000-0000-000081D50000}"/>
    <cellStyle name="SAPBEXaggItemX 4 2 4" xfId="54714" xr:uid="{00000000-0005-0000-0000-000082D50000}"/>
    <cellStyle name="SAPBEXaggItemX 4 2 4 2" xfId="54715" xr:uid="{00000000-0005-0000-0000-000083D50000}"/>
    <cellStyle name="SAPBEXaggItemX 4 2 5" xfId="54716" xr:uid="{00000000-0005-0000-0000-000084D50000}"/>
    <cellStyle name="SAPBEXaggItemX 4 2 5 2" xfId="54717" xr:uid="{00000000-0005-0000-0000-000085D50000}"/>
    <cellStyle name="SAPBEXaggItemX 4 2 6" xfId="54718" xr:uid="{00000000-0005-0000-0000-000086D50000}"/>
    <cellStyle name="SAPBEXaggItemX 4 3" xfId="54719" xr:uid="{00000000-0005-0000-0000-000087D50000}"/>
    <cellStyle name="SAPBEXaggItemX 4 3 2" xfId="54720" xr:uid="{00000000-0005-0000-0000-000088D50000}"/>
    <cellStyle name="SAPBEXaggItemX 4 3 2 2" xfId="54721" xr:uid="{00000000-0005-0000-0000-000089D50000}"/>
    <cellStyle name="SAPBEXaggItemX 4 3 3" xfId="54722" xr:uid="{00000000-0005-0000-0000-00008AD50000}"/>
    <cellStyle name="SAPBEXaggItemX 4 3 3 2" xfId="54723" xr:uid="{00000000-0005-0000-0000-00008BD50000}"/>
    <cellStyle name="SAPBEXaggItemX 4 3 4" xfId="54724" xr:uid="{00000000-0005-0000-0000-00008CD50000}"/>
    <cellStyle name="SAPBEXaggItemX 4 4" xfId="54725" xr:uid="{00000000-0005-0000-0000-00008DD50000}"/>
    <cellStyle name="SAPBEXaggItemX 4 4 2" xfId="54726" xr:uid="{00000000-0005-0000-0000-00008ED50000}"/>
    <cellStyle name="SAPBEXaggItemX 4 4 2 2" xfId="54727" xr:uid="{00000000-0005-0000-0000-00008FD50000}"/>
    <cellStyle name="SAPBEXaggItemX 4 4 3" xfId="54728" xr:uid="{00000000-0005-0000-0000-000090D50000}"/>
    <cellStyle name="SAPBEXaggItemX 4 4 3 2" xfId="54729" xr:uid="{00000000-0005-0000-0000-000091D50000}"/>
    <cellStyle name="SAPBEXaggItemX 4 4 4" xfId="54730" xr:uid="{00000000-0005-0000-0000-000092D50000}"/>
    <cellStyle name="SAPBEXaggItemX 4 5" xfId="54731" xr:uid="{00000000-0005-0000-0000-000093D50000}"/>
    <cellStyle name="SAPBEXaggItemX 4 5 2" xfId="54732" xr:uid="{00000000-0005-0000-0000-000094D50000}"/>
    <cellStyle name="SAPBEXaggItemX 4 6" xfId="54733" xr:uid="{00000000-0005-0000-0000-000095D50000}"/>
    <cellStyle name="SAPBEXaggItemX 4 6 2" xfId="54734" xr:uid="{00000000-0005-0000-0000-000096D50000}"/>
    <cellStyle name="SAPBEXaggItemX 4 7" xfId="54735" xr:uid="{00000000-0005-0000-0000-000097D50000}"/>
    <cellStyle name="SAPBEXaggItemX 4 7 2" xfId="54736" xr:uid="{00000000-0005-0000-0000-000098D50000}"/>
    <cellStyle name="SAPBEXaggItemX 4 8" xfId="54737" xr:uid="{00000000-0005-0000-0000-000099D50000}"/>
    <cellStyle name="SAPBEXaggItemX 4 9" xfId="54738" xr:uid="{00000000-0005-0000-0000-00009AD50000}"/>
    <cellStyle name="SAPBEXaggItemX 5" xfId="54739" xr:uid="{00000000-0005-0000-0000-00009BD50000}"/>
    <cellStyle name="SAPBEXaggItemX 5 2" xfId="54740" xr:uid="{00000000-0005-0000-0000-00009CD50000}"/>
    <cellStyle name="SAPBEXaggItemX 5 2 2" xfId="54741" xr:uid="{00000000-0005-0000-0000-00009DD50000}"/>
    <cellStyle name="SAPBEXaggItemX 5 3" xfId="54742" xr:uid="{00000000-0005-0000-0000-00009ED50000}"/>
    <cellStyle name="SAPBEXaggItemX 5 3 2" xfId="54743" xr:uid="{00000000-0005-0000-0000-00009FD50000}"/>
    <cellStyle name="SAPBEXaggItemX 5 4" xfId="54744" xr:uid="{00000000-0005-0000-0000-0000A0D50000}"/>
    <cellStyle name="SAPBEXaggItemX 5 4 2" xfId="54745" xr:uid="{00000000-0005-0000-0000-0000A1D50000}"/>
    <cellStyle name="SAPBEXaggItemX 5 5" xfId="54746" xr:uid="{00000000-0005-0000-0000-0000A2D50000}"/>
    <cellStyle name="SAPBEXaggItemX 5 6" xfId="54747" xr:uid="{00000000-0005-0000-0000-0000A3D50000}"/>
    <cellStyle name="SAPBEXaggItemX 5 7" xfId="54748" xr:uid="{00000000-0005-0000-0000-0000A4D50000}"/>
    <cellStyle name="SAPBEXaggItemX 6" xfId="54749" xr:uid="{00000000-0005-0000-0000-0000A5D50000}"/>
    <cellStyle name="SAPBEXaggItemX 6 2" xfId="54750" xr:uid="{00000000-0005-0000-0000-0000A6D50000}"/>
    <cellStyle name="SAPBEXaggItemX 6 2 2" xfId="54751" xr:uid="{00000000-0005-0000-0000-0000A7D50000}"/>
    <cellStyle name="SAPBEXaggItemX 6 3" xfId="54752" xr:uid="{00000000-0005-0000-0000-0000A8D50000}"/>
    <cellStyle name="SAPBEXaggItemX 6 3 2" xfId="54753" xr:uid="{00000000-0005-0000-0000-0000A9D50000}"/>
    <cellStyle name="SAPBEXaggItemX 6 4" xfId="54754" xr:uid="{00000000-0005-0000-0000-0000AAD50000}"/>
    <cellStyle name="SAPBEXaggItemX 6 4 2" xfId="54755" xr:uid="{00000000-0005-0000-0000-0000ABD50000}"/>
    <cellStyle name="SAPBEXaggItemX 6 5" xfId="54756" xr:uid="{00000000-0005-0000-0000-0000ACD50000}"/>
    <cellStyle name="SAPBEXaggItemX 7" xfId="54757" xr:uid="{00000000-0005-0000-0000-0000ADD50000}"/>
    <cellStyle name="SAPBEXaggItemX 7 2" xfId="54758" xr:uid="{00000000-0005-0000-0000-0000AED50000}"/>
    <cellStyle name="SAPBEXaggItemX 7 2 2" xfId="54759" xr:uid="{00000000-0005-0000-0000-0000AFD50000}"/>
    <cellStyle name="SAPBEXaggItemX 7 3" xfId="54760" xr:uid="{00000000-0005-0000-0000-0000B0D50000}"/>
    <cellStyle name="SAPBEXaggItemX 7 3 2" xfId="54761" xr:uid="{00000000-0005-0000-0000-0000B1D50000}"/>
    <cellStyle name="SAPBEXaggItemX 7 4" xfId="54762" xr:uid="{00000000-0005-0000-0000-0000B2D50000}"/>
    <cellStyle name="SAPBEXaggItemX 7 4 2" xfId="54763" xr:uid="{00000000-0005-0000-0000-0000B3D50000}"/>
    <cellStyle name="SAPBEXaggItemX 7 5" xfId="54764" xr:uid="{00000000-0005-0000-0000-0000B4D50000}"/>
    <cellStyle name="SAPBEXaggItemX 8" xfId="54765" xr:uid="{00000000-0005-0000-0000-0000B5D50000}"/>
    <cellStyle name="SAPBEXaggItemX 8 2" xfId="54766" xr:uid="{00000000-0005-0000-0000-0000B6D50000}"/>
    <cellStyle name="SAPBEXaggItemX 9" xfId="54767" xr:uid="{00000000-0005-0000-0000-0000B7D50000}"/>
    <cellStyle name="SAPBEXaggItemX 9 2" xfId="54768" xr:uid="{00000000-0005-0000-0000-0000B8D50000}"/>
    <cellStyle name="SAPBEXchaText" xfId="54769" xr:uid="{00000000-0005-0000-0000-0000B9D50000}"/>
    <cellStyle name="SAPBEXchaText 2" xfId="54770" xr:uid="{00000000-0005-0000-0000-0000BAD50000}"/>
    <cellStyle name="SAPBEXchaText 2 2" xfId="54771" xr:uid="{00000000-0005-0000-0000-0000BBD50000}"/>
    <cellStyle name="SAPBEXchaText 2 2 2" xfId="54772" xr:uid="{00000000-0005-0000-0000-0000BCD50000}"/>
    <cellStyle name="SAPBEXchaText 2 2 2 2" xfId="54773" xr:uid="{00000000-0005-0000-0000-0000BDD50000}"/>
    <cellStyle name="SAPBEXchaText 2 2 2 3" xfId="54774" xr:uid="{00000000-0005-0000-0000-0000BED50000}"/>
    <cellStyle name="SAPBEXchaText 2 2 3" xfId="54775" xr:uid="{00000000-0005-0000-0000-0000BFD50000}"/>
    <cellStyle name="SAPBEXchaText 2 2 3 2" xfId="54776" xr:uid="{00000000-0005-0000-0000-0000C0D50000}"/>
    <cellStyle name="SAPBEXchaText 2 2 4" xfId="54777" xr:uid="{00000000-0005-0000-0000-0000C1D50000}"/>
    <cellStyle name="SAPBEXchaText 2 2 5" xfId="54778" xr:uid="{00000000-0005-0000-0000-0000C2D50000}"/>
    <cellStyle name="SAPBEXchaText 2 2 6" xfId="54779" xr:uid="{00000000-0005-0000-0000-0000C3D50000}"/>
    <cellStyle name="SAPBEXchaText 2 3" xfId="54780" xr:uid="{00000000-0005-0000-0000-0000C4D50000}"/>
    <cellStyle name="SAPBEXchaText 2 3 2" xfId="54781" xr:uid="{00000000-0005-0000-0000-0000C5D50000}"/>
    <cellStyle name="SAPBEXchaText 2 3 2 2" xfId="54782" xr:uid="{00000000-0005-0000-0000-0000C6D50000}"/>
    <cellStyle name="SAPBEXchaText 2 3 2 3" xfId="54783" xr:uid="{00000000-0005-0000-0000-0000C7D50000}"/>
    <cellStyle name="SAPBEXchaText 2 3 3" xfId="54784" xr:uid="{00000000-0005-0000-0000-0000C8D50000}"/>
    <cellStyle name="SAPBEXchaText 2 3 3 2" xfId="54785" xr:uid="{00000000-0005-0000-0000-0000C9D50000}"/>
    <cellStyle name="SAPBEXchaText 2 3 4" xfId="54786" xr:uid="{00000000-0005-0000-0000-0000CAD50000}"/>
    <cellStyle name="SAPBEXchaText 2 3 5" xfId="54787" xr:uid="{00000000-0005-0000-0000-0000CBD50000}"/>
    <cellStyle name="SAPBEXchaText 2 4" xfId="54788" xr:uid="{00000000-0005-0000-0000-0000CCD50000}"/>
    <cellStyle name="SAPBEXchaText 2 4 2" xfId="54789" xr:uid="{00000000-0005-0000-0000-0000CDD50000}"/>
    <cellStyle name="SAPBEXchaText 2 4 2 2" xfId="54790" xr:uid="{00000000-0005-0000-0000-0000CED50000}"/>
    <cellStyle name="SAPBEXchaText 2 4 3" xfId="54791" xr:uid="{00000000-0005-0000-0000-0000CFD50000}"/>
    <cellStyle name="SAPBEXchaText 2 5" xfId="54792" xr:uid="{00000000-0005-0000-0000-0000D0D50000}"/>
    <cellStyle name="SAPBEXchaText 2 5 2" xfId="54793" xr:uid="{00000000-0005-0000-0000-0000D1D50000}"/>
    <cellStyle name="SAPBEXchaText 2 5 2 2" xfId="54794" xr:uid="{00000000-0005-0000-0000-0000D2D50000}"/>
    <cellStyle name="SAPBEXchaText 2 5 3" xfId="54795" xr:uid="{00000000-0005-0000-0000-0000D3D50000}"/>
    <cellStyle name="SAPBEXchaText 2 6" xfId="54796" xr:uid="{00000000-0005-0000-0000-0000D4D50000}"/>
    <cellStyle name="SAPBEXchaText 2 6 2" xfId="54797" xr:uid="{00000000-0005-0000-0000-0000D5D50000}"/>
    <cellStyle name="SAPBEXchaText 2 6 3" xfId="54798" xr:uid="{00000000-0005-0000-0000-0000D6D50000}"/>
    <cellStyle name="SAPBEXchaText 2 7" xfId="54799" xr:uid="{00000000-0005-0000-0000-0000D7D50000}"/>
    <cellStyle name="SAPBEXchaText 2 7 2" xfId="54800" xr:uid="{00000000-0005-0000-0000-0000D8D50000}"/>
    <cellStyle name="SAPBEXchaText 2 7 3" xfId="54801" xr:uid="{00000000-0005-0000-0000-0000D9D50000}"/>
    <cellStyle name="SAPBEXchaText 2 8" xfId="54802" xr:uid="{00000000-0005-0000-0000-0000DAD50000}"/>
    <cellStyle name="SAPBEXchaText 3" xfId="54803" xr:uid="{00000000-0005-0000-0000-0000DBD50000}"/>
    <cellStyle name="SAPBEXchaText 3 2" xfId="54804" xr:uid="{00000000-0005-0000-0000-0000DCD50000}"/>
    <cellStyle name="SAPBEXchaText 3 2 2" xfId="54805" xr:uid="{00000000-0005-0000-0000-0000DDD50000}"/>
    <cellStyle name="SAPBEXchaText 3 3" xfId="54806" xr:uid="{00000000-0005-0000-0000-0000DED50000}"/>
    <cellStyle name="SAPBEXchaText 3 3 2" xfId="54807" xr:uid="{00000000-0005-0000-0000-0000DFD50000}"/>
    <cellStyle name="SAPBEXchaText 3 4" xfId="54808" xr:uid="{00000000-0005-0000-0000-0000E0D50000}"/>
    <cellStyle name="SAPBEXchaText 3 5" xfId="54809" xr:uid="{00000000-0005-0000-0000-0000E1D50000}"/>
    <cellStyle name="SAPBEXchaText 4" xfId="54810" xr:uid="{00000000-0005-0000-0000-0000E2D50000}"/>
    <cellStyle name="SAPBEXchaText 4 2" xfId="54811" xr:uid="{00000000-0005-0000-0000-0000E3D50000}"/>
    <cellStyle name="SAPBEXchaText 4 3" xfId="54812" xr:uid="{00000000-0005-0000-0000-0000E4D50000}"/>
    <cellStyle name="SAPBEXchaText 5" xfId="54813" xr:uid="{00000000-0005-0000-0000-0000E5D50000}"/>
    <cellStyle name="SAPBEXchaText 5 2" xfId="54814" xr:uid="{00000000-0005-0000-0000-0000E6D50000}"/>
    <cellStyle name="SAPBEXchaText 5 3" xfId="54815" xr:uid="{00000000-0005-0000-0000-0000E7D50000}"/>
    <cellStyle name="SAPBEXchaText 6" xfId="54816" xr:uid="{00000000-0005-0000-0000-0000E8D50000}"/>
    <cellStyle name="SAPBEXchaText 6 2" xfId="54817" xr:uid="{00000000-0005-0000-0000-0000E9D50000}"/>
    <cellStyle name="SAPBEXchaText 6 3" xfId="54818" xr:uid="{00000000-0005-0000-0000-0000EAD50000}"/>
    <cellStyle name="SAPBEXchaText 7" xfId="54819" xr:uid="{00000000-0005-0000-0000-0000EBD50000}"/>
    <cellStyle name="SAPBEXchaText 7 2" xfId="54820" xr:uid="{00000000-0005-0000-0000-0000ECD50000}"/>
    <cellStyle name="SAPBEXchaText 8" xfId="54821" xr:uid="{00000000-0005-0000-0000-0000EDD50000}"/>
    <cellStyle name="SAPBEXchaText_2010 Balancing account budget upload" xfId="54822" xr:uid="{00000000-0005-0000-0000-0000EED50000}"/>
    <cellStyle name="SAPBEXColoum_Header_SA" xfId="54823" xr:uid="{00000000-0005-0000-0000-0000EFD50000}"/>
    <cellStyle name="SAPBEXexcBad7" xfId="54824" xr:uid="{00000000-0005-0000-0000-0000F0D50000}"/>
    <cellStyle name="SAPBEXexcBad7 10" xfId="54825" xr:uid="{00000000-0005-0000-0000-0000F1D50000}"/>
    <cellStyle name="SAPBEXexcBad7 11" xfId="54826" xr:uid="{00000000-0005-0000-0000-0000F2D50000}"/>
    <cellStyle name="SAPBEXexcBad7 2" xfId="54827" xr:uid="{00000000-0005-0000-0000-0000F3D50000}"/>
    <cellStyle name="SAPBEXexcBad7 2 10" xfId="54828" xr:uid="{00000000-0005-0000-0000-0000F4D50000}"/>
    <cellStyle name="SAPBEXexcBad7 2 2" xfId="54829" xr:uid="{00000000-0005-0000-0000-0000F5D50000}"/>
    <cellStyle name="SAPBEXexcBad7 2 2 2" xfId="54830" xr:uid="{00000000-0005-0000-0000-0000F6D50000}"/>
    <cellStyle name="SAPBEXexcBad7 2 2 2 2" xfId="54831" xr:uid="{00000000-0005-0000-0000-0000F7D50000}"/>
    <cellStyle name="SAPBEXexcBad7 2 2 2 2 2" xfId="54832" xr:uid="{00000000-0005-0000-0000-0000F8D50000}"/>
    <cellStyle name="SAPBEXexcBad7 2 2 2 3" xfId="54833" xr:uid="{00000000-0005-0000-0000-0000F9D50000}"/>
    <cellStyle name="SAPBEXexcBad7 2 2 2 3 2" xfId="54834" xr:uid="{00000000-0005-0000-0000-0000FAD50000}"/>
    <cellStyle name="SAPBEXexcBad7 2 2 2 4" xfId="54835" xr:uid="{00000000-0005-0000-0000-0000FBD50000}"/>
    <cellStyle name="SAPBEXexcBad7 2 2 3" xfId="54836" xr:uid="{00000000-0005-0000-0000-0000FCD50000}"/>
    <cellStyle name="SAPBEXexcBad7 2 2 3 2" xfId="54837" xr:uid="{00000000-0005-0000-0000-0000FDD50000}"/>
    <cellStyle name="SAPBEXexcBad7 2 2 4" xfId="54838" xr:uid="{00000000-0005-0000-0000-0000FED50000}"/>
    <cellStyle name="SAPBEXexcBad7 2 2 4 2" xfId="54839" xr:uid="{00000000-0005-0000-0000-0000FFD50000}"/>
    <cellStyle name="SAPBEXexcBad7 2 2 5" xfId="54840" xr:uid="{00000000-0005-0000-0000-000000D60000}"/>
    <cellStyle name="SAPBEXexcBad7 2 3" xfId="54841" xr:uid="{00000000-0005-0000-0000-000001D60000}"/>
    <cellStyle name="SAPBEXexcBad7 2 3 2" xfId="54842" xr:uid="{00000000-0005-0000-0000-000002D60000}"/>
    <cellStyle name="SAPBEXexcBad7 2 3 2 2" xfId="54843" xr:uid="{00000000-0005-0000-0000-000003D60000}"/>
    <cellStyle name="SAPBEXexcBad7 2 3 3" xfId="54844" xr:uid="{00000000-0005-0000-0000-000004D60000}"/>
    <cellStyle name="SAPBEXexcBad7 2 3 3 2" xfId="54845" xr:uid="{00000000-0005-0000-0000-000005D60000}"/>
    <cellStyle name="SAPBEXexcBad7 2 3 4" xfId="54846" xr:uid="{00000000-0005-0000-0000-000006D60000}"/>
    <cellStyle name="SAPBEXexcBad7 2 3 5" xfId="54847" xr:uid="{00000000-0005-0000-0000-000007D60000}"/>
    <cellStyle name="SAPBEXexcBad7 2 3 6" xfId="54848" xr:uid="{00000000-0005-0000-0000-000008D60000}"/>
    <cellStyle name="SAPBEXexcBad7 2 4" xfId="54849" xr:uid="{00000000-0005-0000-0000-000009D60000}"/>
    <cellStyle name="SAPBEXexcBad7 2 4 2" xfId="54850" xr:uid="{00000000-0005-0000-0000-00000AD60000}"/>
    <cellStyle name="SAPBEXexcBad7 2 4 2 2" xfId="54851" xr:uid="{00000000-0005-0000-0000-00000BD60000}"/>
    <cellStyle name="SAPBEXexcBad7 2 4 3" xfId="54852" xr:uid="{00000000-0005-0000-0000-00000CD60000}"/>
    <cellStyle name="SAPBEXexcBad7 2 4 3 2" xfId="54853" xr:uid="{00000000-0005-0000-0000-00000DD60000}"/>
    <cellStyle name="SAPBEXexcBad7 2 4 4" xfId="54854" xr:uid="{00000000-0005-0000-0000-00000ED60000}"/>
    <cellStyle name="SAPBEXexcBad7 2 5" xfId="54855" xr:uid="{00000000-0005-0000-0000-00000FD60000}"/>
    <cellStyle name="SAPBEXexcBad7 2 5 2" xfId="54856" xr:uid="{00000000-0005-0000-0000-000010D60000}"/>
    <cellStyle name="SAPBEXexcBad7 2 6" xfId="54857" xr:uid="{00000000-0005-0000-0000-000011D60000}"/>
    <cellStyle name="SAPBEXexcBad7 2 6 2" xfId="54858" xr:uid="{00000000-0005-0000-0000-000012D60000}"/>
    <cellStyle name="SAPBEXexcBad7 2 7" xfId="54859" xr:uid="{00000000-0005-0000-0000-000013D60000}"/>
    <cellStyle name="SAPBEXexcBad7 2 7 2" xfId="54860" xr:uid="{00000000-0005-0000-0000-000014D60000}"/>
    <cellStyle name="SAPBEXexcBad7 2 8" xfId="54861" xr:uid="{00000000-0005-0000-0000-000015D60000}"/>
    <cellStyle name="SAPBEXexcBad7 2 9" xfId="54862" xr:uid="{00000000-0005-0000-0000-000016D60000}"/>
    <cellStyle name="SAPBEXexcBad7 3" xfId="54863" xr:uid="{00000000-0005-0000-0000-000017D60000}"/>
    <cellStyle name="SAPBEXexcBad7 3 2" xfId="54864" xr:uid="{00000000-0005-0000-0000-000018D60000}"/>
    <cellStyle name="SAPBEXexcBad7 3 2 2" xfId="54865" xr:uid="{00000000-0005-0000-0000-000019D60000}"/>
    <cellStyle name="SAPBEXexcBad7 3 2 2 2" xfId="54866" xr:uid="{00000000-0005-0000-0000-00001AD60000}"/>
    <cellStyle name="SAPBEXexcBad7 3 2 2 2 2" xfId="54867" xr:uid="{00000000-0005-0000-0000-00001BD60000}"/>
    <cellStyle name="SAPBEXexcBad7 3 2 2 3" xfId="54868" xr:uid="{00000000-0005-0000-0000-00001CD60000}"/>
    <cellStyle name="SAPBEXexcBad7 3 2 2 3 2" xfId="54869" xr:uid="{00000000-0005-0000-0000-00001DD60000}"/>
    <cellStyle name="SAPBEXexcBad7 3 2 2 4" xfId="54870" xr:uid="{00000000-0005-0000-0000-00001ED60000}"/>
    <cellStyle name="SAPBEXexcBad7 3 2 3" xfId="54871" xr:uid="{00000000-0005-0000-0000-00001FD60000}"/>
    <cellStyle name="SAPBEXexcBad7 3 2 3 2" xfId="54872" xr:uid="{00000000-0005-0000-0000-000020D60000}"/>
    <cellStyle name="SAPBEXexcBad7 3 2 3 2 2" xfId="54873" xr:uid="{00000000-0005-0000-0000-000021D60000}"/>
    <cellStyle name="SAPBEXexcBad7 3 2 3 3" xfId="54874" xr:uid="{00000000-0005-0000-0000-000022D60000}"/>
    <cellStyle name="SAPBEXexcBad7 3 2 3 3 2" xfId="54875" xr:uid="{00000000-0005-0000-0000-000023D60000}"/>
    <cellStyle name="SAPBEXexcBad7 3 2 3 4" xfId="54876" xr:uid="{00000000-0005-0000-0000-000024D60000}"/>
    <cellStyle name="SAPBEXexcBad7 3 2 4" xfId="54877" xr:uid="{00000000-0005-0000-0000-000025D60000}"/>
    <cellStyle name="SAPBEXexcBad7 3 2 4 2" xfId="54878" xr:uid="{00000000-0005-0000-0000-000026D60000}"/>
    <cellStyle name="SAPBEXexcBad7 3 2 5" xfId="54879" xr:uid="{00000000-0005-0000-0000-000027D60000}"/>
    <cellStyle name="SAPBEXexcBad7 3 2 5 2" xfId="54880" xr:uid="{00000000-0005-0000-0000-000028D60000}"/>
    <cellStyle name="SAPBEXexcBad7 3 2 6" xfId="54881" xr:uid="{00000000-0005-0000-0000-000029D60000}"/>
    <cellStyle name="SAPBEXexcBad7 3 3" xfId="54882" xr:uid="{00000000-0005-0000-0000-00002AD60000}"/>
    <cellStyle name="SAPBEXexcBad7 3 3 2" xfId="54883" xr:uid="{00000000-0005-0000-0000-00002BD60000}"/>
    <cellStyle name="SAPBEXexcBad7 3 3 2 2" xfId="54884" xr:uid="{00000000-0005-0000-0000-00002CD60000}"/>
    <cellStyle name="SAPBEXexcBad7 3 3 3" xfId="54885" xr:uid="{00000000-0005-0000-0000-00002DD60000}"/>
    <cellStyle name="SAPBEXexcBad7 3 3 3 2" xfId="54886" xr:uid="{00000000-0005-0000-0000-00002ED60000}"/>
    <cellStyle name="SAPBEXexcBad7 3 3 4" xfId="54887" xr:uid="{00000000-0005-0000-0000-00002FD60000}"/>
    <cellStyle name="SAPBEXexcBad7 3 4" xfId="54888" xr:uid="{00000000-0005-0000-0000-000030D60000}"/>
    <cellStyle name="SAPBEXexcBad7 3 4 2" xfId="54889" xr:uid="{00000000-0005-0000-0000-000031D60000}"/>
    <cellStyle name="SAPBEXexcBad7 3 4 2 2" xfId="54890" xr:uid="{00000000-0005-0000-0000-000032D60000}"/>
    <cellStyle name="SAPBEXexcBad7 3 4 3" xfId="54891" xr:uid="{00000000-0005-0000-0000-000033D60000}"/>
    <cellStyle name="SAPBEXexcBad7 3 4 3 2" xfId="54892" xr:uid="{00000000-0005-0000-0000-000034D60000}"/>
    <cellStyle name="SAPBEXexcBad7 3 4 4" xfId="54893" xr:uid="{00000000-0005-0000-0000-000035D60000}"/>
    <cellStyle name="SAPBEXexcBad7 3 5" xfId="54894" xr:uid="{00000000-0005-0000-0000-000036D60000}"/>
    <cellStyle name="SAPBEXexcBad7 3 5 2" xfId="54895" xr:uid="{00000000-0005-0000-0000-000037D60000}"/>
    <cellStyle name="SAPBEXexcBad7 3 5 2 2" xfId="54896" xr:uid="{00000000-0005-0000-0000-000038D60000}"/>
    <cellStyle name="SAPBEXexcBad7 3 5 3" xfId="54897" xr:uid="{00000000-0005-0000-0000-000039D60000}"/>
    <cellStyle name="SAPBEXexcBad7 3 5 3 2" xfId="54898" xr:uid="{00000000-0005-0000-0000-00003AD60000}"/>
    <cellStyle name="SAPBEXexcBad7 3 5 4" xfId="54899" xr:uid="{00000000-0005-0000-0000-00003BD60000}"/>
    <cellStyle name="SAPBEXexcBad7 3 6" xfId="54900" xr:uid="{00000000-0005-0000-0000-00003CD60000}"/>
    <cellStyle name="SAPBEXexcBad7 3 6 2" xfId="54901" xr:uid="{00000000-0005-0000-0000-00003DD60000}"/>
    <cellStyle name="SAPBEXexcBad7 3 7" xfId="54902" xr:uid="{00000000-0005-0000-0000-00003ED60000}"/>
    <cellStyle name="SAPBEXexcBad7 3 7 2" xfId="54903" xr:uid="{00000000-0005-0000-0000-00003FD60000}"/>
    <cellStyle name="SAPBEXexcBad7 3 8" xfId="54904" xr:uid="{00000000-0005-0000-0000-000040D60000}"/>
    <cellStyle name="SAPBEXexcBad7 3 9" xfId="54905" xr:uid="{00000000-0005-0000-0000-000041D60000}"/>
    <cellStyle name="SAPBEXexcBad7 4" xfId="54906" xr:uid="{00000000-0005-0000-0000-000042D60000}"/>
    <cellStyle name="SAPBEXexcBad7 4 2" xfId="54907" xr:uid="{00000000-0005-0000-0000-000043D60000}"/>
    <cellStyle name="SAPBEXexcBad7 4 2 2" xfId="54908" xr:uid="{00000000-0005-0000-0000-000044D60000}"/>
    <cellStyle name="SAPBEXexcBad7 4 3" xfId="54909" xr:uid="{00000000-0005-0000-0000-000045D60000}"/>
    <cellStyle name="SAPBEXexcBad7 4 3 2" xfId="54910" xr:uid="{00000000-0005-0000-0000-000046D60000}"/>
    <cellStyle name="SAPBEXexcBad7 4 4" xfId="54911" xr:uid="{00000000-0005-0000-0000-000047D60000}"/>
    <cellStyle name="SAPBEXexcBad7 5" xfId="54912" xr:uid="{00000000-0005-0000-0000-000048D60000}"/>
    <cellStyle name="SAPBEXexcBad7 5 2" xfId="54913" xr:uid="{00000000-0005-0000-0000-000049D60000}"/>
    <cellStyle name="SAPBEXexcBad7 5 2 2" xfId="54914" xr:uid="{00000000-0005-0000-0000-00004AD60000}"/>
    <cellStyle name="SAPBEXexcBad7 5 3" xfId="54915" xr:uid="{00000000-0005-0000-0000-00004BD60000}"/>
    <cellStyle name="SAPBEXexcBad7 5 3 2" xfId="54916" xr:uid="{00000000-0005-0000-0000-00004CD60000}"/>
    <cellStyle name="SAPBEXexcBad7 5 4" xfId="54917" xr:uid="{00000000-0005-0000-0000-00004DD60000}"/>
    <cellStyle name="SAPBEXexcBad7 6" xfId="54918" xr:uid="{00000000-0005-0000-0000-00004ED60000}"/>
    <cellStyle name="SAPBEXexcBad7 6 2" xfId="54919" xr:uid="{00000000-0005-0000-0000-00004FD60000}"/>
    <cellStyle name="SAPBEXexcBad7 6 2 2" xfId="54920" xr:uid="{00000000-0005-0000-0000-000050D60000}"/>
    <cellStyle name="SAPBEXexcBad7 6 3" xfId="54921" xr:uid="{00000000-0005-0000-0000-000051D60000}"/>
    <cellStyle name="SAPBEXexcBad7 6 3 2" xfId="54922" xr:uid="{00000000-0005-0000-0000-000052D60000}"/>
    <cellStyle name="SAPBEXexcBad7 6 4" xfId="54923" xr:uid="{00000000-0005-0000-0000-000053D60000}"/>
    <cellStyle name="SAPBEXexcBad7 7" xfId="54924" xr:uid="{00000000-0005-0000-0000-000054D60000}"/>
    <cellStyle name="SAPBEXexcBad7 7 2" xfId="54925" xr:uid="{00000000-0005-0000-0000-000055D60000}"/>
    <cellStyle name="SAPBEXexcBad7 8" xfId="54926" xr:uid="{00000000-0005-0000-0000-000056D60000}"/>
    <cellStyle name="SAPBEXexcBad7 8 2" xfId="54927" xr:uid="{00000000-0005-0000-0000-000057D60000}"/>
    <cellStyle name="SAPBEXexcBad7 9" xfId="54928" xr:uid="{00000000-0005-0000-0000-000058D60000}"/>
    <cellStyle name="SAPBEXexcBad7 9 2" xfId="54929" xr:uid="{00000000-0005-0000-0000-000059D60000}"/>
    <cellStyle name="SAPBEXexcBad8" xfId="54930" xr:uid="{00000000-0005-0000-0000-00005AD60000}"/>
    <cellStyle name="SAPBEXexcBad8 10" xfId="54931" xr:uid="{00000000-0005-0000-0000-00005BD60000}"/>
    <cellStyle name="SAPBEXexcBad8 11" xfId="54932" xr:uid="{00000000-0005-0000-0000-00005CD60000}"/>
    <cellStyle name="SAPBEXexcBad8 2" xfId="54933" xr:uid="{00000000-0005-0000-0000-00005DD60000}"/>
    <cellStyle name="SAPBEXexcBad8 2 10" xfId="54934" xr:uid="{00000000-0005-0000-0000-00005ED60000}"/>
    <cellStyle name="SAPBEXexcBad8 2 2" xfId="54935" xr:uid="{00000000-0005-0000-0000-00005FD60000}"/>
    <cellStyle name="SAPBEXexcBad8 2 2 2" xfId="54936" xr:uid="{00000000-0005-0000-0000-000060D60000}"/>
    <cellStyle name="SAPBEXexcBad8 2 2 2 2" xfId="54937" xr:uid="{00000000-0005-0000-0000-000061D60000}"/>
    <cellStyle name="SAPBEXexcBad8 2 2 2 2 2" xfId="54938" xr:uid="{00000000-0005-0000-0000-000062D60000}"/>
    <cellStyle name="SAPBEXexcBad8 2 2 2 3" xfId="54939" xr:uid="{00000000-0005-0000-0000-000063D60000}"/>
    <cellStyle name="SAPBEXexcBad8 2 2 2 3 2" xfId="54940" xr:uid="{00000000-0005-0000-0000-000064D60000}"/>
    <cellStyle name="SAPBEXexcBad8 2 2 2 4" xfId="54941" xr:uid="{00000000-0005-0000-0000-000065D60000}"/>
    <cellStyle name="SAPBEXexcBad8 2 2 3" xfId="54942" xr:uid="{00000000-0005-0000-0000-000066D60000}"/>
    <cellStyle name="SAPBEXexcBad8 2 2 3 2" xfId="54943" xr:uid="{00000000-0005-0000-0000-000067D60000}"/>
    <cellStyle name="SAPBEXexcBad8 2 2 4" xfId="54944" xr:uid="{00000000-0005-0000-0000-000068D60000}"/>
    <cellStyle name="SAPBEXexcBad8 2 2 4 2" xfId="54945" xr:uid="{00000000-0005-0000-0000-000069D60000}"/>
    <cellStyle name="SAPBEXexcBad8 2 2 5" xfId="54946" xr:uid="{00000000-0005-0000-0000-00006AD60000}"/>
    <cellStyle name="SAPBEXexcBad8 2 3" xfId="54947" xr:uid="{00000000-0005-0000-0000-00006BD60000}"/>
    <cellStyle name="SAPBEXexcBad8 2 3 2" xfId="54948" xr:uid="{00000000-0005-0000-0000-00006CD60000}"/>
    <cellStyle name="SAPBEXexcBad8 2 3 2 2" xfId="54949" xr:uid="{00000000-0005-0000-0000-00006DD60000}"/>
    <cellStyle name="SAPBEXexcBad8 2 3 3" xfId="54950" xr:uid="{00000000-0005-0000-0000-00006ED60000}"/>
    <cellStyle name="SAPBEXexcBad8 2 3 3 2" xfId="54951" xr:uid="{00000000-0005-0000-0000-00006FD60000}"/>
    <cellStyle name="SAPBEXexcBad8 2 3 4" xfId="54952" xr:uid="{00000000-0005-0000-0000-000070D60000}"/>
    <cellStyle name="SAPBEXexcBad8 2 3 5" xfId="54953" xr:uid="{00000000-0005-0000-0000-000071D60000}"/>
    <cellStyle name="SAPBEXexcBad8 2 3 6" xfId="54954" xr:uid="{00000000-0005-0000-0000-000072D60000}"/>
    <cellStyle name="SAPBEXexcBad8 2 4" xfId="54955" xr:uid="{00000000-0005-0000-0000-000073D60000}"/>
    <cellStyle name="SAPBEXexcBad8 2 4 2" xfId="54956" xr:uid="{00000000-0005-0000-0000-000074D60000}"/>
    <cellStyle name="SAPBEXexcBad8 2 4 2 2" xfId="54957" xr:uid="{00000000-0005-0000-0000-000075D60000}"/>
    <cellStyle name="SAPBEXexcBad8 2 4 3" xfId="54958" xr:uid="{00000000-0005-0000-0000-000076D60000}"/>
    <cellStyle name="SAPBEXexcBad8 2 4 3 2" xfId="54959" xr:uid="{00000000-0005-0000-0000-000077D60000}"/>
    <cellStyle name="SAPBEXexcBad8 2 4 4" xfId="54960" xr:uid="{00000000-0005-0000-0000-000078D60000}"/>
    <cellStyle name="SAPBEXexcBad8 2 5" xfId="54961" xr:uid="{00000000-0005-0000-0000-000079D60000}"/>
    <cellStyle name="SAPBEXexcBad8 2 5 2" xfId="54962" xr:uid="{00000000-0005-0000-0000-00007AD60000}"/>
    <cellStyle name="SAPBEXexcBad8 2 6" xfId="54963" xr:uid="{00000000-0005-0000-0000-00007BD60000}"/>
    <cellStyle name="SAPBEXexcBad8 2 6 2" xfId="54964" xr:uid="{00000000-0005-0000-0000-00007CD60000}"/>
    <cellStyle name="SAPBEXexcBad8 2 7" xfId="54965" xr:uid="{00000000-0005-0000-0000-00007DD60000}"/>
    <cellStyle name="SAPBEXexcBad8 2 7 2" xfId="54966" xr:uid="{00000000-0005-0000-0000-00007ED60000}"/>
    <cellStyle name="SAPBEXexcBad8 2 8" xfId="54967" xr:uid="{00000000-0005-0000-0000-00007FD60000}"/>
    <cellStyle name="SAPBEXexcBad8 2 9" xfId="54968" xr:uid="{00000000-0005-0000-0000-000080D60000}"/>
    <cellStyle name="SAPBEXexcBad8 3" xfId="54969" xr:uid="{00000000-0005-0000-0000-000081D60000}"/>
    <cellStyle name="SAPBEXexcBad8 3 2" xfId="54970" xr:uid="{00000000-0005-0000-0000-000082D60000}"/>
    <cellStyle name="SAPBEXexcBad8 3 2 2" xfId="54971" xr:uid="{00000000-0005-0000-0000-000083D60000}"/>
    <cellStyle name="SAPBEXexcBad8 3 2 2 2" xfId="54972" xr:uid="{00000000-0005-0000-0000-000084D60000}"/>
    <cellStyle name="SAPBEXexcBad8 3 2 2 2 2" xfId="54973" xr:uid="{00000000-0005-0000-0000-000085D60000}"/>
    <cellStyle name="SAPBEXexcBad8 3 2 2 3" xfId="54974" xr:uid="{00000000-0005-0000-0000-000086D60000}"/>
    <cellStyle name="SAPBEXexcBad8 3 2 2 3 2" xfId="54975" xr:uid="{00000000-0005-0000-0000-000087D60000}"/>
    <cellStyle name="SAPBEXexcBad8 3 2 2 4" xfId="54976" xr:uid="{00000000-0005-0000-0000-000088D60000}"/>
    <cellStyle name="SAPBEXexcBad8 3 2 3" xfId="54977" xr:uid="{00000000-0005-0000-0000-000089D60000}"/>
    <cellStyle name="SAPBEXexcBad8 3 2 3 2" xfId="54978" xr:uid="{00000000-0005-0000-0000-00008AD60000}"/>
    <cellStyle name="SAPBEXexcBad8 3 2 3 2 2" xfId="54979" xr:uid="{00000000-0005-0000-0000-00008BD60000}"/>
    <cellStyle name="SAPBEXexcBad8 3 2 3 3" xfId="54980" xr:uid="{00000000-0005-0000-0000-00008CD60000}"/>
    <cellStyle name="SAPBEXexcBad8 3 2 3 3 2" xfId="54981" xr:uid="{00000000-0005-0000-0000-00008DD60000}"/>
    <cellStyle name="SAPBEXexcBad8 3 2 3 4" xfId="54982" xr:uid="{00000000-0005-0000-0000-00008ED60000}"/>
    <cellStyle name="SAPBEXexcBad8 3 2 4" xfId="54983" xr:uid="{00000000-0005-0000-0000-00008FD60000}"/>
    <cellStyle name="SAPBEXexcBad8 3 2 4 2" xfId="54984" xr:uid="{00000000-0005-0000-0000-000090D60000}"/>
    <cellStyle name="SAPBEXexcBad8 3 2 5" xfId="54985" xr:uid="{00000000-0005-0000-0000-000091D60000}"/>
    <cellStyle name="SAPBEXexcBad8 3 2 5 2" xfId="54986" xr:uid="{00000000-0005-0000-0000-000092D60000}"/>
    <cellStyle name="SAPBEXexcBad8 3 2 6" xfId="54987" xr:uid="{00000000-0005-0000-0000-000093D60000}"/>
    <cellStyle name="SAPBEXexcBad8 3 3" xfId="54988" xr:uid="{00000000-0005-0000-0000-000094D60000}"/>
    <cellStyle name="SAPBEXexcBad8 3 3 2" xfId="54989" xr:uid="{00000000-0005-0000-0000-000095D60000}"/>
    <cellStyle name="SAPBEXexcBad8 3 3 2 2" xfId="54990" xr:uid="{00000000-0005-0000-0000-000096D60000}"/>
    <cellStyle name="SAPBEXexcBad8 3 3 3" xfId="54991" xr:uid="{00000000-0005-0000-0000-000097D60000}"/>
    <cellStyle name="SAPBEXexcBad8 3 3 3 2" xfId="54992" xr:uid="{00000000-0005-0000-0000-000098D60000}"/>
    <cellStyle name="SAPBEXexcBad8 3 3 4" xfId="54993" xr:uid="{00000000-0005-0000-0000-000099D60000}"/>
    <cellStyle name="SAPBEXexcBad8 3 4" xfId="54994" xr:uid="{00000000-0005-0000-0000-00009AD60000}"/>
    <cellStyle name="SAPBEXexcBad8 3 4 2" xfId="54995" xr:uid="{00000000-0005-0000-0000-00009BD60000}"/>
    <cellStyle name="SAPBEXexcBad8 3 4 2 2" xfId="54996" xr:uid="{00000000-0005-0000-0000-00009CD60000}"/>
    <cellStyle name="SAPBEXexcBad8 3 4 3" xfId="54997" xr:uid="{00000000-0005-0000-0000-00009DD60000}"/>
    <cellStyle name="SAPBEXexcBad8 3 4 3 2" xfId="54998" xr:uid="{00000000-0005-0000-0000-00009ED60000}"/>
    <cellStyle name="SAPBEXexcBad8 3 4 4" xfId="54999" xr:uid="{00000000-0005-0000-0000-00009FD60000}"/>
    <cellStyle name="SAPBEXexcBad8 3 5" xfId="55000" xr:uid="{00000000-0005-0000-0000-0000A0D60000}"/>
    <cellStyle name="SAPBEXexcBad8 3 5 2" xfId="55001" xr:uid="{00000000-0005-0000-0000-0000A1D60000}"/>
    <cellStyle name="SAPBEXexcBad8 3 5 2 2" xfId="55002" xr:uid="{00000000-0005-0000-0000-0000A2D60000}"/>
    <cellStyle name="SAPBEXexcBad8 3 5 3" xfId="55003" xr:uid="{00000000-0005-0000-0000-0000A3D60000}"/>
    <cellStyle name="SAPBEXexcBad8 3 5 3 2" xfId="55004" xr:uid="{00000000-0005-0000-0000-0000A4D60000}"/>
    <cellStyle name="SAPBEXexcBad8 3 5 4" xfId="55005" xr:uid="{00000000-0005-0000-0000-0000A5D60000}"/>
    <cellStyle name="SAPBEXexcBad8 3 6" xfId="55006" xr:uid="{00000000-0005-0000-0000-0000A6D60000}"/>
    <cellStyle name="SAPBEXexcBad8 3 6 2" xfId="55007" xr:uid="{00000000-0005-0000-0000-0000A7D60000}"/>
    <cellStyle name="SAPBEXexcBad8 3 7" xfId="55008" xr:uid="{00000000-0005-0000-0000-0000A8D60000}"/>
    <cellStyle name="SAPBEXexcBad8 3 7 2" xfId="55009" xr:uid="{00000000-0005-0000-0000-0000A9D60000}"/>
    <cellStyle name="SAPBEXexcBad8 3 8" xfId="55010" xr:uid="{00000000-0005-0000-0000-0000AAD60000}"/>
    <cellStyle name="SAPBEXexcBad8 3 9" xfId="55011" xr:uid="{00000000-0005-0000-0000-0000ABD60000}"/>
    <cellStyle name="SAPBEXexcBad8 4" xfId="55012" xr:uid="{00000000-0005-0000-0000-0000ACD60000}"/>
    <cellStyle name="SAPBEXexcBad8 4 2" xfId="55013" xr:uid="{00000000-0005-0000-0000-0000ADD60000}"/>
    <cellStyle name="SAPBEXexcBad8 4 2 2" xfId="55014" xr:uid="{00000000-0005-0000-0000-0000AED60000}"/>
    <cellStyle name="SAPBEXexcBad8 4 3" xfId="55015" xr:uid="{00000000-0005-0000-0000-0000AFD60000}"/>
    <cellStyle name="SAPBEXexcBad8 4 3 2" xfId="55016" xr:uid="{00000000-0005-0000-0000-0000B0D60000}"/>
    <cellStyle name="SAPBEXexcBad8 4 4" xfId="55017" xr:uid="{00000000-0005-0000-0000-0000B1D60000}"/>
    <cellStyle name="SAPBEXexcBad8 5" xfId="55018" xr:uid="{00000000-0005-0000-0000-0000B2D60000}"/>
    <cellStyle name="SAPBEXexcBad8 5 2" xfId="55019" xr:uid="{00000000-0005-0000-0000-0000B3D60000}"/>
    <cellStyle name="SAPBEXexcBad8 5 2 2" xfId="55020" xr:uid="{00000000-0005-0000-0000-0000B4D60000}"/>
    <cellStyle name="SAPBEXexcBad8 5 3" xfId="55021" xr:uid="{00000000-0005-0000-0000-0000B5D60000}"/>
    <cellStyle name="SAPBEXexcBad8 5 3 2" xfId="55022" xr:uid="{00000000-0005-0000-0000-0000B6D60000}"/>
    <cellStyle name="SAPBEXexcBad8 5 4" xfId="55023" xr:uid="{00000000-0005-0000-0000-0000B7D60000}"/>
    <cellStyle name="SAPBEXexcBad8 6" xfId="55024" xr:uid="{00000000-0005-0000-0000-0000B8D60000}"/>
    <cellStyle name="SAPBEXexcBad8 6 2" xfId="55025" xr:uid="{00000000-0005-0000-0000-0000B9D60000}"/>
    <cellStyle name="SAPBEXexcBad8 6 2 2" xfId="55026" xr:uid="{00000000-0005-0000-0000-0000BAD60000}"/>
    <cellStyle name="SAPBEXexcBad8 6 3" xfId="55027" xr:uid="{00000000-0005-0000-0000-0000BBD60000}"/>
    <cellStyle name="SAPBEXexcBad8 6 3 2" xfId="55028" xr:uid="{00000000-0005-0000-0000-0000BCD60000}"/>
    <cellStyle name="SAPBEXexcBad8 6 4" xfId="55029" xr:uid="{00000000-0005-0000-0000-0000BDD60000}"/>
    <cellStyle name="SAPBEXexcBad8 7" xfId="55030" xr:uid="{00000000-0005-0000-0000-0000BED60000}"/>
    <cellStyle name="SAPBEXexcBad8 7 2" xfId="55031" xr:uid="{00000000-0005-0000-0000-0000BFD60000}"/>
    <cellStyle name="SAPBEXexcBad8 8" xfId="55032" xr:uid="{00000000-0005-0000-0000-0000C0D60000}"/>
    <cellStyle name="SAPBEXexcBad8 8 2" xfId="55033" xr:uid="{00000000-0005-0000-0000-0000C1D60000}"/>
    <cellStyle name="SAPBEXexcBad8 9" xfId="55034" xr:uid="{00000000-0005-0000-0000-0000C2D60000}"/>
    <cellStyle name="SAPBEXexcBad8 9 2" xfId="55035" xr:uid="{00000000-0005-0000-0000-0000C3D60000}"/>
    <cellStyle name="SAPBEXexcBad9" xfId="55036" xr:uid="{00000000-0005-0000-0000-0000C4D60000}"/>
    <cellStyle name="SAPBEXexcBad9 10" xfId="55037" xr:uid="{00000000-0005-0000-0000-0000C5D60000}"/>
    <cellStyle name="SAPBEXexcBad9 11" xfId="55038" xr:uid="{00000000-0005-0000-0000-0000C6D60000}"/>
    <cellStyle name="SAPBEXexcBad9 2" xfId="55039" xr:uid="{00000000-0005-0000-0000-0000C7D60000}"/>
    <cellStyle name="SAPBEXexcBad9 2 10" xfId="55040" xr:uid="{00000000-0005-0000-0000-0000C8D60000}"/>
    <cellStyle name="SAPBEXexcBad9 2 2" xfId="55041" xr:uid="{00000000-0005-0000-0000-0000C9D60000}"/>
    <cellStyle name="SAPBEXexcBad9 2 2 2" xfId="55042" xr:uid="{00000000-0005-0000-0000-0000CAD60000}"/>
    <cellStyle name="SAPBEXexcBad9 2 2 2 2" xfId="55043" xr:uid="{00000000-0005-0000-0000-0000CBD60000}"/>
    <cellStyle name="SAPBEXexcBad9 2 2 2 2 2" xfId="55044" xr:uid="{00000000-0005-0000-0000-0000CCD60000}"/>
    <cellStyle name="SAPBEXexcBad9 2 2 2 3" xfId="55045" xr:uid="{00000000-0005-0000-0000-0000CDD60000}"/>
    <cellStyle name="SAPBEXexcBad9 2 2 2 3 2" xfId="55046" xr:uid="{00000000-0005-0000-0000-0000CED60000}"/>
    <cellStyle name="SAPBEXexcBad9 2 2 2 4" xfId="55047" xr:uid="{00000000-0005-0000-0000-0000CFD60000}"/>
    <cellStyle name="SAPBEXexcBad9 2 2 3" xfId="55048" xr:uid="{00000000-0005-0000-0000-0000D0D60000}"/>
    <cellStyle name="SAPBEXexcBad9 2 2 3 2" xfId="55049" xr:uid="{00000000-0005-0000-0000-0000D1D60000}"/>
    <cellStyle name="SAPBEXexcBad9 2 2 4" xfId="55050" xr:uid="{00000000-0005-0000-0000-0000D2D60000}"/>
    <cellStyle name="SAPBEXexcBad9 2 2 4 2" xfId="55051" xr:uid="{00000000-0005-0000-0000-0000D3D60000}"/>
    <cellStyle name="SAPBEXexcBad9 2 2 5" xfId="55052" xr:uid="{00000000-0005-0000-0000-0000D4D60000}"/>
    <cellStyle name="SAPBEXexcBad9 2 3" xfId="55053" xr:uid="{00000000-0005-0000-0000-0000D5D60000}"/>
    <cellStyle name="SAPBEXexcBad9 2 3 2" xfId="55054" xr:uid="{00000000-0005-0000-0000-0000D6D60000}"/>
    <cellStyle name="SAPBEXexcBad9 2 3 2 2" xfId="55055" xr:uid="{00000000-0005-0000-0000-0000D7D60000}"/>
    <cellStyle name="SAPBEXexcBad9 2 3 3" xfId="55056" xr:uid="{00000000-0005-0000-0000-0000D8D60000}"/>
    <cellStyle name="SAPBEXexcBad9 2 3 3 2" xfId="55057" xr:uid="{00000000-0005-0000-0000-0000D9D60000}"/>
    <cellStyle name="SAPBEXexcBad9 2 3 4" xfId="55058" xr:uid="{00000000-0005-0000-0000-0000DAD60000}"/>
    <cellStyle name="SAPBEXexcBad9 2 3 5" xfId="55059" xr:uid="{00000000-0005-0000-0000-0000DBD60000}"/>
    <cellStyle name="SAPBEXexcBad9 2 3 6" xfId="55060" xr:uid="{00000000-0005-0000-0000-0000DCD60000}"/>
    <cellStyle name="SAPBEXexcBad9 2 4" xfId="55061" xr:uid="{00000000-0005-0000-0000-0000DDD60000}"/>
    <cellStyle name="SAPBEXexcBad9 2 4 2" xfId="55062" xr:uid="{00000000-0005-0000-0000-0000DED60000}"/>
    <cellStyle name="SAPBEXexcBad9 2 4 2 2" xfId="55063" xr:uid="{00000000-0005-0000-0000-0000DFD60000}"/>
    <cellStyle name="SAPBEXexcBad9 2 4 3" xfId="55064" xr:uid="{00000000-0005-0000-0000-0000E0D60000}"/>
    <cellStyle name="SAPBEXexcBad9 2 4 3 2" xfId="55065" xr:uid="{00000000-0005-0000-0000-0000E1D60000}"/>
    <cellStyle name="SAPBEXexcBad9 2 4 4" xfId="55066" xr:uid="{00000000-0005-0000-0000-0000E2D60000}"/>
    <cellStyle name="SAPBEXexcBad9 2 5" xfId="55067" xr:uid="{00000000-0005-0000-0000-0000E3D60000}"/>
    <cellStyle name="SAPBEXexcBad9 2 5 2" xfId="55068" xr:uid="{00000000-0005-0000-0000-0000E4D60000}"/>
    <cellStyle name="SAPBEXexcBad9 2 6" xfId="55069" xr:uid="{00000000-0005-0000-0000-0000E5D60000}"/>
    <cellStyle name="SAPBEXexcBad9 2 6 2" xfId="55070" xr:uid="{00000000-0005-0000-0000-0000E6D60000}"/>
    <cellStyle name="SAPBEXexcBad9 2 7" xfId="55071" xr:uid="{00000000-0005-0000-0000-0000E7D60000}"/>
    <cellStyle name="SAPBEXexcBad9 2 7 2" xfId="55072" xr:uid="{00000000-0005-0000-0000-0000E8D60000}"/>
    <cellStyle name="SAPBEXexcBad9 2 8" xfId="55073" xr:uid="{00000000-0005-0000-0000-0000E9D60000}"/>
    <cellStyle name="SAPBEXexcBad9 2 9" xfId="55074" xr:uid="{00000000-0005-0000-0000-0000EAD60000}"/>
    <cellStyle name="SAPBEXexcBad9 3" xfId="55075" xr:uid="{00000000-0005-0000-0000-0000EBD60000}"/>
    <cellStyle name="SAPBEXexcBad9 3 2" xfId="55076" xr:uid="{00000000-0005-0000-0000-0000ECD60000}"/>
    <cellStyle name="SAPBEXexcBad9 3 2 2" xfId="55077" xr:uid="{00000000-0005-0000-0000-0000EDD60000}"/>
    <cellStyle name="SAPBEXexcBad9 3 2 2 2" xfId="55078" xr:uid="{00000000-0005-0000-0000-0000EED60000}"/>
    <cellStyle name="SAPBEXexcBad9 3 2 2 2 2" xfId="55079" xr:uid="{00000000-0005-0000-0000-0000EFD60000}"/>
    <cellStyle name="SAPBEXexcBad9 3 2 2 3" xfId="55080" xr:uid="{00000000-0005-0000-0000-0000F0D60000}"/>
    <cellStyle name="SAPBEXexcBad9 3 2 2 3 2" xfId="55081" xr:uid="{00000000-0005-0000-0000-0000F1D60000}"/>
    <cellStyle name="SAPBEXexcBad9 3 2 2 4" xfId="55082" xr:uid="{00000000-0005-0000-0000-0000F2D60000}"/>
    <cellStyle name="SAPBEXexcBad9 3 2 3" xfId="55083" xr:uid="{00000000-0005-0000-0000-0000F3D60000}"/>
    <cellStyle name="SAPBEXexcBad9 3 2 3 2" xfId="55084" xr:uid="{00000000-0005-0000-0000-0000F4D60000}"/>
    <cellStyle name="SAPBEXexcBad9 3 2 3 2 2" xfId="55085" xr:uid="{00000000-0005-0000-0000-0000F5D60000}"/>
    <cellStyle name="SAPBEXexcBad9 3 2 3 3" xfId="55086" xr:uid="{00000000-0005-0000-0000-0000F6D60000}"/>
    <cellStyle name="SAPBEXexcBad9 3 2 3 3 2" xfId="55087" xr:uid="{00000000-0005-0000-0000-0000F7D60000}"/>
    <cellStyle name="SAPBEXexcBad9 3 2 3 4" xfId="55088" xr:uid="{00000000-0005-0000-0000-0000F8D60000}"/>
    <cellStyle name="SAPBEXexcBad9 3 2 4" xfId="55089" xr:uid="{00000000-0005-0000-0000-0000F9D60000}"/>
    <cellStyle name="SAPBEXexcBad9 3 2 4 2" xfId="55090" xr:uid="{00000000-0005-0000-0000-0000FAD60000}"/>
    <cellStyle name="SAPBEXexcBad9 3 2 5" xfId="55091" xr:uid="{00000000-0005-0000-0000-0000FBD60000}"/>
    <cellStyle name="SAPBEXexcBad9 3 2 5 2" xfId="55092" xr:uid="{00000000-0005-0000-0000-0000FCD60000}"/>
    <cellStyle name="SAPBEXexcBad9 3 2 6" xfId="55093" xr:uid="{00000000-0005-0000-0000-0000FDD60000}"/>
    <cellStyle name="SAPBEXexcBad9 3 3" xfId="55094" xr:uid="{00000000-0005-0000-0000-0000FED60000}"/>
    <cellStyle name="SAPBEXexcBad9 3 3 2" xfId="55095" xr:uid="{00000000-0005-0000-0000-0000FFD60000}"/>
    <cellStyle name="SAPBEXexcBad9 3 3 2 2" xfId="55096" xr:uid="{00000000-0005-0000-0000-000000D70000}"/>
    <cellStyle name="SAPBEXexcBad9 3 3 3" xfId="55097" xr:uid="{00000000-0005-0000-0000-000001D70000}"/>
    <cellStyle name="SAPBEXexcBad9 3 3 3 2" xfId="55098" xr:uid="{00000000-0005-0000-0000-000002D70000}"/>
    <cellStyle name="SAPBEXexcBad9 3 3 4" xfId="55099" xr:uid="{00000000-0005-0000-0000-000003D70000}"/>
    <cellStyle name="SAPBEXexcBad9 3 4" xfId="55100" xr:uid="{00000000-0005-0000-0000-000004D70000}"/>
    <cellStyle name="SAPBEXexcBad9 3 4 2" xfId="55101" xr:uid="{00000000-0005-0000-0000-000005D70000}"/>
    <cellStyle name="SAPBEXexcBad9 3 4 2 2" xfId="55102" xr:uid="{00000000-0005-0000-0000-000006D70000}"/>
    <cellStyle name="SAPBEXexcBad9 3 4 3" xfId="55103" xr:uid="{00000000-0005-0000-0000-000007D70000}"/>
    <cellStyle name="SAPBEXexcBad9 3 4 3 2" xfId="55104" xr:uid="{00000000-0005-0000-0000-000008D70000}"/>
    <cellStyle name="SAPBEXexcBad9 3 4 4" xfId="55105" xr:uid="{00000000-0005-0000-0000-000009D70000}"/>
    <cellStyle name="SAPBEXexcBad9 3 5" xfId="55106" xr:uid="{00000000-0005-0000-0000-00000AD70000}"/>
    <cellStyle name="SAPBEXexcBad9 3 5 2" xfId="55107" xr:uid="{00000000-0005-0000-0000-00000BD70000}"/>
    <cellStyle name="SAPBEXexcBad9 3 5 2 2" xfId="55108" xr:uid="{00000000-0005-0000-0000-00000CD70000}"/>
    <cellStyle name="SAPBEXexcBad9 3 5 3" xfId="55109" xr:uid="{00000000-0005-0000-0000-00000DD70000}"/>
    <cellStyle name="SAPBEXexcBad9 3 5 3 2" xfId="55110" xr:uid="{00000000-0005-0000-0000-00000ED70000}"/>
    <cellStyle name="SAPBEXexcBad9 3 5 4" xfId="55111" xr:uid="{00000000-0005-0000-0000-00000FD70000}"/>
    <cellStyle name="SAPBEXexcBad9 3 6" xfId="55112" xr:uid="{00000000-0005-0000-0000-000010D70000}"/>
    <cellStyle name="SAPBEXexcBad9 3 6 2" xfId="55113" xr:uid="{00000000-0005-0000-0000-000011D70000}"/>
    <cellStyle name="SAPBEXexcBad9 3 7" xfId="55114" xr:uid="{00000000-0005-0000-0000-000012D70000}"/>
    <cellStyle name="SAPBEXexcBad9 3 7 2" xfId="55115" xr:uid="{00000000-0005-0000-0000-000013D70000}"/>
    <cellStyle name="SAPBEXexcBad9 3 8" xfId="55116" xr:uid="{00000000-0005-0000-0000-000014D70000}"/>
    <cellStyle name="SAPBEXexcBad9 3 9" xfId="55117" xr:uid="{00000000-0005-0000-0000-000015D70000}"/>
    <cellStyle name="SAPBEXexcBad9 4" xfId="55118" xr:uid="{00000000-0005-0000-0000-000016D70000}"/>
    <cellStyle name="SAPBEXexcBad9 4 2" xfId="55119" xr:uid="{00000000-0005-0000-0000-000017D70000}"/>
    <cellStyle name="SAPBEXexcBad9 4 2 2" xfId="55120" xr:uid="{00000000-0005-0000-0000-000018D70000}"/>
    <cellStyle name="SAPBEXexcBad9 4 3" xfId="55121" xr:uid="{00000000-0005-0000-0000-000019D70000}"/>
    <cellStyle name="SAPBEXexcBad9 4 3 2" xfId="55122" xr:uid="{00000000-0005-0000-0000-00001AD70000}"/>
    <cellStyle name="SAPBEXexcBad9 4 4" xfId="55123" xr:uid="{00000000-0005-0000-0000-00001BD70000}"/>
    <cellStyle name="SAPBEXexcBad9 5" xfId="55124" xr:uid="{00000000-0005-0000-0000-00001CD70000}"/>
    <cellStyle name="SAPBEXexcBad9 5 2" xfId="55125" xr:uid="{00000000-0005-0000-0000-00001DD70000}"/>
    <cellStyle name="SAPBEXexcBad9 5 2 2" xfId="55126" xr:uid="{00000000-0005-0000-0000-00001ED70000}"/>
    <cellStyle name="SAPBEXexcBad9 5 3" xfId="55127" xr:uid="{00000000-0005-0000-0000-00001FD70000}"/>
    <cellStyle name="SAPBEXexcBad9 5 3 2" xfId="55128" xr:uid="{00000000-0005-0000-0000-000020D70000}"/>
    <cellStyle name="SAPBEXexcBad9 5 4" xfId="55129" xr:uid="{00000000-0005-0000-0000-000021D70000}"/>
    <cellStyle name="SAPBEXexcBad9 6" xfId="55130" xr:uid="{00000000-0005-0000-0000-000022D70000}"/>
    <cellStyle name="SAPBEXexcBad9 6 2" xfId="55131" xr:uid="{00000000-0005-0000-0000-000023D70000}"/>
    <cellStyle name="SAPBEXexcBad9 6 2 2" xfId="55132" xr:uid="{00000000-0005-0000-0000-000024D70000}"/>
    <cellStyle name="SAPBEXexcBad9 6 3" xfId="55133" xr:uid="{00000000-0005-0000-0000-000025D70000}"/>
    <cellStyle name="SAPBEXexcBad9 6 3 2" xfId="55134" xr:uid="{00000000-0005-0000-0000-000026D70000}"/>
    <cellStyle name="SAPBEXexcBad9 6 4" xfId="55135" xr:uid="{00000000-0005-0000-0000-000027D70000}"/>
    <cellStyle name="SAPBEXexcBad9 7" xfId="55136" xr:uid="{00000000-0005-0000-0000-000028D70000}"/>
    <cellStyle name="SAPBEXexcBad9 7 2" xfId="55137" xr:uid="{00000000-0005-0000-0000-000029D70000}"/>
    <cellStyle name="SAPBEXexcBad9 8" xfId="55138" xr:uid="{00000000-0005-0000-0000-00002AD70000}"/>
    <cellStyle name="SAPBEXexcBad9 8 2" xfId="55139" xr:uid="{00000000-0005-0000-0000-00002BD70000}"/>
    <cellStyle name="SAPBEXexcBad9 9" xfId="55140" xr:uid="{00000000-0005-0000-0000-00002CD70000}"/>
    <cellStyle name="SAPBEXexcBad9 9 2" xfId="55141" xr:uid="{00000000-0005-0000-0000-00002DD70000}"/>
    <cellStyle name="SAPBEXexcCritical4" xfId="55142" xr:uid="{00000000-0005-0000-0000-00002ED70000}"/>
    <cellStyle name="SAPBEXexcCritical4 10" xfId="55143" xr:uid="{00000000-0005-0000-0000-00002FD70000}"/>
    <cellStyle name="SAPBEXexcCritical4 11" xfId="55144" xr:uid="{00000000-0005-0000-0000-000030D70000}"/>
    <cellStyle name="SAPBEXexcCritical4 2" xfId="55145" xr:uid="{00000000-0005-0000-0000-000031D70000}"/>
    <cellStyle name="SAPBEXexcCritical4 2 10" xfId="55146" xr:uid="{00000000-0005-0000-0000-000032D70000}"/>
    <cellStyle name="SAPBEXexcCritical4 2 2" xfId="55147" xr:uid="{00000000-0005-0000-0000-000033D70000}"/>
    <cellStyle name="SAPBEXexcCritical4 2 2 2" xfId="55148" xr:uid="{00000000-0005-0000-0000-000034D70000}"/>
    <cellStyle name="SAPBEXexcCritical4 2 2 2 2" xfId="55149" xr:uid="{00000000-0005-0000-0000-000035D70000}"/>
    <cellStyle name="SAPBEXexcCritical4 2 2 2 2 2" xfId="55150" xr:uid="{00000000-0005-0000-0000-000036D70000}"/>
    <cellStyle name="SAPBEXexcCritical4 2 2 2 3" xfId="55151" xr:uid="{00000000-0005-0000-0000-000037D70000}"/>
    <cellStyle name="SAPBEXexcCritical4 2 2 2 3 2" xfId="55152" xr:uid="{00000000-0005-0000-0000-000038D70000}"/>
    <cellStyle name="SAPBEXexcCritical4 2 2 2 4" xfId="55153" xr:uid="{00000000-0005-0000-0000-000039D70000}"/>
    <cellStyle name="SAPBEXexcCritical4 2 2 3" xfId="55154" xr:uid="{00000000-0005-0000-0000-00003AD70000}"/>
    <cellStyle name="SAPBEXexcCritical4 2 2 3 2" xfId="55155" xr:uid="{00000000-0005-0000-0000-00003BD70000}"/>
    <cellStyle name="SAPBEXexcCritical4 2 2 4" xfId="55156" xr:uid="{00000000-0005-0000-0000-00003CD70000}"/>
    <cellStyle name="SAPBEXexcCritical4 2 2 4 2" xfId="55157" xr:uid="{00000000-0005-0000-0000-00003DD70000}"/>
    <cellStyle name="SAPBEXexcCritical4 2 2 5" xfId="55158" xr:uid="{00000000-0005-0000-0000-00003ED70000}"/>
    <cellStyle name="SAPBEXexcCritical4 2 3" xfId="55159" xr:uid="{00000000-0005-0000-0000-00003FD70000}"/>
    <cellStyle name="SAPBEXexcCritical4 2 3 2" xfId="55160" xr:uid="{00000000-0005-0000-0000-000040D70000}"/>
    <cellStyle name="SAPBEXexcCritical4 2 3 2 2" xfId="55161" xr:uid="{00000000-0005-0000-0000-000041D70000}"/>
    <cellStyle name="SAPBEXexcCritical4 2 3 3" xfId="55162" xr:uid="{00000000-0005-0000-0000-000042D70000}"/>
    <cellStyle name="SAPBEXexcCritical4 2 3 3 2" xfId="55163" xr:uid="{00000000-0005-0000-0000-000043D70000}"/>
    <cellStyle name="SAPBEXexcCritical4 2 3 4" xfId="55164" xr:uid="{00000000-0005-0000-0000-000044D70000}"/>
    <cellStyle name="SAPBEXexcCritical4 2 3 5" xfId="55165" xr:uid="{00000000-0005-0000-0000-000045D70000}"/>
    <cellStyle name="SAPBEXexcCritical4 2 3 6" xfId="55166" xr:uid="{00000000-0005-0000-0000-000046D70000}"/>
    <cellStyle name="SAPBEXexcCritical4 2 4" xfId="55167" xr:uid="{00000000-0005-0000-0000-000047D70000}"/>
    <cellStyle name="SAPBEXexcCritical4 2 4 2" xfId="55168" xr:uid="{00000000-0005-0000-0000-000048D70000}"/>
    <cellStyle name="SAPBEXexcCritical4 2 4 2 2" xfId="55169" xr:uid="{00000000-0005-0000-0000-000049D70000}"/>
    <cellStyle name="SAPBEXexcCritical4 2 4 3" xfId="55170" xr:uid="{00000000-0005-0000-0000-00004AD70000}"/>
    <cellStyle name="SAPBEXexcCritical4 2 4 3 2" xfId="55171" xr:uid="{00000000-0005-0000-0000-00004BD70000}"/>
    <cellStyle name="SAPBEXexcCritical4 2 4 4" xfId="55172" xr:uid="{00000000-0005-0000-0000-00004CD70000}"/>
    <cellStyle name="SAPBEXexcCritical4 2 5" xfId="55173" xr:uid="{00000000-0005-0000-0000-00004DD70000}"/>
    <cellStyle name="SAPBEXexcCritical4 2 5 2" xfId="55174" xr:uid="{00000000-0005-0000-0000-00004ED70000}"/>
    <cellStyle name="SAPBEXexcCritical4 2 6" xfId="55175" xr:uid="{00000000-0005-0000-0000-00004FD70000}"/>
    <cellStyle name="SAPBEXexcCritical4 2 6 2" xfId="55176" xr:uid="{00000000-0005-0000-0000-000050D70000}"/>
    <cellStyle name="SAPBEXexcCritical4 2 7" xfId="55177" xr:uid="{00000000-0005-0000-0000-000051D70000}"/>
    <cellStyle name="SAPBEXexcCritical4 2 7 2" xfId="55178" xr:uid="{00000000-0005-0000-0000-000052D70000}"/>
    <cellStyle name="SAPBEXexcCritical4 2 8" xfId="55179" xr:uid="{00000000-0005-0000-0000-000053D70000}"/>
    <cellStyle name="SAPBEXexcCritical4 2 9" xfId="55180" xr:uid="{00000000-0005-0000-0000-000054D70000}"/>
    <cellStyle name="SAPBEXexcCritical4 3" xfId="55181" xr:uid="{00000000-0005-0000-0000-000055D70000}"/>
    <cellStyle name="SAPBEXexcCritical4 3 2" xfId="55182" xr:uid="{00000000-0005-0000-0000-000056D70000}"/>
    <cellStyle name="SAPBEXexcCritical4 3 2 2" xfId="55183" xr:uid="{00000000-0005-0000-0000-000057D70000}"/>
    <cellStyle name="SAPBEXexcCritical4 3 2 2 2" xfId="55184" xr:uid="{00000000-0005-0000-0000-000058D70000}"/>
    <cellStyle name="SAPBEXexcCritical4 3 2 2 2 2" xfId="55185" xr:uid="{00000000-0005-0000-0000-000059D70000}"/>
    <cellStyle name="SAPBEXexcCritical4 3 2 2 3" xfId="55186" xr:uid="{00000000-0005-0000-0000-00005AD70000}"/>
    <cellStyle name="SAPBEXexcCritical4 3 2 2 3 2" xfId="55187" xr:uid="{00000000-0005-0000-0000-00005BD70000}"/>
    <cellStyle name="SAPBEXexcCritical4 3 2 2 4" xfId="55188" xr:uid="{00000000-0005-0000-0000-00005CD70000}"/>
    <cellStyle name="SAPBEXexcCritical4 3 2 3" xfId="55189" xr:uid="{00000000-0005-0000-0000-00005DD70000}"/>
    <cellStyle name="SAPBEXexcCritical4 3 2 3 2" xfId="55190" xr:uid="{00000000-0005-0000-0000-00005ED70000}"/>
    <cellStyle name="SAPBEXexcCritical4 3 2 3 2 2" xfId="55191" xr:uid="{00000000-0005-0000-0000-00005FD70000}"/>
    <cellStyle name="SAPBEXexcCritical4 3 2 3 3" xfId="55192" xr:uid="{00000000-0005-0000-0000-000060D70000}"/>
    <cellStyle name="SAPBEXexcCritical4 3 2 3 3 2" xfId="55193" xr:uid="{00000000-0005-0000-0000-000061D70000}"/>
    <cellStyle name="SAPBEXexcCritical4 3 2 3 4" xfId="55194" xr:uid="{00000000-0005-0000-0000-000062D70000}"/>
    <cellStyle name="SAPBEXexcCritical4 3 2 4" xfId="55195" xr:uid="{00000000-0005-0000-0000-000063D70000}"/>
    <cellStyle name="SAPBEXexcCritical4 3 2 4 2" xfId="55196" xr:uid="{00000000-0005-0000-0000-000064D70000}"/>
    <cellStyle name="SAPBEXexcCritical4 3 2 5" xfId="55197" xr:uid="{00000000-0005-0000-0000-000065D70000}"/>
    <cellStyle name="SAPBEXexcCritical4 3 2 5 2" xfId="55198" xr:uid="{00000000-0005-0000-0000-000066D70000}"/>
    <cellStyle name="SAPBEXexcCritical4 3 2 6" xfId="55199" xr:uid="{00000000-0005-0000-0000-000067D70000}"/>
    <cellStyle name="SAPBEXexcCritical4 3 3" xfId="55200" xr:uid="{00000000-0005-0000-0000-000068D70000}"/>
    <cellStyle name="SAPBEXexcCritical4 3 3 2" xfId="55201" xr:uid="{00000000-0005-0000-0000-000069D70000}"/>
    <cellStyle name="SAPBEXexcCritical4 3 3 2 2" xfId="55202" xr:uid="{00000000-0005-0000-0000-00006AD70000}"/>
    <cellStyle name="SAPBEXexcCritical4 3 3 3" xfId="55203" xr:uid="{00000000-0005-0000-0000-00006BD70000}"/>
    <cellStyle name="SAPBEXexcCritical4 3 3 3 2" xfId="55204" xr:uid="{00000000-0005-0000-0000-00006CD70000}"/>
    <cellStyle name="SAPBEXexcCritical4 3 3 4" xfId="55205" xr:uid="{00000000-0005-0000-0000-00006DD70000}"/>
    <cellStyle name="SAPBEXexcCritical4 3 4" xfId="55206" xr:uid="{00000000-0005-0000-0000-00006ED70000}"/>
    <cellStyle name="SAPBEXexcCritical4 3 4 2" xfId="55207" xr:uid="{00000000-0005-0000-0000-00006FD70000}"/>
    <cellStyle name="SAPBEXexcCritical4 3 4 2 2" xfId="55208" xr:uid="{00000000-0005-0000-0000-000070D70000}"/>
    <cellStyle name="SAPBEXexcCritical4 3 4 3" xfId="55209" xr:uid="{00000000-0005-0000-0000-000071D70000}"/>
    <cellStyle name="SAPBEXexcCritical4 3 4 3 2" xfId="55210" xr:uid="{00000000-0005-0000-0000-000072D70000}"/>
    <cellStyle name="SAPBEXexcCritical4 3 4 4" xfId="55211" xr:uid="{00000000-0005-0000-0000-000073D70000}"/>
    <cellStyle name="SAPBEXexcCritical4 3 5" xfId="55212" xr:uid="{00000000-0005-0000-0000-000074D70000}"/>
    <cellStyle name="SAPBEXexcCritical4 3 5 2" xfId="55213" xr:uid="{00000000-0005-0000-0000-000075D70000}"/>
    <cellStyle name="SAPBEXexcCritical4 3 5 2 2" xfId="55214" xr:uid="{00000000-0005-0000-0000-000076D70000}"/>
    <cellStyle name="SAPBEXexcCritical4 3 5 3" xfId="55215" xr:uid="{00000000-0005-0000-0000-000077D70000}"/>
    <cellStyle name="SAPBEXexcCritical4 3 5 3 2" xfId="55216" xr:uid="{00000000-0005-0000-0000-000078D70000}"/>
    <cellStyle name="SAPBEXexcCritical4 3 5 4" xfId="55217" xr:uid="{00000000-0005-0000-0000-000079D70000}"/>
    <cellStyle name="SAPBEXexcCritical4 3 6" xfId="55218" xr:uid="{00000000-0005-0000-0000-00007AD70000}"/>
    <cellStyle name="SAPBEXexcCritical4 3 6 2" xfId="55219" xr:uid="{00000000-0005-0000-0000-00007BD70000}"/>
    <cellStyle name="SAPBEXexcCritical4 3 7" xfId="55220" xr:uid="{00000000-0005-0000-0000-00007CD70000}"/>
    <cellStyle name="SAPBEXexcCritical4 3 7 2" xfId="55221" xr:uid="{00000000-0005-0000-0000-00007DD70000}"/>
    <cellStyle name="SAPBEXexcCritical4 3 8" xfId="55222" xr:uid="{00000000-0005-0000-0000-00007ED70000}"/>
    <cellStyle name="SAPBEXexcCritical4 3 9" xfId="55223" xr:uid="{00000000-0005-0000-0000-00007FD70000}"/>
    <cellStyle name="SAPBEXexcCritical4 4" xfId="55224" xr:uid="{00000000-0005-0000-0000-000080D70000}"/>
    <cellStyle name="SAPBEXexcCritical4 4 2" xfId="55225" xr:uid="{00000000-0005-0000-0000-000081D70000}"/>
    <cellStyle name="SAPBEXexcCritical4 4 2 2" xfId="55226" xr:uid="{00000000-0005-0000-0000-000082D70000}"/>
    <cellStyle name="SAPBEXexcCritical4 4 3" xfId="55227" xr:uid="{00000000-0005-0000-0000-000083D70000}"/>
    <cellStyle name="SAPBEXexcCritical4 4 3 2" xfId="55228" xr:uid="{00000000-0005-0000-0000-000084D70000}"/>
    <cellStyle name="SAPBEXexcCritical4 4 4" xfId="55229" xr:uid="{00000000-0005-0000-0000-000085D70000}"/>
    <cellStyle name="SAPBEXexcCritical4 5" xfId="55230" xr:uid="{00000000-0005-0000-0000-000086D70000}"/>
    <cellStyle name="SAPBEXexcCritical4 5 2" xfId="55231" xr:uid="{00000000-0005-0000-0000-000087D70000}"/>
    <cellStyle name="SAPBEXexcCritical4 5 2 2" xfId="55232" xr:uid="{00000000-0005-0000-0000-000088D70000}"/>
    <cellStyle name="SAPBEXexcCritical4 5 3" xfId="55233" xr:uid="{00000000-0005-0000-0000-000089D70000}"/>
    <cellStyle name="SAPBEXexcCritical4 5 3 2" xfId="55234" xr:uid="{00000000-0005-0000-0000-00008AD70000}"/>
    <cellStyle name="SAPBEXexcCritical4 5 4" xfId="55235" xr:uid="{00000000-0005-0000-0000-00008BD70000}"/>
    <cellStyle name="SAPBEXexcCritical4 6" xfId="55236" xr:uid="{00000000-0005-0000-0000-00008CD70000}"/>
    <cellStyle name="SAPBEXexcCritical4 6 2" xfId="55237" xr:uid="{00000000-0005-0000-0000-00008DD70000}"/>
    <cellStyle name="SAPBEXexcCritical4 6 2 2" xfId="55238" xr:uid="{00000000-0005-0000-0000-00008ED70000}"/>
    <cellStyle name="SAPBEXexcCritical4 6 3" xfId="55239" xr:uid="{00000000-0005-0000-0000-00008FD70000}"/>
    <cellStyle name="SAPBEXexcCritical4 6 3 2" xfId="55240" xr:uid="{00000000-0005-0000-0000-000090D70000}"/>
    <cellStyle name="SAPBEXexcCritical4 6 4" xfId="55241" xr:uid="{00000000-0005-0000-0000-000091D70000}"/>
    <cellStyle name="SAPBEXexcCritical4 7" xfId="55242" xr:uid="{00000000-0005-0000-0000-000092D70000}"/>
    <cellStyle name="SAPBEXexcCritical4 7 2" xfId="55243" xr:uid="{00000000-0005-0000-0000-000093D70000}"/>
    <cellStyle name="SAPBEXexcCritical4 8" xfId="55244" xr:uid="{00000000-0005-0000-0000-000094D70000}"/>
    <cellStyle name="SAPBEXexcCritical4 8 2" xfId="55245" xr:uid="{00000000-0005-0000-0000-000095D70000}"/>
    <cellStyle name="SAPBEXexcCritical4 9" xfId="55246" xr:uid="{00000000-0005-0000-0000-000096D70000}"/>
    <cellStyle name="SAPBEXexcCritical4 9 2" xfId="55247" xr:uid="{00000000-0005-0000-0000-000097D70000}"/>
    <cellStyle name="SAPBEXexcCritical5" xfId="55248" xr:uid="{00000000-0005-0000-0000-000098D70000}"/>
    <cellStyle name="SAPBEXexcCritical5 10" xfId="55249" xr:uid="{00000000-0005-0000-0000-000099D70000}"/>
    <cellStyle name="SAPBEXexcCritical5 11" xfId="55250" xr:uid="{00000000-0005-0000-0000-00009AD70000}"/>
    <cellStyle name="SAPBEXexcCritical5 2" xfId="55251" xr:uid="{00000000-0005-0000-0000-00009BD70000}"/>
    <cellStyle name="SAPBEXexcCritical5 2 10" xfId="55252" xr:uid="{00000000-0005-0000-0000-00009CD70000}"/>
    <cellStyle name="SAPBEXexcCritical5 2 2" xfId="55253" xr:uid="{00000000-0005-0000-0000-00009DD70000}"/>
    <cellStyle name="SAPBEXexcCritical5 2 2 2" xfId="55254" xr:uid="{00000000-0005-0000-0000-00009ED70000}"/>
    <cellStyle name="SAPBEXexcCritical5 2 2 2 2" xfId="55255" xr:uid="{00000000-0005-0000-0000-00009FD70000}"/>
    <cellStyle name="SAPBEXexcCritical5 2 2 2 2 2" xfId="55256" xr:uid="{00000000-0005-0000-0000-0000A0D70000}"/>
    <cellStyle name="SAPBEXexcCritical5 2 2 2 3" xfId="55257" xr:uid="{00000000-0005-0000-0000-0000A1D70000}"/>
    <cellStyle name="SAPBEXexcCritical5 2 2 2 3 2" xfId="55258" xr:uid="{00000000-0005-0000-0000-0000A2D70000}"/>
    <cellStyle name="SAPBEXexcCritical5 2 2 2 4" xfId="55259" xr:uid="{00000000-0005-0000-0000-0000A3D70000}"/>
    <cellStyle name="SAPBEXexcCritical5 2 2 3" xfId="55260" xr:uid="{00000000-0005-0000-0000-0000A4D70000}"/>
    <cellStyle name="SAPBEXexcCritical5 2 2 3 2" xfId="55261" xr:uid="{00000000-0005-0000-0000-0000A5D70000}"/>
    <cellStyle name="SAPBEXexcCritical5 2 2 4" xfId="55262" xr:uid="{00000000-0005-0000-0000-0000A6D70000}"/>
    <cellStyle name="SAPBEXexcCritical5 2 2 4 2" xfId="55263" xr:uid="{00000000-0005-0000-0000-0000A7D70000}"/>
    <cellStyle name="SAPBEXexcCritical5 2 2 5" xfId="55264" xr:uid="{00000000-0005-0000-0000-0000A8D70000}"/>
    <cellStyle name="SAPBEXexcCritical5 2 3" xfId="55265" xr:uid="{00000000-0005-0000-0000-0000A9D70000}"/>
    <cellStyle name="SAPBEXexcCritical5 2 3 2" xfId="55266" xr:uid="{00000000-0005-0000-0000-0000AAD70000}"/>
    <cellStyle name="SAPBEXexcCritical5 2 3 2 2" xfId="55267" xr:uid="{00000000-0005-0000-0000-0000ABD70000}"/>
    <cellStyle name="SAPBEXexcCritical5 2 3 3" xfId="55268" xr:uid="{00000000-0005-0000-0000-0000ACD70000}"/>
    <cellStyle name="SAPBEXexcCritical5 2 3 3 2" xfId="55269" xr:uid="{00000000-0005-0000-0000-0000ADD70000}"/>
    <cellStyle name="SAPBEXexcCritical5 2 3 4" xfId="55270" xr:uid="{00000000-0005-0000-0000-0000AED70000}"/>
    <cellStyle name="SAPBEXexcCritical5 2 3 5" xfId="55271" xr:uid="{00000000-0005-0000-0000-0000AFD70000}"/>
    <cellStyle name="SAPBEXexcCritical5 2 3 6" xfId="55272" xr:uid="{00000000-0005-0000-0000-0000B0D70000}"/>
    <cellStyle name="SAPBEXexcCritical5 2 4" xfId="55273" xr:uid="{00000000-0005-0000-0000-0000B1D70000}"/>
    <cellStyle name="SAPBEXexcCritical5 2 4 2" xfId="55274" xr:uid="{00000000-0005-0000-0000-0000B2D70000}"/>
    <cellStyle name="SAPBEXexcCritical5 2 4 2 2" xfId="55275" xr:uid="{00000000-0005-0000-0000-0000B3D70000}"/>
    <cellStyle name="SAPBEXexcCritical5 2 4 3" xfId="55276" xr:uid="{00000000-0005-0000-0000-0000B4D70000}"/>
    <cellStyle name="SAPBEXexcCritical5 2 4 3 2" xfId="55277" xr:uid="{00000000-0005-0000-0000-0000B5D70000}"/>
    <cellStyle name="SAPBEXexcCritical5 2 4 4" xfId="55278" xr:uid="{00000000-0005-0000-0000-0000B6D70000}"/>
    <cellStyle name="SAPBEXexcCritical5 2 5" xfId="55279" xr:uid="{00000000-0005-0000-0000-0000B7D70000}"/>
    <cellStyle name="SAPBEXexcCritical5 2 5 2" xfId="55280" xr:uid="{00000000-0005-0000-0000-0000B8D70000}"/>
    <cellStyle name="SAPBEXexcCritical5 2 6" xfId="55281" xr:uid="{00000000-0005-0000-0000-0000B9D70000}"/>
    <cellStyle name="SAPBEXexcCritical5 2 6 2" xfId="55282" xr:uid="{00000000-0005-0000-0000-0000BAD70000}"/>
    <cellStyle name="SAPBEXexcCritical5 2 7" xfId="55283" xr:uid="{00000000-0005-0000-0000-0000BBD70000}"/>
    <cellStyle name="SAPBEXexcCritical5 2 7 2" xfId="55284" xr:uid="{00000000-0005-0000-0000-0000BCD70000}"/>
    <cellStyle name="SAPBEXexcCritical5 2 8" xfId="55285" xr:uid="{00000000-0005-0000-0000-0000BDD70000}"/>
    <cellStyle name="SAPBEXexcCritical5 2 9" xfId="55286" xr:uid="{00000000-0005-0000-0000-0000BED70000}"/>
    <cellStyle name="SAPBEXexcCritical5 3" xfId="55287" xr:uid="{00000000-0005-0000-0000-0000BFD70000}"/>
    <cellStyle name="SAPBEXexcCritical5 3 2" xfId="55288" xr:uid="{00000000-0005-0000-0000-0000C0D70000}"/>
    <cellStyle name="SAPBEXexcCritical5 3 2 2" xfId="55289" xr:uid="{00000000-0005-0000-0000-0000C1D70000}"/>
    <cellStyle name="SAPBEXexcCritical5 3 2 2 2" xfId="55290" xr:uid="{00000000-0005-0000-0000-0000C2D70000}"/>
    <cellStyle name="SAPBEXexcCritical5 3 2 2 2 2" xfId="55291" xr:uid="{00000000-0005-0000-0000-0000C3D70000}"/>
    <cellStyle name="SAPBEXexcCritical5 3 2 2 3" xfId="55292" xr:uid="{00000000-0005-0000-0000-0000C4D70000}"/>
    <cellStyle name="SAPBEXexcCritical5 3 2 2 3 2" xfId="55293" xr:uid="{00000000-0005-0000-0000-0000C5D70000}"/>
    <cellStyle name="SAPBEXexcCritical5 3 2 2 4" xfId="55294" xr:uid="{00000000-0005-0000-0000-0000C6D70000}"/>
    <cellStyle name="SAPBEXexcCritical5 3 2 3" xfId="55295" xr:uid="{00000000-0005-0000-0000-0000C7D70000}"/>
    <cellStyle name="SAPBEXexcCritical5 3 2 3 2" xfId="55296" xr:uid="{00000000-0005-0000-0000-0000C8D70000}"/>
    <cellStyle name="SAPBEXexcCritical5 3 2 3 2 2" xfId="55297" xr:uid="{00000000-0005-0000-0000-0000C9D70000}"/>
    <cellStyle name="SAPBEXexcCritical5 3 2 3 3" xfId="55298" xr:uid="{00000000-0005-0000-0000-0000CAD70000}"/>
    <cellStyle name="SAPBEXexcCritical5 3 2 3 3 2" xfId="55299" xr:uid="{00000000-0005-0000-0000-0000CBD70000}"/>
    <cellStyle name="SAPBEXexcCritical5 3 2 3 4" xfId="55300" xr:uid="{00000000-0005-0000-0000-0000CCD70000}"/>
    <cellStyle name="SAPBEXexcCritical5 3 2 4" xfId="55301" xr:uid="{00000000-0005-0000-0000-0000CDD70000}"/>
    <cellStyle name="SAPBEXexcCritical5 3 2 4 2" xfId="55302" xr:uid="{00000000-0005-0000-0000-0000CED70000}"/>
    <cellStyle name="SAPBEXexcCritical5 3 2 5" xfId="55303" xr:uid="{00000000-0005-0000-0000-0000CFD70000}"/>
    <cellStyle name="SAPBEXexcCritical5 3 2 5 2" xfId="55304" xr:uid="{00000000-0005-0000-0000-0000D0D70000}"/>
    <cellStyle name="SAPBEXexcCritical5 3 2 6" xfId="55305" xr:uid="{00000000-0005-0000-0000-0000D1D70000}"/>
    <cellStyle name="SAPBEXexcCritical5 3 3" xfId="55306" xr:uid="{00000000-0005-0000-0000-0000D2D70000}"/>
    <cellStyle name="SAPBEXexcCritical5 3 3 2" xfId="55307" xr:uid="{00000000-0005-0000-0000-0000D3D70000}"/>
    <cellStyle name="SAPBEXexcCritical5 3 3 2 2" xfId="55308" xr:uid="{00000000-0005-0000-0000-0000D4D70000}"/>
    <cellStyle name="SAPBEXexcCritical5 3 3 3" xfId="55309" xr:uid="{00000000-0005-0000-0000-0000D5D70000}"/>
    <cellStyle name="SAPBEXexcCritical5 3 3 3 2" xfId="55310" xr:uid="{00000000-0005-0000-0000-0000D6D70000}"/>
    <cellStyle name="SAPBEXexcCritical5 3 3 4" xfId="55311" xr:uid="{00000000-0005-0000-0000-0000D7D70000}"/>
    <cellStyle name="SAPBEXexcCritical5 3 4" xfId="55312" xr:uid="{00000000-0005-0000-0000-0000D8D70000}"/>
    <cellStyle name="SAPBEXexcCritical5 3 4 2" xfId="55313" xr:uid="{00000000-0005-0000-0000-0000D9D70000}"/>
    <cellStyle name="SAPBEXexcCritical5 3 4 2 2" xfId="55314" xr:uid="{00000000-0005-0000-0000-0000DAD70000}"/>
    <cellStyle name="SAPBEXexcCritical5 3 4 3" xfId="55315" xr:uid="{00000000-0005-0000-0000-0000DBD70000}"/>
    <cellStyle name="SAPBEXexcCritical5 3 4 3 2" xfId="55316" xr:uid="{00000000-0005-0000-0000-0000DCD70000}"/>
    <cellStyle name="SAPBEXexcCritical5 3 4 4" xfId="55317" xr:uid="{00000000-0005-0000-0000-0000DDD70000}"/>
    <cellStyle name="SAPBEXexcCritical5 3 5" xfId="55318" xr:uid="{00000000-0005-0000-0000-0000DED70000}"/>
    <cellStyle name="SAPBEXexcCritical5 3 5 2" xfId="55319" xr:uid="{00000000-0005-0000-0000-0000DFD70000}"/>
    <cellStyle name="SAPBEXexcCritical5 3 5 2 2" xfId="55320" xr:uid="{00000000-0005-0000-0000-0000E0D70000}"/>
    <cellStyle name="SAPBEXexcCritical5 3 5 3" xfId="55321" xr:uid="{00000000-0005-0000-0000-0000E1D70000}"/>
    <cellStyle name="SAPBEXexcCritical5 3 5 3 2" xfId="55322" xr:uid="{00000000-0005-0000-0000-0000E2D70000}"/>
    <cellStyle name="SAPBEXexcCritical5 3 5 4" xfId="55323" xr:uid="{00000000-0005-0000-0000-0000E3D70000}"/>
    <cellStyle name="SAPBEXexcCritical5 3 6" xfId="55324" xr:uid="{00000000-0005-0000-0000-0000E4D70000}"/>
    <cellStyle name="SAPBEXexcCritical5 3 6 2" xfId="55325" xr:uid="{00000000-0005-0000-0000-0000E5D70000}"/>
    <cellStyle name="SAPBEXexcCritical5 3 7" xfId="55326" xr:uid="{00000000-0005-0000-0000-0000E6D70000}"/>
    <cellStyle name="SAPBEXexcCritical5 3 7 2" xfId="55327" xr:uid="{00000000-0005-0000-0000-0000E7D70000}"/>
    <cellStyle name="SAPBEXexcCritical5 3 8" xfId="55328" xr:uid="{00000000-0005-0000-0000-0000E8D70000}"/>
    <cellStyle name="SAPBEXexcCritical5 3 9" xfId="55329" xr:uid="{00000000-0005-0000-0000-0000E9D70000}"/>
    <cellStyle name="SAPBEXexcCritical5 4" xfId="55330" xr:uid="{00000000-0005-0000-0000-0000EAD70000}"/>
    <cellStyle name="SAPBEXexcCritical5 4 2" xfId="55331" xr:uid="{00000000-0005-0000-0000-0000EBD70000}"/>
    <cellStyle name="SAPBEXexcCritical5 4 2 2" xfId="55332" xr:uid="{00000000-0005-0000-0000-0000ECD70000}"/>
    <cellStyle name="SAPBEXexcCritical5 4 3" xfId="55333" xr:uid="{00000000-0005-0000-0000-0000EDD70000}"/>
    <cellStyle name="SAPBEXexcCritical5 4 3 2" xfId="55334" xr:uid="{00000000-0005-0000-0000-0000EED70000}"/>
    <cellStyle name="SAPBEXexcCritical5 4 4" xfId="55335" xr:uid="{00000000-0005-0000-0000-0000EFD70000}"/>
    <cellStyle name="SAPBEXexcCritical5 5" xfId="55336" xr:uid="{00000000-0005-0000-0000-0000F0D70000}"/>
    <cellStyle name="SAPBEXexcCritical5 5 2" xfId="55337" xr:uid="{00000000-0005-0000-0000-0000F1D70000}"/>
    <cellStyle name="SAPBEXexcCritical5 5 2 2" xfId="55338" xr:uid="{00000000-0005-0000-0000-0000F2D70000}"/>
    <cellStyle name="SAPBEXexcCritical5 5 3" xfId="55339" xr:uid="{00000000-0005-0000-0000-0000F3D70000}"/>
    <cellStyle name="SAPBEXexcCritical5 5 3 2" xfId="55340" xr:uid="{00000000-0005-0000-0000-0000F4D70000}"/>
    <cellStyle name="SAPBEXexcCritical5 5 4" xfId="55341" xr:uid="{00000000-0005-0000-0000-0000F5D70000}"/>
    <cellStyle name="SAPBEXexcCritical5 6" xfId="55342" xr:uid="{00000000-0005-0000-0000-0000F6D70000}"/>
    <cellStyle name="SAPBEXexcCritical5 6 2" xfId="55343" xr:uid="{00000000-0005-0000-0000-0000F7D70000}"/>
    <cellStyle name="SAPBEXexcCritical5 6 2 2" xfId="55344" xr:uid="{00000000-0005-0000-0000-0000F8D70000}"/>
    <cellStyle name="SAPBEXexcCritical5 6 3" xfId="55345" xr:uid="{00000000-0005-0000-0000-0000F9D70000}"/>
    <cellStyle name="SAPBEXexcCritical5 6 3 2" xfId="55346" xr:uid="{00000000-0005-0000-0000-0000FAD70000}"/>
    <cellStyle name="SAPBEXexcCritical5 6 4" xfId="55347" xr:uid="{00000000-0005-0000-0000-0000FBD70000}"/>
    <cellStyle name="SAPBEXexcCritical5 7" xfId="55348" xr:uid="{00000000-0005-0000-0000-0000FCD70000}"/>
    <cellStyle name="SAPBEXexcCritical5 7 2" xfId="55349" xr:uid="{00000000-0005-0000-0000-0000FDD70000}"/>
    <cellStyle name="SAPBEXexcCritical5 8" xfId="55350" xr:uid="{00000000-0005-0000-0000-0000FED70000}"/>
    <cellStyle name="SAPBEXexcCritical5 8 2" xfId="55351" xr:uid="{00000000-0005-0000-0000-0000FFD70000}"/>
    <cellStyle name="SAPBEXexcCritical5 9" xfId="55352" xr:uid="{00000000-0005-0000-0000-000000D80000}"/>
    <cellStyle name="SAPBEXexcCritical5 9 2" xfId="55353" xr:uid="{00000000-0005-0000-0000-000001D80000}"/>
    <cellStyle name="SAPBEXexcCritical6" xfId="55354" xr:uid="{00000000-0005-0000-0000-000002D80000}"/>
    <cellStyle name="SAPBEXexcCritical6 10" xfId="55355" xr:uid="{00000000-0005-0000-0000-000003D80000}"/>
    <cellStyle name="SAPBEXexcCritical6 11" xfId="55356" xr:uid="{00000000-0005-0000-0000-000004D80000}"/>
    <cellStyle name="SAPBEXexcCritical6 2" xfId="55357" xr:uid="{00000000-0005-0000-0000-000005D80000}"/>
    <cellStyle name="SAPBEXexcCritical6 2 10" xfId="55358" xr:uid="{00000000-0005-0000-0000-000006D80000}"/>
    <cellStyle name="SAPBEXexcCritical6 2 2" xfId="55359" xr:uid="{00000000-0005-0000-0000-000007D80000}"/>
    <cellStyle name="SAPBEXexcCritical6 2 2 2" xfId="55360" xr:uid="{00000000-0005-0000-0000-000008D80000}"/>
    <cellStyle name="SAPBEXexcCritical6 2 2 2 2" xfId="55361" xr:uid="{00000000-0005-0000-0000-000009D80000}"/>
    <cellStyle name="SAPBEXexcCritical6 2 2 2 2 2" xfId="55362" xr:uid="{00000000-0005-0000-0000-00000AD80000}"/>
    <cellStyle name="SAPBEXexcCritical6 2 2 2 3" xfId="55363" xr:uid="{00000000-0005-0000-0000-00000BD80000}"/>
    <cellStyle name="SAPBEXexcCritical6 2 2 2 3 2" xfId="55364" xr:uid="{00000000-0005-0000-0000-00000CD80000}"/>
    <cellStyle name="SAPBEXexcCritical6 2 2 2 4" xfId="55365" xr:uid="{00000000-0005-0000-0000-00000DD80000}"/>
    <cellStyle name="SAPBEXexcCritical6 2 2 3" xfId="55366" xr:uid="{00000000-0005-0000-0000-00000ED80000}"/>
    <cellStyle name="SAPBEXexcCritical6 2 2 3 2" xfId="55367" xr:uid="{00000000-0005-0000-0000-00000FD80000}"/>
    <cellStyle name="SAPBEXexcCritical6 2 2 4" xfId="55368" xr:uid="{00000000-0005-0000-0000-000010D80000}"/>
    <cellStyle name="SAPBEXexcCritical6 2 2 4 2" xfId="55369" xr:uid="{00000000-0005-0000-0000-000011D80000}"/>
    <cellStyle name="SAPBEXexcCritical6 2 2 5" xfId="55370" xr:uid="{00000000-0005-0000-0000-000012D80000}"/>
    <cellStyle name="SAPBEXexcCritical6 2 3" xfId="55371" xr:uid="{00000000-0005-0000-0000-000013D80000}"/>
    <cellStyle name="SAPBEXexcCritical6 2 3 2" xfId="55372" xr:uid="{00000000-0005-0000-0000-000014D80000}"/>
    <cellStyle name="SAPBEXexcCritical6 2 3 2 2" xfId="55373" xr:uid="{00000000-0005-0000-0000-000015D80000}"/>
    <cellStyle name="SAPBEXexcCritical6 2 3 3" xfId="55374" xr:uid="{00000000-0005-0000-0000-000016D80000}"/>
    <cellStyle name="SAPBEXexcCritical6 2 3 3 2" xfId="55375" xr:uid="{00000000-0005-0000-0000-000017D80000}"/>
    <cellStyle name="SAPBEXexcCritical6 2 3 4" xfId="55376" xr:uid="{00000000-0005-0000-0000-000018D80000}"/>
    <cellStyle name="SAPBEXexcCritical6 2 3 5" xfId="55377" xr:uid="{00000000-0005-0000-0000-000019D80000}"/>
    <cellStyle name="SAPBEXexcCritical6 2 3 6" xfId="55378" xr:uid="{00000000-0005-0000-0000-00001AD80000}"/>
    <cellStyle name="SAPBEXexcCritical6 2 4" xfId="55379" xr:uid="{00000000-0005-0000-0000-00001BD80000}"/>
    <cellStyle name="SAPBEXexcCritical6 2 4 2" xfId="55380" xr:uid="{00000000-0005-0000-0000-00001CD80000}"/>
    <cellStyle name="SAPBEXexcCritical6 2 4 2 2" xfId="55381" xr:uid="{00000000-0005-0000-0000-00001DD80000}"/>
    <cellStyle name="SAPBEXexcCritical6 2 4 3" xfId="55382" xr:uid="{00000000-0005-0000-0000-00001ED80000}"/>
    <cellStyle name="SAPBEXexcCritical6 2 4 3 2" xfId="55383" xr:uid="{00000000-0005-0000-0000-00001FD80000}"/>
    <cellStyle name="SAPBEXexcCritical6 2 4 4" xfId="55384" xr:uid="{00000000-0005-0000-0000-000020D80000}"/>
    <cellStyle name="SAPBEXexcCritical6 2 5" xfId="55385" xr:uid="{00000000-0005-0000-0000-000021D80000}"/>
    <cellStyle name="SAPBEXexcCritical6 2 5 2" xfId="55386" xr:uid="{00000000-0005-0000-0000-000022D80000}"/>
    <cellStyle name="SAPBEXexcCritical6 2 6" xfId="55387" xr:uid="{00000000-0005-0000-0000-000023D80000}"/>
    <cellStyle name="SAPBEXexcCritical6 2 6 2" xfId="55388" xr:uid="{00000000-0005-0000-0000-000024D80000}"/>
    <cellStyle name="SAPBEXexcCritical6 2 7" xfId="55389" xr:uid="{00000000-0005-0000-0000-000025D80000}"/>
    <cellStyle name="SAPBEXexcCritical6 2 7 2" xfId="55390" xr:uid="{00000000-0005-0000-0000-000026D80000}"/>
    <cellStyle name="SAPBEXexcCritical6 2 8" xfId="55391" xr:uid="{00000000-0005-0000-0000-000027D80000}"/>
    <cellStyle name="SAPBEXexcCritical6 2 9" xfId="55392" xr:uid="{00000000-0005-0000-0000-000028D80000}"/>
    <cellStyle name="SAPBEXexcCritical6 3" xfId="55393" xr:uid="{00000000-0005-0000-0000-000029D80000}"/>
    <cellStyle name="SAPBEXexcCritical6 3 2" xfId="55394" xr:uid="{00000000-0005-0000-0000-00002AD80000}"/>
    <cellStyle name="SAPBEXexcCritical6 3 2 2" xfId="55395" xr:uid="{00000000-0005-0000-0000-00002BD80000}"/>
    <cellStyle name="SAPBEXexcCritical6 3 2 2 2" xfId="55396" xr:uid="{00000000-0005-0000-0000-00002CD80000}"/>
    <cellStyle name="SAPBEXexcCritical6 3 2 2 2 2" xfId="55397" xr:uid="{00000000-0005-0000-0000-00002DD80000}"/>
    <cellStyle name="SAPBEXexcCritical6 3 2 2 3" xfId="55398" xr:uid="{00000000-0005-0000-0000-00002ED80000}"/>
    <cellStyle name="SAPBEXexcCritical6 3 2 2 3 2" xfId="55399" xr:uid="{00000000-0005-0000-0000-00002FD80000}"/>
    <cellStyle name="SAPBEXexcCritical6 3 2 2 4" xfId="55400" xr:uid="{00000000-0005-0000-0000-000030D80000}"/>
    <cellStyle name="SAPBEXexcCritical6 3 2 3" xfId="55401" xr:uid="{00000000-0005-0000-0000-000031D80000}"/>
    <cellStyle name="SAPBEXexcCritical6 3 2 3 2" xfId="55402" xr:uid="{00000000-0005-0000-0000-000032D80000}"/>
    <cellStyle name="SAPBEXexcCritical6 3 2 3 2 2" xfId="55403" xr:uid="{00000000-0005-0000-0000-000033D80000}"/>
    <cellStyle name="SAPBEXexcCritical6 3 2 3 3" xfId="55404" xr:uid="{00000000-0005-0000-0000-000034D80000}"/>
    <cellStyle name="SAPBEXexcCritical6 3 2 3 3 2" xfId="55405" xr:uid="{00000000-0005-0000-0000-000035D80000}"/>
    <cellStyle name="SAPBEXexcCritical6 3 2 3 4" xfId="55406" xr:uid="{00000000-0005-0000-0000-000036D80000}"/>
    <cellStyle name="SAPBEXexcCritical6 3 2 4" xfId="55407" xr:uid="{00000000-0005-0000-0000-000037D80000}"/>
    <cellStyle name="SAPBEXexcCritical6 3 2 4 2" xfId="55408" xr:uid="{00000000-0005-0000-0000-000038D80000}"/>
    <cellStyle name="SAPBEXexcCritical6 3 2 5" xfId="55409" xr:uid="{00000000-0005-0000-0000-000039D80000}"/>
    <cellStyle name="SAPBEXexcCritical6 3 2 5 2" xfId="55410" xr:uid="{00000000-0005-0000-0000-00003AD80000}"/>
    <cellStyle name="SAPBEXexcCritical6 3 2 6" xfId="55411" xr:uid="{00000000-0005-0000-0000-00003BD80000}"/>
    <cellStyle name="SAPBEXexcCritical6 3 3" xfId="55412" xr:uid="{00000000-0005-0000-0000-00003CD80000}"/>
    <cellStyle name="SAPBEXexcCritical6 3 3 2" xfId="55413" xr:uid="{00000000-0005-0000-0000-00003DD80000}"/>
    <cellStyle name="SAPBEXexcCritical6 3 3 2 2" xfId="55414" xr:uid="{00000000-0005-0000-0000-00003ED80000}"/>
    <cellStyle name="SAPBEXexcCritical6 3 3 3" xfId="55415" xr:uid="{00000000-0005-0000-0000-00003FD80000}"/>
    <cellStyle name="SAPBEXexcCritical6 3 3 3 2" xfId="55416" xr:uid="{00000000-0005-0000-0000-000040D80000}"/>
    <cellStyle name="SAPBEXexcCritical6 3 3 4" xfId="55417" xr:uid="{00000000-0005-0000-0000-000041D80000}"/>
    <cellStyle name="SAPBEXexcCritical6 3 4" xfId="55418" xr:uid="{00000000-0005-0000-0000-000042D80000}"/>
    <cellStyle name="SAPBEXexcCritical6 3 4 2" xfId="55419" xr:uid="{00000000-0005-0000-0000-000043D80000}"/>
    <cellStyle name="SAPBEXexcCritical6 3 4 2 2" xfId="55420" xr:uid="{00000000-0005-0000-0000-000044D80000}"/>
    <cellStyle name="SAPBEXexcCritical6 3 4 3" xfId="55421" xr:uid="{00000000-0005-0000-0000-000045D80000}"/>
    <cellStyle name="SAPBEXexcCritical6 3 4 3 2" xfId="55422" xr:uid="{00000000-0005-0000-0000-000046D80000}"/>
    <cellStyle name="SAPBEXexcCritical6 3 4 4" xfId="55423" xr:uid="{00000000-0005-0000-0000-000047D80000}"/>
    <cellStyle name="SAPBEXexcCritical6 3 5" xfId="55424" xr:uid="{00000000-0005-0000-0000-000048D80000}"/>
    <cellStyle name="SAPBEXexcCritical6 3 5 2" xfId="55425" xr:uid="{00000000-0005-0000-0000-000049D80000}"/>
    <cellStyle name="SAPBEXexcCritical6 3 5 2 2" xfId="55426" xr:uid="{00000000-0005-0000-0000-00004AD80000}"/>
    <cellStyle name="SAPBEXexcCritical6 3 5 3" xfId="55427" xr:uid="{00000000-0005-0000-0000-00004BD80000}"/>
    <cellStyle name="SAPBEXexcCritical6 3 5 3 2" xfId="55428" xr:uid="{00000000-0005-0000-0000-00004CD80000}"/>
    <cellStyle name="SAPBEXexcCritical6 3 5 4" xfId="55429" xr:uid="{00000000-0005-0000-0000-00004DD80000}"/>
    <cellStyle name="SAPBEXexcCritical6 3 6" xfId="55430" xr:uid="{00000000-0005-0000-0000-00004ED80000}"/>
    <cellStyle name="SAPBEXexcCritical6 3 6 2" xfId="55431" xr:uid="{00000000-0005-0000-0000-00004FD80000}"/>
    <cellStyle name="SAPBEXexcCritical6 3 7" xfId="55432" xr:uid="{00000000-0005-0000-0000-000050D80000}"/>
    <cellStyle name="SAPBEXexcCritical6 3 7 2" xfId="55433" xr:uid="{00000000-0005-0000-0000-000051D80000}"/>
    <cellStyle name="SAPBEXexcCritical6 3 8" xfId="55434" xr:uid="{00000000-0005-0000-0000-000052D80000}"/>
    <cellStyle name="SAPBEXexcCritical6 3 9" xfId="55435" xr:uid="{00000000-0005-0000-0000-000053D80000}"/>
    <cellStyle name="SAPBEXexcCritical6 4" xfId="55436" xr:uid="{00000000-0005-0000-0000-000054D80000}"/>
    <cellStyle name="SAPBEXexcCritical6 4 2" xfId="55437" xr:uid="{00000000-0005-0000-0000-000055D80000}"/>
    <cellStyle name="SAPBEXexcCritical6 4 2 2" xfId="55438" xr:uid="{00000000-0005-0000-0000-000056D80000}"/>
    <cellStyle name="SAPBEXexcCritical6 4 3" xfId="55439" xr:uid="{00000000-0005-0000-0000-000057D80000}"/>
    <cellStyle name="SAPBEXexcCritical6 4 3 2" xfId="55440" xr:uid="{00000000-0005-0000-0000-000058D80000}"/>
    <cellStyle name="SAPBEXexcCritical6 4 4" xfId="55441" xr:uid="{00000000-0005-0000-0000-000059D80000}"/>
    <cellStyle name="SAPBEXexcCritical6 5" xfId="55442" xr:uid="{00000000-0005-0000-0000-00005AD80000}"/>
    <cellStyle name="SAPBEXexcCritical6 5 2" xfId="55443" xr:uid="{00000000-0005-0000-0000-00005BD80000}"/>
    <cellStyle name="SAPBEXexcCritical6 5 2 2" xfId="55444" xr:uid="{00000000-0005-0000-0000-00005CD80000}"/>
    <cellStyle name="SAPBEXexcCritical6 5 3" xfId="55445" xr:uid="{00000000-0005-0000-0000-00005DD80000}"/>
    <cellStyle name="SAPBEXexcCritical6 5 3 2" xfId="55446" xr:uid="{00000000-0005-0000-0000-00005ED80000}"/>
    <cellStyle name="SAPBEXexcCritical6 5 4" xfId="55447" xr:uid="{00000000-0005-0000-0000-00005FD80000}"/>
    <cellStyle name="SAPBEXexcCritical6 6" xfId="55448" xr:uid="{00000000-0005-0000-0000-000060D80000}"/>
    <cellStyle name="SAPBEXexcCritical6 6 2" xfId="55449" xr:uid="{00000000-0005-0000-0000-000061D80000}"/>
    <cellStyle name="SAPBEXexcCritical6 6 2 2" xfId="55450" xr:uid="{00000000-0005-0000-0000-000062D80000}"/>
    <cellStyle name="SAPBEXexcCritical6 6 3" xfId="55451" xr:uid="{00000000-0005-0000-0000-000063D80000}"/>
    <cellStyle name="SAPBEXexcCritical6 6 3 2" xfId="55452" xr:uid="{00000000-0005-0000-0000-000064D80000}"/>
    <cellStyle name="SAPBEXexcCritical6 6 4" xfId="55453" xr:uid="{00000000-0005-0000-0000-000065D80000}"/>
    <cellStyle name="SAPBEXexcCritical6 7" xfId="55454" xr:uid="{00000000-0005-0000-0000-000066D80000}"/>
    <cellStyle name="SAPBEXexcCritical6 7 2" xfId="55455" xr:uid="{00000000-0005-0000-0000-000067D80000}"/>
    <cellStyle name="SAPBEXexcCritical6 8" xfId="55456" xr:uid="{00000000-0005-0000-0000-000068D80000}"/>
    <cellStyle name="SAPBEXexcCritical6 8 2" xfId="55457" xr:uid="{00000000-0005-0000-0000-000069D80000}"/>
    <cellStyle name="SAPBEXexcCritical6 9" xfId="55458" xr:uid="{00000000-0005-0000-0000-00006AD80000}"/>
    <cellStyle name="SAPBEXexcCritical6 9 2" xfId="55459" xr:uid="{00000000-0005-0000-0000-00006BD80000}"/>
    <cellStyle name="SAPBEXexcGood1" xfId="55460" xr:uid="{00000000-0005-0000-0000-00006CD80000}"/>
    <cellStyle name="SAPBEXexcGood1 10" xfId="55461" xr:uid="{00000000-0005-0000-0000-00006DD80000}"/>
    <cellStyle name="SAPBEXexcGood1 11" xfId="55462" xr:uid="{00000000-0005-0000-0000-00006ED80000}"/>
    <cellStyle name="SAPBEXexcGood1 2" xfId="55463" xr:uid="{00000000-0005-0000-0000-00006FD80000}"/>
    <cellStyle name="SAPBEXexcGood1 2 10" xfId="55464" xr:uid="{00000000-0005-0000-0000-000070D80000}"/>
    <cellStyle name="SAPBEXexcGood1 2 2" xfId="55465" xr:uid="{00000000-0005-0000-0000-000071D80000}"/>
    <cellStyle name="SAPBEXexcGood1 2 2 2" xfId="55466" xr:uid="{00000000-0005-0000-0000-000072D80000}"/>
    <cellStyle name="SAPBEXexcGood1 2 2 2 2" xfId="55467" xr:uid="{00000000-0005-0000-0000-000073D80000}"/>
    <cellStyle name="SAPBEXexcGood1 2 2 2 2 2" xfId="55468" xr:uid="{00000000-0005-0000-0000-000074D80000}"/>
    <cellStyle name="SAPBEXexcGood1 2 2 2 3" xfId="55469" xr:uid="{00000000-0005-0000-0000-000075D80000}"/>
    <cellStyle name="SAPBEXexcGood1 2 2 2 3 2" xfId="55470" xr:uid="{00000000-0005-0000-0000-000076D80000}"/>
    <cellStyle name="SAPBEXexcGood1 2 2 2 4" xfId="55471" xr:uid="{00000000-0005-0000-0000-000077D80000}"/>
    <cellStyle name="SAPBEXexcGood1 2 2 3" xfId="55472" xr:uid="{00000000-0005-0000-0000-000078D80000}"/>
    <cellStyle name="SAPBEXexcGood1 2 2 3 2" xfId="55473" xr:uid="{00000000-0005-0000-0000-000079D80000}"/>
    <cellStyle name="SAPBEXexcGood1 2 2 4" xfId="55474" xr:uid="{00000000-0005-0000-0000-00007AD80000}"/>
    <cellStyle name="SAPBEXexcGood1 2 2 4 2" xfId="55475" xr:uid="{00000000-0005-0000-0000-00007BD80000}"/>
    <cellStyle name="SAPBEXexcGood1 2 2 5" xfId="55476" xr:uid="{00000000-0005-0000-0000-00007CD80000}"/>
    <cellStyle name="SAPBEXexcGood1 2 3" xfId="55477" xr:uid="{00000000-0005-0000-0000-00007DD80000}"/>
    <cellStyle name="SAPBEXexcGood1 2 3 2" xfId="55478" xr:uid="{00000000-0005-0000-0000-00007ED80000}"/>
    <cellStyle name="SAPBEXexcGood1 2 3 2 2" xfId="55479" xr:uid="{00000000-0005-0000-0000-00007FD80000}"/>
    <cellStyle name="SAPBEXexcGood1 2 3 3" xfId="55480" xr:uid="{00000000-0005-0000-0000-000080D80000}"/>
    <cellStyle name="SAPBEXexcGood1 2 3 3 2" xfId="55481" xr:uid="{00000000-0005-0000-0000-000081D80000}"/>
    <cellStyle name="SAPBEXexcGood1 2 3 4" xfId="55482" xr:uid="{00000000-0005-0000-0000-000082D80000}"/>
    <cellStyle name="SAPBEXexcGood1 2 3 5" xfId="55483" xr:uid="{00000000-0005-0000-0000-000083D80000}"/>
    <cellStyle name="SAPBEXexcGood1 2 3 6" xfId="55484" xr:uid="{00000000-0005-0000-0000-000084D80000}"/>
    <cellStyle name="SAPBEXexcGood1 2 4" xfId="55485" xr:uid="{00000000-0005-0000-0000-000085D80000}"/>
    <cellStyle name="SAPBEXexcGood1 2 4 2" xfId="55486" xr:uid="{00000000-0005-0000-0000-000086D80000}"/>
    <cellStyle name="SAPBEXexcGood1 2 4 2 2" xfId="55487" xr:uid="{00000000-0005-0000-0000-000087D80000}"/>
    <cellStyle name="SAPBEXexcGood1 2 4 3" xfId="55488" xr:uid="{00000000-0005-0000-0000-000088D80000}"/>
    <cellStyle name="SAPBEXexcGood1 2 4 3 2" xfId="55489" xr:uid="{00000000-0005-0000-0000-000089D80000}"/>
    <cellStyle name="SAPBEXexcGood1 2 4 4" xfId="55490" xr:uid="{00000000-0005-0000-0000-00008AD80000}"/>
    <cellStyle name="SAPBEXexcGood1 2 5" xfId="55491" xr:uid="{00000000-0005-0000-0000-00008BD80000}"/>
    <cellStyle name="SAPBEXexcGood1 2 5 2" xfId="55492" xr:uid="{00000000-0005-0000-0000-00008CD80000}"/>
    <cellStyle name="SAPBEXexcGood1 2 6" xfId="55493" xr:uid="{00000000-0005-0000-0000-00008DD80000}"/>
    <cellStyle name="SAPBEXexcGood1 2 6 2" xfId="55494" xr:uid="{00000000-0005-0000-0000-00008ED80000}"/>
    <cellStyle name="SAPBEXexcGood1 2 7" xfId="55495" xr:uid="{00000000-0005-0000-0000-00008FD80000}"/>
    <cellStyle name="SAPBEXexcGood1 2 7 2" xfId="55496" xr:uid="{00000000-0005-0000-0000-000090D80000}"/>
    <cellStyle name="SAPBEXexcGood1 2 8" xfId="55497" xr:uid="{00000000-0005-0000-0000-000091D80000}"/>
    <cellStyle name="SAPBEXexcGood1 2 9" xfId="55498" xr:uid="{00000000-0005-0000-0000-000092D80000}"/>
    <cellStyle name="SAPBEXexcGood1 3" xfId="55499" xr:uid="{00000000-0005-0000-0000-000093D80000}"/>
    <cellStyle name="SAPBEXexcGood1 3 2" xfId="55500" xr:uid="{00000000-0005-0000-0000-000094D80000}"/>
    <cellStyle name="SAPBEXexcGood1 3 2 2" xfId="55501" xr:uid="{00000000-0005-0000-0000-000095D80000}"/>
    <cellStyle name="SAPBEXexcGood1 3 2 2 2" xfId="55502" xr:uid="{00000000-0005-0000-0000-000096D80000}"/>
    <cellStyle name="SAPBEXexcGood1 3 2 2 2 2" xfId="55503" xr:uid="{00000000-0005-0000-0000-000097D80000}"/>
    <cellStyle name="SAPBEXexcGood1 3 2 2 3" xfId="55504" xr:uid="{00000000-0005-0000-0000-000098D80000}"/>
    <cellStyle name="SAPBEXexcGood1 3 2 2 3 2" xfId="55505" xr:uid="{00000000-0005-0000-0000-000099D80000}"/>
    <cellStyle name="SAPBEXexcGood1 3 2 2 4" xfId="55506" xr:uid="{00000000-0005-0000-0000-00009AD80000}"/>
    <cellStyle name="SAPBEXexcGood1 3 2 3" xfId="55507" xr:uid="{00000000-0005-0000-0000-00009BD80000}"/>
    <cellStyle name="SAPBEXexcGood1 3 2 3 2" xfId="55508" xr:uid="{00000000-0005-0000-0000-00009CD80000}"/>
    <cellStyle name="SAPBEXexcGood1 3 2 3 2 2" xfId="55509" xr:uid="{00000000-0005-0000-0000-00009DD80000}"/>
    <cellStyle name="SAPBEXexcGood1 3 2 3 3" xfId="55510" xr:uid="{00000000-0005-0000-0000-00009ED80000}"/>
    <cellStyle name="SAPBEXexcGood1 3 2 3 3 2" xfId="55511" xr:uid="{00000000-0005-0000-0000-00009FD80000}"/>
    <cellStyle name="SAPBEXexcGood1 3 2 3 4" xfId="55512" xr:uid="{00000000-0005-0000-0000-0000A0D80000}"/>
    <cellStyle name="SAPBEXexcGood1 3 2 4" xfId="55513" xr:uid="{00000000-0005-0000-0000-0000A1D80000}"/>
    <cellStyle name="SAPBEXexcGood1 3 2 4 2" xfId="55514" xr:uid="{00000000-0005-0000-0000-0000A2D80000}"/>
    <cellStyle name="SAPBEXexcGood1 3 2 5" xfId="55515" xr:uid="{00000000-0005-0000-0000-0000A3D80000}"/>
    <cellStyle name="SAPBEXexcGood1 3 2 5 2" xfId="55516" xr:uid="{00000000-0005-0000-0000-0000A4D80000}"/>
    <cellStyle name="SAPBEXexcGood1 3 2 6" xfId="55517" xr:uid="{00000000-0005-0000-0000-0000A5D80000}"/>
    <cellStyle name="SAPBEXexcGood1 3 3" xfId="55518" xr:uid="{00000000-0005-0000-0000-0000A6D80000}"/>
    <cellStyle name="SAPBEXexcGood1 3 3 2" xfId="55519" xr:uid="{00000000-0005-0000-0000-0000A7D80000}"/>
    <cellStyle name="SAPBEXexcGood1 3 3 2 2" xfId="55520" xr:uid="{00000000-0005-0000-0000-0000A8D80000}"/>
    <cellStyle name="SAPBEXexcGood1 3 3 3" xfId="55521" xr:uid="{00000000-0005-0000-0000-0000A9D80000}"/>
    <cellStyle name="SAPBEXexcGood1 3 3 3 2" xfId="55522" xr:uid="{00000000-0005-0000-0000-0000AAD80000}"/>
    <cellStyle name="SAPBEXexcGood1 3 3 4" xfId="55523" xr:uid="{00000000-0005-0000-0000-0000ABD80000}"/>
    <cellStyle name="SAPBEXexcGood1 3 4" xfId="55524" xr:uid="{00000000-0005-0000-0000-0000ACD80000}"/>
    <cellStyle name="SAPBEXexcGood1 3 4 2" xfId="55525" xr:uid="{00000000-0005-0000-0000-0000ADD80000}"/>
    <cellStyle name="SAPBEXexcGood1 3 4 2 2" xfId="55526" xr:uid="{00000000-0005-0000-0000-0000AED80000}"/>
    <cellStyle name="SAPBEXexcGood1 3 4 3" xfId="55527" xr:uid="{00000000-0005-0000-0000-0000AFD80000}"/>
    <cellStyle name="SAPBEXexcGood1 3 4 3 2" xfId="55528" xr:uid="{00000000-0005-0000-0000-0000B0D80000}"/>
    <cellStyle name="SAPBEXexcGood1 3 4 4" xfId="55529" xr:uid="{00000000-0005-0000-0000-0000B1D80000}"/>
    <cellStyle name="SAPBEXexcGood1 3 5" xfId="55530" xr:uid="{00000000-0005-0000-0000-0000B2D80000}"/>
    <cellStyle name="SAPBEXexcGood1 3 5 2" xfId="55531" xr:uid="{00000000-0005-0000-0000-0000B3D80000}"/>
    <cellStyle name="SAPBEXexcGood1 3 5 2 2" xfId="55532" xr:uid="{00000000-0005-0000-0000-0000B4D80000}"/>
    <cellStyle name="SAPBEXexcGood1 3 5 3" xfId="55533" xr:uid="{00000000-0005-0000-0000-0000B5D80000}"/>
    <cellStyle name="SAPBEXexcGood1 3 5 3 2" xfId="55534" xr:uid="{00000000-0005-0000-0000-0000B6D80000}"/>
    <cellStyle name="SAPBEXexcGood1 3 5 4" xfId="55535" xr:uid="{00000000-0005-0000-0000-0000B7D80000}"/>
    <cellStyle name="SAPBEXexcGood1 3 6" xfId="55536" xr:uid="{00000000-0005-0000-0000-0000B8D80000}"/>
    <cellStyle name="SAPBEXexcGood1 3 6 2" xfId="55537" xr:uid="{00000000-0005-0000-0000-0000B9D80000}"/>
    <cellStyle name="SAPBEXexcGood1 3 7" xfId="55538" xr:uid="{00000000-0005-0000-0000-0000BAD80000}"/>
    <cellStyle name="SAPBEXexcGood1 3 7 2" xfId="55539" xr:uid="{00000000-0005-0000-0000-0000BBD80000}"/>
    <cellStyle name="SAPBEXexcGood1 3 8" xfId="55540" xr:uid="{00000000-0005-0000-0000-0000BCD80000}"/>
    <cellStyle name="SAPBEXexcGood1 3 9" xfId="55541" xr:uid="{00000000-0005-0000-0000-0000BDD80000}"/>
    <cellStyle name="SAPBEXexcGood1 4" xfId="55542" xr:uid="{00000000-0005-0000-0000-0000BED80000}"/>
    <cellStyle name="SAPBEXexcGood1 4 2" xfId="55543" xr:uid="{00000000-0005-0000-0000-0000BFD80000}"/>
    <cellStyle name="SAPBEXexcGood1 4 2 2" xfId="55544" xr:uid="{00000000-0005-0000-0000-0000C0D80000}"/>
    <cellStyle name="SAPBEXexcGood1 4 3" xfId="55545" xr:uid="{00000000-0005-0000-0000-0000C1D80000}"/>
    <cellStyle name="SAPBEXexcGood1 4 3 2" xfId="55546" xr:uid="{00000000-0005-0000-0000-0000C2D80000}"/>
    <cellStyle name="SAPBEXexcGood1 4 4" xfId="55547" xr:uid="{00000000-0005-0000-0000-0000C3D80000}"/>
    <cellStyle name="SAPBEXexcGood1 5" xfId="55548" xr:uid="{00000000-0005-0000-0000-0000C4D80000}"/>
    <cellStyle name="SAPBEXexcGood1 5 2" xfId="55549" xr:uid="{00000000-0005-0000-0000-0000C5D80000}"/>
    <cellStyle name="SAPBEXexcGood1 5 2 2" xfId="55550" xr:uid="{00000000-0005-0000-0000-0000C6D80000}"/>
    <cellStyle name="SAPBEXexcGood1 5 3" xfId="55551" xr:uid="{00000000-0005-0000-0000-0000C7D80000}"/>
    <cellStyle name="SAPBEXexcGood1 5 3 2" xfId="55552" xr:uid="{00000000-0005-0000-0000-0000C8D80000}"/>
    <cellStyle name="SAPBEXexcGood1 5 4" xfId="55553" xr:uid="{00000000-0005-0000-0000-0000C9D80000}"/>
    <cellStyle name="SAPBEXexcGood1 6" xfId="55554" xr:uid="{00000000-0005-0000-0000-0000CAD80000}"/>
    <cellStyle name="SAPBEXexcGood1 6 2" xfId="55555" xr:uid="{00000000-0005-0000-0000-0000CBD80000}"/>
    <cellStyle name="SAPBEXexcGood1 6 2 2" xfId="55556" xr:uid="{00000000-0005-0000-0000-0000CCD80000}"/>
    <cellStyle name="SAPBEXexcGood1 6 3" xfId="55557" xr:uid="{00000000-0005-0000-0000-0000CDD80000}"/>
    <cellStyle name="SAPBEXexcGood1 6 3 2" xfId="55558" xr:uid="{00000000-0005-0000-0000-0000CED80000}"/>
    <cellStyle name="SAPBEXexcGood1 6 4" xfId="55559" xr:uid="{00000000-0005-0000-0000-0000CFD80000}"/>
    <cellStyle name="SAPBEXexcGood1 7" xfId="55560" xr:uid="{00000000-0005-0000-0000-0000D0D80000}"/>
    <cellStyle name="SAPBEXexcGood1 7 2" xfId="55561" xr:uid="{00000000-0005-0000-0000-0000D1D80000}"/>
    <cellStyle name="SAPBEXexcGood1 8" xfId="55562" xr:uid="{00000000-0005-0000-0000-0000D2D80000}"/>
    <cellStyle name="SAPBEXexcGood1 8 2" xfId="55563" xr:uid="{00000000-0005-0000-0000-0000D3D80000}"/>
    <cellStyle name="SAPBEXexcGood1 9" xfId="55564" xr:uid="{00000000-0005-0000-0000-0000D4D80000}"/>
    <cellStyle name="SAPBEXexcGood1 9 2" xfId="55565" xr:uid="{00000000-0005-0000-0000-0000D5D80000}"/>
    <cellStyle name="SAPBEXexcGood2" xfId="55566" xr:uid="{00000000-0005-0000-0000-0000D6D80000}"/>
    <cellStyle name="SAPBEXexcGood2 10" xfId="55567" xr:uid="{00000000-0005-0000-0000-0000D7D80000}"/>
    <cellStyle name="SAPBEXexcGood2 11" xfId="55568" xr:uid="{00000000-0005-0000-0000-0000D8D80000}"/>
    <cellStyle name="SAPBEXexcGood2 2" xfId="55569" xr:uid="{00000000-0005-0000-0000-0000D9D80000}"/>
    <cellStyle name="SAPBEXexcGood2 2 10" xfId="55570" xr:uid="{00000000-0005-0000-0000-0000DAD80000}"/>
    <cellStyle name="SAPBEXexcGood2 2 2" xfId="55571" xr:uid="{00000000-0005-0000-0000-0000DBD80000}"/>
    <cellStyle name="SAPBEXexcGood2 2 2 2" xfId="55572" xr:uid="{00000000-0005-0000-0000-0000DCD80000}"/>
    <cellStyle name="SAPBEXexcGood2 2 2 2 2" xfId="55573" xr:uid="{00000000-0005-0000-0000-0000DDD80000}"/>
    <cellStyle name="SAPBEXexcGood2 2 2 2 2 2" xfId="55574" xr:uid="{00000000-0005-0000-0000-0000DED80000}"/>
    <cellStyle name="SAPBEXexcGood2 2 2 2 3" xfId="55575" xr:uid="{00000000-0005-0000-0000-0000DFD80000}"/>
    <cellStyle name="SAPBEXexcGood2 2 2 2 3 2" xfId="55576" xr:uid="{00000000-0005-0000-0000-0000E0D80000}"/>
    <cellStyle name="SAPBEXexcGood2 2 2 2 4" xfId="55577" xr:uid="{00000000-0005-0000-0000-0000E1D80000}"/>
    <cellStyle name="SAPBEXexcGood2 2 2 3" xfId="55578" xr:uid="{00000000-0005-0000-0000-0000E2D80000}"/>
    <cellStyle name="SAPBEXexcGood2 2 2 3 2" xfId="55579" xr:uid="{00000000-0005-0000-0000-0000E3D80000}"/>
    <cellStyle name="SAPBEXexcGood2 2 2 4" xfId="55580" xr:uid="{00000000-0005-0000-0000-0000E4D80000}"/>
    <cellStyle name="SAPBEXexcGood2 2 2 4 2" xfId="55581" xr:uid="{00000000-0005-0000-0000-0000E5D80000}"/>
    <cellStyle name="SAPBEXexcGood2 2 2 5" xfId="55582" xr:uid="{00000000-0005-0000-0000-0000E6D80000}"/>
    <cellStyle name="SAPBEXexcGood2 2 3" xfId="55583" xr:uid="{00000000-0005-0000-0000-0000E7D80000}"/>
    <cellStyle name="SAPBEXexcGood2 2 3 2" xfId="55584" xr:uid="{00000000-0005-0000-0000-0000E8D80000}"/>
    <cellStyle name="SAPBEXexcGood2 2 3 2 2" xfId="55585" xr:uid="{00000000-0005-0000-0000-0000E9D80000}"/>
    <cellStyle name="SAPBEXexcGood2 2 3 3" xfId="55586" xr:uid="{00000000-0005-0000-0000-0000EAD80000}"/>
    <cellStyle name="SAPBEXexcGood2 2 3 3 2" xfId="55587" xr:uid="{00000000-0005-0000-0000-0000EBD80000}"/>
    <cellStyle name="SAPBEXexcGood2 2 3 4" xfId="55588" xr:uid="{00000000-0005-0000-0000-0000ECD80000}"/>
    <cellStyle name="SAPBEXexcGood2 2 3 5" xfId="55589" xr:uid="{00000000-0005-0000-0000-0000EDD80000}"/>
    <cellStyle name="SAPBEXexcGood2 2 3 6" xfId="55590" xr:uid="{00000000-0005-0000-0000-0000EED80000}"/>
    <cellStyle name="SAPBEXexcGood2 2 4" xfId="55591" xr:uid="{00000000-0005-0000-0000-0000EFD80000}"/>
    <cellStyle name="SAPBEXexcGood2 2 4 2" xfId="55592" xr:uid="{00000000-0005-0000-0000-0000F0D80000}"/>
    <cellStyle name="SAPBEXexcGood2 2 4 2 2" xfId="55593" xr:uid="{00000000-0005-0000-0000-0000F1D80000}"/>
    <cellStyle name="SAPBEXexcGood2 2 4 3" xfId="55594" xr:uid="{00000000-0005-0000-0000-0000F2D80000}"/>
    <cellStyle name="SAPBEXexcGood2 2 4 3 2" xfId="55595" xr:uid="{00000000-0005-0000-0000-0000F3D80000}"/>
    <cellStyle name="SAPBEXexcGood2 2 4 4" xfId="55596" xr:uid="{00000000-0005-0000-0000-0000F4D80000}"/>
    <cellStyle name="SAPBEXexcGood2 2 5" xfId="55597" xr:uid="{00000000-0005-0000-0000-0000F5D80000}"/>
    <cellStyle name="SAPBEXexcGood2 2 5 2" xfId="55598" xr:uid="{00000000-0005-0000-0000-0000F6D80000}"/>
    <cellStyle name="SAPBEXexcGood2 2 6" xfId="55599" xr:uid="{00000000-0005-0000-0000-0000F7D80000}"/>
    <cellStyle name="SAPBEXexcGood2 2 6 2" xfId="55600" xr:uid="{00000000-0005-0000-0000-0000F8D80000}"/>
    <cellStyle name="SAPBEXexcGood2 2 7" xfId="55601" xr:uid="{00000000-0005-0000-0000-0000F9D80000}"/>
    <cellStyle name="SAPBEXexcGood2 2 7 2" xfId="55602" xr:uid="{00000000-0005-0000-0000-0000FAD80000}"/>
    <cellStyle name="SAPBEXexcGood2 2 8" xfId="55603" xr:uid="{00000000-0005-0000-0000-0000FBD80000}"/>
    <cellStyle name="SAPBEXexcGood2 2 9" xfId="55604" xr:uid="{00000000-0005-0000-0000-0000FCD80000}"/>
    <cellStyle name="SAPBEXexcGood2 3" xfId="55605" xr:uid="{00000000-0005-0000-0000-0000FDD80000}"/>
    <cellStyle name="SAPBEXexcGood2 3 2" xfId="55606" xr:uid="{00000000-0005-0000-0000-0000FED80000}"/>
    <cellStyle name="SAPBEXexcGood2 3 2 2" xfId="55607" xr:uid="{00000000-0005-0000-0000-0000FFD80000}"/>
    <cellStyle name="SAPBEXexcGood2 3 2 2 2" xfId="55608" xr:uid="{00000000-0005-0000-0000-000000D90000}"/>
    <cellStyle name="SAPBEXexcGood2 3 2 2 2 2" xfId="55609" xr:uid="{00000000-0005-0000-0000-000001D90000}"/>
    <cellStyle name="SAPBEXexcGood2 3 2 2 3" xfId="55610" xr:uid="{00000000-0005-0000-0000-000002D90000}"/>
    <cellStyle name="SAPBEXexcGood2 3 2 2 3 2" xfId="55611" xr:uid="{00000000-0005-0000-0000-000003D90000}"/>
    <cellStyle name="SAPBEXexcGood2 3 2 2 4" xfId="55612" xr:uid="{00000000-0005-0000-0000-000004D90000}"/>
    <cellStyle name="SAPBEXexcGood2 3 2 3" xfId="55613" xr:uid="{00000000-0005-0000-0000-000005D90000}"/>
    <cellStyle name="SAPBEXexcGood2 3 2 3 2" xfId="55614" xr:uid="{00000000-0005-0000-0000-000006D90000}"/>
    <cellStyle name="SAPBEXexcGood2 3 2 3 2 2" xfId="55615" xr:uid="{00000000-0005-0000-0000-000007D90000}"/>
    <cellStyle name="SAPBEXexcGood2 3 2 3 3" xfId="55616" xr:uid="{00000000-0005-0000-0000-000008D90000}"/>
    <cellStyle name="SAPBEXexcGood2 3 2 3 3 2" xfId="55617" xr:uid="{00000000-0005-0000-0000-000009D90000}"/>
    <cellStyle name="SAPBEXexcGood2 3 2 3 4" xfId="55618" xr:uid="{00000000-0005-0000-0000-00000AD90000}"/>
    <cellStyle name="SAPBEXexcGood2 3 2 4" xfId="55619" xr:uid="{00000000-0005-0000-0000-00000BD90000}"/>
    <cellStyle name="SAPBEXexcGood2 3 2 4 2" xfId="55620" xr:uid="{00000000-0005-0000-0000-00000CD90000}"/>
    <cellStyle name="SAPBEXexcGood2 3 2 5" xfId="55621" xr:uid="{00000000-0005-0000-0000-00000DD90000}"/>
    <cellStyle name="SAPBEXexcGood2 3 2 5 2" xfId="55622" xr:uid="{00000000-0005-0000-0000-00000ED90000}"/>
    <cellStyle name="SAPBEXexcGood2 3 2 6" xfId="55623" xr:uid="{00000000-0005-0000-0000-00000FD90000}"/>
    <cellStyle name="SAPBEXexcGood2 3 3" xfId="55624" xr:uid="{00000000-0005-0000-0000-000010D90000}"/>
    <cellStyle name="SAPBEXexcGood2 3 3 2" xfId="55625" xr:uid="{00000000-0005-0000-0000-000011D90000}"/>
    <cellStyle name="SAPBEXexcGood2 3 3 2 2" xfId="55626" xr:uid="{00000000-0005-0000-0000-000012D90000}"/>
    <cellStyle name="SAPBEXexcGood2 3 3 3" xfId="55627" xr:uid="{00000000-0005-0000-0000-000013D90000}"/>
    <cellStyle name="SAPBEXexcGood2 3 3 3 2" xfId="55628" xr:uid="{00000000-0005-0000-0000-000014D90000}"/>
    <cellStyle name="SAPBEXexcGood2 3 3 4" xfId="55629" xr:uid="{00000000-0005-0000-0000-000015D90000}"/>
    <cellStyle name="SAPBEXexcGood2 3 4" xfId="55630" xr:uid="{00000000-0005-0000-0000-000016D90000}"/>
    <cellStyle name="SAPBEXexcGood2 3 4 2" xfId="55631" xr:uid="{00000000-0005-0000-0000-000017D90000}"/>
    <cellStyle name="SAPBEXexcGood2 3 4 2 2" xfId="55632" xr:uid="{00000000-0005-0000-0000-000018D90000}"/>
    <cellStyle name="SAPBEXexcGood2 3 4 3" xfId="55633" xr:uid="{00000000-0005-0000-0000-000019D90000}"/>
    <cellStyle name="SAPBEXexcGood2 3 4 3 2" xfId="55634" xr:uid="{00000000-0005-0000-0000-00001AD90000}"/>
    <cellStyle name="SAPBEXexcGood2 3 4 4" xfId="55635" xr:uid="{00000000-0005-0000-0000-00001BD90000}"/>
    <cellStyle name="SAPBEXexcGood2 3 5" xfId="55636" xr:uid="{00000000-0005-0000-0000-00001CD90000}"/>
    <cellStyle name="SAPBEXexcGood2 3 5 2" xfId="55637" xr:uid="{00000000-0005-0000-0000-00001DD90000}"/>
    <cellStyle name="SAPBEXexcGood2 3 5 2 2" xfId="55638" xr:uid="{00000000-0005-0000-0000-00001ED90000}"/>
    <cellStyle name="SAPBEXexcGood2 3 5 3" xfId="55639" xr:uid="{00000000-0005-0000-0000-00001FD90000}"/>
    <cellStyle name="SAPBEXexcGood2 3 5 3 2" xfId="55640" xr:uid="{00000000-0005-0000-0000-000020D90000}"/>
    <cellStyle name="SAPBEXexcGood2 3 5 4" xfId="55641" xr:uid="{00000000-0005-0000-0000-000021D90000}"/>
    <cellStyle name="SAPBEXexcGood2 3 6" xfId="55642" xr:uid="{00000000-0005-0000-0000-000022D90000}"/>
    <cellStyle name="SAPBEXexcGood2 3 6 2" xfId="55643" xr:uid="{00000000-0005-0000-0000-000023D90000}"/>
    <cellStyle name="SAPBEXexcGood2 3 7" xfId="55644" xr:uid="{00000000-0005-0000-0000-000024D90000}"/>
    <cellStyle name="SAPBEXexcGood2 3 7 2" xfId="55645" xr:uid="{00000000-0005-0000-0000-000025D90000}"/>
    <cellStyle name="SAPBEXexcGood2 3 8" xfId="55646" xr:uid="{00000000-0005-0000-0000-000026D90000}"/>
    <cellStyle name="SAPBEXexcGood2 3 9" xfId="55647" xr:uid="{00000000-0005-0000-0000-000027D90000}"/>
    <cellStyle name="SAPBEXexcGood2 4" xfId="55648" xr:uid="{00000000-0005-0000-0000-000028D90000}"/>
    <cellStyle name="SAPBEXexcGood2 4 2" xfId="55649" xr:uid="{00000000-0005-0000-0000-000029D90000}"/>
    <cellStyle name="SAPBEXexcGood2 4 2 2" xfId="55650" xr:uid="{00000000-0005-0000-0000-00002AD90000}"/>
    <cellStyle name="SAPBEXexcGood2 4 3" xfId="55651" xr:uid="{00000000-0005-0000-0000-00002BD90000}"/>
    <cellStyle name="SAPBEXexcGood2 4 3 2" xfId="55652" xr:uid="{00000000-0005-0000-0000-00002CD90000}"/>
    <cellStyle name="SAPBEXexcGood2 4 4" xfId="55653" xr:uid="{00000000-0005-0000-0000-00002DD90000}"/>
    <cellStyle name="SAPBEXexcGood2 5" xfId="55654" xr:uid="{00000000-0005-0000-0000-00002ED90000}"/>
    <cellStyle name="SAPBEXexcGood2 5 2" xfId="55655" xr:uid="{00000000-0005-0000-0000-00002FD90000}"/>
    <cellStyle name="SAPBEXexcGood2 5 2 2" xfId="55656" xr:uid="{00000000-0005-0000-0000-000030D90000}"/>
    <cellStyle name="SAPBEXexcGood2 5 3" xfId="55657" xr:uid="{00000000-0005-0000-0000-000031D90000}"/>
    <cellStyle name="SAPBEXexcGood2 5 3 2" xfId="55658" xr:uid="{00000000-0005-0000-0000-000032D90000}"/>
    <cellStyle name="SAPBEXexcGood2 5 4" xfId="55659" xr:uid="{00000000-0005-0000-0000-000033D90000}"/>
    <cellStyle name="SAPBEXexcGood2 6" xfId="55660" xr:uid="{00000000-0005-0000-0000-000034D90000}"/>
    <cellStyle name="SAPBEXexcGood2 6 2" xfId="55661" xr:uid="{00000000-0005-0000-0000-000035D90000}"/>
    <cellStyle name="SAPBEXexcGood2 6 2 2" xfId="55662" xr:uid="{00000000-0005-0000-0000-000036D90000}"/>
    <cellStyle name="SAPBEXexcGood2 6 3" xfId="55663" xr:uid="{00000000-0005-0000-0000-000037D90000}"/>
    <cellStyle name="SAPBEXexcGood2 6 3 2" xfId="55664" xr:uid="{00000000-0005-0000-0000-000038D90000}"/>
    <cellStyle name="SAPBEXexcGood2 6 4" xfId="55665" xr:uid="{00000000-0005-0000-0000-000039D90000}"/>
    <cellStyle name="SAPBEXexcGood2 7" xfId="55666" xr:uid="{00000000-0005-0000-0000-00003AD90000}"/>
    <cellStyle name="SAPBEXexcGood2 7 2" xfId="55667" xr:uid="{00000000-0005-0000-0000-00003BD90000}"/>
    <cellStyle name="SAPBEXexcGood2 8" xfId="55668" xr:uid="{00000000-0005-0000-0000-00003CD90000}"/>
    <cellStyle name="SAPBEXexcGood2 8 2" xfId="55669" xr:uid="{00000000-0005-0000-0000-00003DD90000}"/>
    <cellStyle name="SAPBEXexcGood2 9" xfId="55670" xr:uid="{00000000-0005-0000-0000-00003ED90000}"/>
    <cellStyle name="SAPBEXexcGood2 9 2" xfId="55671" xr:uid="{00000000-0005-0000-0000-00003FD90000}"/>
    <cellStyle name="SAPBEXexcGood3" xfId="55672" xr:uid="{00000000-0005-0000-0000-000040D90000}"/>
    <cellStyle name="SAPBEXexcGood3 10" xfId="55673" xr:uid="{00000000-0005-0000-0000-000041D90000}"/>
    <cellStyle name="SAPBEXexcGood3 11" xfId="55674" xr:uid="{00000000-0005-0000-0000-000042D90000}"/>
    <cellStyle name="SAPBEXexcGood3 2" xfId="55675" xr:uid="{00000000-0005-0000-0000-000043D90000}"/>
    <cellStyle name="SAPBEXexcGood3 2 10" xfId="55676" xr:uid="{00000000-0005-0000-0000-000044D90000}"/>
    <cellStyle name="SAPBEXexcGood3 2 2" xfId="55677" xr:uid="{00000000-0005-0000-0000-000045D90000}"/>
    <cellStyle name="SAPBEXexcGood3 2 2 2" xfId="55678" xr:uid="{00000000-0005-0000-0000-000046D90000}"/>
    <cellStyle name="SAPBEXexcGood3 2 2 2 2" xfId="55679" xr:uid="{00000000-0005-0000-0000-000047D90000}"/>
    <cellStyle name="SAPBEXexcGood3 2 2 2 2 2" xfId="55680" xr:uid="{00000000-0005-0000-0000-000048D90000}"/>
    <cellStyle name="SAPBEXexcGood3 2 2 2 3" xfId="55681" xr:uid="{00000000-0005-0000-0000-000049D90000}"/>
    <cellStyle name="SAPBEXexcGood3 2 2 2 3 2" xfId="55682" xr:uid="{00000000-0005-0000-0000-00004AD90000}"/>
    <cellStyle name="SAPBEXexcGood3 2 2 2 4" xfId="55683" xr:uid="{00000000-0005-0000-0000-00004BD90000}"/>
    <cellStyle name="SAPBEXexcGood3 2 2 3" xfId="55684" xr:uid="{00000000-0005-0000-0000-00004CD90000}"/>
    <cellStyle name="SAPBEXexcGood3 2 2 3 2" xfId="55685" xr:uid="{00000000-0005-0000-0000-00004DD90000}"/>
    <cellStyle name="SAPBEXexcGood3 2 2 4" xfId="55686" xr:uid="{00000000-0005-0000-0000-00004ED90000}"/>
    <cellStyle name="SAPBEXexcGood3 2 2 4 2" xfId="55687" xr:uid="{00000000-0005-0000-0000-00004FD90000}"/>
    <cellStyle name="SAPBEXexcGood3 2 2 5" xfId="55688" xr:uid="{00000000-0005-0000-0000-000050D90000}"/>
    <cellStyle name="SAPBEXexcGood3 2 3" xfId="55689" xr:uid="{00000000-0005-0000-0000-000051D90000}"/>
    <cellStyle name="SAPBEXexcGood3 2 3 2" xfId="55690" xr:uid="{00000000-0005-0000-0000-000052D90000}"/>
    <cellStyle name="SAPBEXexcGood3 2 3 2 2" xfId="55691" xr:uid="{00000000-0005-0000-0000-000053D90000}"/>
    <cellStyle name="SAPBEXexcGood3 2 3 3" xfId="55692" xr:uid="{00000000-0005-0000-0000-000054D90000}"/>
    <cellStyle name="SAPBEXexcGood3 2 3 3 2" xfId="55693" xr:uid="{00000000-0005-0000-0000-000055D90000}"/>
    <cellStyle name="SAPBEXexcGood3 2 3 4" xfId="55694" xr:uid="{00000000-0005-0000-0000-000056D90000}"/>
    <cellStyle name="SAPBEXexcGood3 2 3 5" xfId="55695" xr:uid="{00000000-0005-0000-0000-000057D90000}"/>
    <cellStyle name="SAPBEXexcGood3 2 3 6" xfId="55696" xr:uid="{00000000-0005-0000-0000-000058D90000}"/>
    <cellStyle name="SAPBEXexcGood3 2 4" xfId="55697" xr:uid="{00000000-0005-0000-0000-000059D90000}"/>
    <cellStyle name="SAPBEXexcGood3 2 4 2" xfId="55698" xr:uid="{00000000-0005-0000-0000-00005AD90000}"/>
    <cellStyle name="SAPBEXexcGood3 2 4 2 2" xfId="55699" xr:uid="{00000000-0005-0000-0000-00005BD90000}"/>
    <cellStyle name="SAPBEXexcGood3 2 4 3" xfId="55700" xr:uid="{00000000-0005-0000-0000-00005CD90000}"/>
    <cellStyle name="SAPBEXexcGood3 2 4 3 2" xfId="55701" xr:uid="{00000000-0005-0000-0000-00005DD90000}"/>
    <cellStyle name="SAPBEXexcGood3 2 4 4" xfId="55702" xr:uid="{00000000-0005-0000-0000-00005ED90000}"/>
    <cellStyle name="SAPBEXexcGood3 2 5" xfId="55703" xr:uid="{00000000-0005-0000-0000-00005FD90000}"/>
    <cellStyle name="SAPBEXexcGood3 2 5 2" xfId="55704" xr:uid="{00000000-0005-0000-0000-000060D90000}"/>
    <cellStyle name="SAPBEXexcGood3 2 6" xfId="55705" xr:uid="{00000000-0005-0000-0000-000061D90000}"/>
    <cellStyle name="SAPBEXexcGood3 2 6 2" xfId="55706" xr:uid="{00000000-0005-0000-0000-000062D90000}"/>
    <cellStyle name="SAPBEXexcGood3 2 7" xfId="55707" xr:uid="{00000000-0005-0000-0000-000063D90000}"/>
    <cellStyle name="SAPBEXexcGood3 2 7 2" xfId="55708" xr:uid="{00000000-0005-0000-0000-000064D90000}"/>
    <cellStyle name="SAPBEXexcGood3 2 8" xfId="55709" xr:uid="{00000000-0005-0000-0000-000065D90000}"/>
    <cellStyle name="SAPBEXexcGood3 2 9" xfId="55710" xr:uid="{00000000-0005-0000-0000-000066D90000}"/>
    <cellStyle name="SAPBEXexcGood3 3" xfId="55711" xr:uid="{00000000-0005-0000-0000-000067D90000}"/>
    <cellStyle name="SAPBEXexcGood3 3 2" xfId="55712" xr:uid="{00000000-0005-0000-0000-000068D90000}"/>
    <cellStyle name="SAPBEXexcGood3 3 2 2" xfId="55713" xr:uid="{00000000-0005-0000-0000-000069D90000}"/>
    <cellStyle name="SAPBEXexcGood3 3 2 2 2" xfId="55714" xr:uid="{00000000-0005-0000-0000-00006AD90000}"/>
    <cellStyle name="SAPBEXexcGood3 3 2 2 2 2" xfId="55715" xr:uid="{00000000-0005-0000-0000-00006BD90000}"/>
    <cellStyle name="SAPBEXexcGood3 3 2 2 3" xfId="55716" xr:uid="{00000000-0005-0000-0000-00006CD90000}"/>
    <cellStyle name="SAPBEXexcGood3 3 2 2 3 2" xfId="55717" xr:uid="{00000000-0005-0000-0000-00006DD90000}"/>
    <cellStyle name="SAPBEXexcGood3 3 2 2 4" xfId="55718" xr:uid="{00000000-0005-0000-0000-00006ED90000}"/>
    <cellStyle name="SAPBEXexcGood3 3 2 3" xfId="55719" xr:uid="{00000000-0005-0000-0000-00006FD90000}"/>
    <cellStyle name="SAPBEXexcGood3 3 2 3 2" xfId="55720" xr:uid="{00000000-0005-0000-0000-000070D90000}"/>
    <cellStyle name="SAPBEXexcGood3 3 2 3 2 2" xfId="55721" xr:uid="{00000000-0005-0000-0000-000071D90000}"/>
    <cellStyle name="SAPBEXexcGood3 3 2 3 3" xfId="55722" xr:uid="{00000000-0005-0000-0000-000072D90000}"/>
    <cellStyle name="SAPBEXexcGood3 3 2 3 3 2" xfId="55723" xr:uid="{00000000-0005-0000-0000-000073D90000}"/>
    <cellStyle name="SAPBEXexcGood3 3 2 3 4" xfId="55724" xr:uid="{00000000-0005-0000-0000-000074D90000}"/>
    <cellStyle name="SAPBEXexcGood3 3 2 4" xfId="55725" xr:uid="{00000000-0005-0000-0000-000075D90000}"/>
    <cellStyle name="SAPBEXexcGood3 3 2 4 2" xfId="55726" xr:uid="{00000000-0005-0000-0000-000076D90000}"/>
    <cellStyle name="SAPBEXexcGood3 3 2 5" xfId="55727" xr:uid="{00000000-0005-0000-0000-000077D90000}"/>
    <cellStyle name="SAPBEXexcGood3 3 2 5 2" xfId="55728" xr:uid="{00000000-0005-0000-0000-000078D90000}"/>
    <cellStyle name="SAPBEXexcGood3 3 2 6" xfId="55729" xr:uid="{00000000-0005-0000-0000-000079D90000}"/>
    <cellStyle name="SAPBEXexcGood3 3 3" xfId="55730" xr:uid="{00000000-0005-0000-0000-00007AD90000}"/>
    <cellStyle name="SAPBEXexcGood3 3 3 2" xfId="55731" xr:uid="{00000000-0005-0000-0000-00007BD90000}"/>
    <cellStyle name="SAPBEXexcGood3 3 3 2 2" xfId="55732" xr:uid="{00000000-0005-0000-0000-00007CD90000}"/>
    <cellStyle name="SAPBEXexcGood3 3 3 3" xfId="55733" xr:uid="{00000000-0005-0000-0000-00007DD90000}"/>
    <cellStyle name="SAPBEXexcGood3 3 3 3 2" xfId="55734" xr:uid="{00000000-0005-0000-0000-00007ED90000}"/>
    <cellStyle name="SAPBEXexcGood3 3 3 4" xfId="55735" xr:uid="{00000000-0005-0000-0000-00007FD90000}"/>
    <cellStyle name="SAPBEXexcGood3 3 4" xfId="55736" xr:uid="{00000000-0005-0000-0000-000080D90000}"/>
    <cellStyle name="SAPBEXexcGood3 3 4 2" xfId="55737" xr:uid="{00000000-0005-0000-0000-000081D90000}"/>
    <cellStyle name="SAPBEXexcGood3 3 4 2 2" xfId="55738" xr:uid="{00000000-0005-0000-0000-000082D90000}"/>
    <cellStyle name="SAPBEXexcGood3 3 4 3" xfId="55739" xr:uid="{00000000-0005-0000-0000-000083D90000}"/>
    <cellStyle name="SAPBEXexcGood3 3 4 3 2" xfId="55740" xr:uid="{00000000-0005-0000-0000-000084D90000}"/>
    <cellStyle name="SAPBEXexcGood3 3 4 4" xfId="55741" xr:uid="{00000000-0005-0000-0000-000085D90000}"/>
    <cellStyle name="SAPBEXexcGood3 3 5" xfId="55742" xr:uid="{00000000-0005-0000-0000-000086D90000}"/>
    <cellStyle name="SAPBEXexcGood3 3 5 2" xfId="55743" xr:uid="{00000000-0005-0000-0000-000087D90000}"/>
    <cellStyle name="SAPBEXexcGood3 3 5 2 2" xfId="55744" xr:uid="{00000000-0005-0000-0000-000088D90000}"/>
    <cellStyle name="SAPBEXexcGood3 3 5 3" xfId="55745" xr:uid="{00000000-0005-0000-0000-000089D90000}"/>
    <cellStyle name="SAPBEXexcGood3 3 5 3 2" xfId="55746" xr:uid="{00000000-0005-0000-0000-00008AD90000}"/>
    <cellStyle name="SAPBEXexcGood3 3 5 4" xfId="55747" xr:uid="{00000000-0005-0000-0000-00008BD90000}"/>
    <cellStyle name="SAPBEXexcGood3 3 6" xfId="55748" xr:uid="{00000000-0005-0000-0000-00008CD90000}"/>
    <cellStyle name="SAPBEXexcGood3 3 6 2" xfId="55749" xr:uid="{00000000-0005-0000-0000-00008DD90000}"/>
    <cellStyle name="SAPBEXexcGood3 3 7" xfId="55750" xr:uid="{00000000-0005-0000-0000-00008ED90000}"/>
    <cellStyle name="SAPBEXexcGood3 3 7 2" xfId="55751" xr:uid="{00000000-0005-0000-0000-00008FD90000}"/>
    <cellStyle name="SAPBEXexcGood3 3 8" xfId="55752" xr:uid="{00000000-0005-0000-0000-000090D90000}"/>
    <cellStyle name="SAPBEXexcGood3 3 9" xfId="55753" xr:uid="{00000000-0005-0000-0000-000091D90000}"/>
    <cellStyle name="SAPBEXexcGood3 4" xfId="55754" xr:uid="{00000000-0005-0000-0000-000092D90000}"/>
    <cellStyle name="SAPBEXexcGood3 4 2" xfId="55755" xr:uid="{00000000-0005-0000-0000-000093D90000}"/>
    <cellStyle name="SAPBEXexcGood3 4 2 2" xfId="55756" xr:uid="{00000000-0005-0000-0000-000094D90000}"/>
    <cellStyle name="SAPBEXexcGood3 4 3" xfId="55757" xr:uid="{00000000-0005-0000-0000-000095D90000}"/>
    <cellStyle name="SAPBEXexcGood3 4 3 2" xfId="55758" xr:uid="{00000000-0005-0000-0000-000096D90000}"/>
    <cellStyle name="SAPBEXexcGood3 4 4" xfId="55759" xr:uid="{00000000-0005-0000-0000-000097D90000}"/>
    <cellStyle name="SAPBEXexcGood3 5" xfId="55760" xr:uid="{00000000-0005-0000-0000-000098D90000}"/>
    <cellStyle name="SAPBEXexcGood3 5 2" xfId="55761" xr:uid="{00000000-0005-0000-0000-000099D90000}"/>
    <cellStyle name="SAPBEXexcGood3 5 2 2" xfId="55762" xr:uid="{00000000-0005-0000-0000-00009AD90000}"/>
    <cellStyle name="SAPBEXexcGood3 5 3" xfId="55763" xr:uid="{00000000-0005-0000-0000-00009BD90000}"/>
    <cellStyle name="SAPBEXexcGood3 5 3 2" xfId="55764" xr:uid="{00000000-0005-0000-0000-00009CD90000}"/>
    <cellStyle name="SAPBEXexcGood3 5 4" xfId="55765" xr:uid="{00000000-0005-0000-0000-00009DD90000}"/>
    <cellStyle name="SAPBEXexcGood3 6" xfId="55766" xr:uid="{00000000-0005-0000-0000-00009ED90000}"/>
    <cellStyle name="SAPBEXexcGood3 6 2" xfId="55767" xr:uid="{00000000-0005-0000-0000-00009FD90000}"/>
    <cellStyle name="SAPBEXexcGood3 6 2 2" xfId="55768" xr:uid="{00000000-0005-0000-0000-0000A0D90000}"/>
    <cellStyle name="SAPBEXexcGood3 6 3" xfId="55769" xr:uid="{00000000-0005-0000-0000-0000A1D90000}"/>
    <cellStyle name="SAPBEXexcGood3 6 3 2" xfId="55770" xr:uid="{00000000-0005-0000-0000-0000A2D90000}"/>
    <cellStyle name="SAPBEXexcGood3 6 4" xfId="55771" xr:uid="{00000000-0005-0000-0000-0000A3D90000}"/>
    <cellStyle name="SAPBEXexcGood3 7" xfId="55772" xr:uid="{00000000-0005-0000-0000-0000A4D90000}"/>
    <cellStyle name="SAPBEXexcGood3 7 2" xfId="55773" xr:uid="{00000000-0005-0000-0000-0000A5D90000}"/>
    <cellStyle name="SAPBEXexcGood3 8" xfId="55774" xr:uid="{00000000-0005-0000-0000-0000A6D90000}"/>
    <cellStyle name="SAPBEXexcGood3 8 2" xfId="55775" xr:uid="{00000000-0005-0000-0000-0000A7D90000}"/>
    <cellStyle name="SAPBEXexcGood3 9" xfId="55776" xr:uid="{00000000-0005-0000-0000-0000A8D90000}"/>
    <cellStyle name="SAPBEXexcGood3 9 2" xfId="55777" xr:uid="{00000000-0005-0000-0000-0000A9D90000}"/>
    <cellStyle name="SAPBEXfilterDrill" xfId="55778" xr:uid="{00000000-0005-0000-0000-0000AAD90000}"/>
    <cellStyle name="SAPBEXfilterDrill 2" xfId="55779" xr:uid="{00000000-0005-0000-0000-0000ABD90000}"/>
    <cellStyle name="SAPBEXfilterDrill 2 10" xfId="55780" xr:uid="{00000000-0005-0000-0000-0000ACD90000}"/>
    <cellStyle name="SAPBEXfilterDrill 2 2" xfId="55781" xr:uid="{00000000-0005-0000-0000-0000ADD90000}"/>
    <cellStyle name="SAPBEXfilterDrill 2 2 2" xfId="55782" xr:uid="{00000000-0005-0000-0000-0000AED90000}"/>
    <cellStyle name="SAPBEXfilterDrill 2 2 2 2" xfId="55783" xr:uid="{00000000-0005-0000-0000-0000AFD90000}"/>
    <cellStyle name="SAPBEXfilterDrill 2 2 3" xfId="55784" xr:uid="{00000000-0005-0000-0000-0000B0D90000}"/>
    <cellStyle name="SAPBEXfilterDrill 2 2 3 2" xfId="55785" xr:uid="{00000000-0005-0000-0000-0000B1D90000}"/>
    <cellStyle name="SAPBEXfilterDrill 2 2 4" xfId="55786" xr:uid="{00000000-0005-0000-0000-0000B2D90000}"/>
    <cellStyle name="SAPBEXfilterDrill 2 3" xfId="55787" xr:uid="{00000000-0005-0000-0000-0000B3D90000}"/>
    <cellStyle name="SAPBEXfilterDrill 2 3 2" xfId="55788" xr:uid="{00000000-0005-0000-0000-0000B4D90000}"/>
    <cellStyle name="SAPBEXfilterDrill 2 3 2 2" xfId="55789" xr:uid="{00000000-0005-0000-0000-0000B5D90000}"/>
    <cellStyle name="SAPBEXfilterDrill 2 3 3" xfId="55790" xr:uid="{00000000-0005-0000-0000-0000B6D90000}"/>
    <cellStyle name="SAPBEXfilterDrill 2 3 3 2" xfId="55791" xr:uid="{00000000-0005-0000-0000-0000B7D90000}"/>
    <cellStyle name="SAPBEXfilterDrill 2 3 4" xfId="55792" xr:uid="{00000000-0005-0000-0000-0000B8D90000}"/>
    <cellStyle name="SAPBEXfilterDrill 2 4" xfId="55793" xr:uid="{00000000-0005-0000-0000-0000B9D90000}"/>
    <cellStyle name="SAPBEXfilterDrill 2 4 2" xfId="55794" xr:uid="{00000000-0005-0000-0000-0000BAD90000}"/>
    <cellStyle name="SAPBEXfilterDrill 2 5" xfId="55795" xr:uid="{00000000-0005-0000-0000-0000BBD90000}"/>
    <cellStyle name="SAPBEXfilterDrill 2 5 2" xfId="55796" xr:uid="{00000000-0005-0000-0000-0000BCD90000}"/>
    <cellStyle name="SAPBEXfilterDrill 2 6" xfId="55797" xr:uid="{00000000-0005-0000-0000-0000BDD90000}"/>
    <cellStyle name="SAPBEXfilterDrill 2 7" xfId="55798" xr:uid="{00000000-0005-0000-0000-0000BED90000}"/>
    <cellStyle name="SAPBEXfilterDrill 2 8" xfId="55799" xr:uid="{00000000-0005-0000-0000-0000BFD90000}"/>
    <cellStyle name="SAPBEXfilterDrill 2 9" xfId="55800" xr:uid="{00000000-0005-0000-0000-0000C0D90000}"/>
    <cellStyle name="SAPBEXfilterDrill 3" xfId="55801" xr:uid="{00000000-0005-0000-0000-0000C1D90000}"/>
    <cellStyle name="SAPBEXfilterDrill 3 2" xfId="55802" xr:uid="{00000000-0005-0000-0000-0000C2D90000}"/>
    <cellStyle name="SAPBEXfilterDrill 3 3" xfId="55803" xr:uid="{00000000-0005-0000-0000-0000C3D90000}"/>
    <cellStyle name="SAPBEXfilterDrill 3 4" xfId="55804" xr:uid="{00000000-0005-0000-0000-0000C4D90000}"/>
    <cellStyle name="SAPBEXfilterDrill 3 5" xfId="55805" xr:uid="{00000000-0005-0000-0000-0000C5D90000}"/>
    <cellStyle name="SAPBEXfilterDrill 4" xfId="55806" xr:uid="{00000000-0005-0000-0000-0000C6D90000}"/>
    <cellStyle name="SAPBEXfilterDrill 4 2" xfId="55807" xr:uid="{00000000-0005-0000-0000-0000C7D90000}"/>
    <cellStyle name="SAPBEXfilterDrill 5" xfId="55808" xr:uid="{00000000-0005-0000-0000-0000C8D90000}"/>
    <cellStyle name="SAPBEXfilterDrill 6" xfId="55809" xr:uid="{00000000-0005-0000-0000-0000C9D90000}"/>
    <cellStyle name="SAPBEXfilterItem" xfId="55810" xr:uid="{00000000-0005-0000-0000-0000CAD90000}"/>
    <cellStyle name="SAPBEXfilterItem 2" xfId="55811" xr:uid="{00000000-0005-0000-0000-0000CBD90000}"/>
    <cellStyle name="SAPBEXfilterItem 2 2" xfId="55812" xr:uid="{00000000-0005-0000-0000-0000CCD90000}"/>
    <cellStyle name="SAPBEXfilterItem 2 2 2" xfId="55813" xr:uid="{00000000-0005-0000-0000-0000CDD90000}"/>
    <cellStyle name="SAPBEXfilterItem 2 2 2 2" xfId="55814" xr:uid="{00000000-0005-0000-0000-0000CED90000}"/>
    <cellStyle name="SAPBEXfilterItem 2 2 3" xfId="55815" xr:uid="{00000000-0005-0000-0000-0000CFD90000}"/>
    <cellStyle name="SAPBEXfilterItem 2 2 3 2" xfId="55816" xr:uid="{00000000-0005-0000-0000-0000D0D90000}"/>
    <cellStyle name="SAPBEXfilterItem 2 2 4" xfId="55817" xr:uid="{00000000-0005-0000-0000-0000D1D90000}"/>
    <cellStyle name="SAPBEXfilterItem 2 3" xfId="55818" xr:uid="{00000000-0005-0000-0000-0000D2D90000}"/>
    <cellStyle name="SAPBEXfilterItem 2 3 2" xfId="55819" xr:uid="{00000000-0005-0000-0000-0000D3D90000}"/>
    <cellStyle name="SAPBEXfilterItem 2 3 2 2" xfId="55820" xr:uid="{00000000-0005-0000-0000-0000D4D90000}"/>
    <cellStyle name="SAPBEXfilterItem 2 3 3" xfId="55821" xr:uid="{00000000-0005-0000-0000-0000D5D90000}"/>
    <cellStyle name="SAPBEXfilterItem 2 3 3 2" xfId="55822" xr:uid="{00000000-0005-0000-0000-0000D6D90000}"/>
    <cellStyle name="SAPBEXfilterItem 2 3 4" xfId="55823" xr:uid="{00000000-0005-0000-0000-0000D7D90000}"/>
    <cellStyle name="SAPBEXfilterItem 2 4" xfId="55824" xr:uid="{00000000-0005-0000-0000-0000D8D90000}"/>
    <cellStyle name="SAPBEXfilterItem 2 5" xfId="55825" xr:uid="{00000000-0005-0000-0000-0000D9D90000}"/>
    <cellStyle name="SAPBEXfilterItem 2 5 2" xfId="55826" xr:uid="{00000000-0005-0000-0000-0000DAD90000}"/>
    <cellStyle name="SAPBEXfilterItem 2 6" xfId="55827" xr:uid="{00000000-0005-0000-0000-0000DBD90000}"/>
    <cellStyle name="SAPBEXfilterItem 2 6 2" xfId="55828" xr:uid="{00000000-0005-0000-0000-0000DCD90000}"/>
    <cellStyle name="SAPBEXfilterItem 2 7" xfId="55829" xr:uid="{00000000-0005-0000-0000-0000DDD90000}"/>
    <cellStyle name="SAPBEXfilterItem 2 7 2" xfId="55830" xr:uid="{00000000-0005-0000-0000-0000DED90000}"/>
    <cellStyle name="SAPBEXfilterItem 2 8" xfId="55831" xr:uid="{00000000-0005-0000-0000-0000DFD90000}"/>
    <cellStyle name="SAPBEXfilterItem 2 9" xfId="55832" xr:uid="{00000000-0005-0000-0000-0000E0D90000}"/>
    <cellStyle name="SAPBEXfilterItem 3" xfId="55833" xr:uid="{00000000-0005-0000-0000-0000E1D90000}"/>
    <cellStyle name="SAPBEXfilterItem 3 2" xfId="55834" xr:uid="{00000000-0005-0000-0000-0000E2D90000}"/>
    <cellStyle name="SAPBEXfilterItem 3 2 2" xfId="55835" xr:uid="{00000000-0005-0000-0000-0000E3D90000}"/>
    <cellStyle name="SAPBEXfilterItem 3 2 2 2" xfId="55836" xr:uid="{00000000-0005-0000-0000-0000E4D90000}"/>
    <cellStyle name="SAPBEXfilterItem 3 2 3" xfId="55837" xr:uid="{00000000-0005-0000-0000-0000E5D90000}"/>
    <cellStyle name="SAPBEXfilterItem 3 2 3 2" xfId="55838" xr:uid="{00000000-0005-0000-0000-0000E6D90000}"/>
    <cellStyle name="SAPBEXfilterItem 3 2 4" xfId="55839" xr:uid="{00000000-0005-0000-0000-0000E7D90000}"/>
    <cellStyle name="SAPBEXfilterItem 3 3" xfId="55840" xr:uid="{00000000-0005-0000-0000-0000E8D90000}"/>
    <cellStyle name="SAPBEXfilterItem 3 3 2" xfId="55841" xr:uid="{00000000-0005-0000-0000-0000E9D90000}"/>
    <cellStyle name="SAPBEXfilterItem 3 3 2 2" xfId="55842" xr:uid="{00000000-0005-0000-0000-0000EAD90000}"/>
    <cellStyle name="SAPBEXfilterItem 3 3 3" xfId="55843" xr:uid="{00000000-0005-0000-0000-0000EBD90000}"/>
    <cellStyle name="SAPBEXfilterItem 3 3 3 2" xfId="55844" xr:uid="{00000000-0005-0000-0000-0000ECD90000}"/>
    <cellStyle name="SAPBEXfilterItem 3 3 4" xfId="55845" xr:uid="{00000000-0005-0000-0000-0000EDD90000}"/>
    <cellStyle name="SAPBEXfilterItem 3 4" xfId="55846" xr:uid="{00000000-0005-0000-0000-0000EED90000}"/>
    <cellStyle name="SAPBEXfilterItem 3 4 2" xfId="55847" xr:uid="{00000000-0005-0000-0000-0000EFD90000}"/>
    <cellStyle name="SAPBEXfilterItem 3 5" xfId="55848" xr:uid="{00000000-0005-0000-0000-0000F0D90000}"/>
    <cellStyle name="SAPBEXfilterItem 3 5 2" xfId="55849" xr:uid="{00000000-0005-0000-0000-0000F1D90000}"/>
    <cellStyle name="SAPBEXfilterItem 3 6" xfId="55850" xr:uid="{00000000-0005-0000-0000-0000F2D90000}"/>
    <cellStyle name="SAPBEXfilterItem 3 7" xfId="55851" xr:uid="{00000000-0005-0000-0000-0000F3D90000}"/>
    <cellStyle name="SAPBEXfilterItem 4" xfId="55852" xr:uid="{00000000-0005-0000-0000-0000F4D90000}"/>
    <cellStyle name="SAPBEXfilterItem 4 2" xfId="55853" xr:uid="{00000000-0005-0000-0000-0000F5D90000}"/>
    <cellStyle name="SAPBEXfilterItem 5" xfId="55854" xr:uid="{00000000-0005-0000-0000-0000F6D90000}"/>
    <cellStyle name="SAPBEXfilterItem 6" xfId="55855" xr:uid="{00000000-0005-0000-0000-0000F7D90000}"/>
    <cellStyle name="SAPBEXfilterText" xfId="55856" xr:uid="{00000000-0005-0000-0000-0000F8D90000}"/>
    <cellStyle name="SAPBEXfilterText 2" xfId="55857" xr:uid="{00000000-0005-0000-0000-0000F9D90000}"/>
    <cellStyle name="SAPBEXfilterText 2 2" xfId="55858" xr:uid="{00000000-0005-0000-0000-0000FAD90000}"/>
    <cellStyle name="SAPBEXfilterText 2 2 2" xfId="55859" xr:uid="{00000000-0005-0000-0000-0000FBD90000}"/>
    <cellStyle name="SAPBEXfilterText 2 2 2 2" xfId="55860" xr:uid="{00000000-0005-0000-0000-0000FCD90000}"/>
    <cellStyle name="SAPBEXfilterText 2 2 3" xfId="55861" xr:uid="{00000000-0005-0000-0000-0000FDD90000}"/>
    <cellStyle name="SAPBEXfilterText 2 2 3 2" xfId="55862" xr:uid="{00000000-0005-0000-0000-0000FED90000}"/>
    <cellStyle name="SAPBEXfilterText 2 2 4" xfId="55863" xr:uid="{00000000-0005-0000-0000-0000FFD90000}"/>
    <cellStyle name="SAPBEXfilterText 2 2 4 2" xfId="55864" xr:uid="{00000000-0005-0000-0000-000000DA0000}"/>
    <cellStyle name="SAPBEXfilterText 2 3" xfId="55865" xr:uid="{00000000-0005-0000-0000-000001DA0000}"/>
    <cellStyle name="SAPBEXfilterText 2 3 2" xfId="55866" xr:uid="{00000000-0005-0000-0000-000002DA0000}"/>
    <cellStyle name="SAPBEXfilterText 2 3 2 2" xfId="55867" xr:uid="{00000000-0005-0000-0000-000003DA0000}"/>
    <cellStyle name="SAPBEXfilterText 2 3 3" xfId="55868" xr:uid="{00000000-0005-0000-0000-000004DA0000}"/>
    <cellStyle name="SAPBEXfilterText 2 3 3 2" xfId="55869" xr:uid="{00000000-0005-0000-0000-000005DA0000}"/>
    <cellStyle name="SAPBEXfilterText 2 3 4" xfId="55870" xr:uid="{00000000-0005-0000-0000-000006DA0000}"/>
    <cellStyle name="SAPBEXfilterText 2 3 5" xfId="55871" xr:uid="{00000000-0005-0000-0000-000007DA0000}"/>
    <cellStyle name="SAPBEXfilterText 2 4" xfId="55872" xr:uid="{00000000-0005-0000-0000-000008DA0000}"/>
    <cellStyle name="SAPBEXfilterText 2 4 2" xfId="55873" xr:uid="{00000000-0005-0000-0000-000009DA0000}"/>
    <cellStyle name="SAPBEXfilterText 2 5" xfId="55874" xr:uid="{00000000-0005-0000-0000-00000ADA0000}"/>
    <cellStyle name="SAPBEXfilterText 2 5 2" xfId="55875" xr:uid="{00000000-0005-0000-0000-00000BDA0000}"/>
    <cellStyle name="SAPBEXfilterText 2 6" xfId="55876" xr:uid="{00000000-0005-0000-0000-00000CDA0000}"/>
    <cellStyle name="SAPBEXfilterText 2 6 2" xfId="55877" xr:uid="{00000000-0005-0000-0000-00000DDA0000}"/>
    <cellStyle name="SAPBEXfilterText 2 7" xfId="55878" xr:uid="{00000000-0005-0000-0000-00000EDA0000}"/>
    <cellStyle name="SAPBEXfilterText 2 7 2" xfId="55879" xr:uid="{00000000-0005-0000-0000-00000FDA0000}"/>
    <cellStyle name="SAPBEXfilterText 2 8" xfId="55880" xr:uid="{00000000-0005-0000-0000-000010DA0000}"/>
    <cellStyle name="SAPBEXfilterText 3" xfId="55881" xr:uid="{00000000-0005-0000-0000-000011DA0000}"/>
    <cellStyle name="SAPBEXfilterText 3 2" xfId="55882" xr:uid="{00000000-0005-0000-0000-000012DA0000}"/>
    <cellStyle name="SAPBEXfilterText 3 2 2" xfId="55883" xr:uid="{00000000-0005-0000-0000-000013DA0000}"/>
    <cellStyle name="SAPBEXfilterText 3 2 2 2" xfId="55884" xr:uid="{00000000-0005-0000-0000-000014DA0000}"/>
    <cellStyle name="SAPBEXfilterText 3 2 3" xfId="55885" xr:uid="{00000000-0005-0000-0000-000015DA0000}"/>
    <cellStyle name="SAPBEXfilterText 3 2 3 2" xfId="55886" xr:uid="{00000000-0005-0000-0000-000016DA0000}"/>
    <cellStyle name="SAPBEXfilterText 3 2 4" xfId="55887" xr:uid="{00000000-0005-0000-0000-000017DA0000}"/>
    <cellStyle name="SAPBEXfilterText 3 3" xfId="55888" xr:uid="{00000000-0005-0000-0000-000018DA0000}"/>
    <cellStyle name="SAPBEXfilterText 3 3 2" xfId="55889" xr:uid="{00000000-0005-0000-0000-000019DA0000}"/>
    <cellStyle name="SAPBEXfilterText 3 3 2 2" xfId="55890" xr:uid="{00000000-0005-0000-0000-00001ADA0000}"/>
    <cellStyle name="SAPBEXfilterText 3 3 3" xfId="55891" xr:uid="{00000000-0005-0000-0000-00001BDA0000}"/>
    <cellStyle name="SAPBEXfilterText 3 3 3 2" xfId="55892" xr:uid="{00000000-0005-0000-0000-00001CDA0000}"/>
    <cellStyle name="SAPBEXfilterText 3 3 4" xfId="55893" xr:uid="{00000000-0005-0000-0000-00001DDA0000}"/>
    <cellStyle name="SAPBEXfilterText 3 4" xfId="55894" xr:uid="{00000000-0005-0000-0000-00001EDA0000}"/>
    <cellStyle name="SAPBEXfilterText 3 4 2" xfId="55895" xr:uid="{00000000-0005-0000-0000-00001FDA0000}"/>
    <cellStyle name="SAPBEXfilterText 3 5" xfId="55896" xr:uid="{00000000-0005-0000-0000-000020DA0000}"/>
    <cellStyle name="SAPBEXfilterText 3 5 2" xfId="55897" xr:uid="{00000000-0005-0000-0000-000021DA0000}"/>
    <cellStyle name="SAPBEXfilterText 3 6" xfId="55898" xr:uid="{00000000-0005-0000-0000-000022DA0000}"/>
    <cellStyle name="SAPBEXfilterText 3 6 2" xfId="55899" xr:uid="{00000000-0005-0000-0000-000023DA0000}"/>
    <cellStyle name="SAPBEXfilterText 3 7" xfId="55900" xr:uid="{00000000-0005-0000-0000-000024DA0000}"/>
    <cellStyle name="SAPBEXfilterText 3 8" xfId="55901" xr:uid="{00000000-0005-0000-0000-000025DA0000}"/>
    <cellStyle name="SAPBEXfilterText 4" xfId="55902" xr:uid="{00000000-0005-0000-0000-000026DA0000}"/>
    <cellStyle name="SAPBEXfilterText 4 2" xfId="55903" xr:uid="{00000000-0005-0000-0000-000027DA0000}"/>
    <cellStyle name="SAPBEXfilterText 4 3" xfId="55904" xr:uid="{00000000-0005-0000-0000-000028DA0000}"/>
    <cellStyle name="SAPBEXfilterText 5" xfId="55905" xr:uid="{00000000-0005-0000-0000-000029DA0000}"/>
    <cellStyle name="SAPBEXfilterText 6" xfId="55906" xr:uid="{00000000-0005-0000-0000-00002ADA0000}"/>
    <cellStyle name="SAPBEXformats" xfId="55907" xr:uid="{00000000-0005-0000-0000-00002BDA0000}"/>
    <cellStyle name="SAPBEXformats 10" xfId="55908" xr:uid="{00000000-0005-0000-0000-00002CDA0000}"/>
    <cellStyle name="SAPBEXformats 11" xfId="55909" xr:uid="{00000000-0005-0000-0000-00002DDA0000}"/>
    <cellStyle name="SAPBEXformats 2" xfId="55910" xr:uid="{00000000-0005-0000-0000-00002EDA0000}"/>
    <cellStyle name="SAPBEXformats 2 10" xfId="55911" xr:uid="{00000000-0005-0000-0000-00002FDA0000}"/>
    <cellStyle name="SAPBEXformats 2 2" xfId="55912" xr:uid="{00000000-0005-0000-0000-000030DA0000}"/>
    <cellStyle name="SAPBEXformats 2 2 2" xfId="55913" xr:uid="{00000000-0005-0000-0000-000031DA0000}"/>
    <cellStyle name="SAPBEXformats 2 2 2 2" xfId="55914" xr:uid="{00000000-0005-0000-0000-000032DA0000}"/>
    <cellStyle name="SAPBEXformats 2 2 2 2 2" xfId="55915" xr:uid="{00000000-0005-0000-0000-000033DA0000}"/>
    <cellStyle name="SAPBEXformats 2 2 2 3" xfId="55916" xr:uid="{00000000-0005-0000-0000-000034DA0000}"/>
    <cellStyle name="SAPBEXformats 2 2 2 3 2" xfId="55917" xr:uid="{00000000-0005-0000-0000-000035DA0000}"/>
    <cellStyle name="SAPBEXformats 2 2 2 4" xfId="55918" xr:uid="{00000000-0005-0000-0000-000036DA0000}"/>
    <cellStyle name="SAPBEXformats 2 2 3" xfId="55919" xr:uid="{00000000-0005-0000-0000-000037DA0000}"/>
    <cellStyle name="SAPBEXformats 2 2 3 2" xfId="55920" xr:uid="{00000000-0005-0000-0000-000038DA0000}"/>
    <cellStyle name="SAPBEXformats 2 2 4" xfId="55921" xr:uid="{00000000-0005-0000-0000-000039DA0000}"/>
    <cellStyle name="SAPBEXformats 2 2 4 2" xfId="55922" xr:uid="{00000000-0005-0000-0000-00003ADA0000}"/>
    <cellStyle name="SAPBEXformats 2 2 5" xfId="55923" xr:uid="{00000000-0005-0000-0000-00003BDA0000}"/>
    <cellStyle name="SAPBEXformats 2 3" xfId="55924" xr:uid="{00000000-0005-0000-0000-00003CDA0000}"/>
    <cellStyle name="SAPBEXformats 2 3 2" xfId="55925" xr:uid="{00000000-0005-0000-0000-00003DDA0000}"/>
    <cellStyle name="SAPBEXformats 2 3 2 2" xfId="55926" xr:uid="{00000000-0005-0000-0000-00003EDA0000}"/>
    <cellStyle name="SAPBEXformats 2 3 3" xfId="55927" xr:uid="{00000000-0005-0000-0000-00003FDA0000}"/>
    <cellStyle name="SAPBEXformats 2 3 3 2" xfId="55928" xr:uid="{00000000-0005-0000-0000-000040DA0000}"/>
    <cellStyle name="SAPBEXformats 2 3 4" xfId="55929" xr:uid="{00000000-0005-0000-0000-000041DA0000}"/>
    <cellStyle name="SAPBEXformats 2 3 5" xfId="55930" xr:uid="{00000000-0005-0000-0000-000042DA0000}"/>
    <cellStyle name="SAPBEXformats 2 3 6" xfId="55931" xr:uid="{00000000-0005-0000-0000-000043DA0000}"/>
    <cellStyle name="SAPBEXformats 2 4" xfId="55932" xr:uid="{00000000-0005-0000-0000-000044DA0000}"/>
    <cellStyle name="SAPBEXformats 2 4 2" xfId="55933" xr:uid="{00000000-0005-0000-0000-000045DA0000}"/>
    <cellStyle name="SAPBEXformats 2 4 2 2" xfId="55934" xr:uid="{00000000-0005-0000-0000-000046DA0000}"/>
    <cellStyle name="SAPBEXformats 2 4 3" xfId="55935" xr:uid="{00000000-0005-0000-0000-000047DA0000}"/>
    <cellStyle name="SAPBEXformats 2 4 3 2" xfId="55936" xr:uid="{00000000-0005-0000-0000-000048DA0000}"/>
    <cellStyle name="SAPBEXformats 2 4 4" xfId="55937" xr:uid="{00000000-0005-0000-0000-000049DA0000}"/>
    <cellStyle name="SAPBEXformats 2 5" xfId="55938" xr:uid="{00000000-0005-0000-0000-00004ADA0000}"/>
    <cellStyle name="SAPBEXformats 2 5 2" xfId="55939" xr:uid="{00000000-0005-0000-0000-00004BDA0000}"/>
    <cellStyle name="SAPBEXformats 2 6" xfId="55940" xr:uid="{00000000-0005-0000-0000-00004CDA0000}"/>
    <cellStyle name="SAPBEXformats 2 6 2" xfId="55941" xr:uid="{00000000-0005-0000-0000-00004DDA0000}"/>
    <cellStyle name="SAPBEXformats 2 7" xfId="55942" xr:uid="{00000000-0005-0000-0000-00004EDA0000}"/>
    <cellStyle name="SAPBEXformats 2 7 2" xfId="55943" xr:uid="{00000000-0005-0000-0000-00004FDA0000}"/>
    <cellStyle name="SAPBEXformats 2 8" xfId="55944" xr:uid="{00000000-0005-0000-0000-000050DA0000}"/>
    <cellStyle name="SAPBEXformats 2 9" xfId="55945" xr:uid="{00000000-0005-0000-0000-000051DA0000}"/>
    <cellStyle name="SAPBEXformats 3" xfId="55946" xr:uid="{00000000-0005-0000-0000-000052DA0000}"/>
    <cellStyle name="SAPBEXformats 3 2" xfId="55947" xr:uid="{00000000-0005-0000-0000-000053DA0000}"/>
    <cellStyle name="SAPBEXformats 3 2 2" xfId="55948" xr:uid="{00000000-0005-0000-0000-000054DA0000}"/>
    <cellStyle name="SAPBEXformats 3 2 2 2" xfId="55949" xr:uid="{00000000-0005-0000-0000-000055DA0000}"/>
    <cellStyle name="SAPBEXformats 3 2 2 2 2" xfId="55950" xr:uid="{00000000-0005-0000-0000-000056DA0000}"/>
    <cellStyle name="SAPBEXformats 3 2 2 3" xfId="55951" xr:uid="{00000000-0005-0000-0000-000057DA0000}"/>
    <cellStyle name="SAPBEXformats 3 2 2 3 2" xfId="55952" xr:uid="{00000000-0005-0000-0000-000058DA0000}"/>
    <cellStyle name="SAPBEXformats 3 2 2 4" xfId="55953" xr:uid="{00000000-0005-0000-0000-000059DA0000}"/>
    <cellStyle name="SAPBEXformats 3 2 3" xfId="55954" xr:uid="{00000000-0005-0000-0000-00005ADA0000}"/>
    <cellStyle name="SAPBEXformats 3 2 3 2" xfId="55955" xr:uid="{00000000-0005-0000-0000-00005BDA0000}"/>
    <cellStyle name="SAPBEXformats 3 2 3 2 2" xfId="55956" xr:uid="{00000000-0005-0000-0000-00005CDA0000}"/>
    <cellStyle name="SAPBEXformats 3 2 3 3" xfId="55957" xr:uid="{00000000-0005-0000-0000-00005DDA0000}"/>
    <cellStyle name="SAPBEXformats 3 2 3 3 2" xfId="55958" xr:uid="{00000000-0005-0000-0000-00005EDA0000}"/>
    <cellStyle name="SAPBEXformats 3 2 3 4" xfId="55959" xr:uid="{00000000-0005-0000-0000-00005FDA0000}"/>
    <cellStyle name="SAPBEXformats 3 2 4" xfId="55960" xr:uid="{00000000-0005-0000-0000-000060DA0000}"/>
    <cellStyle name="SAPBEXformats 3 2 4 2" xfId="55961" xr:uid="{00000000-0005-0000-0000-000061DA0000}"/>
    <cellStyle name="SAPBEXformats 3 2 5" xfId="55962" xr:uid="{00000000-0005-0000-0000-000062DA0000}"/>
    <cellStyle name="SAPBEXformats 3 2 5 2" xfId="55963" xr:uid="{00000000-0005-0000-0000-000063DA0000}"/>
    <cellStyle name="SAPBEXformats 3 2 6" xfId="55964" xr:uid="{00000000-0005-0000-0000-000064DA0000}"/>
    <cellStyle name="SAPBEXformats 3 3" xfId="55965" xr:uid="{00000000-0005-0000-0000-000065DA0000}"/>
    <cellStyle name="SAPBEXformats 3 3 2" xfId="55966" xr:uid="{00000000-0005-0000-0000-000066DA0000}"/>
    <cellStyle name="SAPBEXformats 3 3 2 2" xfId="55967" xr:uid="{00000000-0005-0000-0000-000067DA0000}"/>
    <cellStyle name="SAPBEXformats 3 3 3" xfId="55968" xr:uid="{00000000-0005-0000-0000-000068DA0000}"/>
    <cellStyle name="SAPBEXformats 3 3 3 2" xfId="55969" xr:uid="{00000000-0005-0000-0000-000069DA0000}"/>
    <cellStyle name="SAPBEXformats 3 3 4" xfId="55970" xr:uid="{00000000-0005-0000-0000-00006ADA0000}"/>
    <cellStyle name="SAPBEXformats 3 4" xfId="55971" xr:uid="{00000000-0005-0000-0000-00006BDA0000}"/>
    <cellStyle name="SAPBEXformats 3 4 2" xfId="55972" xr:uid="{00000000-0005-0000-0000-00006CDA0000}"/>
    <cellStyle name="SAPBEXformats 3 4 2 2" xfId="55973" xr:uid="{00000000-0005-0000-0000-00006DDA0000}"/>
    <cellStyle name="SAPBEXformats 3 4 3" xfId="55974" xr:uid="{00000000-0005-0000-0000-00006EDA0000}"/>
    <cellStyle name="SAPBEXformats 3 4 3 2" xfId="55975" xr:uid="{00000000-0005-0000-0000-00006FDA0000}"/>
    <cellStyle name="SAPBEXformats 3 4 4" xfId="55976" xr:uid="{00000000-0005-0000-0000-000070DA0000}"/>
    <cellStyle name="SAPBEXformats 3 5" xfId="55977" xr:uid="{00000000-0005-0000-0000-000071DA0000}"/>
    <cellStyle name="SAPBEXformats 3 5 2" xfId="55978" xr:uid="{00000000-0005-0000-0000-000072DA0000}"/>
    <cellStyle name="SAPBEXformats 3 5 2 2" xfId="55979" xr:uid="{00000000-0005-0000-0000-000073DA0000}"/>
    <cellStyle name="SAPBEXformats 3 5 3" xfId="55980" xr:uid="{00000000-0005-0000-0000-000074DA0000}"/>
    <cellStyle name="SAPBEXformats 3 5 3 2" xfId="55981" xr:uid="{00000000-0005-0000-0000-000075DA0000}"/>
    <cellStyle name="SAPBEXformats 3 5 4" xfId="55982" xr:uid="{00000000-0005-0000-0000-000076DA0000}"/>
    <cellStyle name="SAPBEXformats 3 6" xfId="55983" xr:uid="{00000000-0005-0000-0000-000077DA0000}"/>
    <cellStyle name="SAPBEXformats 3 6 2" xfId="55984" xr:uid="{00000000-0005-0000-0000-000078DA0000}"/>
    <cellStyle name="SAPBEXformats 3 7" xfId="55985" xr:uid="{00000000-0005-0000-0000-000079DA0000}"/>
    <cellStyle name="SAPBEXformats 3 7 2" xfId="55986" xr:uid="{00000000-0005-0000-0000-00007ADA0000}"/>
    <cellStyle name="SAPBEXformats 3 8" xfId="55987" xr:uid="{00000000-0005-0000-0000-00007BDA0000}"/>
    <cellStyle name="SAPBEXformats 3 9" xfId="55988" xr:uid="{00000000-0005-0000-0000-00007CDA0000}"/>
    <cellStyle name="SAPBEXformats 4" xfId="55989" xr:uid="{00000000-0005-0000-0000-00007DDA0000}"/>
    <cellStyle name="SAPBEXformats 4 2" xfId="55990" xr:uid="{00000000-0005-0000-0000-00007EDA0000}"/>
    <cellStyle name="SAPBEXformats 4 2 2" xfId="55991" xr:uid="{00000000-0005-0000-0000-00007FDA0000}"/>
    <cellStyle name="SAPBEXformats 4 3" xfId="55992" xr:uid="{00000000-0005-0000-0000-000080DA0000}"/>
    <cellStyle name="SAPBEXformats 4 3 2" xfId="55993" xr:uid="{00000000-0005-0000-0000-000081DA0000}"/>
    <cellStyle name="SAPBEXformats 4 4" xfId="55994" xr:uid="{00000000-0005-0000-0000-000082DA0000}"/>
    <cellStyle name="SAPBEXformats 5" xfId="55995" xr:uid="{00000000-0005-0000-0000-000083DA0000}"/>
    <cellStyle name="SAPBEXformats 5 2" xfId="55996" xr:uid="{00000000-0005-0000-0000-000084DA0000}"/>
    <cellStyle name="SAPBEXformats 5 2 2" xfId="55997" xr:uid="{00000000-0005-0000-0000-000085DA0000}"/>
    <cellStyle name="SAPBEXformats 5 3" xfId="55998" xr:uid="{00000000-0005-0000-0000-000086DA0000}"/>
    <cellStyle name="SAPBEXformats 5 3 2" xfId="55999" xr:uid="{00000000-0005-0000-0000-000087DA0000}"/>
    <cellStyle name="SAPBEXformats 5 4" xfId="56000" xr:uid="{00000000-0005-0000-0000-000088DA0000}"/>
    <cellStyle name="SAPBEXformats 6" xfId="56001" xr:uid="{00000000-0005-0000-0000-000089DA0000}"/>
    <cellStyle name="SAPBEXformats 6 2" xfId="56002" xr:uid="{00000000-0005-0000-0000-00008ADA0000}"/>
    <cellStyle name="SAPBEXformats 6 2 2" xfId="56003" xr:uid="{00000000-0005-0000-0000-00008BDA0000}"/>
    <cellStyle name="SAPBEXformats 6 3" xfId="56004" xr:uid="{00000000-0005-0000-0000-00008CDA0000}"/>
    <cellStyle name="SAPBEXformats 6 3 2" xfId="56005" xr:uid="{00000000-0005-0000-0000-00008DDA0000}"/>
    <cellStyle name="SAPBEXformats 6 4" xfId="56006" xr:uid="{00000000-0005-0000-0000-00008EDA0000}"/>
    <cellStyle name="SAPBEXformats 7" xfId="56007" xr:uid="{00000000-0005-0000-0000-00008FDA0000}"/>
    <cellStyle name="SAPBEXformats 7 2" xfId="56008" xr:uid="{00000000-0005-0000-0000-000090DA0000}"/>
    <cellStyle name="SAPBEXformats 8" xfId="56009" xr:uid="{00000000-0005-0000-0000-000091DA0000}"/>
    <cellStyle name="SAPBEXformats 8 2" xfId="56010" xr:uid="{00000000-0005-0000-0000-000092DA0000}"/>
    <cellStyle name="SAPBEXformats 9" xfId="56011" xr:uid="{00000000-0005-0000-0000-000093DA0000}"/>
    <cellStyle name="SAPBEXformats 9 2" xfId="56012" xr:uid="{00000000-0005-0000-0000-000094DA0000}"/>
    <cellStyle name="SAPBEXheaderData" xfId="56013" xr:uid="{00000000-0005-0000-0000-000095DA0000}"/>
    <cellStyle name="SAPBEXheaderData 2" xfId="56014" xr:uid="{00000000-0005-0000-0000-000096DA0000}"/>
    <cellStyle name="SAPBEXheaderData 2 2" xfId="56015" xr:uid="{00000000-0005-0000-0000-000097DA0000}"/>
    <cellStyle name="SAPBEXheaderData 3" xfId="56016" xr:uid="{00000000-0005-0000-0000-000098DA0000}"/>
    <cellStyle name="SAPBEXheaderItem" xfId="56017" xr:uid="{00000000-0005-0000-0000-000099DA0000}"/>
    <cellStyle name="SAPBEXheaderItem 2" xfId="56018" xr:uid="{00000000-0005-0000-0000-00009ADA0000}"/>
    <cellStyle name="SAPBEXheaderItem 2 2" xfId="56019" xr:uid="{00000000-0005-0000-0000-00009BDA0000}"/>
    <cellStyle name="SAPBEXheaderItem 2 2 2" xfId="56020" xr:uid="{00000000-0005-0000-0000-00009CDA0000}"/>
    <cellStyle name="SAPBEXheaderItem 2 2 2 2" xfId="56021" xr:uid="{00000000-0005-0000-0000-00009DDA0000}"/>
    <cellStyle name="SAPBEXheaderItem 2 2 3" xfId="56022" xr:uid="{00000000-0005-0000-0000-00009EDA0000}"/>
    <cellStyle name="SAPBEXheaderItem 2 2 3 2" xfId="56023" xr:uid="{00000000-0005-0000-0000-00009FDA0000}"/>
    <cellStyle name="SAPBEXheaderItem 2 2 4" xfId="56024" xr:uid="{00000000-0005-0000-0000-0000A0DA0000}"/>
    <cellStyle name="SAPBEXheaderItem 2 2 5" xfId="56025" xr:uid="{00000000-0005-0000-0000-0000A1DA0000}"/>
    <cellStyle name="SAPBEXheaderItem 2 3" xfId="56026" xr:uid="{00000000-0005-0000-0000-0000A2DA0000}"/>
    <cellStyle name="SAPBEXheaderItem 2 3 2" xfId="56027" xr:uid="{00000000-0005-0000-0000-0000A3DA0000}"/>
    <cellStyle name="SAPBEXheaderItem 2 3 2 2" xfId="56028" xr:uid="{00000000-0005-0000-0000-0000A4DA0000}"/>
    <cellStyle name="SAPBEXheaderItem 2 3 3" xfId="56029" xr:uid="{00000000-0005-0000-0000-0000A5DA0000}"/>
    <cellStyle name="SAPBEXheaderItem 2 3 3 2" xfId="56030" xr:uid="{00000000-0005-0000-0000-0000A6DA0000}"/>
    <cellStyle name="SAPBEXheaderItem 2 3 4" xfId="56031" xr:uid="{00000000-0005-0000-0000-0000A7DA0000}"/>
    <cellStyle name="SAPBEXheaderItem 2 3 5" xfId="56032" xr:uid="{00000000-0005-0000-0000-0000A8DA0000}"/>
    <cellStyle name="SAPBEXheaderItem 2 4" xfId="56033" xr:uid="{00000000-0005-0000-0000-0000A9DA0000}"/>
    <cellStyle name="SAPBEXheaderItem 2 4 2" xfId="56034" xr:uid="{00000000-0005-0000-0000-0000AADA0000}"/>
    <cellStyle name="SAPBEXheaderItem 2 4 2 2" xfId="56035" xr:uid="{00000000-0005-0000-0000-0000ABDA0000}"/>
    <cellStyle name="SAPBEXheaderItem 2 4 3" xfId="56036" xr:uid="{00000000-0005-0000-0000-0000ACDA0000}"/>
    <cellStyle name="SAPBEXheaderItem 2 5" xfId="56037" xr:uid="{00000000-0005-0000-0000-0000ADDA0000}"/>
    <cellStyle name="SAPBEXheaderItem 2 5 2" xfId="56038" xr:uid="{00000000-0005-0000-0000-0000AEDA0000}"/>
    <cellStyle name="SAPBEXheaderItem 2 6" xfId="56039" xr:uid="{00000000-0005-0000-0000-0000AFDA0000}"/>
    <cellStyle name="SAPBEXheaderItem 2 6 2" xfId="56040" xr:uid="{00000000-0005-0000-0000-0000B0DA0000}"/>
    <cellStyle name="SAPBEXheaderItem 2 7" xfId="56041" xr:uid="{00000000-0005-0000-0000-0000B1DA0000}"/>
    <cellStyle name="SAPBEXheaderItem 2 7 2" xfId="56042" xr:uid="{00000000-0005-0000-0000-0000B2DA0000}"/>
    <cellStyle name="SAPBEXheaderItem 2 8" xfId="56043" xr:uid="{00000000-0005-0000-0000-0000B3DA0000}"/>
    <cellStyle name="SAPBEXheaderItem 3" xfId="56044" xr:uid="{00000000-0005-0000-0000-0000B4DA0000}"/>
    <cellStyle name="SAPBEXheaderItem 3 2" xfId="56045" xr:uid="{00000000-0005-0000-0000-0000B5DA0000}"/>
    <cellStyle name="SAPBEXheaderItem 3 2 2" xfId="56046" xr:uid="{00000000-0005-0000-0000-0000B6DA0000}"/>
    <cellStyle name="SAPBEXheaderItem 3 3" xfId="56047" xr:uid="{00000000-0005-0000-0000-0000B7DA0000}"/>
    <cellStyle name="SAPBEXheaderItem 3 4" xfId="56048" xr:uid="{00000000-0005-0000-0000-0000B8DA0000}"/>
    <cellStyle name="SAPBEXheaderItem 3 5" xfId="56049" xr:uid="{00000000-0005-0000-0000-0000B9DA0000}"/>
    <cellStyle name="SAPBEXheaderItem 4" xfId="56050" xr:uid="{00000000-0005-0000-0000-0000BADA0000}"/>
    <cellStyle name="SAPBEXheaderItem 4 2" xfId="56051" xr:uid="{00000000-0005-0000-0000-0000BBDA0000}"/>
    <cellStyle name="SAPBEXheaderItem 4 3" xfId="56052" xr:uid="{00000000-0005-0000-0000-0000BCDA0000}"/>
    <cellStyle name="SAPBEXheaderItem 5" xfId="56053" xr:uid="{00000000-0005-0000-0000-0000BDDA0000}"/>
    <cellStyle name="SAPBEXheaderItem 6" xfId="56054" xr:uid="{00000000-0005-0000-0000-0000BEDA0000}"/>
    <cellStyle name="SAPBEXheaderItem_2010-2012 Program Workbook Completed_Incent_V2" xfId="56055" xr:uid="{00000000-0005-0000-0000-0000BFDA0000}"/>
    <cellStyle name="SAPBEXheaderText" xfId="56056" xr:uid="{00000000-0005-0000-0000-0000C0DA0000}"/>
    <cellStyle name="SAPBEXheaderText 2" xfId="56057" xr:uid="{00000000-0005-0000-0000-0000C1DA0000}"/>
    <cellStyle name="SAPBEXheaderText 2 2" xfId="56058" xr:uid="{00000000-0005-0000-0000-0000C2DA0000}"/>
    <cellStyle name="SAPBEXheaderText 2 2 2" xfId="56059" xr:uid="{00000000-0005-0000-0000-0000C3DA0000}"/>
    <cellStyle name="SAPBEXheaderText 2 2 2 2" xfId="56060" xr:uid="{00000000-0005-0000-0000-0000C4DA0000}"/>
    <cellStyle name="SAPBEXheaderText 2 2 3" xfId="56061" xr:uid="{00000000-0005-0000-0000-0000C5DA0000}"/>
    <cellStyle name="SAPBEXheaderText 2 2 3 2" xfId="56062" xr:uid="{00000000-0005-0000-0000-0000C6DA0000}"/>
    <cellStyle name="SAPBEXheaderText 2 2 4" xfId="56063" xr:uid="{00000000-0005-0000-0000-0000C7DA0000}"/>
    <cellStyle name="SAPBEXheaderText 2 2 5" xfId="56064" xr:uid="{00000000-0005-0000-0000-0000C8DA0000}"/>
    <cellStyle name="SAPBEXheaderText 2 3" xfId="56065" xr:uid="{00000000-0005-0000-0000-0000C9DA0000}"/>
    <cellStyle name="SAPBEXheaderText 2 3 2" xfId="56066" xr:uid="{00000000-0005-0000-0000-0000CADA0000}"/>
    <cellStyle name="SAPBEXheaderText 2 3 2 2" xfId="56067" xr:uid="{00000000-0005-0000-0000-0000CBDA0000}"/>
    <cellStyle name="SAPBEXheaderText 2 3 3" xfId="56068" xr:uid="{00000000-0005-0000-0000-0000CCDA0000}"/>
    <cellStyle name="SAPBEXheaderText 2 3 3 2" xfId="56069" xr:uid="{00000000-0005-0000-0000-0000CDDA0000}"/>
    <cellStyle name="SAPBEXheaderText 2 3 4" xfId="56070" xr:uid="{00000000-0005-0000-0000-0000CEDA0000}"/>
    <cellStyle name="SAPBEXheaderText 2 3 5" xfId="56071" xr:uid="{00000000-0005-0000-0000-0000CFDA0000}"/>
    <cellStyle name="SAPBEXheaderText 2 4" xfId="56072" xr:uid="{00000000-0005-0000-0000-0000D0DA0000}"/>
    <cellStyle name="SAPBEXheaderText 2 4 2" xfId="56073" xr:uid="{00000000-0005-0000-0000-0000D1DA0000}"/>
    <cellStyle name="SAPBEXheaderText 2 4 2 2" xfId="56074" xr:uid="{00000000-0005-0000-0000-0000D2DA0000}"/>
    <cellStyle name="SAPBEXheaderText 2 4 3" xfId="56075" xr:uid="{00000000-0005-0000-0000-0000D3DA0000}"/>
    <cellStyle name="SAPBEXheaderText 2 5" xfId="56076" xr:uid="{00000000-0005-0000-0000-0000D4DA0000}"/>
    <cellStyle name="SAPBEXheaderText 2 5 2" xfId="56077" xr:uid="{00000000-0005-0000-0000-0000D5DA0000}"/>
    <cellStyle name="SAPBEXheaderText 2 6" xfId="56078" xr:uid="{00000000-0005-0000-0000-0000D6DA0000}"/>
    <cellStyle name="SAPBEXheaderText 2 6 2" xfId="56079" xr:uid="{00000000-0005-0000-0000-0000D7DA0000}"/>
    <cellStyle name="SAPBEXheaderText 2 7" xfId="56080" xr:uid="{00000000-0005-0000-0000-0000D8DA0000}"/>
    <cellStyle name="SAPBEXheaderText 2 7 2" xfId="56081" xr:uid="{00000000-0005-0000-0000-0000D9DA0000}"/>
    <cellStyle name="SAPBEXheaderText 2 8" xfId="56082" xr:uid="{00000000-0005-0000-0000-0000DADA0000}"/>
    <cellStyle name="SAPBEXheaderText 3" xfId="56083" xr:uid="{00000000-0005-0000-0000-0000DBDA0000}"/>
    <cellStyle name="SAPBEXheaderText 3 2" xfId="56084" xr:uid="{00000000-0005-0000-0000-0000DCDA0000}"/>
    <cellStyle name="SAPBEXheaderText 3 2 2" xfId="56085" xr:uid="{00000000-0005-0000-0000-0000DDDA0000}"/>
    <cellStyle name="SAPBEXheaderText 3 3" xfId="56086" xr:uid="{00000000-0005-0000-0000-0000DEDA0000}"/>
    <cellStyle name="SAPBEXheaderText 3 4" xfId="56087" xr:uid="{00000000-0005-0000-0000-0000DFDA0000}"/>
    <cellStyle name="SAPBEXheaderText 3 5" xfId="56088" xr:uid="{00000000-0005-0000-0000-0000E0DA0000}"/>
    <cellStyle name="SAPBEXheaderText 4" xfId="56089" xr:uid="{00000000-0005-0000-0000-0000E1DA0000}"/>
    <cellStyle name="SAPBEXheaderText 4 2" xfId="56090" xr:uid="{00000000-0005-0000-0000-0000E2DA0000}"/>
    <cellStyle name="SAPBEXheaderText 4 3" xfId="56091" xr:uid="{00000000-0005-0000-0000-0000E3DA0000}"/>
    <cellStyle name="SAPBEXheaderText 5" xfId="56092" xr:uid="{00000000-0005-0000-0000-0000E4DA0000}"/>
    <cellStyle name="SAPBEXheaderText 6" xfId="56093" xr:uid="{00000000-0005-0000-0000-0000E5DA0000}"/>
    <cellStyle name="SAPBEXheaderText_2010-2012 Program Workbook Completed_Incent_V2" xfId="56094" xr:uid="{00000000-0005-0000-0000-0000E6DA0000}"/>
    <cellStyle name="SAPBEXHLevel0" xfId="56095" xr:uid="{00000000-0005-0000-0000-0000E7DA0000}"/>
    <cellStyle name="SAPBEXHLevel0 10" xfId="56096" xr:uid="{00000000-0005-0000-0000-0000E8DA0000}"/>
    <cellStyle name="SAPBEXHLevel0 10 2" xfId="56097" xr:uid="{00000000-0005-0000-0000-0000E9DA0000}"/>
    <cellStyle name="SAPBEXHLevel0 11" xfId="56098" xr:uid="{00000000-0005-0000-0000-0000EADA0000}"/>
    <cellStyle name="SAPBEXHLevel0 11 2" xfId="56099" xr:uid="{00000000-0005-0000-0000-0000EBDA0000}"/>
    <cellStyle name="SAPBEXHLevel0 12" xfId="56100" xr:uid="{00000000-0005-0000-0000-0000ECDA0000}"/>
    <cellStyle name="SAPBEXHLevel0 12 2" xfId="56101" xr:uid="{00000000-0005-0000-0000-0000EDDA0000}"/>
    <cellStyle name="SAPBEXHLevel0 13" xfId="56102" xr:uid="{00000000-0005-0000-0000-0000EEDA0000}"/>
    <cellStyle name="SAPBEXHLevel0 13 2" xfId="56103" xr:uid="{00000000-0005-0000-0000-0000EFDA0000}"/>
    <cellStyle name="SAPBEXHLevel0 14" xfId="56104" xr:uid="{00000000-0005-0000-0000-0000F0DA0000}"/>
    <cellStyle name="SAPBEXHLevel0 14 2" xfId="56105" xr:uid="{00000000-0005-0000-0000-0000F1DA0000}"/>
    <cellStyle name="SAPBEXHLevel0 15" xfId="56106" xr:uid="{00000000-0005-0000-0000-0000F2DA0000}"/>
    <cellStyle name="SAPBEXHLevel0 15 2" xfId="56107" xr:uid="{00000000-0005-0000-0000-0000F3DA0000}"/>
    <cellStyle name="SAPBEXHLevel0 16" xfId="56108" xr:uid="{00000000-0005-0000-0000-0000F4DA0000}"/>
    <cellStyle name="SAPBEXHLevel0 16 2" xfId="56109" xr:uid="{00000000-0005-0000-0000-0000F5DA0000}"/>
    <cellStyle name="SAPBEXHLevel0 17" xfId="56110" xr:uid="{00000000-0005-0000-0000-0000F6DA0000}"/>
    <cellStyle name="SAPBEXHLevel0 18" xfId="56111" xr:uid="{00000000-0005-0000-0000-0000F7DA0000}"/>
    <cellStyle name="SAPBEXHLevel0 19" xfId="56112" xr:uid="{00000000-0005-0000-0000-0000F8DA0000}"/>
    <cellStyle name="SAPBEXHLevel0 2" xfId="56113" xr:uid="{00000000-0005-0000-0000-0000F9DA0000}"/>
    <cellStyle name="SAPBEXHLevel0 2 10" xfId="56114" xr:uid="{00000000-0005-0000-0000-0000FADA0000}"/>
    <cellStyle name="SAPBEXHLevel0 2 11" xfId="56115" xr:uid="{00000000-0005-0000-0000-0000FBDA0000}"/>
    <cellStyle name="SAPBEXHLevel0 2 2" xfId="56116" xr:uid="{00000000-0005-0000-0000-0000FCDA0000}"/>
    <cellStyle name="SAPBEXHLevel0 2 2 2" xfId="56117" xr:uid="{00000000-0005-0000-0000-0000FDDA0000}"/>
    <cellStyle name="SAPBEXHLevel0 2 2 2 2" xfId="56118" xr:uid="{00000000-0005-0000-0000-0000FEDA0000}"/>
    <cellStyle name="SAPBEXHLevel0 2 2 2 2 2" xfId="56119" xr:uid="{00000000-0005-0000-0000-0000FFDA0000}"/>
    <cellStyle name="SAPBEXHLevel0 2 2 2 3" xfId="56120" xr:uid="{00000000-0005-0000-0000-000000DB0000}"/>
    <cellStyle name="SAPBEXHLevel0 2 2 2 3 2" xfId="56121" xr:uid="{00000000-0005-0000-0000-000001DB0000}"/>
    <cellStyle name="SAPBEXHLevel0 2 2 2 4" xfId="56122" xr:uid="{00000000-0005-0000-0000-000002DB0000}"/>
    <cellStyle name="SAPBEXHLevel0 2 2 2 5" xfId="56123" xr:uid="{00000000-0005-0000-0000-000003DB0000}"/>
    <cellStyle name="SAPBEXHLevel0 2 2 2 6" xfId="56124" xr:uid="{00000000-0005-0000-0000-000004DB0000}"/>
    <cellStyle name="SAPBEXHLevel0 2 2 3" xfId="56125" xr:uid="{00000000-0005-0000-0000-000005DB0000}"/>
    <cellStyle name="SAPBEXHLevel0 2 2 3 2" xfId="56126" xr:uid="{00000000-0005-0000-0000-000006DB0000}"/>
    <cellStyle name="SAPBEXHLevel0 2 2 3 2 2" xfId="56127" xr:uid="{00000000-0005-0000-0000-000007DB0000}"/>
    <cellStyle name="SAPBEXHLevel0 2 2 3 3" xfId="56128" xr:uid="{00000000-0005-0000-0000-000008DB0000}"/>
    <cellStyle name="SAPBEXHLevel0 2 2 3 3 2" xfId="56129" xr:uid="{00000000-0005-0000-0000-000009DB0000}"/>
    <cellStyle name="SAPBEXHLevel0 2 2 3 4" xfId="56130" xr:uid="{00000000-0005-0000-0000-00000ADB0000}"/>
    <cellStyle name="SAPBEXHLevel0 2 2 4" xfId="56131" xr:uid="{00000000-0005-0000-0000-00000BDB0000}"/>
    <cellStyle name="SAPBEXHLevel0 2 2 4 2" xfId="56132" xr:uid="{00000000-0005-0000-0000-00000CDB0000}"/>
    <cellStyle name="SAPBEXHLevel0 2 2 5" xfId="56133" xr:uid="{00000000-0005-0000-0000-00000DDB0000}"/>
    <cellStyle name="SAPBEXHLevel0 2 2 5 2" xfId="56134" xr:uid="{00000000-0005-0000-0000-00000EDB0000}"/>
    <cellStyle name="SAPBEXHLevel0 2 2 6" xfId="56135" xr:uid="{00000000-0005-0000-0000-00000FDB0000}"/>
    <cellStyle name="SAPBEXHLevel0 2 2 6 2" xfId="56136" xr:uid="{00000000-0005-0000-0000-000010DB0000}"/>
    <cellStyle name="SAPBEXHLevel0 2 2 7" xfId="56137" xr:uid="{00000000-0005-0000-0000-000011DB0000}"/>
    <cellStyle name="SAPBEXHLevel0 2 2 8" xfId="56138" xr:uid="{00000000-0005-0000-0000-000012DB0000}"/>
    <cellStyle name="SAPBEXHLevel0 2 3" xfId="56139" xr:uid="{00000000-0005-0000-0000-000013DB0000}"/>
    <cellStyle name="SAPBEXHLevel0 2 3 2" xfId="56140" xr:uid="{00000000-0005-0000-0000-000014DB0000}"/>
    <cellStyle name="SAPBEXHLevel0 2 3 2 2" xfId="56141" xr:uid="{00000000-0005-0000-0000-000015DB0000}"/>
    <cellStyle name="SAPBEXHLevel0 2 3 3" xfId="56142" xr:uid="{00000000-0005-0000-0000-000016DB0000}"/>
    <cellStyle name="SAPBEXHLevel0 2 3 3 2" xfId="56143" xr:uid="{00000000-0005-0000-0000-000017DB0000}"/>
    <cellStyle name="SAPBEXHLevel0 2 3 4" xfId="56144" xr:uid="{00000000-0005-0000-0000-000018DB0000}"/>
    <cellStyle name="SAPBEXHLevel0 2 3 4 2" xfId="56145" xr:uid="{00000000-0005-0000-0000-000019DB0000}"/>
    <cellStyle name="SAPBEXHLevel0 2 3 5" xfId="56146" xr:uid="{00000000-0005-0000-0000-00001ADB0000}"/>
    <cellStyle name="SAPBEXHLevel0 2 3 6" xfId="56147" xr:uid="{00000000-0005-0000-0000-00001BDB0000}"/>
    <cellStyle name="SAPBEXHLevel0 2 3 7" xfId="56148" xr:uid="{00000000-0005-0000-0000-00001CDB0000}"/>
    <cellStyle name="SAPBEXHLevel0 2 4" xfId="56149" xr:uid="{00000000-0005-0000-0000-00001DDB0000}"/>
    <cellStyle name="SAPBEXHLevel0 2 4 2" xfId="56150" xr:uid="{00000000-0005-0000-0000-00001EDB0000}"/>
    <cellStyle name="SAPBEXHLevel0 2 4 2 2" xfId="56151" xr:uid="{00000000-0005-0000-0000-00001FDB0000}"/>
    <cellStyle name="SAPBEXHLevel0 2 4 3" xfId="56152" xr:uid="{00000000-0005-0000-0000-000020DB0000}"/>
    <cellStyle name="SAPBEXHLevel0 2 4 3 2" xfId="56153" xr:uid="{00000000-0005-0000-0000-000021DB0000}"/>
    <cellStyle name="SAPBEXHLevel0 2 4 4" xfId="56154" xr:uid="{00000000-0005-0000-0000-000022DB0000}"/>
    <cellStyle name="SAPBEXHLevel0 2 4 4 2" xfId="56155" xr:uid="{00000000-0005-0000-0000-000023DB0000}"/>
    <cellStyle name="SAPBEXHLevel0 2 4 5" xfId="56156" xr:uid="{00000000-0005-0000-0000-000024DB0000}"/>
    <cellStyle name="SAPBEXHLevel0 2 4 6" xfId="56157" xr:uid="{00000000-0005-0000-0000-000025DB0000}"/>
    <cellStyle name="SAPBEXHLevel0 2 5" xfId="56158" xr:uid="{00000000-0005-0000-0000-000026DB0000}"/>
    <cellStyle name="SAPBEXHLevel0 2 5 2" xfId="56159" xr:uid="{00000000-0005-0000-0000-000027DB0000}"/>
    <cellStyle name="SAPBEXHLevel0 2 6" xfId="56160" xr:uid="{00000000-0005-0000-0000-000028DB0000}"/>
    <cellStyle name="SAPBEXHLevel0 2 6 2" xfId="56161" xr:uid="{00000000-0005-0000-0000-000029DB0000}"/>
    <cellStyle name="SAPBEXHLevel0 2 7" xfId="56162" xr:uid="{00000000-0005-0000-0000-00002ADB0000}"/>
    <cellStyle name="SAPBEXHLevel0 2 7 2" xfId="56163" xr:uid="{00000000-0005-0000-0000-00002BDB0000}"/>
    <cellStyle name="SAPBEXHLevel0 2 8" xfId="56164" xr:uid="{00000000-0005-0000-0000-00002CDB0000}"/>
    <cellStyle name="SAPBEXHLevel0 2 8 2" xfId="56165" xr:uid="{00000000-0005-0000-0000-00002DDB0000}"/>
    <cellStyle name="SAPBEXHLevel0 2 9" xfId="56166" xr:uid="{00000000-0005-0000-0000-00002EDB0000}"/>
    <cellStyle name="SAPBEXHLevel0 3" xfId="56167" xr:uid="{00000000-0005-0000-0000-00002FDB0000}"/>
    <cellStyle name="SAPBEXHLevel0 3 2" xfId="56168" xr:uid="{00000000-0005-0000-0000-000030DB0000}"/>
    <cellStyle name="SAPBEXHLevel0 3 2 2" xfId="56169" xr:uid="{00000000-0005-0000-0000-000031DB0000}"/>
    <cellStyle name="SAPBEXHLevel0 3 2 2 2" xfId="56170" xr:uid="{00000000-0005-0000-0000-000032DB0000}"/>
    <cellStyle name="SAPBEXHLevel0 3 2 2 2 2" xfId="56171" xr:uid="{00000000-0005-0000-0000-000033DB0000}"/>
    <cellStyle name="SAPBEXHLevel0 3 2 2 3" xfId="56172" xr:uid="{00000000-0005-0000-0000-000034DB0000}"/>
    <cellStyle name="SAPBEXHLevel0 3 2 2 3 2" xfId="56173" xr:uid="{00000000-0005-0000-0000-000035DB0000}"/>
    <cellStyle name="SAPBEXHLevel0 3 2 2 4" xfId="56174" xr:uid="{00000000-0005-0000-0000-000036DB0000}"/>
    <cellStyle name="SAPBEXHLevel0 3 2 2 5" xfId="56175" xr:uid="{00000000-0005-0000-0000-000037DB0000}"/>
    <cellStyle name="SAPBEXHLevel0 3 2 2 6" xfId="56176" xr:uid="{00000000-0005-0000-0000-000038DB0000}"/>
    <cellStyle name="SAPBEXHLevel0 3 2 3" xfId="56177" xr:uid="{00000000-0005-0000-0000-000039DB0000}"/>
    <cellStyle name="SAPBEXHLevel0 3 2 3 2" xfId="56178" xr:uid="{00000000-0005-0000-0000-00003ADB0000}"/>
    <cellStyle name="SAPBEXHLevel0 3 2 3 2 2" xfId="56179" xr:uid="{00000000-0005-0000-0000-00003BDB0000}"/>
    <cellStyle name="SAPBEXHLevel0 3 2 3 3" xfId="56180" xr:uid="{00000000-0005-0000-0000-00003CDB0000}"/>
    <cellStyle name="SAPBEXHLevel0 3 2 3 3 2" xfId="56181" xr:uid="{00000000-0005-0000-0000-00003DDB0000}"/>
    <cellStyle name="SAPBEXHLevel0 3 2 3 4" xfId="56182" xr:uid="{00000000-0005-0000-0000-00003EDB0000}"/>
    <cellStyle name="SAPBEXHLevel0 3 2 3 5" xfId="56183" xr:uid="{00000000-0005-0000-0000-00003FDB0000}"/>
    <cellStyle name="SAPBEXHLevel0 3 2 4" xfId="56184" xr:uid="{00000000-0005-0000-0000-000040DB0000}"/>
    <cellStyle name="SAPBEXHLevel0 3 2 4 2" xfId="56185" xr:uid="{00000000-0005-0000-0000-000041DB0000}"/>
    <cellStyle name="SAPBEXHLevel0 3 2 5" xfId="56186" xr:uid="{00000000-0005-0000-0000-000042DB0000}"/>
    <cellStyle name="SAPBEXHLevel0 3 2 5 2" xfId="56187" xr:uid="{00000000-0005-0000-0000-000043DB0000}"/>
    <cellStyle name="SAPBEXHLevel0 3 2 6" xfId="56188" xr:uid="{00000000-0005-0000-0000-000044DB0000}"/>
    <cellStyle name="SAPBEXHLevel0 3 2 6 2" xfId="56189" xr:uid="{00000000-0005-0000-0000-000045DB0000}"/>
    <cellStyle name="SAPBEXHLevel0 3 2 7" xfId="56190" xr:uid="{00000000-0005-0000-0000-000046DB0000}"/>
    <cellStyle name="SAPBEXHLevel0 3 2 8" xfId="56191" xr:uid="{00000000-0005-0000-0000-000047DB0000}"/>
    <cellStyle name="SAPBEXHLevel0 3 2 9" xfId="56192" xr:uid="{00000000-0005-0000-0000-000048DB0000}"/>
    <cellStyle name="SAPBEXHLevel0 3 3" xfId="56193" xr:uid="{00000000-0005-0000-0000-000049DB0000}"/>
    <cellStyle name="SAPBEXHLevel0 3 3 2" xfId="56194" xr:uid="{00000000-0005-0000-0000-00004ADB0000}"/>
    <cellStyle name="SAPBEXHLevel0 3 3 2 2" xfId="56195" xr:uid="{00000000-0005-0000-0000-00004BDB0000}"/>
    <cellStyle name="SAPBEXHLevel0 3 3 3" xfId="56196" xr:uid="{00000000-0005-0000-0000-00004CDB0000}"/>
    <cellStyle name="SAPBEXHLevel0 3 3 3 2" xfId="56197" xr:uid="{00000000-0005-0000-0000-00004DDB0000}"/>
    <cellStyle name="SAPBEXHLevel0 3 3 4" xfId="56198" xr:uid="{00000000-0005-0000-0000-00004EDB0000}"/>
    <cellStyle name="SAPBEXHLevel0 3 3 4 2" xfId="56199" xr:uid="{00000000-0005-0000-0000-00004FDB0000}"/>
    <cellStyle name="SAPBEXHLevel0 3 3 5" xfId="56200" xr:uid="{00000000-0005-0000-0000-000050DB0000}"/>
    <cellStyle name="SAPBEXHLevel0 3 3 6" xfId="56201" xr:uid="{00000000-0005-0000-0000-000051DB0000}"/>
    <cellStyle name="SAPBEXHLevel0 3 3 7" xfId="56202" xr:uid="{00000000-0005-0000-0000-000052DB0000}"/>
    <cellStyle name="SAPBEXHLevel0 3 4" xfId="56203" xr:uid="{00000000-0005-0000-0000-000053DB0000}"/>
    <cellStyle name="SAPBEXHLevel0 3 4 2" xfId="56204" xr:uid="{00000000-0005-0000-0000-000054DB0000}"/>
    <cellStyle name="SAPBEXHLevel0 3 4 2 2" xfId="56205" xr:uid="{00000000-0005-0000-0000-000055DB0000}"/>
    <cellStyle name="SAPBEXHLevel0 3 4 3" xfId="56206" xr:uid="{00000000-0005-0000-0000-000056DB0000}"/>
    <cellStyle name="SAPBEXHLevel0 3 4 3 2" xfId="56207" xr:uid="{00000000-0005-0000-0000-000057DB0000}"/>
    <cellStyle name="SAPBEXHLevel0 3 4 4" xfId="56208" xr:uid="{00000000-0005-0000-0000-000058DB0000}"/>
    <cellStyle name="SAPBEXHLevel0 3 4 5" xfId="56209" xr:uid="{00000000-0005-0000-0000-000059DB0000}"/>
    <cellStyle name="SAPBEXHLevel0 3 4 6" xfId="56210" xr:uid="{00000000-0005-0000-0000-00005ADB0000}"/>
    <cellStyle name="SAPBEXHLevel0 3 5" xfId="56211" xr:uid="{00000000-0005-0000-0000-00005BDB0000}"/>
    <cellStyle name="SAPBEXHLevel0 3 5 2" xfId="56212" xr:uid="{00000000-0005-0000-0000-00005CDB0000}"/>
    <cellStyle name="SAPBEXHLevel0 3 5 3" xfId="56213" xr:uid="{00000000-0005-0000-0000-00005DDB0000}"/>
    <cellStyle name="SAPBEXHLevel0 3 6" xfId="56214" xr:uid="{00000000-0005-0000-0000-00005EDB0000}"/>
    <cellStyle name="SAPBEXHLevel0 3 6 2" xfId="56215" xr:uid="{00000000-0005-0000-0000-00005FDB0000}"/>
    <cellStyle name="SAPBEXHLevel0 3 7" xfId="56216" xr:uid="{00000000-0005-0000-0000-000060DB0000}"/>
    <cellStyle name="SAPBEXHLevel0 3 7 2" xfId="56217" xr:uid="{00000000-0005-0000-0000-000061DB0000}"/>
    <cellStyle name="SAPBEXHLevel0 3 8" xfId="56218" xr:uid="{00000000-0005-0000-0000-000062DB0000}"/>
    <cellStyle name="SAPBEXHLevel0 3 9" xfId="56219" xr:uid="{00000000-0005-0000-0000-000063DB0000}"/>
    <cellStyle name="SAPBEXHLevel0 4" xfId="56220" xr:uid="{00000000-0005-0000-0000-000064DB0000}"/>
    <cellStyle name="SAPBEXHLevel0 4 2" xfId="56221" xr:uid="{00000000-0005-0000-0000-000065DB0000}"/>
    <cellStyle name="SAPBEXHLevel0 4 2 2" xfId="56222" xr:uid="{00000000-0005-0000-0000-000066DB0000}"/>
    <cellStyle name="SAPBEXHLevel0 4 2 2 2" xfId="56223" xr:uid="{00000000-0005-0000-0000-000067DB0000}"/>
    <cellStyle name="SAPBEXHLevel0 4 2 2 3" xfId="56224" xr:uid="{00000000-0005-0000-0000-000068DB0000}"/>
    <cellStyle name="SAPBEXHLevel0 4 2 3" xfId="56225" xr:uid="{00000000-0005-0000-0000-000069DB0000}"/>
    <cellStyle name="SAPBEXHLevel0 4 2 4" xfId="56226" xr:uid="{00000000-0005-0000-0000-00006ADB0000}"/>
    <cellStyle name="SAPBEXHLevel0 4 3" xfId="56227" xr:uid="{00000000-0005-0000-0000-00006BDB0000}"/>
    <cellStyle name="SAPBEXHLevel0 4 3 2" xfId="56228" xr:uid="{00000000-0005-0000-0000-00006CDB0000}"/>
    <cellStyle name="SAPBEXHLevel0 4 3 3" xfId="56229" xr:uid="{00000000-0005-0000-0000-00006DDB0000}"/>
    <cellStyle name="SAPBEXHLevel0 4 3 4" xfId="56230" xr:uid="{00000000-0005-0000-0000-00006EDB0000}"/>
    <cellStyle name="SAPBEXHLevel0 4 4" xfId="56231" xr:uid="{00000000-0005-0000-0000-00006FDB0000}"/>
    <cellStyle name="SAPBEXHLevel0 4 4 2" xfId="56232" xr:uid="{00000000-0005-0000-0000-000070DB0000}"/>
    <cellStyle name="SAPBEXHLevel0 4 5" xfId="56233" xr:uid="{00000000-0005-0000-0000-000071DB0000}"/>
    <cellStyle name="SAPBEXHLevel0 4 5 2" xfId="56234" xr:uid="{00000000-0005-0000-0000-000072DB0000}"/>
    <cellStyle name="SAPBEXHLevel0 4 6" xfId="56235" xr:uid="{00000000-0005-0000-0000-000073DB0000}"/>
    <cellStyle name="SAPBEXHLevel0 4 6 2" xfId="56236" xr:uid="{00000000-0005-0000-0000-000074DB0000}"/>
    <cellStyle name="SAPBEXHLevel0 4 7" xfId="56237" xr:uid="{00000000-0005-0000-0000-000075DB0000}"/>
    <cellStyle name="SAPBEXHLevel0 4 8" xfId="56238" xr:uid="{00000000-0005-0000-0000-000076DB0000}"/>
    <cellStyle name="SAPBEXHLevel0 4 9" xfId="56239" xr:uid="{00000000-0005-0000-0000-000077DB0000}"/>
    <cellStyle name="SAPBEXHLevel0 5" xfId="56240" xr:uid="{00000000-0005-0000-0000-000078DB0000}"/>
    <cellStyle name="SAPBEXHLevel0 5 10" xfId="56241" xr:uid="{00000000-0005-0000-0000-000079DB0000}"/>
    <cellStyle name="SAPBEXHLevel0 5 11" xfId="56242" xr:uid="{00000000-0005-0000-0000-00007ADB0000}"/>
    <cellStyle name="SAPBEXHLevel0 5 2" xfId="56243" xr:uid="{00000000-0005-0000-0000-00007BDB0000}"/>
    <cellStyle name="SAPBEXHLevel0 5 2 2" xfId="56244" xr:uid="{00000000-0005-0000-0000-00007CDB0000}"/>
    <cellStyle name="SAPBEXHLevel0 5 2 2 2" xfId="56245" xr:uid="{00000000-0005-0000-0000-00007DDB0000}"/>
    <cellStyle name="SAPBEXHLevel0 5 2 3" xfId="56246" xr:uid="{00000000-0005-0000-0000-00007EDB0000}"/>
    <cellStyle name="SAPBEXHLevel0 5 2 3 2" xfId="56247" xr:uid="{00000000-0005-0000-0000-00007FDB0000}"/>
    <cellStyle name="SAPBEXHLevel0 5 2 4" xfId="56248" xr:uid="{00000000-0005-0000-0000-000080DB0000}"/>
    <cellStyle name="SAPBEXHLevel0 5 2 5" xfId="56249" xr:uid="{00000000-0005-0000-0000-000081DB0000}"/>
    <cellStyle name="SAPBEXHLevel0 5 2 6" xfId="56250" xr:uid="{00000000-0005-0000-0000-000082DB0000}"/>
    <cellStyle name="SAPBEXHLevel0 5 3" xfId="56251" xr:uid="{00000000-0005-0000-0000-000083DB0000}"/>
    <cellStyle name="SAPBEXHLevel0 5 3 2" xfId="56252" xr:uid="{00000000-0005-0000-0000-000084DB0000}"/>
    <cellStyle name="SAPBEXHLevel0 5 3 2 2" xfId="56253" xr:uid="{00000000-0005-0000-0000-000085DB0000}"/>
    <cellStyle name="SAPBEXHLevel0 5 3 3" xfId="56254" xr:uid="{00000000-0005-0000-0000-000086DB0000}"/>
    <cellStyle name="SAPBEXHLevel0 5 3 3 2" xfId="56255" xr:uid="{00000000-0005-0000-0000-000087DB0000}"/>
    <cellStyle name="SAPBEXHLevel0 5 3 4" xfId="56256" xr:uid="{00000000-0005-0000-0000-000088DB0000}"/>
    <cellStyle name="SAPBEXHLevel0 5 4" xfId="56257" xr:uid="{00000000-0005-0000-0000-000089DB0000}"/>
    <cellStyle name="SAPBEXHLevel0 5 4 2" xfId="56258" xr:uid="{00000000-0005-0000-0000-00008ADB0000}"/>
    <cellStyle name="SAPBEXHLevel0 5 5" xfId="56259" xr:uid="{00000000-0005-0000-0000-00008BDB0000}"/>
    <cellStyle name="SAPBEXHLevel0 5 5 2" xfId="56260" xr:uid="{00000000-0005-0000-0000-00008CDB0000}"/>
    <cellStyle name="SAPBEXHLevel0 5 6" xfId="56261" xr:uid="{00000000-0005-0000-0000-00008DDB0000}"/>
    <cellStyle name="SAPBEXHLevel0 5 6 2" xfId="56262" xr:uid="{00000000-0005-0000-0000-00008EDB0000}"/>
    <cellStyle name="SAPBEXHLevel0 5 7" xfId="56263" xr:uid="{00000000-0005-0000-0000-00008FDB0000}"/>
    <cellStyle name="SAPBEXHLevel0 5 7 2" xfId="56264" xr:uid="{00000000-0005-0000-0000-000090DB0000}"/>
    <cellStyle name="SAPBEXHLevel0 5 8" xfId="56265" xr:uid="{00000000-0005-0000-0000-000091DB0000}"/>
    <cellStyle name="SAPBEXHLevel0 5 8 2" xfId="56266" xr:uid="{00000000-0005-0000-0000-000092DB0000}"/>
    <cellStyle name="SAPBEXHLevel0 5 9" xfId="56267" xr:uid="{00000000-0005-0000-0000-000093DB0000}"/>
    <cellStyle name="SAPBEXHLevel0 6" xfId="56268" xr:uid="{00000000-0005-0000-0000-000094DB0000}"/>
    <cellStyle name="SAPBEXHLevel0 6 2" xfId="56269" xr:uid="{00000000-0005-0000-0000-000095DB0000}"/>
    <cellStyle name="SAPBEXHLevel0 6 2 2" xfId="56270" xr:uid="{00000000-0005-0000-0000-000096DB0000}"/>
    <cellStyle name="SAPBEXHLevel0 6 3" xfId="56271" xr:uid="{00000000-0005-0000-0000-000097DB0000}"/>
    <cellStyle name="SAPBEXHLevel0 6 3 2" xfId="56272" xr:uid="{00000000-0005-0000-0000-000098DB0000}"/>
    <cellStyle name="SAPBEXHLevel0 6 4" xfId="56273" xr:uid="{00000000-0005-0000-0000-000099DB0000}"/>
    <cellStyle name="SAPBEXHLevel0 6 4 2" xfId="56274" xr:uid="{00000000-0005-0000-0000-00009ADB0000}"/>
    <cellStyle name="SAPBEXHLevel0 6 5" xfId="56275" xr:uid="{00000000-0005-0000-0000-00009BDB0000}"/>
    <cellStyle name="SAPBEXHLevel0 6 5 2" xfId="56276" xr:uid="{00000000-0005-0000-0000-00009CDB0000}"/>
    <cellStyle name="SAPBEXHLevel0 6 6" xfId="56277" xr:uid="{00000000-0005-0000-0000-00009DDB0000}"/>
    <cellStyle name="SAPBEXHLevel0 6 6 2" xfId="56278" xr:uid="{00000000-0005-0000-0000-00009EDB0000}"/>
    <cellStyle name="SAPBEXHLevel0 6 7" xfId="56279" xr:uid="{00000000-0005-0000-0000-00009FDB0000}"/>
    <cellStyle name="SAPBEXHLevel0 6 8" xfId="56280" xr:uid="{00000000-0005-0000-0000-0000A0DB0000}"/>
    <cellStyle name="SAPBEXHLevel0 6 9" xfId="56281" xr:uid="{00000000-0005-0000-0000-0000A1DB0000}"/>
    <cellStyle name="SAPBEXHLevel0 7" xfId="56282" xr:uid="{00000000-0005-0000-0000-0000A2DB0000}"/>
    <cellStyle name="SAPBEXHLevel0 7 2" xfId="56283" xr:uid="{00000000-0005-0000-0000-0000A3DB0000}"/>
    <cellStyle name="SAPBEXHLevel0 7 2 2" xfId="56284" xr:uid="{00000000-0005-0000-0000-0000A4DB0000}"/>
    <cellStyle name="SAPBEXHLevel0 7 3" xfId="56285" xr:uid="{00000000-0005-0000-0000-0000A5DB0000}"/>
    <cellStyle name="SAPBEXHLevel0 7 3 2" xfId="56286" xr:uid="{00000000-0005-0000-0000-0000A6DB0000}"/>
    <cellStyle name="SAPBEXHLevel0 7 4" xfId="56287" xr:uid="{00000000-0005-0000-0000-0000A7DB0000}"/>
    <cellStyle name="SAPBEXHLevel0 7 5" xfId="56288" xr:uid="{00000000-0005-0000-0000-0000A8DB0000}"/>
    <cellStyle name="SAPBEXHLevel0 8" xfId="56289" xr:uid="{00000000-0005-0000-0000-0000A9DB0000}"/>
    <cellStyle name="SAPBEXHLevel0 8 2" xfId="56290" xr:uid="{00000000-0005-0000-0000-0000AADB0000}"/>
    <cellStyle name="SAPBEXHLevel0 8 2 2" xfId="56291" xr:uid="{00000000-0005-0000-0000-0000ABDB0000}"/>
    <cellStyle name="SAPBEXHLevel0 8 3" xfId="56292" xr:uid="{00000000-0005-0000-0000-0000ACDB0000}"/>
    <cellStyle name="SAPBEXHLevel0 9" xfId="56293" xr:uid="{00000000-0005-0000-0000-0000ADDB0000}"/>
    <cellStyle name="SAPBEXHLevel0 9 2" xfId="56294" xr:uid="{00000000-0005-0000-0000-0000AEDB0000}"/>
    <cellStyle name="SAPBEXHLevel0_2010-2012 Program Workbook Completed_Incent_V2" xfId="56295" xr:uid="{00000000-0005-0000-0000-0000AFDB0000}"/>
    <cellStyle name="SAPBEXHLevel0X" xfId="56296" xr:uid="{00000000-0005-0000-0000-0000B0DB0000}"/>
    <cellStyle name="SAPBEXHLevel0X 10" xfId="56297" xr:uid="{00000000-0005-0000-0000-0000B1DB0000}"/>
    <cellStyle name="SAPBEXHLevel0X 10 2" xfId="56298" xr:uid="{00000000-0005-0000-0000-0000B2DB0000}"/>
    <cellStyle name="SAPBEXHLevel0X 11" xfId="56299" xr:uid="{00000000-0005-0000-0000-0000B3DB0000}"/>
    <cellStyle name="SAPBEXHLevel0X 11 2" xfId="56300" xr:uid="{00000000-0005-0000-0000-0000B4DB0000}"/>
    <cellStyle name="SAPBEXHLevel0X 12" xfId="56301" xr:uid="{00000000-0005-0000-0000-0000B5DB0000}"/>
    <cellStyle name="SAPBEXHLevel0X 12 2" xfId="56302" xr:uid="{00000000-0005-0000-0000-0000B6DB0000}"/>
    <cellStyle name="SAPBEXHLevel0X 13" xfId="56303" xr:uid="{00000000-0005-0000-0000-0000B7DB0000}"/>
    <cellStyle name="SAPBEXHLevel0X 13 2" xfId="56304" xr:uid="{00000000-0005-0000-0000-0000B8DB0000}"/>
    <cellStyle name="SAPBEXHLevel0X 14" xfId="56305" xr:uid="{00000000-0005-0000-0000-0000B9DB0000}"/>
    <cellStyle name="SAPBEXHLevel0X 14 2" xfId="56306" xr:uid="{00000000-0005-0000-0000-0000BADB0000}"/>
    <cellStyle name="SAPBEXHLevel0X 15" xfId="56307" xr:uid="{00000000-0005-0000-0000-0000BBDB0000}"/>
    <cellStyle name="SAPBEXHLevel0X 15 2" xfId="56308" xr:uid="{00000000-0005-0000-0000-0000BCDB0000}"/>
    <cellStyle name="SAPBEXHLevel0X 16" xfId="56309" xr:uid="{00000000-0005-0000-0000-0000BDDB0000}"/>
    <cellStyle name="SAPBEXHLevel0X 16 2" xfId="56310" xr:uid="{00000000-0005-0000-0000-0000BEDB0000}"/>
    <cellStyle name="SAPBEXHLevel0X 17" xfId="56311" xr:uid="{00000000-0005-0000-0000-0000BFDB0000}"/>
    <cellStyle name="SAPBEXHLevel0X 18" xfId="56312" xr:uid="{00000000-0005-0000-0000-0000C0DB0000}"/>
    <cellStyle name="SAPBEXHLevel0X 19" xfId="56313" xr:uid="{00000000-0005-0000-0000-0000C1DB0000}"/>
    <cellStyle name="SAPBEXHLevel0X 2" xfId="56314" xr:uid="{00000000-0005-0000-0000-0000C2DB0000}"/>
    <cellStyle name="SAPBEXHLevel0X 2 10" xfId="56315" xr:uid="{00000000-0005-0000-0000-0000C3DB0000}"/>
    <cellStyle name="SAPBEXHLevel0X 2 11" xfId="56316" xr:uid="{00000000-0005-0000-0000-0000C4DB0000}"/>
    <cellStyle name="SAPBEXHLevel0X 2 12" xfId="56317" xr:uid="{00000000-0005-0000-0000-0000C5DB0000}"/>
    <cellStyle name="SAPBEXHLevel0X 2 2" xfId="56318" xr:uid="{00000000-0005-0000-0000-0000C6DB0000}"/>
    <cellStyle name="SAPBEXHLevel0X 2 2 2" xfId="56319" xr:uid="{00000000-0005-0000-0000-0000C7DB0000}"/>
    <cellStyle name="SAPBEXHLevel0X 2 2 2 2" xfId="56320" xr:uid="{00000000-0005-0000-0000-0000C8DB0000}"/>
    <cellStyle name="SAPBEXHLevel0X 2 2 2 2 2" xfId="56321" xr:uid="{00000000-0005-0000-0000-0000C9DB0000}"/>
    <cellStyle name="SAPBEXHLevel0X 2 2 2 2 2 2" xfId="56322" xr:uid="{00000000-0005-0000-0000-0000CADB0000}"/>
    <cellStyle name="SAPBEXHLevel0X 2 2 2 2 3" xfId="56323" xr:uid="{00000000-0005-0000-0000-0000CBDB0000}"/>
    <cellStyle name="SAPBEXHLevel0X 2 2 2 2 3 2" xfId="56324" xr:uid="{00000000-0005-0000-0000-0000CCDB0000}"/>
    <cellStyle name="SAPBEXHLevel0X 2 2 2 2 4" xfId="56325" xr:uid="{00000000-0005-0000-0000-0000CDDB0000}"/>
    <cellStyle name="SAPBEXHLevel0X 2 2 2 3" xfId="56326" xr:uid="{00000000-0005-0000-0000-0000CEDB0000}"/>
    <cellStyle name="SAPBEXHLevel0X 2 2 2 3 2" xfId="56327" xr:uid="{00000000-0005-0000-0000-0000CFDB0000}"/>
    <cellStyle name="SAPBEXHLevel0X 2 2 2 4" xfId="56328" xr:uid="{00000000-0005-0000-0000-0000D0DB0000}"/>
    <cellStyle name="SAPBEXHLevel0X 2 2 2 4 2" xfId="56329" xr:uid="{00000000-0005-0000-0000-0000D1DB0000}"/>
    <cellStyle name="SAPBEXHLevel0X 2 2 2 5" xfId="56330" xr:uid="{00000000-0005-0000-0000-0000D2DB0000}"/>
    <cellStyle name="SAPBEXHLevel0X 2 2 2 6" xfId="56331" xr:uid="{00000000-0005-0000-0000-0000D3DB0000}"/>
    <cellStyle name="SAPBEXHLevel0X 2 2 2 7" xfId="56332" xr:uid="{00000000-0005-0000-0000-0000D4DB0000}"/>
    <cellStyle name="SAPBEXHLevel0X 2 2 3" xfId="56333" xr:uid="{00000000-0005-0000-0000-0000D5DB0000}"/>
    <cellStyle name="SAPBEXHLevel0X 2 2 3 2" xfId="56334" xr:uid="{00000000-0005-0000-0000-0000D6DB0000}"/>
    <cellStyle name="SAPBEXHLevel0X 2 2 3 2 2" xfId="56335" xr:uid="{00000000-0005-0000-0000-0000D7DB0000}"/>
    <cellStyle name="SAPBEXHLevel0X 2 2 3 3" xfId="56336" xr:uid="{00000000-0005-0000-0000-0000D8DB0000}"/>
    <cellStyle name="SAPBEXHLevel0X 2 2 3 3 2" xfId="56337" xr:uid="{00000000-0005-0000-0000-0000D9DB0000}"/>
    <cellStyle name="SAPBEXHLevel0X 2 2 3 4" xfId="56338" xr:uid="{00000000-0005-0000-0000-0000DADB0000}"/>
    <cellStyle name="SAPBEXHLevel0X 2 2 4" xfId="56339" xr:uid="{00000000-0005-0000-0000-0000DBDB0000}"/>
    <cellStyle name="SAPBEXHLevel0X 2 2 4 2" xfId="56340" xr:uid="{00000000-0005-0000-0000-0000DCDB0000}"/>
    <cellStyle name="SAPBEXHLevel0X 2 2 4 2 2" xfId="56341" xr:uid="{00000000-0005-0000-0000-0000DDDB0000}"/>
    <cellStyle name="SAPBEXHLevel0X 2 2 4 3" xfId="56342" xr:uid="{00000000-0005-0000-0000-0000DEDB0000}"/>
    <cellStyle name="SAPBEXHLevel0X 2 2 4 3 2" xfId="56343" xr:uid="{00000000-0005-0000-0000-0000DFDB0000}"/>
    <cellStyle name="SAPBEXHLevel0X 2 2 4 4" xfId="56344" xr:uid="{00000000-0005-0000-0000-0000E0DB0000}"/>
    <cellStyle name="SAPBEXHLevel0X 2 2 5" xfId="56345" xr:uid="{00000000-0005-0000-0000-0000E1DB0000}"/>
    <cellStyle name="SAPBEXHLevel0X 2 2 5 2" xfId="56346" xr:uid="{00000000-0005-0000-0000-0000E2DB0000}"/>
    <cellStyle name="SAPBEXHLevel0X 2 2 6" xfId="56347" xr:uid="{00000000-0005-0000-0000-0000E3DB0000}"/>
    <cellStyle name="SAPBEXHLevel0X 2 2 6 2" xfId="56348" xr:uid="{00000000-0005-0000-0000-0000E4DB0000}"/>
    <cellStyle name="SAPBEXHLevel0X 2 2 7" xfId="56349" xr:uid="{00000000-0005-0000-0000-0000E5DB0000}"/>
    <cellStyle name="SAPBEXHLevel0X 2 2 7 2" xfId="56350" xr:uid="{00000000-0005-0000-0000-0000E6DB0000}"/>
    <cellStyle name="SAPBEXHLevel0X 2 2 8" xfId="56351" xr:uid="{00000000-0005-0000-0000-0000E7DB0000}"/>
    <cellStyle name="SAPBEXHLevel0X 2 2 9" xfId="56352" xr:uid="{00000000-0005-0000-0000-0000E8DB0000}"/>
    <cellStyle name="SAPBEXHLevel0X 2 3" xfId="56353" xr:uid="{00000000-0005-0000-0000-0000E9DB0000}"/>
    <cellStyle name="SAPBEXHLevel0X 2 3 2" xfId="56354" xr:uid="{00000000-0005-0000-0000-0000EADB0000}"/>
    <cellStyle name="SAPBEXHLevel0X 2 3 2 2" xfId="56355" xr:uid="{00000000-0005-0000-0000-0000EBDB0000}"/>
    <cellStyle name="SAPBEXHLevel0X 2 3 3" xfId="56356" xr:uid="{00000000-0005-0000-0000-0000ECDB0000}"/>
    <cellStyle name="SAPBEXHLevel0X 2 3 3 2" xfId="56357" xr:uid="{00000000-0005-0000-0000-0000EDDB0000}"/>
    <cellStyle name="SAPBEXHLevel0X 2 3 4" xfId="56358" xr:uid="{00000000-0005-0000-0000-0000EEDB0000}"/>
    <cellStyle name="SAPBEXHLevel0X 2 3 4 2" xfId="56359" xr:uid="{00000000-0005-0000-0000-0000EFDB0000}"/>
    <cellStyle name="SAPBEXHLevel0X 2 3 5" xfId="56360" xr:uid="{00000000-0005-0000-0000-0000F0DB0000}"/>
    <cellStyle name="SAPBEXHLevel0X 2 3 6" xfId="56361" xr:uid="{00000000-0005-0000-0000-0000F1DB0000}"/>
    <cellStyle name="SAPBEXHLevel0X 2 3 7" xfId="56362" xr:uid="{00000000-0005-0000-0000-0000F2DB0000}"/>
    <cellStyle name="SAPBEXHLevel0X 2 4" xfId="56363" xr:uid="{00000000-0005-0000-0000-0000F3DB0000}"/>
    <cellStyle name="SAPBEXHLevel0X 2 4 2" xfId="56364" xr:uid="{00000000-0005-0000-0000-0000F4DB0000}"/>
    <cellStyle name="SAPBEXHLevel0X 2 4 2 2" xfId="56365" xr:uid="{00000000-0005-0000-0000-0000F5DB0000}"/>
    <cellStyle name="SAPBEXHLevel0X 2 4 3" xfId="56366" xr:uid="{00000000-0005-0000-0000-0000F6DB0000}"/>
    <cellStyle name="SAPBEXHLevel0X 2 4 3 2" xfId="56367" xr:uid="{00000000-0005-0000-0000-0000F7DB0000}"/>
    <cellStyle name="SAPBEXHLevel0X 2 4 4" xfId="56368" xr:uid="{00000000-0005-0000-0000-0000F8DB0000}"/>
    <cellStyle name="SAPBEXHLevel0X 2 4 4 2" xfId="56369" xr:uid="{00000000-0005-0000-0000-0000F9DB0000}"/>
    <cellStyle name="SAPBEXHLevel0X 2 4 5" xfId="56370" xr:uid="{00000000-0005-0000-0000-0000FADB0000}"/>
    <cellStyle name="SAPBEXHLevel0X 2 4 6" xfId="56371" xr:uid="{00000000-0005-0000-0000-0000FBDB0000}"/>
    <cellStyle name="SAPBEXHLevel0X 2 5" xfId="56372" xr:uid="{00000000-0005-0000-0000-0000FCDB0000}"/>
    <cellStyle name="SAPBEXHLevel0X 2 5 2" xfId="56373" xr:uid="{00000000-0005-0000-0000-0000FDDB0000}"/>
    <cellStyle name="SAPBEXHLevel0X 2 5 2 2" xfId="56374" xr:uid="{00000000-0005-0000-0000-0000FEDB0000}"/>
    <cellStyle name="SAPBEXHLevel0X 2 5 3" xfId="56375" xr:uid="{00000000-0005-0000-0000-0000FFDB0000}"/>
    <cellStyle name="SAPBEXHLevel0X 2 5 3 2" xfId="56376" xr:uid="{00000000-0005-0000-0000-000000DC0000}"/>
    <cellStyle name="SAPBEXHLevel0X 2 5 4" xfId="56377" xr:uid="{00000000-0005-0000-0000-000001DC0000}"/>
    <cellStyle name="SAPBEXHLevel0X 2 6" xfId="56378" xr:uid="{00000000-0005-0000-0000-000002DC0000}"/>
    <cellStyle name="SAPBEXHLevel0X 2 6 2" xfId="56379" xr:uid="{00000000-0005-0000-0000-000003DC0000}"/>
    <cellStyle name="SAPBEXHLevel0X 2 7" xfId="56380" xr:uid="{00000000-0005-0000-0000-000004DC0000}"/>
    <cellStyle name="SAPBEXHLevel0X 2 7 2" xfId="56381" xr:uid="{00000000-0005-0000-0000-000005DC0000}"/>
    <cellStyle name="SAPBEXHLevel0X 2 8" xfId="56382" xr:uid="{00000000-0005-0000-0000-000006DC0000}"/>
    <cellStyle name="SAPBEXHLevel0X 2 8 2" xfId="56383" xr:uid="{00000000-0005-0000-0000-000007DC0000}"/>
    <cellStyle name="SAPBEXHLevel0X 2 9" xfId="56384" xr:uid="{00000000-0005-0000-0000-000008DC0000}"/>
    <cellStyle name="SAPBEXHLevel0X 2 9 2" xfId="56385" xr:uid="{00000000-0005-0000-0000-000009DC0000}"/>
    <cellStyle name="SAPBEXHLevel0X 3" xfId="56386" xr:uid="{00000000-0005-0000-0000-00000ADC0000}"/>
    <cellStyle name="SAPBEXHLevel0X 3 2" xfId="56387" xr:uid="{00000000-0005-0000-0000-00000BDC0000}"/>
    <cellStyle name="SAPBEXHLevel0X 3 2 2" xfId="56388" xr:uid="{00000000-0005-0000-0000-00000CDC0000}"/>
    <cellStyle name="SAPBEXHLevel0X 3 2 2 2" xfId="56389" xr:uid="{00000000-0005-0000-0000-00000DDC0000}"/>
    <cellStyle name="SAPBEXHLevel0X 3 2 2 2 2" xfId="56390" xr:uid="{00000000-0005-0000-0000-00000EDC0000}"/>
    <cellStyle name="SAPBEXHLevel0X 3 2 2 3" xfId="56391" xr:uid="{00000000-0005-0000-0000-00000FDC0000}"/>
    <cellStyle name="SAPBEXHLevel0X 3 2 2 3 2" xfId="56392" xr:uid="{00000000-0005-0000-0000-000010DC0000}"/>
    <cellStyle name="SAPBEXHLevel0X 3 2 2 4" xfId="56393" xr:uid="{00000000-0005-0000-0000-000011DC0000}"/>
    <cellStyle name="SAPBEXHLevel0X 3 2 2 5" xfId="56394" xr:uid="{00000000-0005-0000-0000-000012DC0000}"/>
    <cellStyle name="SAPBEXHLevel0X 3 2 2 6" xfId="56395" xr:uid="{00000000-0005-0000-0000-000013DC0000}"/>
    <cellStyle name="SAPBEXHLevel0X 3 2 3" xfId="56396" xr:uid="{00000000-0005-0000-0000-000014DC0000}"/>
    <cellStyle name="SAPBEXHLevel0X 3 2 3 2" xfId="56397" xr:uid="{00000000-0005-0000-0000-000015DC0000}"/>
    <cellStyle name="SAPBEXHLevel0X 3 2 3 2 2" xfId="56398" xr:uid="{00000000-0005-0000-0000-000016DC0000}"/>
    <cellStyle name="SAPBEXHLevel0X 3 2 3 3" xfId="56399" xr:uid="{00000000-0005-0000-0000-000017DC0000}"/>
    <cellStyle name="SAPBEXHLevel0X 3 2 3 3 2" xfId="56400" xr:uid="{00000000-0005-0000-0000-000018DC0000}"/>
    <cellStyle name="SAPBEXHLevel0X 3 2 3 4" xfId="56401" xr:uid="{00000000-0005-0000-0000-000019DC0000}"/>
    <cellStyle name="SAPBEXHLevel0X 3 2 3 5" xfId="56402" xr:uid="{00000000-0005-0000-0000-00001ADC0000}"/>
    <cellStyle name="SAPBEXHLevel0X 3 2 4" xfId="56403" xr:uid="{00000000-0005-0000-0000-00001BDC0000}"/>
    <cellStyle name="SAPBEXHLevel0X 3 2 4 2" xfId="56404" xr:uid="{00000000-0005-0000-0000-00001CDC0000}"/>
    <cellStyle name="SAPBEXHLevel0X 3 2 4 3" xfId="56405" xr:uid="{00000000-0005-0000-0000-00001DDC0000}"/>
    <cellStyle name="SAPBEXHLevel0X 3 2 5" xfId="56406" xr:uid="{00000000-0005-0000-0000-00001EDC0000}"/>
    <cellStyle name="SAPBEXHLevel0X 3 2 5 2" xfId="56407" xr:uid="{00000000-0005-0000-0000-00001FDC0000}"/>
    <cellStyle name="SAPBEXHLevel0X 3 2 6" xfId="56408" xr:uid="{00000000-0005-0000-0000-000020DC0000}"/>
    <cellStyle name="SAPBEXHLevel0X 3 2 6 2" xfId="56409" xr:uid="{00000000-0005-0000-0000-000021DC0000}"/>
    <cellStyle name="SAPBEXHLevel0X 3 2 7" xfId="56410" xr:uid="{00000000-0005-0000-0000-000022DC0000}"/>
    <cellStyle name="SAPBEXHLevel0X 3 2 8" xfId="56411" xr:uid="{00000000-0005-0000-0000-000023DC0000}"/>
    <cellStyle name="SAPBEXHLevel0X 3 2 9" xfId="56412" xr:uid="{00000000-0005-0000-0000-000024DC0000}"/>
    <cellStyle name="SAPBEXHLevel0X 3 3" xfId="56413" xr:uid="{00000000-0005-0000-0000-000025DC0000}"/>
    <cellStyle name="SAPBEXHLevel0X 3 3 2" xfId="56414" xr:uid="{00000000-0005-0000-0000-000026DC0000}"/>
    <cellStyle name="SAPBEXHLevel0X 3 3 2 2" xfId="56415" xr:uid="{00000000-0005-0000-0000-000027DC0000}"/>
    <cellStyle name="SAPBEXHLevel0X 3 3 3" xfId="56416" xr:uid="{00000000-0005-0000-0000-000028DC0000}"/>
    <cellStyle name="SAPBEXHLevel0X 3 3 3 2" xfId="56417" xr:uid="{00000000-0005-0000-0000-000029DC0000}"/>
    <cellStyle name="SAPBEXHLevel0X 3 3 4" xfId="56418" xr:uid="{00000000-0005-0000-0000-00002ADC0000}"/>
    <cellStyle name="SAPBEXHLevel0X 3 3 4 2" xfId="56419" xr:uid="{00000000-0005-0000-0000-00002BDC0000}"/>
    <cellStyle name="SAPBEXHLevel0X 3 3 5" xfId="56420" xr:uid="{00000000-0005-0000-0000-00002CDC0000}"/>
    <cellStyle name="SAPBEXHLevel0X 3 3 6" xfId="56421" xr:uid="{00000000-0005-0000-0000-00002DDC0000}"/>
    <cellStyle name="SAPBEXHLevel0X 3 3 7" xfId="56422" xr:uid="{00000000-0005-0000-0000-00002EDC0000}"/>
    <cellStyle name="SAPBEXHLevel0X 3 4" xfId="56423" xr:uid="{00000000-0005-0000-0000-00002FDC0000}"/>
    <cellStyle name="SAPBEXHLevel0X 3 4 2" xfId="56424" xr:uid="{00000000-0005-0000-0000-000030DC0000}"/>
    <cellStyle name="SAPBEXHLevel0X 3 4 2 2" xfId="56425" xr:uid="{00000000-0005-0000-0000-000031DC0000}"/>
    <cellStyle name="SAPBEXHLevel0X 3 4 3" xfId="56426" xr:uid="{00000000-0005-0000-0000-000032DC0000}"/>
    <cellStyle name="SAPBEXHLevel0X 3 4 3 2" xfId="56427" xr:uid="{00000000-0005-0000-0000-000033DC0000}"/>
    <cellStyle name="SAPBEXHLevel0X 3 4 4" xfId="56428" xr:uid="{00000000-0005-0000-0000-000034DC0000}"/>
    <cellStyle name="SAPBEXHLevel0X 3 4 5" xfId="56429" xr:uid="{00000000-0005-0000-0000-000035DC0000}"/>
    <cellStyle name="SAPBEXHLevel0X 3 5" xfId="56430" xr:uid="{00000000-0005-0000-0000-000036DC0000}"/>
    <cellStyle name="SAPBEXHLevel0X 3 5 2" xfId="56431" xr:uid="{00000000-0005-0000-0000-000037DC0000}"/>
    <cellStyle name="SAPBEXHLevel0X 3 5 3" xfId="56432" xr:uid="{00000000-0005-0000-0000-000038DC0000}"/>
    <cellStyle name="SAPBEXHLevel0X 3 5 4" xfId="56433" xr:uid="{00000000-0005-0000-0000-000039DC0000}"/>
    <cellStyle name="SAPBEXHLevel0X 3 6" xfId="56434" xr:uid="{00000000-0005-0000-0000-00003ADC0000}"/>
    <cellStyle name="SAPBEXHLevel0X 3 6 2" xfId="56435" xr:uid="{00000000-0005-0000-0000-00003BDC0000}"/>
    <cellStyle name="SAPBEXHLevel0X 3 7" xfId="56436" xr:uid="{00000000-0005-0000-0000-00003CDC0000}"/>
    <cellStyle name="SAPBEXHLevel0X 3 7 2" xfId="56437" xr:uid="{00000000-0005-0000-0000-00003DDC0000}"/>
    <cellStyle name="SAPBEXHLevel0X 3 8" xfId="56438" xr:uid="{00000000-0005-0000-0000-00003EDC0000}"/>
    <cellStyle name="SAPBEXHLevel0X 3 9" xfId="56439" xr:uid="{00000000-0005-0000-0000-00003FDC0000}"/>
    <cellStyle name="SAPBEXHLevel0X 4" xfId="56440" xr:uid="{00000000-0005-0000-0000-000040DC0000}"/>
    <cellStyle name="SAPBEXHLevel0X 4 10" xfId="56441" xr:uid="{00000000-0005-0000-0000-000041DC0000}"/>
    <cellStyle name="SAPBEXHLevel0X 4 2" xfId="56442" xr:uid="{00000000-0005-0000-0000-000042DC0000}"/>
    <cellStyle name="SAPBEXHLevel0X 4 2 2" xfId="56443" xr:uid="{00000000-0005-0000-0000-000043DC0000}"/>
    <cellStyle name="SAPBEXHLevel0X 4 2 2 2" xfId="56444" xr:uid="{00000000-0005-0000-0000-000044DC0000}"/>
    <cellStyle name="SAPBEXHLevel0X 4 2 2 2 2" xfId="56445" xr:uid="{00000000-0005-0000-0000-000045DC0000}"/>
    <cellStyle name="SAPBEXHLevel0X 4 2 2 3" xfId="56446" xr:uid="{00000000-0005-0000-0000-000046DC0000}"/>
    <cellStyle name="SAPBEXHLevel0X 4 2 2 3 2" xfId="56447" xr:uid="{00000000-0005-0000-0000-000047DC0000}"/>
    <cellStyle name="SAPBEXHLevel0X 4 2 2 4" xfId="56448" xr:uid="{00000000-0005-0000-0000-000048DC0000}"/>
    <cellStyle name="SAPBEXHLevel0X 4 2 2 5" xfId="56449" xr:uid="{00000000-0005-0000-0000-000049DC0000}"/>
    <cellStyle name="SAPBEXHLevel0X 4 2 2 6" xfId="56450" xr:uid="{00000000-0005-0000-0000-00004ADC0000}"/>
    <cellStyle name="SAPBEXHLevel0X 4 2 3" xfId="56451" xr:uid="{00000000-0005-0000-0000-00004BDC0000}"/>
    <cellStyle name="SAPBEXHLevel0X 4 2 3 2" xfId="56452" xr:uid="{00000000-0005-0000-0000-00004CDC0000}"/>
    <cellStyle name="SAPBEXHLevel0X 4 2 3 2 2" xfId="56453" xr:uid="{00000000-0005-0000-0000-00004DDC0000}"/>
    <cellStyle name="SAPBEXHLevel0X 4 2 3 3" xfId="56454" xr:uid="{00000000-0005-0000-0000-00004EDC0000}"/>
    <cellStyle name="SAPBEXHLevel0X 4 2 3 3 2" xfId="56455" xr:uid="{00000000-0005-0000-0000-00004FDC0000}"/>
    <cellStyle name="SAPBEXHLevel0X 4 2 3 4" xfId="56456" xr:uid="{00000000-0005-0000-0000-000050DC0000}"/>
    <cellStyle name="SAPBEXHLevel0X 4 2 4" xfId="56457" xr:uid="{00000000-0005-0000-0000-000051DC0000}"/>
    <cellStyle name="SAPBEXHLevel0X 4 2 4 2" xfId="56458" xr:uid="{00000000-0005-0000-0000-000052DC0000}"/>
    <cellStyle name="SAPBEXHLevel0X 4 2 5" xfId="56459" xr:uid="{00000000-0005-0000-0000-000053DC0000}"/>
    <cellStyle name="SAPBEXHLevel0X 4 2 5 2" xfId="56460" xr:uid="{00000000-0005-0000-0000-000054DC0000}"/>
    <cellStyle name="SAPBEXHLevel0X 4 2 6" xfId="56461" xr:uid="{00000000-0005-0000-0000-000055DC0000}"/>
    <cellStyle name="SAPBEXHLevel0X 4 2 6 2" xfId="56462" xr:uid="{00000000-0005-0000-0000-000056DC0000}"/>
    <cellStyle name="SAPBEXHLevel0X 4 2 7" xfId="56463" xr:uid="{00000000-0005-0000-0000-000057DC0000}"/>
    <cellStyle name="SAPBEXHLevel0X 4 2 8" xfId="56464" xr:uid="{00000000-0005-0000-0000-000058DC0000}"/>
    <cellStyle name="SAPBEXHLevel0X 4 2 9" xfId="56465" xr:uid="{00000000-0005-0000-0000-000059DC0000}"/>
    <cellStyle name="SAPBEXHLevel0X 4 3" xfId="56466" xr:uid="{00000000-0005-0000-0000-00005ADC0000}"/>
    <cellStyle name="SAPBEXHLevel0X 4 3 2" xfId="56467" xr:uid="{00000000-0005-0000-0000-00005BDC0000}"/>
    <cellStyle name="SAPBEXHLevel0X 4 3 2 2" xfId="56468" xr:uid="{00000000-0005-0000-0000-00005CDC0000}"/>
    <cellStyle name="SAPBEXHLevel0X 4 3 3" xfId="56469" xr:uid="{00000000-0005-0000-0000-00005DDC0000}"/>
    <cellStyle name="SAPBEXHLevel0X 4 3 3 2" xfId="56470" xr:uid="{00000000-0005-0000-0000-00005EDC0000}"/>
    <cellStyle name="SAPBEXHLevel0X 4 3 4" xfId="56471" xr:uid="{00000000-0005-0000-0000-00005FDC0000}"/>
    <cellStyle name="SAPBEXHLevel0X 4 3 4 2" xfId="56472" xr:uid="{00000000-0005-0000-0000-000060DC0000}"/>
    <cellStyle name="SAPBEXHLevel0X 4 3 5" xfId="56473" xr:uid="{00000000-0005-0000-0000-000061DC0000}"/>
    <cellStyle name="SAPBEXHLevel0X 4 3 6" xfId="56474" xr:uid="{00000000-0005-0000-0000-000062DC0000}"/>
    <cellStyle name="SAPBEXHLevel0X 4 3 7" xfId="56475" xr:uid="{00000000-0005-0000-0000-000063DC0000}"/>
    <cellStyle name="SAPBEXHLevel0X 4 4" xfId="56476" xr:uid="{00000000-0005-0000-0000-000064DC0000}"/>
    <cellStyle name="SAPBEXHLevel0X 4 4 2" xfId="56477" xr:uid="{00000000-0005-0000-0000-000065DC0000}"/>
    <cellStyle name="SAPBEXHLevel0X 4 4 2 2" xfId="56478" xr:uid="{00000000-0005-0000-0000-000066DC0000}"/>
    <cellStyle name="SAPBEXHLevel0X 4 4 3" xfId="56479" xr:uid="{00000000-0005-0000-0000-000067DC0000}"/>
    <cellStyle name="SAPBEXHLevel0X 4 4 3 2" xfId="56480" xr:uid="{00000000-0005-0000-0000-000068DC0000}"/>
    <cellStyle name="SAPBEXHLevel0X 4 4 4" xfId="56481" xr:uid="{00000000-0005-0000-0000-000069DC0000}"/>
    <cellStyle name="SAPBEXHLevel0X 4 5" xfId="56482" xr:uid="{00000000-0005-0000-0000-00006ADC0000}"/>
    <cellStyle name="SAPBEXHLevel0X 4 5 2" xfId="56483" xr:uid="{00000000-0005-0000-0000-00006BDC0000}"/>
    <cellStyle name="SAPBEXHLevel0X 4 6" xfId="56484" xr:uid="{00000000-0005-0000-0000-00006CDC0000}"/>
    <cellStyle name="SAPBEXHLevel0X 4 6 2" xfId="56485" xr:uid="{00000000-0005-0000-0000-00006DDC0000}"/>
    <cellStyle name="SAPBEXHLevel0X 4 7" xfId="56486" xr:uid="{00000000-0005-0000-0000-00006EDC0000}"/>
    <cellStyle name="SAPBEXHLevel0X 4 7 2" xfId="56487" xr:uid="{00000000-0005-0000-0000-00006FDC0000}"/>
    <cellStyle name="SAPBEXHLevel0X 4 8" xfId="56488" xr:uid="{00000000-0005-0000-0000-000070DC0000}"/>
    <cellStyle name="SAPBEXHLevel0X 4 9" xfId="56489" xr:uid="{00000000-0005-0000-0000-000071DC0000}"/>
    <cellStyle name="SAPBEXHLevel0X 5" xfId="56490" xr:uid="{00000000-0005-0000-0000-000072DC0000}"/>
    <cellStyle name="SAPBEXHLevel0X 5 10" xfId="56491" xr:uid="{00000000-0005-0000-0000-000073DC0000}"/>
    <cellStyle name="SAPBEXHLevel0X 5 11" xfId="56492" xr:uid="{00000000-0005-0000-0000-000074DC0000}"/>
    <cellStyle name="SAPBEXHLevel0X 5 2" xfId="56493" xr:uid="{00000000-0005-0000-0000-000075DC0000}"/>
    <cellStyle name="SAPBEXHLevel0X 5 2 2" xfId="56494" xr:uid="{00000000-0005-0000-0000-000076DC0000}"/>
    <cellStyle name="SAPBEXHLevel0X 5 2 2 2" xfId="56495" xr:uid="{00000000-0005-0000-0000-000077DC0000}"/>
    <cellStyle name="SAPBEXHLevel0X 5 2 3" xfId="56496" xr:uid="{00000000-0005-0000-0000-000078DC0000}"/>
    <cellStyle name="SAPBEXHLevel0X 5 2 3 2" xfId="56497" xr:uid="{00000000-0005-0000-0000-000079DC0000}"/>
    <cellStyle name="SAPBEXHLevel0X 5 2 4" xfId="56498" xr:uid="{00000000-0005-0000-0000-00007ADC0000}"/>
    <cellStyle name="SAPBEXHLevel0X 5 2 5" xfId="56499" xr:uid="{00000000-0005-0000-0000-00007BDC0000}"/>
    <cellStyle name="SAPBEXHLevel0X 5 2 6" xfId="56500" xr:uid="{00000000-0005-0000-0000-00007CDC0000}"/>
    <cellStyle name="SAPBEXHLevel0X 5 3" xfId="56501" xr:uid="{00000000-0005-0000-0000-00007DDC0000}"/>
    <cellStyle name="SAPBEXHLevel0X 5 3 2" xfId="56502" xr:uid="{00000000-0005-0000-0000-00007EDC0000}"/>
    <cellStyle name="SAPBEXHLevel0X 5 3 2 2" xfId="56503" xr:uid="{00000000-0005-0000-0000-00007FDC0000}"/>
    <cellStyle name="SAPBEXHLevel0X 5 3 3" xfId="56504" xr:uid="{00000000-0005-0000-0000-000080DC0000}"/>
    <cellStyle name="SAPBEXHLevel0X 5 3 3 2" xfId="56505" xr:uid="{00000000-0005-0000-0000-000081DC0000}"/>
    <cellStyle name="SAPBEXHLevel0X 5 3 4" xfId="56506" xr:uid="{00000000-0005-0000-0000-000082DC0000}"/>
    <cellStyle name="SAPBEXHLevel0X 5 4" xfId="56507" xr:uid="{00000000-0005-0000-0000-000083DC0000}"/>
    <cellStyle name="SAPBEXHLevel0X 5 4 2" xfId="56508" xr:uid="{00000000-0005-0000-0000-000084DC0000}"/>
    <cellStyle name="SAPBEXHLevel0X 5 5" xfId="56509" xr:uid="{00000000-0005-0000-0000-000085DC0000}"/>
    <cellStyle name="SAPBEXHLevel0X 5 5 2" xfId="56510" xr:uid="{00000000-0005-0000-0000-000086DC0000}"/>
    <cellStyle name="SAPBEXHLevel0X 5 6" xfId="56511" xr:uid="{00000000-0005-0000-0000-000087DC0000}"/>
    <cellStyle name="SAPBEXHLevel0X 5 6 2" xfId="56512" xr:uid="{00000000-0005-0000-0000-000088DC0000}"/>
    <cellStyle name="SAPBEXHLevel0X 5 7" xfId="56513" xr:uid="{00000000-0005-0000-0000-000089DC0000}"/>
    <cellStyle name="SAPBEXHLevel0X 5 7 2" xfId="56514" xr:uid="{00000000-0005-0000-0000-00008ADC0000}"/>
    <cellStyle name="SAPBEXHLevel0X 5 8" xfId="56515" xr:uid="{00000000-0005-0000-0000-00008BDC0000}"/>
    <cellStyle name="SAPBEXHLevel0X 5 8 2" xfId="56516" xr:uid="{00000000-0005-0000-0000-00008CDC0000}"/>
    <cellStyle name="SAPBEXHLevel0X 5 9" xfId="56517" xr:uid="{00000000-0005-0000-0000-00008DDC0000}"/>
    <cellStyle name="SAPBEXHLevel0X 6" xfId="56518" xr:uid="{00000000-0005-0000-0000-00008EDC0000}"/>
    <cellStyle name="SAPBEXHLevel0X 6 2" xfId="56519" xr:uid="{00000000-0005-0000-0000-00008FDC0000}"/>
    <cellStyle name="SAPBEXHLevel0X 6 2 2" xfId="56520" xr:uid="{00000000-0005-0000-0000-000090DC0000}"/>
    <cellStyle name="SAPBEXHLevel0X 6 3" xfId="56521" xr:uid="{00000000-0005-0000-0000-000091DC0000}"/>
    <cellStyle name="SAPBEXHLevel0X 6 3 2" xfId="56522" xr:uid="{00000000-0005-0000-0000-000092DC0000}"/>
    <cellStyle name="SAPBEXHLevel0X 6 4" xfId="56523" xr:uid="{00000000-0005-0000-0000-000093DC0000}"/>
    <cellStyle name="SAPBEXHLevel0X 6 4 2" xfId="56524" xr:uid="{00000000-0005-0000-0000-000094DC0000}"/>
    <cellStyle name="SAPBEXHLevel0X 6 5" xfId="56525" xr:uid="{00000000-0005-0000-0000-000095DC0000}"/>
    <cellStyle name="SAPBEXHLevel0X 6 5 2" xfId="56526" xr:uid="{00000000-0005-0000-0000-000096DC0000}"/>
    <cellStyle name="SAPBEXHLevel0X 6 6" xfId="56527" xr:uid="{00000000-0005-0000-0000-000097DC0000}"/>
    <cellStyle name="SAPBEXHLevel0X 6 6 2" xfId="56528" xr:uid="{00000000-0005-0000-0000-000098DC0000}"/>
    <cellStyle name="SAPBEXHLevel0X 6 7" xfId="56529" xr:uid="{00000000-0005-0000-0000-000099DC0000}"/>
    <cellStyle name="SAPBEXHLevel0X 6 8" xfId="56530" xr:uid="{00000000-0005-0000-0000-00009ADC0000}"/>
    <cellStyle name="SAPBEXHLevel0X 6 9" xfId="56531" xr:uid="{00000000-0005-0000-0000-00009BDC0000}"/>
    <cellStyle name="SAPBEXHLevel0X 7" xfId="56532" xr:uid="{00000000-0005-0000-0000-00009CDC0000}"/>
    <cellStyle name="SAPBEXHLevel0X 7 2" xfId="56533" xr:uid="{00000000-0005-0000-0000-00009DDC0000}"/>
    <cellStyle name="SAPBEXHLevel0X 7 2 2" xfId="56534" xr:uid="{00000000-0005-0000-0000-00009EDC0000}"/>
    <cellStyle name="SAPBEXHLevel0X 7 3" xfId="56535" xr:uid="{00000000-0005-0000-0000-00009FDC0000}"/>
    <cellStyle name="SAPBEXHLevel0X 7 3 2" xfId="56536" xr:uid="{00000000-0005-0000-0000-0000A0DC0000}"/>
    <cellStyle name="SAPBEXHLevel0X 7 4" xfId="56537" xr:uid="{00000000-0005-0000-0000-0000A1DC0000}"/>
    <cellStyle name="SAPBEXHLevel0X 7 4 2" xfId="56538" xr:uid="{00000000-0005-0000-0000-0000A2DC0000}"/>
    <cellStyle name="SAPBEXHLevel0X 7 5" xfId="56539" xr:uid="{00000000-0005-0000-0000-0000A3DC0000}"/>
    <cellStyle name="SAPBEXHLevel0X 7 5 2" xfId="56540" xr:uid="{00000000-0005-0000-0000-0000A4DC0000}"/>
    <cellStyle name="SAPBEXHLevel0X 7 6" xfId="56541" xr:uid="{00000000-0005-0000-0000-0000A5DC0000}"/>
    <cellStyle name="SAPBEXHLevel0X 7 6 2" xfId="56542" xr:uid="{00000000-0005-0000-0000-0000A6DC0000}"/>
    <cellStyle name="SAPBEXHLevel0X 7 7" xfId="56543" xr:uid="{00000000-0005-0000-0000-0000A7DC0000}"/>
    <cellStyle name="SAPBEXHLevel0X 7 8" xfId="56544" xr:uid="{00000000-0005-0000-0000-0000A8DC0000}"/>
    <cellStyle name="SAPBEXHLevel0X 8" xfId="56545" xr:uid="{00000000-0005-0000-0000-0000A9DC0000}"/>
    <cellStyle name="SAPBEXHLevel0X 8 2" xfId="56546" xr:uid="{00000000-0005-0000-0000-0000AADC0000}"/>
    <cellStyle name="SAPBEXHLevel0X 8 2 2" xfId="56547" xr:uid="{00000000-0005-0000-0000-0000ABDC0000}"/>
    <cellStyle name="SAPBEXHLevel0X 8 3" xfId="56548" xr:uid="{00000000-0005-0000-0000-0000ACDC0000}"/>
    <cellStyle name="SAPBEXHLevel0X 9" xfId="56549" xr:uid="{00000000-0005-0000-0000-0000ADDC0000}"/>
    <cellStyle name="SAPBEXHLevel0X 9 2" xfId="56550" xr:uid="{00000000-0005-0000-0000-0000AEDC0000}"/>
    <cellStyle name="SAPBEXHLevel0X_2010-2012 Program Workbook_Incent_FS" xfId="56551" xr:uid="{00000000-0005-0000-0000-0000AFDC0000}"/>
    <cellStyle name="SAPBEXHLevel1" xfId="56552" xr:uid="{00000000-0005-0000-0000-0000B0DC0000}"/>
    <cellStyle name="SAPBEXHLevel1 10" xfId="56553" xr:uid="{00000000-0005-0000-0000-0000B1DC0000}"/>
    <cellStyle name="SAPBEXHLevel1 10 2" xfId="56554" xr:uid="{00000000-0005-0000-0000-0000B2DC0000}"/>
    <cellStyle name="SAPBEXHLevel1 11" xfId="56555" xr:uid="{00000000-0005-0000-0000-0000B3DC0000}"/>
    <cellStyle name="SAPBEXHLevel1 11 2" xfId="56556" xr:uid="{00000000-0005-0000-0000-0000B4DC0000}"/>
    <cellStyle name="SAPBEXHLevel1 12" xfId="56557" xr:uid="{00000000-0005-0000-0000-0000B5DC0000}"/>
    <cellStyle name="SAPBEXHLevel1 12 2" xfId="56558" xr:uid="{00000000-0005-0000-0000-0000B6DC0000}"/>
    <cellStyle name="SAPBEXHLevel1 13" xfId="56559" xr:uid="{00000000-0005-0000-0000-0000B7DC0000}"/>
    <cellStyle name="SAPBEXHLevel1 13 2" xfId="56560" xr:uid="{00000000-0005-0000-0000-0000B8DC0000}"/>
    <cellStyle name="SAPBEXHLevel1 14" xfId="56561" xr:uid="{00000000-0005-0000-0000-0000B9DC0000}"/>
    <cellStyle name="SAPBEXHLevel1 14 2" xfId="56562" xr:uid="{00000000-0005-0000-0000-0000BADC0000}"/>
    <cellStyle name="SAPBEXHLevel1 15" xfId="56563" xr:uid="{00000000-0005-0000-0000-0000BBDC0000}"/>
    <cellStyle name="SAPBEXHLevel1 15 2" xfId="56564" xr:uid="{00000000-0005-0000-0000-0000BCDC0000}"/>
    <cellStyle name="SAPBEXHLevel1 16" xfId="56565" xr:uid="{00000000-0005-0000-0000-0000BDDC0000}"/>
    <cellStyle name="SAPBEXHLevel1 16 2" xfId="56566" xr:uid="{00000000-0005-0000-0000-0000BEDC0000}"/>
    <cellStyle name="SAPBEXHLevel1 17" xfId="56567" xr:uid="{00000000-0005-0000-0000-0000BFDC0000}"/>
    <cellStyle name="SAPBEXHLevel1 18" xfId="56568" xr:uid="{00000000-0005-0000-0000-0000C0DC0000}"/>
    <cellStyle name="SAPBEXHLevel1 19" xfId="56569" xr:uid="{00000000-0005-0000-0000-0000C1DC0000}"/>
    <cellStyle name="SAPBEXHLevel1 2" xfId="56570" xr:uid="{00000000-0005-0000-0000-0000C2DC0000}"/>
    <cellStyle name="SAPBEXHLevel1 2 10" xfId="56571" xr:uid="{00000000-0005-0000-0000-0000C3DC0000}"/>
    <cellStyle name="SAPBEXHLevel1 2 11" xfId="56572" xr:uid="{00000000-0005-0000-0000-0000C4DC0000}"/>
    <cellStyle name="SAPBEXHLevel1 2 2" xfId="56573" xr:uid="{00000000-0005-0000-0000-0000C5DC0000}"/>
    <cellStyle name="SAPBEXHLevel1 2 2 2" xfId="56574" xr:uid="{00000000-0005-0000-0000-0000C6DC0000}"/>
    <cellStyle name="SAPBEXHLevel1 2 2 2 2" xfId="56575" xr:uid="{00000000-0005-0000-0000-0000C7DC0000}"/>
    <cellStyle name="SAPBEXHLevel1 2 2 2 2 2" xfId="56576" xr:uid="{00000000-0005-0000-0000-0000C8DC0000}"/>
    <cellStyle name="SAPBEXHLevel1 2 2 2 3" xfId="56577" xr:uid="{00000000-0005-0000-0000-0000C9DC0000}"/>
    <cellStyle name="SAPBEXHLevel1 2 2 2 3 2" xfId="56578" xr:uid="{00000000-0005-0000-0000-0000CADC0000}"/>
    <cellStyle name="SAPBEXHLevel1 2 2 2 4" xfId="56579" xr:uid="{00000000-0005-0000-0000-0000CBDC0000}"/>
    <cellStyle name="SAPBEXHLevel1 2 2 2 5" xfId="56580" xr:uid="{00000000-0005-0000-0000-0000CCDC0000}"/>
    <cellStyle name="SAPBEXHLevel1 2 2 2 6" xfId="56581" xr:uid="{00000000-0005-0000-0000-0000CDDC0000}"/>
    <cellStyle name="SAPBEXHLevel1 2 2 3" xfId="56582" xr:uid="{00000000-0005-0000-0000-0000CEDC0000}"/>
    <cellStyle name="SAPBEXHLevel1 2 2 3 2" xfId="56583" xr:uid="{00000000-0005-0000-0000-0000CFDC0000}"/>
    <cellStyle name="SAPBEXHLevel1 2 2 3 2 2" xfId="56584" xr:uid="{00000000-0005-0000-0000-0000D0DC0000}"/>
    <cellStyle name="SAPBEXHLevel1 2 2 3 3" xfId="56585" xr:uid="{00000000-0005-0000-0000-0000D1DC0000}"/>
    <cellStyle name="SAPBEXHLevel1 2 2 3 3 2" xfId="56586" xr:uid="{00000000-0005-0000-0000-0000D2DC0000}"/>
    <cellStyle name="SAPBEXHLevel1 2 2 3 4" xfId="56587" xr:uid="{00000000-0005-0000-0000-0000D3DC0000}"/>
    <cellStyle name="SAPBEXHLevel1 2 2 4" xfId="56588" xr:uid="{00000000-0005-0000-0000-0000D4DC0000}"/>
    <cellStyle name="SAPBEXHLevel1 2 2 4 2" xfId="56589" xr:uid="{00000000-0005-0000-0000-0000D5DC0000}"/>
    <cellStyle name="SAPBEXHLevel1 2 2 5" xfId="56590" xr:uid="{00000000-0005-0000-0000-0000D6DC0000}"/>
    <cellStyle name="SAPBEXHLevel1 2 2 5 2" xfId="56591" xr:uid="{00000000-0005-0000-0000-0000D7DC0000}"/>
    <cellStyle name="SAPBEXHLevel1 2 2 6" xfId="56592" xr:uid="{00000000-0005-0000-0000-0000D8DC0000}"/>
    <cellStyle name="SAPBEXHLevel1 2 2 6 2" xfId="56593" xr:uid="{00000000-0005-0000-0000-0000D9DC0000}"/>
    <cellStyle name="SAPBEXHLevel1 2 2 7" xfId="56594" xr:uid="{00000000-0005-0000-0000-0000DADC0000}"/>
    <cellStyle name="SAPBEXHLevel1 2 2 8" xfId="56595" xr:uid="{00000000-0005-0000-0000-0000DBDC0000}"/>
    <cellStyle name="SAPBEXHLevel1 2 3" xfId="56596" xr:uid="{00000000-0005-0000-0000-0000DCDC0000}"/>
    <cellStyle name="SAPBEXHLevel1 2 3 2" xfId="56597" xr:uid="{00000000-0005-0000-0000-0000DDDC0000}"/>
    <cellStyle name="SAPBEXHLevel1 2 3 2 2" xfId="56598" xr:uid="{00000000-0005-0000-0000-0000DEDC0000}"/>
    <cellStyle name="SAPBEXHLevel1 2 3 3" xfId="56599" xr:uid="{00000000-0005-0000-0000-0000DFDC0000}"/>
    <cellStyle name="SAPBEXHLevel1 2 3 3 2" xfId="56600" xr:uid="{00000000-0005-0000-0000-0000E0DC0000}"/>
    <cellStyle name="SAPBEXHLevel1 2 3 4" xfId="56601" xr:uid="{00000000-0005-0000-0000-0000E1DC0000}"/>
    <cellStyle name="SAPBEXHLevel1 2 3 4 2" xfId="56602" xr:uid="{00000000-0005-0000-0000-0000E2DC0000}"/>
    <cellStyle name="SAPBEXHLevel1 2 3 5" xfId="56603" xr:uid="{00000000-0005-0000-0000-0000E3DC0000}"/>
    <cellStyle name="SAPBEXHLevel1 2 3 6" xfId="56604" xr:uid="{00000000-0005-0000-0000-0000E4DC0000}"/>
    <cellStyle name="SAPBEXHLevel1 2 3 7" xfId="56605" xr:uid="{00000000-0005-0000-0000-0000E5DC0000}"/>
    <cellStyle name="SAPBEXHLevel1 2 4" xfId="56606" xr:uid="{00000000-0005-0000-0000-0000E6DC0000}"/>
    <cellStyle name="SAPBEXHLevel1 2 4 2" xfId="56607" xr:uid="{00000000-0005-0000-0000-0000E7DC0000}"/>
    <cellStyle name="SAPBEXHLevel1 2 4 2 2" xfId="56608" xr:uid="{00000000-0005-0000-0000-0000E8DC0000}"/>
    <cellStyle name="SAPBEXHLevel1 2 4 3" xfId="56609" xr:uid="{00000000-0005-0000-0000-0000E9DC0000}"/>
    <cellStyle name="SAPBEXHLevel1 2 4 3 2" xfId="56610" xr:uid="{00000000-0005-0000-0000-0000EADC0000}"/>
    <cellStyle name="SAPBEXHLevel1 2 4 4" xfId="56611" xr:uid="{00000000-0005-0000-0000-0000EBDC0000}"/>
    <cellStyle name="SAPBEXHLevel1 2 4 4 2" xfId="56612" xr:uid="{00000000-0005-0000-0000-0000ECDC0000}"/>
    <cellStyle name="SAPBEXHLevel1 2 4 5" xfId="56613" xr:uid="{00000000-0005-0000-0000-0000EDDC0000}"/>
    <cellStyle name="SAPBEXHLevel1 2 4 6" xfId="56614" xr:uid="{00000000-0005-0000-0000-0000EEDC0000}"/>
    <cellStyle name="SAPBEXHLevel1 2 5" xfId="56615" xr:uid="{00000000-0005-0000-0000-0000EFDC0000}"/>
    <cellStyle name="SAPBEXHLevel1 2 5 2" xfId="56616" xr:uid="{00000000-0005-0000-0000-0000F0DC0000}"/>
    <cellStyle name="SAPBEXHLevel1 2 6" xfId="56617" xr:uid="{00000000-0005-0000-0000-0000F1DC0000}"/>
    <cellStyle name="SAPBEXHLevel1 2 6 2" xfId="56618" xr:uid="{00000000-0005-0000-0000-0000F2DC0000}"/>
    <cellStyle name="SAPBEXHLevel1 2 7" xfId="56619" xr:uid="{00000000-0005-0000-0000-0000F3DC0000}"/>
    <cellStyle name="SAPBEXHLevel1 2 7 2" xfId="56620" xr:uid="{00000000-0005-0000-0000-0000F4DC0000}"/>
    <cellStyle name="SAPBEXHLevel1 2 8" xfId="56621" xr:uid="{00000000-0005-0000-0000-0000F5DC0000}"/>
    <cellStyle name="SAPBEXHLevel1 2 8 2" xfId="56622" xr:uid="{00000000-0005-0000-0000-0000F6DC0000}"/>
    <cellStyle name="SAPBEXHLevel1 2 9" xfId="56623" xr:uid="{00000000-0005-0000-0000-0000F7DC0000}"/>
    <cellStyle name="SAPBEXHLevel1 3" xfId="56624" xr:uid="{00000000-0005-0000-0000-0000F8DC0000}"/>
    <cellStyle name="SAPBEXHLevel1 3 2" xfId="56625" xr:uid="{00000000-0005-0000-0000-0000F9DC0000}"/>
    <cellStyle name="SAPBEXHLevel1 3 2 2" xfId="56626" xr:uid="{00000000-0005-0000-0000-0000FADC0000}"/>
    <cellStyle name="SAPBEXHLevel1 3 2 2 2" xfId="56627" xr:uid="{00000000-0005-0000-0000-0000FBDC0000}"/>
    <cellStyle name="SAPBEXHLevel1 3 2 2 2 2" xfId="56628" xr:uid="{00000000-0005-0000-0000-0000FCDC0000}"/>
    <cellStyle name="SAPBEXHLevel1 3 2 2 3" xfId="56629" xr:uid="{00000000-0005-0000-0000-0000FDDC0000}"/>
    <cellStyle name="SAPBEXHLevel1 3 2 2 3 2" xfId="56630" xr:uid="{00000000-0005-0000-0000-0000FEDC0000}"/>
    <cellStyle name="SAPBEXHLevel1 3 2 2 4" xfId="56631" xr:uid="{00000000-0005-0000-0000-0000FFDC0000}"/>
    <cellStyle name="SAPBEXHLevel1 3 2 2 5" xfId="56632" xr:uid="{00000000-0005-0000-0000-000000DD0000}"/>
    <cellStyle name="SAPBEXHLevel1 3 2 2 6" xfId="56633" xr:uid="{00000000-0005-0000-0000-000001DD0000}"/>
    <cellStyle name="SAPBEXHLevel1 3 2 3" xfId="56634" xr:uid="{00000000-0005-0000-0000-000002DD0000}"/>
    <cellStyle name="SAPBEXHLevel1 3 2 3 2" xfId="56635" xr:uid="{00000000-0005-0000-0000-000003DD0000}"/>
    <cellStyle name="SAPBEXHLevel1 3 2 3 2 2" xfId="56636" xr:uid="{00000000-0005-0000-0000-000004DD0000}"/>
    <cellStyle name="SAPBEXHLevel1 3 2 3 3" xfId="56637" xr:uid="{00000000-0005-0000-0000-000005DD0000}"/>
    <cellStyle name="SAPBEXHLevel1 3 2 3 3 2" xfId="56638" xr:uid="{00000000-0005-0000-0000-000006DD0000}"/>
    <cellStyle name="SAPBEXHLevel1 3 2 3 4" xfId="56639" xr:uid="{00000000-0005-0000-0000-000007DD0000}"/>
    <cellStyle name="SAPBEXHLevel1 3 2 3 5" xfId="56640" xr:uid="{00000000-0005-0000-0000-000008DD0000}"/>
    <cellStyle name="SAPBEXHLevel1 3 2 4" xfId="56641" xr:uid="{00000000-0005-0000-0000-000009DD0000}"/>
    <cellStyle name="SAPBEXHLevel1 3 2 4 2" xfId="56642" xr:uid="{00000000-0005-0000-0000-00000ADD0000}"/>
    <cellStyle name="SAPBEXHLevel1 3 2 5" xfId="56643" xr:uid="{00000000-0005-0000-0000-00000BDD0000}"/>
    <cellStyle name="SAPBEXHLevel1 3 2 5 2" xfId="56644" xr:uid="{00000000-0005-0000-0000-00000CDD0000}"/>
    <cellStyle name="SAPBEXHLevel1 3 2 6" xfId="56645" xr:uid="{00000000-0005-0000-0000-00000DDD0000}"/>
    <cellStyle name="SAPBEXHLevel1 3 2 6 2" xfId="56646" xr:uid="{00000000-0005-0000-0000-00000EDD0000}"/>
    <cellStyle name="SAPBEXHLevel1 3 2 7" xfId="56647" xr:uid="{00000000-0005-0000-0000-00000FDD0000}"/>
    <cellStyle name="SAPBEXHLevel1 3 2 8" xfId="56648" xr:uid="{00000000-0005-0000-0000-000010DD0000}"/>
    <cellStyle name="SAPBEXHLevel1 3 2 9" xfId="56649" xr:uid="{00000000-0005-0000-0000-000011DD0000}"/>
    <cellStyle name="SAPBEXHLevel1 3 3" xfId="56650" xr:uid="{00000000-0005-0000-0000-000012DD0000}"/>
    <cellStyle name="SAPBEXHLevel1 3 3 2" xfId="56651" xr:uid="{00000000-0005-0000-0000-000013DD0000}"/>
    <cellStyle name="SAPBEXHLevel1 3 3 2 2" xfId="56652" xr:uid="{00000000-0005-0000-0000-000014DD0000}"/>
    <cellStyle name="SAPBEXHLevel1 3 3 3" xfId="56653" xr:uid="{00000000-0005-0000-0000-000015DD0000}"/>
    <cellStyle name="SAPBEXHLevel1 3 3 3 2" xfId="56654" xr:uid="{00000000-0005-0000-0000-000016DD0000}"/>
    <cellStyle name="SAPBEXHLevel1 3 3 4" xfId="56655" xr:uid="{00000000-0005-0000-0000-000017DD0000}"/>
    <cellStyle name="SAPBEXHLevel1 3 3 4 2" xfId="56656" xr:uid="{00000000-0005-0000-0000-000018DD0000}"/>
    <cellStyle name="SAPBEXHLevel1 3 3 5" xfId="56657" xr:uid="{00000000-0005-0000-0000-000019DD0000}"/>
    <cellStyle name="SAPBEXHLevel1 3 3 6" xfId="56658" xr:uid="{00000000-0005-0000-0000-00001ADD0000}"/>
    <cellStyle name="SAPBEXHLevel1 3 3 7" xfId="56659" xr:uid="{00000000-0005-0000-0000-00001BDD0000}"/>
    <cellStyle name="SAPBEXHLevel1 3 4" xfId="56660" xr:uid="{00000000-0005-0000-0000-00001CDD0000}"/>
    <cellStyle name="SAPBEXHLevel1 3 4 2" xfId="56661" xr:uid="{00000000-0005-0000-0000-00001DDD0000}"/>
    <cellStyle name="SAPBEXHLevel1 3 4 2 2" xfId="56662" xr:uid="{00000000-0005-0000-0000-00001EDD0000}"/>
    <cellStyle name="SAPBEXHLevel1 3 4 3" xfId="56663" xr:uid="{00000000-0005-0000-0000-00001FDD0000}"/>
    <cellStyle name="SAPBEXHLevel1 3 4 3 2" xfId="56664" xr:uid="{00000000-0005-0000-0000-000020DD0000}"/>
    <cellStyle name="SAPBEXHLevel1 3 4 4" xfId="56665" xr:uid="{00000000-0005-0000-0000-000021DD0000}"/>
    <cellStyle name="SAPBEXHLevel1 3 4 5" xfId="56666" xr:uid="{00000000-0005-0000-0000-000022DD0000}"/>
    <cellStyle name="SAPBEXHLevel1 3 4 6" xfId="56667" xr:uid="{00000000-0005-0000-0000-000023DD0000}"/>
    <cellStyle name="SAPBEXHLevel1 3 5" xfId="56668" xr:uid="{00000000-0005-0000-0000-000024DD0000}"/>
    <cellStyle name="SAPBEXHLevel1 3 5 2" xfId="56669" xr:uid="{00000000-0005-0000-0000-000025DD0000}"/>
    <cellStyle name="SAPBEXHLevel1 3 5 3" xfId="56670" xr:uid="{00000000-0005-0000-0000-000026DD0000}"/>
    <cellStyle name="SAPBEXHLevel1 3 6" xfId="56671" xr:uid="{00000000-0005-0000-0000-000027DD0000}"/>
    <cellStyle name="SAPBEXHLevel1 3 6 2" xfId="56672" xr:uid="{00000000-0005-0000-0000-000028DD0000}"/>
    <cellStyle name="SAPBEXHLevel1 3 7" xfId="56673" xr:uid="{00000000-0005-0000-0000-000029DD0000}"/>
    <cellStyle name="SAPBEXHLevel1 3 7 2" xfId="56674" xr:uid="{00000000-0005-0000-0000-00002ADD0000}"/>
    <cellStyle name="SAPBEXHLevel1 3 8" xfId="56675" xr:uid="{00000000-0005-0000-0000-00002BDD0000}"/>
    <cellStyle name="SAPBEXHLevel1 3 9" xfId="56676" xr:uid="{00000000-0005-0000-0000-00002CDD0000}"/>
    <cellStyle name="SAPBEXHLevel1 4" xfId="56677" xr:uid="{00000000-0005-0000-0000-00002DDD0000}"/>
    <cellStyle name="SAPBEXHLevel1 4 2" xfId="56678" xr:uid="{00000000-0005-0000-0000-00002EDD0000}"/>
    <cellStyle name="SAPBEXHLevel1 4 2 2" xfId="56679" xr:uid="{00000000-0005-0000-0000-00002FDD0000}"/>
    <cellStyle name="SAPBEXHLevel1 4 2 2 2" xfId="56680" xr:uid="{00000000-0005-0000-0000-000030DD0000}"/>
    <cellStyle name="SAPBEXHLevel1 4 2 2 3" xfId="56681" xr:uid="{00000000-0005-0000-0000-000031DD0000}"/>
    <cellStyle name="SAPBEXHLevel1 4 2 3" xfId="56682" xr:uid="{00000000-0005-0000-0000-000032DD0000}"/>
    <cellStyle name="SAPBEXHLevel1 4 2 4" xfId="56683" xr:uid="{00000000-0005-0000-0000-000033DD0000}"/>
    <cellStyle name="SAPBEXHLevel1 4 3" xfId="56684" xr:uid="{00000000-0005-0000-0000-000034DD0000}"/>
    <cellStyle name="SAPBEXHLevel1 4 3 2" xfId="56685" xr:uid="{00000000-0005-0000-0000-000035DD0000}"/>
    <cellStyle name="SAPBEXHLevel1 4 3 3" xfId="56686" xr:uid="{00000000-0005-0000-0000-000036DD0000}"/>
    <cellStyle name="SAPBEXHLevel1 4 3 4" xfId="56687" xr:uid="{00000000-0005-0000-0000-000037DD0000}"/>
    <cellStyle name="SAPBEXHLevel1 4 4" xfId="56688" xr:uid="{00000000-0005-0000-0000-000038DD0000}"/>
    <cellStyle name="SAPBEXHLevel1 4 4 2" xfId="56689" xr:uid="{00000000-0005-0000-0000-000039DD0000}"/>
    <cellStyle name="SAPBEXHLevel1 4 5" xfId="56690" xr:uid="{00000000-0005-0000-0000-00003ADD0000}"/>
    <cellStyle name="SAPBEXHLevel1 4 5 2" xfId="56691" xr:uid="{00000000-0005-0000-0000-00003BDD0000}"/>
    <cellStyle name="SAPBEXHLevel1 4 6" xfId="56692" xr:uid="{00000000-0005-0000-0000-00003CDD0000}"/>
    <cellStyle name="SAPBEXHLevel1 4 6 2" xfId="56693" xr:uid="{00000000-0005-0000-0000-00003DDD0000}"/>
    <cellStyle name="SAPBEXHLevel1 4 7" xfId="56694" xr:uid="{00000000-0005-0000-0000-00003EDD0000}"/>
    <cellStyle name="SAPBEXHLevel1 4 8" xfId="56695" xr:uid="{00000000-0005-0000-0000-00003FDD0000}"/>
    <cellStyle name="SAPBEXHLevel1 4 9" xfId="56696" xr:uid="{00000000-0005-0000-0000-000040DD0000}"/>
    <cellStyle name="SAPBEXHLevel1 5" xfId="56697" xr:uid="{00000000-0005-0000-0000-000041DD0000}"/>
    <cellStyle name="SAPBEXHLevel1 5 10" xfId="56698" xr:uid="{00000000-0005-0000-0000-000042DD0000}"/>
    <cellStyle name="SAPBEXHLevel1 5 11" xfId="56699" xr:uid="{00000000-0005-0000-0000-000043DD0000}"/>
    <cellStyle name="SAPBEXHLevel1 5 2" xfId="56700" xr:uid="{00000000-0005-0000-0000-000044DD0000}"/>
    <cellStyle name="SAPBEXHLevel1 5 2 2" xfId="56701" xr:uid="{00000000-0005-0000-0000-000045DD0000}"/>
    <cellStyle name="SAPBEXHLevel1 5 2 2 2" xfId="56702" xr:uid="{00000000-0005-0000-0000-000046DD0000}"/>
    <cellStyle name="SAPBEXHLevel1 5 2 3" xfId="56703" xr:uid="{00000000-0005-0000-0000-000047DD0000}"/>
    <cellStyle name="SAPBEXHLevel1 5 2 3 2" xfId="56704" xr:uid="{00000000-0005-0000-0000-000048DD0000}"/>
    <cellStyle name="SAPBEXHLevel1 5 2 4" xfId="56705" xr:uid="{00000000-0005-0000-0000-000049DD0000}"/>
    <cellStyle name="SAPBEXHLevel1 5 2 5" xfId="56706" xr:uid="{00000000-0005-0000-0000-00004ADD0000}"/>
    <cellStyle name="SAPBEXHLevel1 5 2 6" xfId="56707" xr:uid="{00000000-0005-0000-0000-00004BDD0000}"/>
    <cellStyle name="SAPBEXHLevel1 5 3" xfId="56708" xr:uid="{00000000-0005-0000-0000-00004CDD0000}"/>
    <cellStyle name="SAPBEXHLevel1 5 3 2" xfId="56709" xr:uid="{00000000-0005-0000-0000-00004DDD0000}"/>
    <cellStyle name="SAPBEXHLevel1 5 3 2 2" xfId="56710" xr:uid="{00000000-0005-0000-0000-00004EDD0000}"/>
    <cellStyle name="SAPBEXHLevel1 5 3 3" xfId="56711" xr:uid="{00000000-0005-0000-0000-00004FDD0000}"/>
    <cellStyle name="SAPBEXHLevel1 5 3 3 2" xfId="56712" xr:uid="{00000000-0005-0000-0000-000050DD0000}"/>
    <cellStyle name="SAPBEXHLevel1 5 3 4" xfId="56713" xr:uid="{00000000-0005-0000-0000-000051DD0000}"/>
    <cellStyle name="SAPBEXHLevel1 5 4" xfId="56714" xr:uid="{00000000-0005-0000-0000-000052DD0000}"/>
    <cellStyle name="SAPBEXHLevel1 5 4 2" xfId="56715" xr:uid="{00000000-0005-0000-0000-000053DD0000}"/>
    <cellStyle name="SAPBEXHLevel1 5 5" xfId="56716" xr:uid="{00000000-0005-0000-0000-000054DD0000}"/>
    <cellStyle name="SAPBEXHLevel1 5 5 2" xfId="56717" xr:uid="{00000000-0005-0000-0000-000055DD0000}"/>
    <cellStyle name="SAPBEXHLevel1 5 6" xfId="56718" xr:uid="{00000000-0005-0000-0000-000056DD0000}"/>
    <cellStyle name="SAPBEXHLevel1 5 6 2" xfId="56719" xr:uid="{00000000-0005-0000-0000-000057DD0000}"/>
    <cellStyle name="SAPBEXHLevel1 5 7" xfId="56720" xr:uid="{00000000-0005-0000-0000-000058DD0000}"/>
    <cellStyle name="SAPBEXHLevel1 5 7 2" xfId="56721" xr:uid="{00000000-0005-0000-0000-000059DD0000}"/>
    <cellStyle name="SAPBEXHLevel1 5 8" xfId="56722" xr:uid="{00000000-0005-0000-0000-00005ADD0000}"/>
    <cellStyle name="SAPBEXHLevel1 5 8 2" xfId="56723" xr:uid="{00000000-0005-0000-0000-00005BDD0000}"/>
    <cellStyle name="SAPBEXHLevel1 5 9" xfId="56724" xr:uid="{00000000-0005-0000-0000-00005CDD0000}"/>
    <cellStyle name="SAPBEXHLevel1 6" xfId="56725" xr:uid="{00000000-0005-0000-0000-00005DDD0000}"/>
    <cellStyle name="SAPBEXHLevel1 6 2" xfId="56726" xr:uid="{00000000-0005-0000-0000-00005EDD0000}"/>
    <cellStyle name="SAPBEXHLevel1 6 2 2" xfId="56727" xr:uid="{00000000-0005-0000-0000-00005FDD0000}"/>
    <cellStyle name="SAPBEXHLevel1 6 3" xfId="56728" xr:uid="{00000000-0005-0000-0000-000060DD0000}"/>
    <cellStyle name="SAPBEXHLevel1 6 3 2" xfId="56729" xr:uid="{00000000-0005-0000-0000-000061DD0000}"/>
    <cellStyle name="SAPBEXHLevel1 6 4" xfId="56730" xr:uid="{00000000-0005-0000-0000-000062DD0000}"/>
    <cellStyle name="SAPBEXHLevel1 6 4 2" xfId="56731" xr:uid="{00000000-0005-0000-0000-000063DD0000}"/>
    <cellStyle name="SAPBEXHLevel1 6 5" xfId="56732" xr:uid="{00000000-0005-0000-0000-000064DD0000}"/>
    <cellStyle name="SAPBEXHLevel1 6 5 2" xfId="56733" xr:uid="{00000000-0005-0000-0000-000065DD0000}"/>
    <cellStyle name="SAPBEXHLevel1 6 6" xfId="56734" xr:uid="{00000000-0005-0000-0000-000066DD0000}"/>
    <cellStyle name="SAPBEXHLevel1 6 6 2" xfId="56735" xr:uid="{00000000-0005-0000-0000-000067DD0000}"/>
    <cellStyle name="SAPBEXHLevel1 6 7" xfId="56736" xr:uid="{00000000-0005-0000-0000-000068DD0000}"/>
    <cellStyle name="SAPBEXHLevel1 6 8" xfId="56737" xr:uid="{00000000-0005-0000-0000-000069DD0000}"/>
    <cellStyle name="SAPBEXHLevel1 6 9" xfId="56738" xr:uid="{00000000-0005-0000-0000-00006ADD0000}"/>
    <cellStyle name="SAPBEXHLevel1 7" xfId="56739" xr:uid="{00000000-0005-0000-0000-00006BDD0000}"/>
    <cellStyle name="SAPBEXHLevel1 7 2" xfId="56740" xr:uid="{00000000-0005-0000-0000-00006CDD0000}"/>
    <cellStyle name="SAPBEXHLevel1 7 2 2" xfId="56741" xr:uid="{00000000-0005-0000-0000-00006DDD0000}"/>
    <cellStyle name="SAPBEXHLevel1 7 3" xfId="56742" xr:uid="{00000000-0005-0000-0000-00006EDD0000}"/>
    <cellStyle name="SAPBEXHLevel1 7 3 2" xfId="56743" xr:uid="{00000000-0005-0000-0000-00006FDD0000}"/>
    <cellStyle name="SAPBEXHLevel1 7 4" xfId="56744" xr:uid="{00000000-0005-0000-0000-000070DD0000}"/>
    <cellStyle name="SAPBEXHLevel1 7 5" xfId="56745" xr:uid="{00000000-0005-0000-0000-000071DD0000}"/>
    <cellStyle name="SAPBEXHLevel1 8" xfId="56746" xr:uid="{00000000-0005-0000-0000-000072DD0000}"/>
    <cellStyle name="SAPBEXHLevel1 8 2" xfId="56747" xr:uid="{00000000-0005-0000-0000-000073DD0000}"/>
    <cellStyle name="SAPBEXHLevel1 8 2 2" xfId="56748" xr:uid="{00000000-0005-0000-0000-000074DD0000}"/>
    <cellStyle name="SAPBEXHLevel1 8 3" xfId="56749" xr:uid="{00000000-0005-0000-0000-000075DD0000}"/>
    <cellStyle name="SAPBEXHLevel1 9" xfId="56750" xr:uid="{00000000-0005-0000-0000-000076DD0000}"/>
    <cellStyle name="SAPBEXHLevel1 9 2" xfId="56751" xr:uid="{00000000-0005-0000-0000-000077DD0000}"/>
    <cellStyle name="SAPBEXHLevel1X" xfId="56752" xr:uid="{00000000-0005-0000-0000-000078DD0000}"/>
    <cellStyle name="SAPBEXHLevel1X 10" xfId="56753" xr:uid="{00000000-0005-0000-0000-000079DD0000}"/>
    <cellStyle name="SAPBEXHLevel1X 10 2" xfId="56754" xr:uid="{00000000-0005-0000-0000-00007ADD0000}"/>
    <cellStyle name="SAPBEXHLevel1X 11" xfId="56755" xr:uid="{00000000-0005-0000-0000-00007BDD0000}"/>
    <cellStyle name="SAPBEXHLevel1X 11 2" xfId="56756" xr:uid="{00000000-0005-0000-0000-00007CDD0000}"/>
    <cellStyle name="SAPBEXHLevel1X 12" xfId="56757" xr:uid="{00000000-0005-0000-0000-00007DDD0000}"/>
    <cellStyle name="SAPBEXHLevel1X 12 2" xfId="56758" xr:uid="{00000000-0005-0000-0000-00007EDD0000}"/>
    <cellStyle name="SAPBEXHLevel1X 13" xfId="56759" xr:uid="{00000000-0005-0000-0000-00007FDD0000}"/>
    <cellStyle name="SAPBEXHLevel1X 13 2" xfId="56760" xr:uid="{00000000-0005-0000-0000-000080DD0000}"/>
    <cellStyle name="SAPBEXHLevel1X 14" xfId="56761" xr:uid="{00000000-0005-0000-0000-000081DD0000}"/>
    <cellStyle name="SAPBEXHLevel1X 14 2" xfId="56762" xr:uid="{00000000-0005-0000-0000-000082DD0000}"/>
    <cellStyle name="SAPBEXHLevel1X 15" xfId="56763" xr:uid="{00000000-0005-0000-0000-000083DD0000}"/>
    <cellStyle name="SAPBEXHLevel1X 15 2" xfId="56764" xr:uid="{00000000-0005-0000-0000-000084DD0000}"/>
    <cellStyle name="SAPBEXHLevel1X 16" xfId="56765" xr:uid="{00000000-0005-0000-0000-000085DD0000}"/>
    <cellStyle name="SAPBEXHLevel1X 16 2" xfId="56766" xr:uid="{00000000-0005-0000-0000-000086DD0000}"/>
    <cellStyle name="SAPBEXHLevel1X 17" xfId="56767" xr:uid="{00000000-0005-0000-0000-000087DD0000}"/>
    <cellStyle name="SAPBEXHLevel1X 18" xfId="56768" xr:uid="{00000000-0005-0000-0000-000088DD0000}"/>
    <cellStyle name="SAPBEXHLevel1X 19" xfId="56769" xr:uid="{00000000-0005-0000-0000-000089DD0000}"/>
    <cellStyle name="SAPBEXHLevel1X 2" xfId="56770" xr:uid="{00000000-0005-0000-0000-00008ADD0000}"/>
    <cellStyle name="SAPBEXHLevel1X 2 10" xfId="56771" xr:uid="{00000000-0005-0000-0000-00008BDD0000}"/>
    <cellStyle name="SAPBEXHLevel1X 2 11" xfId="56772" xr:uid="{00000000-0005-0000-0000-00008CDD0000}"/>
    <cellStyle name="SAPBEXHLevel1X 2 12" xfId="56773" xr:uid="{00000000-0005-0000-0000-00008DDD0000}"/>
    <cellStyle name="SAPBEXHLevel1X 2 2" xfId="56774" xr:uid="{00000000-0005-0000-0000-00008EDD0000}"/>
    <cellStyle name="SAPBEXHLevel1X 2 2 2" xfId="56775" xr:uid="{00000000-0005-0000-0000-00008FDD0000}"/>
    <cellStyle name="SAPBEXHLevel1X 2 2 2 2" xfId="56776" xr:uid="{00000000-0005-0000-0000-000090DD0000}"/>
    <cellStyle name="SAPBEXHLevel1X 2 2 2 2 2" xfId="56777" xr:uid="{00000000-0005-0000-0000-000091DD0000}"/>
    <cellStyle name="SAPBEXHLevel1X 2 2 2 2 2 2" xfId="56778" xr:uid="{00000000-0005-0000-0000-000092DD0000}"/>
    <cellStyle name="SAPBEXHLevel1X 2 2 2 2 3" xfId="56779" xr:uid="{00000000-0005-0000-0000-000093DD0000}"/>
    <cellStyle name="SAPBEXHLevel1X 2 2 2 2 3 2" xfId="56780" xr:uid="{00000000-0005-0000-0000-000094DD0000}"/>
    <cellStyle name="SAPBEXHLevel1X 2 2 2 2 4" xfId="56781" xr:uid="{00000000-0005-0000-0000-000095DD0000}"/>
    <cellStyle name="SAPBEXHLevel1X 2 2 2 3" xfId="56782" xr:uid="{00000000-0005-0000-0000-000096DD0000}"/>
    <cellStyle name="SAPBEXHLevel1X 2 2 2 3 2" xfId="56783" xr:uid="{00000000-0005-0000-0000-000097DD0000}"/>
    <cellStyle name="SAPBEXHLevel1X 2 2 2 4" xfId="56784" xr:uid="{00000000-0005-0000-0000-000098DD0000}"/>
    <cellStyle name="SAPBEXHLevel1X 2 2 2 4 2" xfId="56785" xr:uid="{00000000-0005-0000-0000-000099DD0000}"/>
    <cellStyle name="SAPBEXHLevel1X 2 2 2 5" xfId="56786" xr:uid="{00000000-0005-0000-0000-00009ADD0000}"/>
    <cellStyle name="SAPBEXHLevel1X 2 2 2 6" xfId="56787" xr:uid="{00000000-0005-0000-0000-00009BDD0000}"/>
    <cellStyle name="SAPBEXHLevel1X 2 2 2 7" xfId="56788" xr:uid="{00000000-0005-0000-0000-00009CDD0000}"/>
    <cellStyle name="SAPBEXHLevel1X 2 2 3" xfId="56789" xr:uid="{00000000-0005-0000-0000-00009DDD0000}"/>
    <cellStyle name="SAPBEXHLevel1X 2 2 3 2" xfId="56790" xr:uid="{00000000-0005-0000-0000-00009EDD0000}"/>
    <cellStyle name="SAPBEXHLevel1X 2 2 3 2 2" xfId="56791" xr:uid="{00000000-0005-0000-0000-00009FDD0000}"/>
    <cellStyle name="SAPBEXHLevel1X 2 2 3 3" xfId="56792" xr:uid="{00000000-0005-0000-0000-0000A0DD0000}"/>
    <cellStyle name="SAPBEXHLevel1X 2 2 3 3 2" xfId="56793" xr:uid="{00000000-0005-0000-0000-0000A1DD0000}"/>
    <cellStyle name="SAPBEXHLevel1X 2 2 3 4" xfId="56794" xr:uid="{00000000-0005-0000-0000-0000A2DD0000}"/>
    <cellStyle name="SAPBEXHLevel1X 2 2 4" xfId="56795" xr:uid="{00000000-0005-0000-0000-0000A3DD0000}"/>
    <cellStyle name="SAPBEXHLevel1X 2 2 4 2" xfId="56796" xr:uid="{00000000-0005-0000-0000-0000A4DD0000}"/>
    <cellStyle name="SAPBEXHLevel1X 2 2 4 2 2" xfId="56797" xr:uid="{00000000-0005-0000-0000-0000A5DD0000}"/>
    <cellStyle name="SAPBEXHLevel1X 2 2 4 3" xfId="56798" xr:uid="{00000000-0005-0000-0000-0000A6DD0000}"/>
    <cellStyle name="SAPBEXHLevel1X 2 2 4 3 2" xfId="56799" xr:uid="{00000000-0005-0000-0000-0000A7DD0000}"/>
    <cellStyle name="SAPBEXHLevel1X 2 2 4 4" xfId="56800" xr:uid="{00000000-0005-0000-0000-0000A8DD0000}"/>
    <cellStyle name="SAPBEXHLevel1X 2 2 5" xfId="56801" xr:uid="{00000000-0005-0000-0000-0000A9DD0000}"/>
    <cellStyle name="SAPBEXHLevel1X 2 2 5 2" xfId="56802" xr:uid="{00000000-0005-0000-0000-0000AADD0000}"/>
    <cellStyle name="SAPBEXHLevel1X 2 2 6" xfId="56803" xr:uid="{00000000-0005-0000-0000-0000ABDD0000}"/>
    <cellStyle name="SAPBEXHLevel1X 2 2 6 2" xfId="56804" xr:uid="{00000000-0005-0000-0000-0000ACDD0000}"/>
    <cellStyle name="SAPBEXHLevel1X 2 2 7" xfId="56805" xr:uid="{00000000-0005-0000-0000-0000ADDD0000}"/>
    <cellStyle name="SAPBEXHLevel1X 2 2 7 2" xfId="56806" xr:uid="{00000000-0005-0000-0000-0000AEDD0000}"/>
    <cellStyle name="SAPBEXHLevel1X 2 2 8" xfId="56807" xr:uid="{00000000-0005-0000-0000-0000AFDD0000}"/>
    <cellStyle name="SAPBEXHLevel1X 2 2 9" xfId="56808" xr:uid="{00000000-0005-0000-0000-0000B0DD0000}"/>
    <cellStyle name="SAPBEXHLevel1X 2 3" xfId="56809" xr:uid="{00000000-0005-0000-0000-0000B1DD0000}"/>
    <cellStyle name="SAPBEXHLevel1X 2 3 2" xfId="56810" xr:uid="{00000000-0005-0000-0000-0000B2DD0000}"/>
    <cellStyle name="SAPBEXHLevel1X 2 3 2 2" xfId="56811" xr:uid="{00000000-0005-0000-0000-0000B3DD0000}"/>
    <cellStyle name="SAPBEXHLevel1X 2 3 3" xfId="56812" xr:uid="{00000000-0005-0000-0000-0000B4DD0000}"/>
    <cellStyle name="SAPBEXHLevel1X 2 3 3 2" xfId="56813" xr:uid="{00000000-0005-0000-0000-0000B5DD0000}"/>
    <cellStyle name="SAPBEXHLevel1X 2 3 4" xfId="56814" xr:uid="{00000000-0005-0000-0000-0000B6DD0000}"/>
    <cellStyle name="SAPBEXHLevel1X 2 3 4 2" xfId="56815" xr:uid="{00000000-0005-0000-0000-0000B7DD0000}"/>
    <cellStyle name="SAPBEXHLevel1X 2 3 5" xfId="56816" xr:uid="{00000000-0005-0000-0000-0000B8DD0000}"/>
    <cellStyle name="SAPBEXHLevel1X 2 3 6" xfId="56817" xr:uid="{00000000-0005-0000-0000-0000B9DD0000}"/>
    <cellStyle name="SAPBEXHLevel1X 2 3 7" xfId="56818" xr:uid="{00000000-0005-0000-0000-0000BADD0000}"/>
    <cellStyle name="SAPBEXHLevel1X 2 4" xfId="56819" xr:uid="{00000000-0005-0000-0000-0000BBDD0000}"/>
    <cellStyle name="SAPBEXHLevel1X 2 4 2" xfId="56820" xr:uid="{00000000-0005-0000-0000-0000BCDD0000}"/>
    <cellStyle name="SAPBEXHLevel1X 2 4 2 2" xfId="56821" xr:uid="{00000000-0005-0000-0000-0000BDDD0000}"/>
    <cellStyle name="SAPBEXHLevel1X 2 4 3" xfId="56822" xr:uid="{00000000-0005-0000-0000-0000BEDD0000}"/>
    <cellStyle name="SAPBEXHLevel1X 2 4 3 2" xfId="56823" xr:uid="{00000000-0005-0000-0000-0000BFDD0000}"/>
    <cellStyle name="SAPBEXHLevel1X 2 4 4" xfId="56824" xr:uid="{00000000-0005-0000-0000-0000C0DD0000}"/>
    <cellStyle name="SAPBEXHLevel1X 2 4 4 2" xfId="56825" xr:uid="{00000000-0005-0000-0000-0000C1DD0000}"/>
    <cellStyle name="SAPBEXHLevel1X 2 4 5" xfId="56826" xr:uid="{00000000-0005-0000-0000-0000C2DD0000}"/>
    <cellStyle name="SAPBEXHLevel1X 2 4 6" xfId="56827" xr:uid="{00000000-0005-0000-0000-0000C3DD0000}"/>
    <cellStyle name="SAPBEXHLevel1X 2 5" xfId="56828" xr:uid="{00000000-0005-0000-0000-0000C4DD0000}"/>
    <cellStyle name="SAPBEXHLevel1X 2 5 2" xfId="56829" xr:uid="{00000000-0005-0000-0000-0000C5DD0000}"/>
    <cellStyle name="SAPBEXHLevel1X 2 5 2 2" xfId="56830" xr:uid="{00000000-0005-0000-0000-0000C6DD0000}"/>
    <cellStyle name="SAPBEXHLevel1X 2 5 3" xfId="56831" xr:uid="{00000000-0005-0000-0000-0000C7DD0000}"/>
    <cellStyle name="SAPBEXHLevel1X 2 5 3 2" xfId="56832" xr:uid="{00000000-0005-0000-0000-0000C8DD0000}"/>
    <cellStyle name="SAPBEXHLevel1X 2 5 4" xfId="56833" xr:uid="{00000000-0005-0000-0000-0000C9DD0000}"/>
    <cellStyle name="SAPBEXHLevel1X 2 6" xfId="56834" xr:uid="{00000000-0005-0000-0000-0000CADD0000}"/>
    <cellStyle name="SAPBEXHLevel1X 2 6 2" xfId="56835" xr:uid="{00000000-0005-0000-0000-0000CBDD0000}"/>
    <cellStyle name="SAPBEXHLevel1X 2 7" xfId="56836" xr:uid="{00000000-0005-0000-0000-0000CCDD0000}"/>
    <cellStyle name="SAPBEXHLevel1X 2 7 2" xfId="56837" xr:uid="{00000000-0005-0000-0000-0000CDDD0000}"/>
    <cellStyle name="SAPBEXHLevel1X 2 8" xfId="56838" xr:uid="{00000000-0005-0000-0000-0000CEDD0000}"/>
    <cellStyle name="SAPBEXHLevel1X 2 8 2" xfId="56839" xr:uid="{00000000-0005-0000-0000-0000CFDD0000}"/>
    <cellStyle name="SAPBEXHLevel1X 2 9" xfId="56840" xr:uid="{00000000-0005-0000-0000-0000D0DD0000}"/>
    <cellStyle name="SAPBEXHLevel1X 2 9 2" xfId="56841" xr:uid="{00000000-0005-0000-0000-0000D1DD0000}"/>
    <cellStyle name="SAPBEXHLevel1X 3" xfId="56842" xr:uid="{00000000-0005-0000-0000-0000D2DD0000}"/>
    <cellStyle name="SAPBEXHLevel1X 3 2" xfId="56843" xr:uid="{00000000-0005-0000-0000-0000D3DD0000}"/>
    <cellStyle name="SAPBEXHLevel1X 3 2 2" xfId="56844" xr:uid="{00000000-0005-0000-0000-0000D4DD0000}"/>
    <cellStyle name="SAPBEXHLevel1X 3 2 2 2" xfId="56845" xr:uid="{00000000-0005-0000-0000-0000D5DD0000}"/>
    <cellStyle name="SAPBEXHLevel1X 3 2 2 2 2" xfId="56846" xr:uid="{00000000-0005-0000-0000-0000D6DD0000}"/>
    <cellStyle name="SAPBEXHLevel1X 3 2 2 3" xfId="56847" xr:uid="{00000000-0005-0000-0000-0000D7DD0000}"/>
    <cellStyle name="SAPBEXHLevel1X 3 2 2 3 2" xfId="56848" xr:uid="{00000000-0005-0000-0000-0000D8DD0000}"/>
    <cellStyle name="SAPBEXHLevel1X 3 2 2 4" xfId="56849" xr:uid="{00000000-0005-0000-0000-0000D9DD0000}"/>
    <cellStyle name="SAPBEXHLevel1X 3 2 2 5" xfId="56850" xr:uid="{00000000-0005-0000-0000-0000DADD0000}"/>
    <cellStyle name="SAPBEXHLevel1X 3 2 2 6" xfId="56851" xr:uid="{00000000-0005-0000-0000-0000DBDD0000}"/>
    <cellStyle name="SAPBEXHLevel1X 3 2 3" xfId="56852" xr:uid="{00000000-0005-0000-0000-0000DCDD0000}"/>
    <cellStyle name="SAPBEXHLevel1X 3 2 3 2" xfId="56853" xr:uid="{00000000-0005-0000-0000-0000DDDD0000}"/>
    <cellStyle name="SAPBEXHLevel1X 3 2 3 2 2" xfId="56854" xr:uid="{00000000-0005-0000-0000-0000DEDD0000}"/>
    <cellStyle name="SAPBEXHLevel1X 3 2 3 3" xfId="56855" xr:uid="{00000000-0005-0000-0000-0000DFDD0000}"/>
    <cellStyle name="SAPBEXHLevel1X 3 2 3 3 2" xfId="56856" xr:uid="{00000000-0005-0000-0000-0000E0DD0000}"/>
    <cellStyle name="SAPBEXHLevel1X 3 2 3 4" xfId="56857" xr:uid="{00000000-0005-0000-0000-0000E1DD0000}"/>
    <cellStyle name="SAPBEXHLevel1X 3 2 3 5" xfId="56858" xr:uid="{00000000-0005-0000-0000-0000E2DD0000}"/>
    <cellStyle name="SAPBEXHLevel1X 3 2 4" xfId="56859" xr:uid="{00000000-0005-0000-0000-0000E3DD0000}"/>
    <cellStyle name="SAPBEXHLevel1X 3 2 4 2" xfId="56860" xr:uid="{00000000-0005-0000-0000-0000E4DD0000}"/>
    <cellStyle name="SAPBEXHLevel1X 3 2 4 3" xfId="56861" xr:uid="{00000000-0005-0000-0000-0000E5DD0000}"/>
    <cellStyle name="SAPBEXHLevel1X 3 2 5" xfId="56862" xr:uid="{00000000-0005-0000-0000-0000E6DD0000}"/>
    <cellStyle name="SAPBEXHLevel1X 3 2 5 2" xfId="56863" xr:uid="{00000000-0005-0000-0000-0000E7DD0000}"/>
    <cellStyle name="SAPBEXHLevel1X 3 2 6" xfId="56864" xr:uid="{00000000-0005-0000-0000-0000E8DD0000}"/>
    <cellStyle name="SAPBEXHLevel1X 3 2 6 2" xfId="56865" xr:uid="{00000000-0005-0000-0000-0000E9DD0000}"/>
    <cellStyle name="SAPBEXHLevel1X 3 2 7" xfId="56866" xr:uid="{00000000-0005-0000-0000-0000EADD0000}"/>
    <cellStyle name="SAPBEXHLevel1X 3 2 8" xfId="56867" xr:uid="{00000000-0005-0000-0000-0000EBDD0000}"/>
    <cellStyle name="SAPBEXHLevel1X 3 2 9" xfId="56868" xr:uid="{00000000-0005-0000-0000-0000ECDD0000}"/>
    <cellStyle name="SAPBEXHLevel1X 3 3" xfId="56869" xr:uid="{00000000-0005-0000-0000-0000EDDD0000}"/>
    <cellStyle name="SAPBEXHLevel1X 3 3 2" xfId="56870" xr:uid="{00000000-0005-0000-0000-0000EEDD0000}"/>
    <cellStyle name="SAPBEXHLevel1X 3 3 2 2" xfId="56871" xr:uid="{00000000-0005-0000-0000-0000EFDD0000}"/>
    <cellStyle name="SAPBEXHLevel1X 3 3 3" xfId="56872" xr:uid="{00000000-0005-0000-0000-0000F0DD0000}"/>
    <cellStyle name="SAPBEXHLevel1X 3 3 3 2" xfId="56873" xr:uid="{00000000-0005-0000-0000-0000F1DD0000}"/>
    <cellStyle name="SAPBEXHLevel1X 3 3 4" xfId="56874" xr:uid="{00000000-0005-0000-0000-0000F2DD0000}"/>
    <cellStyle name="SAPBEXHLevel1X 3 3 4 2" xfId="56875" xr:uid="{00000000-0005-0000-0000-0000F3DD0000}"/>
    <cellStyle name="SAPBEXHLevel1X 3 3 5" xfId="56876" xr:uid="{00000000-0005-0000-0000-0000F4DD0000}"/>
    <cellStyle name="SAPBEXHLevel1X 3 3 6" xfId="56877" xr:uid="{00000000-0005-0000-0000-0000F5DD0000}"/>
    <cellStyle name="SAPBEXHLevel1X 3 3 7" xfId="56878" xr:uid="{00000000-0005-0000-0000-0000F6DD0000}"/>
    <cellStyle name="SAPBEXHLevel1X 3 4" xfId="56879" xr:uid="{00000000-0005-0000-0000-0000F7DD0000}"/>
    <cellStyle name="SAPBEXHLevel1X 3 4 2" xfId="56880" xr:uid="{00000000-0005-0000-0000-0000F8DD0000}"/>
    <cellStyle name="SAPBEXHLevel1X 3 4 2 2" xfId="56881" xr:uid="{00000000-0005-0000-0000-0000F9DD0000}"/>
    <cellStyle name="SAPBEXHLevel1X 3 4 3" xfId="56882" xr:uid="{00000000-0005-0000-0000-0000FADD0000}"/>
    <cellStyle name="SAPBEXHLevel1X 3 4 3 2" xfId="56883" xr:uid="{00000000-0005-0000-0000-0000FBDD0000}"/>
    <cellStyle name="SAPBEXHLevel1X 3 4 4" xfId="56884" xr:uid="{00000000-0005-0000-0000-0000FCDD0000}"/>
    <cellStyle name="SAPBEXHLevel1X 3 4 5" xfId="56885" xr:uid="{00000000-0005-0000-0000-0000FDDD0000}"/>
    <cellStyle name="SAPBEXHLevel1X 3 5" xfId="56886" xr:uid="{00000000-0005-0000-0000-0000FEDD0000}"/>
    <cellStyle name="SAPBEXHLevel1X 3 5 2" xfId="56887" xr:uid="{00000000-0005-0000-0000-0000FFDD0000}"/>
    <cellStyle name="SAPBEXHLevel1X 3 5 3" xfId="56888" xr:uid="{00000000-0005-0000-0000-000000DE0000}"/>
    <cellStyle name="SAPBEXHLevel1X 3 5 4" xfId="56889" xr:uid="{00000000-0005-0000-0000-000001DE0000}"/>
    <cellStyle name="SAPBEXHLevel1X 3 6" xfId="56890" xr:uid="{00000000-0005-0000-0000-000002DE0000}"/>
    <cellStyle name="SAPBEXHLevel1X 3 6 2" xfId="56891" xr:uid="{00000000-0005-0000-0000-000003DE0000}"/>
    <cellStyle name="SAPBEXHLevel1X 3 7" xfId="56892" xr:uid="{00000000-0005-0000-0000-000004DE0000}"/>
    <cellStyle name="SAPBEXHLevel1X 3 7 2" xfId="56893" xr:uid="{00000000-0005-0000-0000-000005DE0000}"/>
    <cellStyle name="SAPBEXHLevel1X 3 8" xfId="56894" xr:uid="{00000000-0005-0000-0000-000006DE0000}"/>
    <cellStyle name="SAPBEXHLevel1X 3 9" xfId="56895" xr:uid="{00000000-0005-0000-0000-000007DE0000}"/>
    <cellStyle name="SAPBEXHLevel1X 4" xfId="56896" xr:uid="{00000000-0005-0000-0000-000008DE0000}"/>
    <cellStyle name="SAPBEXHLevel1X 4 10" xfId="56897" xr:uid="{00000000-0005-0000-0000-000009DE0000}"/>
    <cellStyle name="SAPBEXHLevel1X 4 2" xfId="56898" xr:uid="{00000000-0005-0000-0000-00000ADE0000}"/>
    <cellStyle name="SAPBEXHLevel1X 4 2 2" xfId="56899" xr:uid="{00000000-0005-0000-0000-00000BDE0000}"/>
    <cellStyle name="SAPBEXHLevel1X 4 2 2 2" xfId="56900" xr:uid="{00000000-0005-0000-0000-00000CDE0000}"/>
    <cellStyle name="SAPBEXHLevel1X 4 2 2 2 2" xfId="56901" xr:uid="{00000000-0005-0000-0000-00000DDE0000}"/>
    <cellStyle name="SAPBEXHLevel1X 4 2 2 3" xfId="56902" xr:uid="{00000000-0005-0000-0000-00000EDE0000}"/>
    <cellStyle name="SAPBEXHLevel1X 4 2 2 3 2" xfId="56903" xr:uid="{00000000-0005-0000-0000-00000FDE0000}"/>
    <cellStyle name="SAPBEXHLevel1X 4 2 2 4" xfId="56904" xr:uid="{00000000-0005-0000-0000-000010DE0000}"/>
    <cellStyle name="SAPBEXHLevel1X 4 2 2 5" xfId="56905" xr:uid="{00000000-0005-0000-0000-000011DE0000}"/>
    <cellStyle name="SAPBEXHLevel1X 4 2 2 6" xfId="56906" xr:uid="{00000000-0005-0000-0000-000012DE0000}"/>
    <cellStyle name="SAPBEXHLevel1X 4 2 3" xfId="56907" xr:uid="{00000000-0005-0000-0000-000013DE0000}"/>
    <cellStyle name="SAPBEXHLevel1X 4 2 3 2" xfId="56908" xr:uid="{00000000-0005-0000-0000-000014DE0000}"/>
    <cellStyle name="SAPBEXHLevel1X 4 2 3 2 2" xfId="56909" xr:uid="{00000000-0005-0000-0000-000015DE0000}"/>
    <cellStyle name="SAPBEXHLevel1X 4 2 3 3" xfId="56910" xr:uid="{00000000-0005-0000-0000-000016DE0000}"/>
    <cellStyle name="SAPBEXHLevel1X 4 2 3 3 2" xfId="56911" xr:uid="{00000000-0005-0000-0000-000017DE0000}"/>
    <cellStyle name="SAPBEXHLevel1X 4 2 3 4" xfId="56912" xr:uid="{00000000-0005-0000-0000-000018DE0000}"/>
    <cellStyle name="SAPBEXHLevel1X 4 2 4" xfId="56913" xr:uid="{00000000-0005-0000-0000-000019DE0000}"/>
    <cellStyle name="SAPBEXHLevel1X 4 2 4 2" xfId="56914" xr:uid="{00000000-0005-0000-0000-00001ADE0000}"/>
    <cellStyle name="SAPBEXHLevel1X 4 2 5" xfId="56915" xr:uid="{00000000-0005-0000-0000-00001BDE0000}"/>
    <cellStyle name="SAPBEXHLevel1X 4 2 5 2" xfId="56916" xr:uid="{00000000-0005-0000-0000-00001CDE0000}"/>
    <cellStyle name="SAPBEXHLevel1X 4 2 6" xfId="56917" xr:uid="{00000000-0005-0000-0000-00001DDE0000}"/>
    <cellStyle name="SAPBEXHLevel1X 4 2 6 2" xfId="56918" xr:uid="{00000000-0005-0000-0000-00001EDE0000}"/>
    <cellStyle name="SAPBEXHLevel1X 4 2 7" xfId="56919" xr:uid="{00000000-0005-0000-0000-00001FDE0000}"/>
    <cellStyle name="SAPBEXHLevel1X 4 2 8" xfId="56920" xr:uid="{00000000-0005-0000-0000-000020DE0000}"/>
    <cellStyle name="SAPBEXHLevel1X 4 2 9" xfId="56921" xr:uid="{00000000-0005-0000-0000-000021DE0000}"/>
    <cellStyle name="SAPBEXHLevel1X 4 3" xfId="56922" xr:uid="{00000000-0005-0000-0000-000022DE0000}"/>
    <cellStyle name="SAPBEXHLevel1X 4 3 2" xfId="56923" xr:uid="{00000000-0005-0000-0000-000023DE0000}"/>
    <cellStyle name="SAPBEXHLevel1X 4 3 2 2" xfId="56924" xr:uid="{00000000-0005-0000-0000-000024DE0000}"/>
    <cellStyle name="SAPBEXHLevel1X 4 3 3" xfId="56925" xr:uid="{00000000-0005-0000-0000-000025DE0000}"/>
    <cellStyle name="SAPBEXHLevel1X 4 3 3 2" xfId="56926" xr:uid="{00000000-0005-0000-0000-000026DE0000}"/>
    <cellStyle name="SAPBEXHLevel1X 4 3 4" xfId="56927" xr:uid="{00000000-0005-0000-0000-000027DE0000}"/>
    <cellStyle name="SAPBEXHLevel1X 4 3 4 2" xfId="56928" xr:uid="{00000000-0005-0000-0000-000028DE0000}"/>
    <cellStyle name="SAPBEXHLevel1X 4 3 5" xfId="56929" xr:uid="{00000000-0005-0000-0000-000029DE0000}"/>
    <cellStyle name="SAPBEXHLevel1X 4 3 6" xfId="56930" xr:uid="{00000000-0005-0000-0000-00002ADE0000}"/>
    <cellStyle name="SAPBEXHLevel1X 4 3 7" xfId="56931" xr:uid="{00000000-0005-0000-0000-00002BDE0000}"/>
    <cellStyle name="SAPBEXHLevel1X 4 4" xfId="56932" xr:uid="{00000000-0005-0000-0000-00002CDE0000}"/>
    <cellStyle name="SAPBEXHLevel1X 4 4 2" xfId="56933" xr:uid="{00000000-0005-0000-0000-00002DDE0000}"/>
    <cellStyle name="SAPBEXHLevel1X 4 4 2 2" xfId="56934" xr:uid="{00000000-0005-0000-0000-00002EDE0000}"/>
    <cellStyle name="SAPBEXHLevel1X 4 4 3" xfId="56935" xr:uid="{00000000-0005-0000-0000-00002FDE0000}"/>
    <cellStyle name="SAPBEXHLevel1X 4 4 3 2" xfId="56936" xr:uid="{00000000-0005-0000-0000-000030DE0000}"/>
    <cellStyle name="SAPBEXHLevel1X 4 4 4" xfId="56937" xr:uid="{00000000-0005-0000-0000-000031DE0000}"/>
    <cellStyle name="SAPBEXHLevel1X 4 5" xfId="56938" xr:uid="{00000000-0005-0000-0000-000032DE0000}"/>
    <cellStyle name="SAPBEXHLevel1X 4 5 2" xfId="56939" xr:uid="{00000000-0005-0000-0000-000033DE0000}"/>
    <cellStyle name="SAPBEXHLevel1X 4 6" xfId="56940" xr:uid="{00000000-0005-0000-0000-000034DE0000}"/>
    <cellStyle name="SAPBEXHLevel1X 4 6 2" xfId="56941" xr:uid="{00000000-0005-0000-0000-000035DE0000}"/>
    <cellStyle name="SAPBEXHLevel1X 4 7" xfId="56942" xr:uid="{00000000-0005-0000-0000-000036DE0000}"/>
    <cellStyle name="SAPBEXHLevel1X 4 7 2" xfId="56943" xr:uid="{00000000-0005-0000-0000-000037DE0000}"/>
    <cellStyle name="SAPBEXHLevel1X 4 8" xfId="56944" xr:uid="{00000000-0005-0000-0000-000038DE0000}"/>
    <cellStyle name="SAPBEXHLevel1X 4 9" xfId="56945" xr:uid="{00000000-0005-0000-0000-000039DE0000}"/>
    <cellStyle name="SAPBEXHLevel1X 5" xfId="56946" xr:uid="{00000000-0005-0000-0000-00003ADE0000}"/>
    <cellStyle name="SAPBEXHLevel1X 5 10" xfId="56947" xr:uid="{00000000-0005-0000-0000-00003BDE0000}"/>
    <cellStyle name="SAPBEXHLevel1X 5 11" xfId="56948" xr:uid="{00000000-0005-0000-0000-00003CDE0000}"/>
    <cellStyle name="SAPBEXHLevel1X 5 2" xfId="56949" xr:uid="{00000000-0005-0000-0000-00003DDE0000}"/>
    <cellStyle name="SAPBEXHLevel1X 5 2 2" xfId="56950" xr:uid="{00000000-0005-0000-0000-00003EDE0000}"/>
    <cellStyle name="SAPBEXHLevel1X 5 2 2 2" xfId="56951" xr:uid="{00000000-0005-0000-0000-00003FDE0000}"/>
    <cellStyle name="SAPBEXHLevel1X 5 2 3" xfId="56952" xr:uid="{00000000-0005-0000-0000-000040DE0000}"/>
    <cellStyle name="SAPBEXHLevel1X 5 2 3 2" xfId="56953" xr:uid="{00000000-0005-0000-0000-000041DE0000}"/>
    <cellStyle name="SAPBEXHLevel1X 5 2 4" xfId="56954" xr:uid="{00000000-0005-0000-0000-000042DE0000}"/>
    <cellStyle name="SAPBEXHLevel1X 5 2 5" xfId="56955" xr:uid="{00000000-0005-0000-0000-000043DE0000}"/>
    <cellStyle name="SAPBEXHLevel1X 5 2 6" xfId="56956" xr:uid="{00000000-0005-0000-0000-000044DE0000}"/>
    <cellStyle name="SAPBEXHLevel1X 5 3" xfId="56957" xr:uid="{00000000-0005-0000-0000-000045DE0000}"/>
    <cellStyle name="SAPBEXHLevel1X 5 3 2" xfId="56958" xr:uid="{00000000-0005-0000-0000-000046DE0000}"/>
    <cellStyle name="SAPBEXHLevel1X 5 3 2 2" xfId="56959" xr:uid="{00000000-0005-0000-0000-000047DE0000}"/>
    <cellStyle name="SAPBEXHLevel1X 5 3 3" xfId="56960" xr:uid="{00000000-0005-0000-0000-000048DE0000}"/>
    <cellStyle name="SAPBEXHLevel1X 5 3 3 2" xfId="56961" xr:uid="{00000000-0005-0000-0000-000049DE0000}"/>
    <cellStyle name="SAPBEXHLevel1X 5 3 4" xfId="56962" xr:uid="{00000000-0005-0000-0000-00004ADE0000}"/>
    <cellStyle name="SAPBEXHLevel1X 5 4" xfId="56963" xr:uid="{00000000-0005-0000-0000-00004BDE0000}"/>
    <cellStyle name="SAPBEXHLevel1X 5 4 2" xfId="56964" xr:uid="{00000000-0005-0000-0000-00004CDE0000}"/>
    <cellStyle name="SAPBEXHLevel1X 5 5" xfId="56965" xr:uid="{00000000-0005-0000-0000-00004DDE0000}"/>
    <cellStyle name="SAPBEXHLevel1X 5 5 2" xfId="56966" xr:uid="{00000000-0005-0000-0000-00004EDE0000}"/>
    <cellStyle name="SAPBEXHLevel1X 5 6" xfId="56967" xr:uid="{00000000-0005-0000-0000-00004FDE0000}"/>
    <cellStyle name="SAPBEXHLevel1X 5 6 2" xfId="56968" xr:uid="{00000000-0005-0000-0000-000050DE0000}"/>
    <cellStyle name="SAPBEXHLevel1X 5 7" xfId="56969" xr:uid="{00000000-0005-0000-0000-000051DE0000}"/>
    <cellStyle name="SAPBEXHLevel1X 5 7 2" xfId="56970" xr:uid="{00000000-0005-0000-0000-000052DE0000}"/>
    <cellStyle name="SAPBEXHLevel1X 5 8" xfId="56971" xr:uid="{00000000-0005-0000-0000-000053DE0000}"/>
    <cellStyle name="SAPBEXHLevel1X 5 8 2" xfId="56972" xr:uid="{00000000-0005-0000-0000-000054DE0000}"/>
    <cellStyle name="SAPBEXHLevel1X 5 9" xfId="56973" xr:uid="{00000000-0005-0000-0000-000055DE0000}"/>
    <cellStyle name="SAPBEXHLevel1X 6" xfId="56974" xr:uid="{00000000-0005-0000-0000-000056DE0000}"/>
    <cellStyle name="SAPBEXHLevel1X 6 2" xfId="56975" xr:uid="{00000000-0005-0000-0000-000057DE0000}"/>
    <cellStyle name="SAPBEXHLevel1X 6 2 2" xfId="56976" xr:uid="{00000000-0005-0000-0000-000058DE0000}"/>
    <cellStyle name="SAPBEXHLevel1X 6 3" xfId="56977" xr:uid="{00000000-0005-0000-0000-000059DE0000}"/>
    <cellStyle name="SAPBEXHLevel1X 6 3 2" xfId="56978" xr:uid="{00000000-0005-0000-0000-00005ADE0000}"/>
    <cellStyle name="SAPBEXHLevel1X 6 4" xfId="56979" xr:uid="{00000000-0005-0000-0000-00005BDE0000}"/>
    <cellStyle name="SAPBEXHLevel1X 6 4 2" xfId="56980" xr:uid="{00000000-0005-0000-0000-00005CDE0000}"/>
    <cellStyle name="SAPBEXHLevel1X 6 5" xfId="56981" xr:uid="{00000000-0005-0000-0000-00005DDE0000}"/>
    <cellStyle name="SAPBEXHLevel1X 6 5 2" xfId="56982" xr:uid="{00000000-0005-0000-0000-00005EDE0000}"/>
    <cellStyle name="SAPBEXHLevel1X 6 6" xfId="56983" xr:uid="{00000000-0005-0000-0000-00005FDE0000}"/>
    <cellStyle name="SAPBEXHLevel1X 6 6 2" xfId="56984" xr:uid="{00000000-0005-0000-0000-000060DE0000}"/>
    <cellStyle name="SAPBEXHLevel1X 6 7" xfId="56985" xr:uid="{00000000-0005-0000-0000-000061DE0000}"/>
    <cellStyle name="SAPBEXHLevel1X 6 8" xfId="56986" xr:uid="{00000000-0005-0000-0000-000062DE0000}"/>
    <cellStyle name="SAPBEXHLevel1X 6 9" xfId="56987" xr:uid="{00000000-0005-0000-0000-000063DE0000}"/>
    <cellStyle name="SAPBEXHLevel1X 7" xfId="56988" xr:uid="{00000000-0005-0000-0000-000064DE0000}"/>
    <cellStyle name="SAPBEXHLevel1X 7 2" xfId="56989" xr:uid="{00000000-0005-0000-0000-000065DE0000}"/>
    <cellStyle name="SAPBEXHLevel1X 7 2 2" xfId="56990" xr:uid="{00000000-0005-0000-0000-000066DE0000}"/>
    <cellStyle name="SAPBEXHLevel1X 7 3" xfId="56991" xr:uid="{00000000-0005-0000-0000-000067DE0000}"/>
    <cellStyle name="SAPBEXHLevel1X 7 3 2" xfId="56992" xr:uid="{00000000-0005-0000-0000-000068DE0000}"/>
    <cellStyle name="SAPBEXHLevel1X 7 4" xfId="56993" xr:uid="{00000000-0005-0000-0000-000069DE0000}"/>
    <cellStyle name="SAPBEXHLevel1X 7 4 2" xfId="56994" xr:uid="{00000000-0005-0000-0000-00006ADE0000}"/>
    <cellStyle name="SAPBEXHLevel1X 7 5" xfId="56995" xr:uid="{00000000-0005-0000-0000-00006BDE0000}"/>
    <cellStyle name="SAPBEXHLevel1X 7 5 2" xfId="56996" xr:uid="{00000000-0005-0000-0000-00006CDE0000}"/>
    <cellStyle name="SAPBEXHLevel1X 7 6" xfId="56997" xr:uid="{00000000-0005-0000-0000-00006DDE0000}"/>
    <cellStyle name="SAPBEXHLevel1X 7 6 2" xfId="56998" xr:uid="{00000000-0005-0000-0000-00006EDE0000}"/>
    <cellStyle name="SAPBEXHLevel1X 7 7" xfId="56999" xr:uid="{00000000-0005-0000-0000-00006FDE0000}"/>
    <cellStyle name="SAPBEXHLevel1X 7 8" xfId="57000" xr:uid="{00000000-0005-0000-0000-000070DE0000}"/>
    <cellStyle name="SAPBEXHLevel1X 8" xfId="57001" xr:uid="{00000000-0005-0000-0000-000071DE0000}"/>
    <cellStyle name="SAPBEXHLevel1X 8 2" xfId="57002" xr:uid="{00000000-0005-0000-0000-000072DE0000}"/>
    <cellStyle name="SAPBEXHLevel1X 8 2 2" xfId="57003" xr:uid="{00000000-0005-0000-0000-000073DE0000}"/>
    <cellStyle name="SAPBEXHLevel1X 8 3" xfId="57004" xr:uid="{00000000-0005-0000-0000-000074DE0000}"/>
    <cellStyle name="SAPBEXHLevel1X 9" xfId="57005" xr:uid="{00000000-0005-0000-0000-000075DE0000}"/>
    <cellStyle name="SAPBEXHLevel1X 9 2" xfId="57006" xr:uid="{00000000-0005-0000-0000-000076DE0000}"/>
    <cellStyle name="SAPBEXHLevel1X_2010-2012 Program Workbook_Incent_FS" xfId="57007" xr:uid="{00000000-0005-0000-0000-000077DE0000}"/>
    <cellStyle name="SAPBEXHLevel2" xfId="57008" xr:uid="{00000000-0005-0000-0000-000078DE0000}"/>
    <cellStyle name="SAPBEXHLevel2 10" xfId="57009" xr:uid="{00000000-0005-0000-0000-000079DE0000}"/>
    <cellStyle name="SAPBEXHLevel2 10 2" xfId="57010" xr:uid="{00000000-0005-0000-0000-00007ADE0000}"/>
    <cellStyle name="SAPBEXHLevel2 11" xfId="57011" xr:uid="{00000000-0005-0000-0000-00007BDE0000}"/>
    <cellStyle name="SAPBEXHLevel2 11 2" xfId="57012" xr:uid="{00000000-0005-0000-0000-00007CDE0000}"/>
    <cellStyle name="SAPBEXHLevel2 12" xfId="57013" xr:uid="{00000000-0005-0000-0000-00007DDE0000}"/>
    <cellStyle name="SAPBEXHLevel2 12 2" xfId="57014" xr:uid="{00000000-0005-0000-0000-00007EDE0000}"/>
    <cellStyle name="SAPBEXHLevel2 13" xfId="57015" xr:uid="{00000000-0005-0000-0000-00007FDE0000}"/>
    <cellStyle name="SAPBEXHLevel2 13 2" xfId="57016" xr:uid="{00000000-0005-0000-0000-000080DE0000}"/>
    <cellStyle name="SAPBEXHLevel2 14" xfId="57017" xr:uid="{00000000-0005-0000-0000-000081DE0000}"/>
    <cellStyle name="SAPBEXHLevel2 14 2" xfId="57018" xr:uid="{00000000-0005-0000-0000-000082DE0000}"/>
    <cellStyle name="SAPBEXHLevel2 15" xfId="57019" xr:uid="{00000000-0005-0000-0000-000083DE0000}"/>
    <cellStyle name="SAPBEXHLevel2 15 2" xfId="57020" xr:uid="{00000000-0005-0000-0000-000084DE0000}"/>
    <cellStyle name="SAPBEXHLevel2 16" xfId="57021" xr:uid="{00000000-0005-0000-0000-000085DE0000}"/>
    <cellStyle name="SAPBEXHLevel2 16 2" xfId="57022" xr:uid="{00000000-0005-0000-0000-000086DE0000}"/>
    <cellStyle name="SAPBEXHLevel2 17" xfId="57023" xr:uid="{00000000-0005-0000-0000-000087DE0000}"/>
    <cellStyle name="SAPBEXHLevel2 18" xfId="57024" xr:uid="{00000000-0005-0000-0000-000088DE0000}"/>
    <cellStyle name="SAPBEXHLevel2 19" xfId="57025" xr:uid="{00000000-0005-0000-0000-000089DE0000}"/>
    <cellStyle name="SAPBEXHLevel2 2" xfId="57026" xr:uid="{00000000-0005-0000-0000-00008ADE0000}"/>
    <cellStyle name="SAPBEXHLevel2 2 10" xfId="57027" xr:uid="{00000000-0005-0000-0000-00008BDE0000}"/>
    <cellStyle name="SAPBEXHLevel2 2 11" xfId="57028" xr:uid="{00000000-0005-0000-0000-00008CDE0000}"/>
    <cellStyle name="SAPBEXHLevel2 2 2" xfId="57029" xr:uid="{00000000-0005-0000-0000-00008DDE0000}"/>
    <cellStyle name="SAPBEXHLevel2 2 2 2" xfId="57030" xr:uid="{00000000-0005-0000-0000-00008EDE0000}"/>
    <cellStyle name="SAPBEXHLevel2 2 2 2 2" xfId="57031" xr:uid="{00000000-0005-0000-0000-00008FDE0000}"/>
    <cellStyle name="SAPBEXHLevel2 2 2 2 2 2" xfId="57032" xr:uid="{00000000-0005-0000-0000-000090DE0000}"/>
    <cellStyle name="SAPBEXHLevel2 2 2 2 3" xfId="57033" xr:uid="{00000000-0005-0000-0000-000091DE0000}"/>
    <cellStyle name="SAPBEXHLevel2 2 2 2 3 2" xfId="57034" xr:uid="{00000000-0005-0000-0000-000092DE0000}"/>
    <cellStyle name="SAPBEXHLevel2 2 2 2 4" xfId="57035" xr:uid="{00000000-0005-0000-0000-000093DE0000}"/>
    <cellStyle name="SAPBEXHLevel2 2 2 2 5" xfId="57036" xr:uid="{00000000-0005-0000-0000-000094DE0000}"/>
    <cellStyle name="SAPBEXHLevel2 2 2 2 6" xfId="57037" xr:uid="{00000000-0005-0000-0000-000095DE0000}"/>
    <cellStyle name="SAPBEXHLevel2 2 2 3" xfId="57038" xr:uid="{00000000-0005-0000-0000-000096DE0000}"/>
    <cellStyle name="SAPBEXHLevel2 2 2 3 2" xfId="57039" xr:uid="{00000000-0005-0000-0000-000097DE0000}"/>
    <cellStyle name="SAPBEXHLevel2 2 2 3 2 2" xfId="57040" xr:uid="{00000000-0005-0000-0000-000098DE0000}"/>
    <cellStyle name="SAPBEXHLevel2 2 2 3 3" xfId="57041" xr:uid="{00000000-0005-0000-0000-000099DE0000}"/>
    <cellStyle name="SAPBEXHLevel2 2 2 3 3 2" xfId="57042" xr:uid="{00000000-0005-0000-0000-00009ADE0000}"/>
    <cellStyle name="SAPBEXHLevel2 2 2 3 4" xfId="57043" xr:uid="{00000000-0005-0000-0000-00009BDE0000}"/>
    <cellStyle name="SAPBEXHLevel2 2 2 4" xfId="57044" xr:uid="{00000000-0005-0000-0000-00009CDE0000}"/>
    <cellStyle name="SAPBEXHLevel2 2 2 4 2" xfId="57045" xr:uid="{00000000-0005-0000-0000-00009DDE0000}"/>
    <cellStyle name="SAPBEXHLevel2 2 2 5" xfId="57046" xr:uid="{00000000-0005-0000-0000-00009EDE0000}"/>
    <cellStyle name="SAPBEXHLevel2 2 2 5 2" xfId="57047" xr:uid="{00000000-0005-0000-0000-00009FDE0000}"/>
    <cellStyle name="SAPBEXHLevel2 2 2 6" xfId="57048" xr:uid="{00000000-0005-0000-0000-0000A0DE0000}"/>
    <cellStyle name="SAPBEXHLevel2 2 2 6 2" xfId="57049" xr:uid="{00000000-0005-0000-0000-0000A1DE0000}"/>
    <cellStyle name="SAPBEXHLevel2 2 2 7" xfId="57050" xr:uid="{00000000-0005-0000-0000-0000A2DE0000}"/>
    <cellStyle name="SAPBEXHLevel2 2 2 8" xfId="57051" xr:uid="{00000000-0005-0000-0000-0000A3DE0000}"/>
    <cellStyle name="SAPBEXHLevel2 2 3" xfId="57052" xr:uid="{00000000-0005-0000-0000-0000A4DE0000}"/>
    <cellStyle name="SAPBEXHLevel2 2 3 2" xfId="57053" xr:uid="{00000000-0005-0000-0000-0000A5DE0000}"/>
    <cellStyle name="SAPBEXHLevel2 2 3 2 2" xfId="57054" xr:uid="{00000000-0005-0000-0000-0000A6DE0000}"/>
    <cellStyle name="SAPBEXHLevel2 2 3 3" xfId="57055" xr:uid="{00000000-0005-0000-0000-0000A7DE0000}"/>
    <cellStyle name="SAPBEXHLevel2 2 3 3 2" xfId="57056" xr:uid="{00000000-0005-0000-0000-0000A8DE0000}"/>
    <cellStyle name="SAPBEXHLevel2 2 3 4" xfId="57057" xr:uid="{00000000-0005-0000-0000-0000A9DE0000}"/>
    <cellStyle name="SAPBEXHLevel2 2 3 4 2" xfId="57058" xr:uid="{00000000-0005-0000-0000-0000AADE0000}"/>
    <cellStyle name="SAPBEXHLevel2 2 3 5" xfId="57059" xr:uid="{00000000-0005-0000-0000-0000ABDE0000}"/>
    <cellStyle name="SAPBEXHLevel2 2 3 6" xfId="57060" xr:uid="{00000000-0005-0000-0000-0000ACDE0000}"/>
    <cellStyle name="SAPBEXHLevel2 2 3 7" xfId="57061" xr:uid="{00000000-0005-0000-0000-0000ADDE0000}"/>
    <cellStyle name="SAPBEXHLevel2 2 4" xfId="57062" xr:uid="{00000000-0005-0000-0000-0000AEDE0000}"/>
    <cellStyle name="SAPBEXHLevel2 2 4 2" xfId="57063" xr:uid="{00000000-0005-0000-0000-0000AFDE0000}"/>
    <cellStyle name="SAPBEXHLevel2 2 4 2 2" xfId="57064" xr:uid="{00000000-0005-0000-0000-0000B0DE0000}"/>
    <cellStyle name="SAPBEXHLevel2 2 4 3" xfId="57065" xr:uid="{00000000-0005-0000-0000-0000B1DE0000}"/>
    <cellStyle name="SAPBEXHLevel2 2 4 3 2" xfId="57066" xr:uid="{00000000-0005-0000-0000-0000B2DE0000}"/>
    <cellStyle name="SAPBEXHLevel2 2 4 4" xfId="57067" xr:uid="{00000000-0005-0000-0000-0000B3DE0000}"/>
    <cellStyle name="SAPBEXHLevel2 2 4 4 2" xfId="57068" xr:uid="{00000000-0005-0000-0000-0000B4DE0000}"/>
    <cellStyle name="SAPBEXHLevel2 2 4 5" xfId="57069" xr:uid="{00000000-0005-0000-0000-0000B5DE0000}"/>
    <cellStyle name="SAPBEXHLevel2 2 4 6" xfId="57070" xr:uid="{00000000-0005-0000-0000-0000B6DE0000}"/>
    <cellStyle name="SAPBEXHLevel2 2 5" xfId="57071" xr:uid="{00000000-0005-0000-0000-0000B7DE0000}"/>
    <cellStyle name="SAPBEXHLevel2 2 5 2" xfId="57072" xr:uid="{00000000-0005-0000-0000-0000B8DE0000}"/>
    <cellStyle name="SAPBEXHLevel2 2 6" xfId="57073" xr:uid="{00000000-0005-0000-0000-0000B9DE0000}"/>
    <cellStyle name="SAPBEXHLevel2 2 6 2" xfId="57074" xr:uid="{00000000-0005-0000-0000-0000BADE0000}"/>
    <cellStyle name="SAPBEXHLevel2 2 7" xfId="57075" xr:uid="{00000000-0005-0000-0000-0000BBDE0000}"/>
    <cellStyle name="SAPBEXHLevel2 2 7 2" xfId="57076" xr:uid="{00000000-0005-0000-0000-0000BCDE0000}"/>
    <cellStyle name="SAPBEXHLevel2 2 8" xfId="57077" xr:uid="{00000000-0005-0000-0000-0000BDDE0000}"/>
    <cellStyle name="SAPBEXHLevel2 2 8 2" xfId="57078" xr:uid="{00000000-0005-0000-0000-0000BEDE0000}"/>
    <cellStyle name="SAPBEXHLevel2 2 9" xfId="57079" xr:uid="{00000000-0005-0000-0000-0000BFDE0000}"/>
    <cellStyle name="SAPBEXHLevel2 3" xfId="57080" xr:uid="{00000000-0005-0000-0000-0000C0DE0000}"/>
    <cellStyle name="SAPBEXHLevel2 3 2" xfId="57081" xr:uid="{00000000-0005-0000-0000-0000C1DE0000}"/>
    <cellStyle name="SAPBEXHLevel2 3 2 2" xfId="57082" xr:uid="{00000000-0005-0000-0000-0000C2DE0000}"/>
    <cellStyle name="SAPBEXHLevel2 3 2 2 2" xfId="57083" xr:uid="{00000000-0005-0000-0000-0000C3DE0000}"/>
    <cellStyle name="SAPBEXHLevel2 3 2 2 2 2" xfId="57084" xr:uid="{00000000-0005-0000-0000-0000C4DE0000}"/>
    <cellStyle name="SAPBEXHLevel2 3 2 2 3" xfId="57085" xr:uid="{00000000-0005-0000-0000-0000C5DE0000}"/>
    <cellStyle name="SAPBEXHLevel2 3 2 2 3 2" xfId="57086" xr:uid="{00000000-0005-0000-0000-0000C6DE0000}"/>
    <cellStyle name="SAPBEXHLevel2 3 2 2 4" xfId="57087" xr:uid="{00000000-0005-0000-0000-0000C7DE0000}"/>
    <cellStyle name="SAPBEXHLevel2 3 2 2 5" xfId="57088" xr:uid="{00000000-0005-0000-0000-0000C8DE0000}"/>
    <cellStyle name="SAPBEXHLevel2 3 2 2 6" xfId="57089" xr:uid="{00000000-0005-0000-0000-0000C9DE0000}"/>
    <cellStyle name="SAPBEXHLevel2 3 2 3" xfId="57090" xr:uid="{00000000-0005-0000-0000-0000CADE0000}"/>
    <cellStyle name="SAPBEXHLevel2 3 2 3 2" xfId="57091" xr:uid="{00000000-0005-0000-0000-0000CBDE0000}"/>
    <cellStyle name="SAPBEXHLevel2 3 2 3 2 2" xfId="57092" xr:uid="{00000000-0005-0000-0000-0000CCDE0000}"/>
    <cellStyle name="SAPBEXHLevel2 3 2 3 3" xfId="57093" xr:uid="{00000000-0005-0000-0000-0000CDDE0000}"/>
    <cellStyle name="SAPBEXHLevel2 3 2 3 3 2" xfId="57094" xr:uid="{00000000-0005-0000-0000-0000CEDE0000}"/>
    <cellStyle name="SAPBEXHLevel2 3 2 3 4" xfId="57095" xr:uid="{00000000-0005-0000-0000-0000CFDE0000}"/>
    <cellStyle name="SAPBEXHLevel2 3 2 3 5" xfId="57096" xr:uid="{00000000-0005-0000-0000-0000D0DE0000}"/>
    <cellStyle name="SAPBEXHLevel2 3 2 4" xfId="57097" xr:uid="{00000000-0005-0000-0000-0000D1DE0000}"/>
    <cellStyle name="SAPBEXHLevel2 3 2 4 2" xfId="57098" xr:uid="{00000000-0005-0000-0000-0000D2DE0000}"/>
    <cellStyle name="SAPBEXHLevel2 3 2 5" xfId="57099" xr:uid="{00000000-0005-0000-0000-0000D3DE0000}"/>
    <cellStyle name="SAPBEXHLevel2 3 2 5 2" xfId="57100" xr:uid="{00000000-0005-0000-0000-0000D4DE0000}"/>
    <cellStyle name="SAPBEXHLevel2 3 2 6" xfId="57101" xr:uid="{00000000-0005-0000-0000-0000D5DE0000}"/>
    <cellStyle name="SAPBEXHLevel2 3 2 6 2" xfId="57102" xr:uid="{00000000-0005-0000-0000-0000D6DE0000}"/>
    <cellStyle name="SAPBEXHLevel2 3 2 7" xfId="57103" xr:uid="{00000000-0005-0000-0000-0000D7DE0000}"/>
    <cellStyle name="SAPBEXHLevel2 3 2 8" xfId="57104" xr:uid="{00000000-0005-0000-0000-0000D8DE0000}"/>
    <cellStyle name="SAPBEXHLevel2 3 2 9" xfId="57105" xr:uid="{00000000-0005-0000-0000-0000D9DE0000}"/>
    <cellStyle name="SAPBEXHLevel2 3 3" xfId="57106" xr:uid="{00000000-0005-0000-0000-0000DADE0000}"/>
    <cellStyle name="SAPBEXHLevel2 3 3 2" xfId="57107" xr:uid="{00000000-0005-0000-0000-0000DBDE0000}"/>
    <cellStyle name="SAPBEXHLevel2 3 3 2 2" xfId="57108" xr:uid="{00000000-0005-0000-0000-0000DCDE0000}"/>
    <cellStyle name="SAPBEXHLevel2 3 3 3" xfId="57109" xr:uid="{00000000-0005-0000-0000-0000DDDE0000}"/>
    <cellStyle name="SAPBEXHLevel2 3 3 3 2" xfId="57110" xr:uid="{00000000-0005-0000-0000-0000DEDE0000}"/>
    <cellStyle name="SAPBEXHLevel2 3 3 4" xfId="57111" xr:uid="{00000000-0005-0000-0000-0000DFDE0000}"/>
    <cellStyle name="SAPBEXHLevel2 3 3 4 2" xfId="57112" xr:uid="{00000000-0005-0000-0000-0000E0DE0000}"/>
    <cellStyle name="SAPBEXHLevel2 3 3 5" xfId="57113" xr:uid="{00000000-0005-0000-0000-0000E1DE0000}"/>
    <cellStyle name="SAPBEXHLevel2 3 3 6" xfId="57114" xr:uid="{00000000-0005-0000-0000-0000E2DE0000}"/>
    <cellStyle name="SAPBEXHLevel2 3 3 7" xfId="57115" xr:uid="{00000000-0005-0000-0000-0000E3DE0000}"/>
    <cellStyle name="SAPBEXHLevel2 3 4" xfId="57116" xr:uid="{00000000-0005-0000-0000-0000E4DE0000}"/>
    <cellStyle name="SAPBEXHLevel2 3 4 2" xfId="57117" xr:uid="{00000000-0005-0000-0000-0000E5DE0000}"/>
    <cellStyle name="SAPBEXHLevel2 3 4 2 2" xfId="57118" xr:uid="{00000000-0005-0000-0000-0000E6DE0000}"/>
    <cellStyle name="SAPBEXHLevel2 3 4 3" xfId="57119" xr:uid="{00000000-0005-0000-0000-0000E7DE0000}"/>
    <cellStyle name="SAPBEXHLevel2 3 4 3 2" xfId="57120" xr:uid="{00000000-0005-0000-0000-0000E8DE0000}"/>
    <cellStyle name="SAPBEXHLevel2 3 4 4" xfId="57121" xr:uid="{00000000-0005-0000-0000-0000E9DE0000}"/>
    <cellStyle name="SAPBEXHLevel2 3 4 5" xfId="57122" xr:uid="{00000000-0005-0000-0000-0000EADE0000}"/>
    <cellStyle name="SAPBEXHLevel2 3 4 6" xfId="57123" xr:uid="{00000000-0005-0000-0000-0000EBDE0000}"/>
    <cellStyle name="SAPBEXHLevel2 3 5" xfId="57124" xr:uid="{00000000-0005-0000-0000-0000ECDE0000}"/>
    <cellStyle name="SAPBEXHLevel2 3 5 2" xfId="57125" xr:uid="{00000000-0005-0000-0000-0000EDDE0000}"/>
    <cellStyle name="SAPBEXHLevel2 3 5 3" xfId="57126" xr:uid="{00000000-0005-0000-0000-0000EEDE0000}"/>
    <cellStyle name="SAPBEXHLevel2 3 6" xfId="57127" xr:uid="{00000000-0005-0000-0000-0000EFDE0000}"/>
    <cellStyle name="SAPBEXHLevel2 3 6 2" xfId="57128" xr:uid="{00000000-0005-0000-0000-0000F0DE0000}"/>
    <cellStyle name="SAPBEXHLevel2 3 7" xfId="57129" xr:uid="{00000000-0005-0000-0000-0000F1DE0000}"/>
    <cellStyle name="SAPBEXHLevel2 3 7 2" xfId="57130" xr:uid="{00000000-0005-0000-0000-0000F2DE0000}"/>
    <cellStyle name="SAPBEXHLevel2 3 8" xfId="57131" xr:uid="{00000000-0005-0000-0000-0000F3DE0000}"/>
    <cellStyle name="SAPBEXHLevel2 3 9" xfId="57132" xr:uid="{00000000-0005-0000-0000-0000F4DE0000}"/>
    <cellStyle name="SAPBEXHLevel2 4" xfId="57133" xr:uid="{00000000-0005-0000-0000-0000F5DE0000}"/>
    <cellStyle name="SAPBEXHLevel2 4 2" xfId="57134" xr:uid="{00000000-0005-0000-0000-0000F6DE0000}"/>
    <cellStyle name="SAPBEXHLevel2 4 2 2" xfId="57135" xr:uid="{00000000-0005-0000-0000-0000F7DE0000}"/>
    <cellStyle name="SAPBEXHLevel2 4 2 2 2" xfId="57136" xr:uid="{00000000-0005-0000-0000-0000F8DE0000}"/>
    <cellStyle name="SAPBEXHLevel2 4 2 2 3" xfId="57137" xr:uid="{00000000-0005-0000-0000-0000F9DE0000}"/>
    <cellStyle name="SAPBEXHLevel2 4 2 3" xfId="57138" xr:uid="{00000000-0005-0000-0000-0000FADE0000}"/>
    <cellStyle name="SAPBEXHLevel2 4 2 4" xfId="57139" xr:uid="{00000000-0005-0000-0000-0000FBDE0000}"/>
    <cellStyle name="SAPBEXHLevel2 4 3" xfId="57140" xr:uid="{00000000-0005-0000-0000-0000FCDE0000}"/>
    <cellStyle name="SAPBEXHLevel2 4 3 2" xfId="57141" xr:uid="{00000000-0005-0000-0000-0000FDDE0000}"/>
    <cellStyle name="SAPBEXHLevel2 4 3 3" xfId="57142" xr:uid="{00000000-0005-0000-0000-0000FEDE0000}"/>
    <cellStyle name="SAPBEXHLevel2 4 3 4" xfId="57143" xr:uid="{00000000-0005-0000-0000-0000FFDE0000}"/>
    <cellStyle name="SAPBEXHLevel2 4 4" xfId="57144" xr:uid="{00000000-0005-0000-0000-000000DF0000}"/>
    <cellStyle name="SAPBEXHLevel2 4 4 2" xfId="57145" xr:uid="{00000000-0005-0000-0000-000001DF0000}"/>
    <cellStyle name="SAPBEXHLevel2 4 5" xfId="57146" xr:uid="{00000000-0005-0000-0000-000002DF0000}"/>
    <cellStyle name="SAPBEXHLevel2 4 5 2" xfId="57147" xr:uid="{00000000-0005-0000-0000-000003DF0000}"/>
    <cellStyle name="SAPBEXHLevel2 4 6" xfId="57148" xr:uid="{00000000-0005-0000-0000-000004DF0000}"/>
    <cellStyle name="SAPBEXHLevel2 4 6 2" xfId="57149" xr:uid="{00000000-0005-0000-0000-000005DF0000}"/>
    <cellStyle name="SAPBEXHLevel2 4 7" xfId="57150" xr:uid="{00000000-0005-0000-0000-000006DF0000}"/>
    <cellStyle name="SAPBEXHLevel2 4 8" xfId="57151" xr:uid="{00000000-0005-0000-0000-000007DF0000}"/>
    <cellStyle name="SAPBEXHLevel2 4 9" xfId="57152" xr:uid="{00000000-0005-0000-0000-000008DF0000}"/>
    <cellStyle name="SAPBEXHLevel2 5" xfId="57153" xr:uid="{00000000-0005-0000-0000-000009DF0000}"/>
    <cellStyle name="SAPBEXHLevel2 5 10" xfId="57154" xr:uid="{00000000-0005-0000-0000-00000ADF0000}"/>
    <cellStyle name="SAPBEXHLevel2 5 11" xfId="57155" xr:uid="{00000000-0005-0000-0000-00000BDF0000}"/>
    <cellStyle name="SAPBEXHLevel2 5 2" xfId="57156" xr:uid="{00000000-0005-0000-0000-00000CDF0000}"/>
    <cellStyle name="SAPBEXHLevel2 5 2 2" xfId="57157" xr:uid="{00000000-0005-0000-0000-00000DDF0000}"/>
    <cellStyle name="SAPBEXHLevel2 5 2 2 2" xfId="57158" xr:uid="{00000000-0005-0000-0000-00000EDF0000}"/>
    <cellStyle name="SAPBEXHLevel2 5 2 3" xfId="57159" xr:uid="{00000000-0005-0000-0000-00000FDF0000}"/>
    <cellStyle name="SAPBEXHLevel2 5 2 3 2" xfId="57160" xr:uid="{00000000-0005-0000-0000-000010DF0000}"/>
    <cellStyle name="SAPBEXHLevel2 5 2 4" xfId="57161" xr:uid="{00000000-0005-0000-0000-000011DF0000}"/>
    <cellStyle name="SAPBEXHLevel2 5 2 5" xfId="57162" xr:uid="{00000000-0005-0000-0000-000012DF0000}"/>
    <cellStyle name="SAPBEXHLevel2 5 2 6" xfId="57163" xr:uid="{00000000-0005-0000-0000-000013DF0000}"/>
    <cellStyle name="SAPBEXHLevel2 5 3" xfId="57164" xr:uid="{00000000-0005-0000-0000-000014DF0000}"/>
    <cellStyle name="SAPBEXHLevel2 5 3 2" xfId="57165" xr:uid="{00000000-0005-0000-0000-000015DF0000}"/>
    <cellStyle name="SAPBEXHLevel2 5 3 2 2" xfId="57166" xr:uid="{00000000-0005-0000-0000-000016DF0000}"/>
    <cellStyle name="SAPBEXHLevel2 5 3 3" xfId="57167" xr:uid="{00000000-0005-0000-0000-000017DF0000}"/>
    <cellStyle name="SAPBEXHLevel2 5 3 3 2" xfId="57168" xr:uid="{00000000-0005-0000-0000-000018DF0000}"/>
    <cellStyle name="SAPBEXHLevel2 5 3 4" xfId="57169" xr:uid="{00000000-0005-0000-0000-000019DF0000}"/>
    <cellStyle name="SAPBEXHLevel2 5 4" xfId="57170" xr:uid="{00000000-0005-0000-0000-00001ADF0000}"/>
    <cellStyle name="SAPBEXHLevel2 5 4 2" xfId="57171" xr:uid="{00000000-0005-0000-0000-00001BDF0000}"/>
    <cellStyle name="SAPBEXHLevel2 5 5" xfId="57172" xr:uid="{00000000-0005-0000-0000-00001CDF0000}"/>
    <cellStyle name="SAPBEXHLevel2 5 5 2" xfId="57173" xr:uid="{00000000-0005-0000-0000-00001DDF0000}"/>
    <cellStyle name="SAPBEXHLevel2 5 6" xfId="57174" xr:uid="{00000000-0005-0000-0000-00001EDF0000}"/>
    <cellStyle name="SAPBEXHLevel2 5 6 2" xfId="57175" xr:uid="{00000000-0005-0000-0000-00001FDF0000}"/>
    <cellStyle name="SAPBEXHLevel2 5 7" xfId="57176" xr:uid="{00000000-0005-0000-0000-000020DF0000}"/>
    <cellStyle name="SAPBEXHLevel2 5 7 2" xfId="57177" xr:uid="{00000000-0005-0000-0000-000021DF0000}"/>
    <cellStyle name="SAPBEXHLevel2 5 8" xfId="57178" xr:uid="{00000000-0005-0000-0000-000022DF0000}"/>
    <cellStyle name="SAPBEXHLevel2 5 8 2" xfId="57179" xr:uid="{00000000-0005-0000-0000-000023DF0000}"/>
    <cellStyle name="SAPBEXHLevel2 5 9" xfId="57180" xr:uid="{00000000-0005-0000-0000-000024DF0000}"/>
    <cellStyle name="SAPBEXHLevel2 6" xfId="57181" xr:uid="{00000000-0005-0000-0000-000025DF0000}"/>
    <cellStyle name="SAPBEXHLevel2 6 2" xfId="57182" xr:uid="{00000000-0005-0000-0000-000026DF0000}"/>
    <cellStyle name="SAPBEXHLevel2 6 2 2" xfId="57183" xr:uid="{00000000-0005-0000-0000-000027DF0000}"/>
    <cellStyle name="SAPBEXHLevel2 6 3" xfId="57184" xr:uid="{00000000-0005-0000-0000-000028DF0000}"/>
    <cellStyle name="SAPBEXHLevel2 6 3 2" xfId="57185" xr:uid="{00000000-0005-0000-0000-000029DF0000}"/>
    <cellStyle name="SAPBEXHLevel2 6 4" xfId="57186" xr:uid="{00000000-0005-0000-0000-00002ADF0000}"/>
    <cellStyle name="SAPBEXHLevel2 6 4 2" xfId="57187" xr:uid="{00000000-0005-0000-0000-00002BDF0000}"/>
    <cellStyle name="SAPBEXHLevel2 6 5" xfId="57188" xr:uid="{00000000-0005-0000-0000-00002CDF0000}"/>
    <cellStyle name="SAPBEXHLevel2 6 5 2" xfId="57189" xr:uid="{00000000-0005-0000-0000-00002DDF0000}"/>
    <cellStyle name="SAPBEXHLevel2 6 6" xfId="57190" xr:uid="{00000000-0005-0000-0000-00002EDF0000}"/>
    <cellStyle name="SAPBEXHLevel2 6 6 2" xfId="57191" xr:uid="{00000000-0005-0000-0000-00002FDF0000}"/>
    <cellStyle name="SAPBEXHLevel2 6 7" xfId="57192" xr:uid="{00000000-0005-0000-0000-000030DF0000}"/>
    <cellStyle name="SAPBEXHLevel2 6 8" xfId="57193" xr:uid="{00000000-0005-0000-0000-000031DF0000}"/>
    <cellStyle name="SAPBEXHLevel2 6 9" xfId="57194" xr:uid="{00000000-0005-0000-0000-000032DF0000}"/>
    <cellStyle name="SAPBEXHLevel2 7" xfId="57195" xr:uid="{00000000-0005-0000-0000-000033DF0000}"/>
    <cellStyle name="SAPBEXHLevel2 7 2" xfId="57196" xr:uid="{00000000-0005-0000-0000-000034DF0000}"/>
    <cellStyle name="SAPBEXHLevel2 7 2 2" xfId="57197" xr:uid="{00000000-0005-0000-0000-000035DF0000}"/>
    <cellStyle name="SAPBEXHLevel2 7 3" xfId="57198" xr:uid="{00000000-0005-0000-0000-000036DF0000}"/>
    <cellStyle name="SAPBEXHLevel2 7 3 2" xfId="57199" xr:uid="{00000000-0005-0000-0000-000037DF0000}"/>
    <cellStyle name="SAPBEXHLevel2 7 4" xfId="57200" xr:uid="{00000000-0005-0000-0000-000038DF0000}"/>
    <cellStyle name="SAPBEXHLevel2 7 5" xfId="57201" xr:uid="{00000000-0005-0000-0000-000039DF0000}"/>
    <cellStyle name="SAPBEXHLevel2 8" xfId="57202" xr:uid="{00000000-0005-0000-0000-00003ADF0000}"/>
    <cellStyle name="SAPBEXHLevel2 8 2" xfId="57203" xr:uid="{00000000-0005-0000-0000-00003BDF0000}"/>
    <cellStyle name="SAPBEXHLevel2 8 2 2" xfId="57204" xr:uid="{00000000-0005-0000-0000-00003CDF0000}"/>
    <cellStyle name="SAPBEXHLevel2 8 3" xfId="57205" xr:uid="{00000000-0005-0000-0000-00003DDF0000}"/>
    <cellStyle name="SAPBEXHLevel2 9" xfId="57206" xr:uid="{00000000-0005-0000-0000-00003EDF0000}"/>
    <cellStyle name="SAPBEXHLevel2 9 2" xfId="57207" xr:uid="{00000000-0005-0000-0000-00003FDF0000}"/>
    <cellStyle name="SAPBEXHLevel2X" xfId="57208" xr:uid="{00000000-0005-0000-0000-000040DF0000}"/>
    <cellStyle name="SAPBEXHLevel2X 10" xfId="57209" xr:uid="{00000000-0005-0000-0000-000041DF0000}"/>
    <cellStyle name="SAPBEXHLevel2X 10 2" xfId="57210" xr:uid="{00000000-0005-0000-0000-000042DF0000}"/>
    <cellStyle name="SAPBEXHLevel2X 11" xfId="57211" xr:uid="{00000000-0005-0000-0000-000043DF0000}"/>
    <cellStyle name="SAPBEXHLevel2X 11 2" xfId="57212" xr:uid="{00000000-0005-0000-0000-000044DF0000}"/>
    <cellStyle name="SAPBEXHLevel2X 12" xfId="57213" xr:uid="{00000000-0005-0000-0000-000045DF0000}"/>
    <cellStyle name="SAPBEXHLevel2X 12 2" xfId="57214" xr:uid="{00000000-0005-0000-0000-000046DF0000}"/>
    <cellStyle name="SAPBEXHLevel2X 13" xfId="57215" xr:uid="{00000000-0005-0000-0000-000047DF0000}"/>
    <cellStyle name="SAPBEXHLevel2X 13 2" xfId="57216" xr:uid="{00000000-0005-0000-0000-000048DF0000}"/>
    <cellStyle name="SAPBEXHLevel2X 14" xfId="57217" xr:uid="{00000000-0005-0000-0000-000049DF0000}"/>
    <cellStyle name="SAPBEXHLevel2X 14 2" xfId="57218" xr:uid="{00000000-0005-0000-0000-00004ADF0000}"/>
    <cellStyle name="SAPBEXHLevel2X 15" xfId="57219" xr:uid="{00000000-0005-0000-0000-00004BDF0000}"/>
    <cellStyle name="SAPBEXHLevel2X 15 2" xfId="57220" xr:uid="{00000000-0005-0000-0000-00004CDF0000}"/>
    <cellStyle name="SAPBEXHLevel2X 16" xfId="57221" xr:uid="{00000000-0005-0000-0000-00004DDF0000}"/>
    <cellStyle name="SAPBEXHLevel2X 16 2" xfId="57222" xr:uid="{00000000-0005-0000-0000-00004EDF0000}"/>
    <cellStyle name="SAPBEXHLevel2X 17" xfId="57223" xr:uid="{00000000-0005-0000-0000-00004FDF0000}"/>
    <cellStyle name="SAPBEXHLevel2X 18" xfId="57224" xr:uid="{00000000-0005-0000-0000-000050DF0000}"/>
    <cellStyle name="SAPBEXHLevel2X 19" xfId="57225" xr:uid="{00000000-0005-0000-0000-000051DF0000}"/>
    <cellStyle name="SAPBEXHLevel2X 2" xfId="57226" xr:uid="{00000000-0005-0000-0000-000052DF0000}"/>
    <cellStyle name="SAPBEXHLevel2X 2 10" xfId="57227" xr:uid="{00000000-0005-0000-0000-000053DF0000}"/>
    <cellStyle name="SAPBEXHLevel2X 2 11" xfId="57228" xr:uid="{00000000-0005-0000-0000-000054DF0000}"/>
    <cellStyle name="SAPBEXHLevel2X 2 12" xfId="57229" xr:uid="{00000000-0005-0000-0000-000055DF0000}"/>
    <cellStyle name="SAPBEXHLevel2X 2 2" xfId="57230" xr:uid="{00000000-0005-0000-0000-000056DF0000}"/>
    <cellStyle name="SAPBEXHLevel2X 2 2 2" xfId="57231" xr:uid="{00000000-0005-0000-0000-000057DF0000}"/>
    <cellStyle name="SAPBEXHLevel2X 2 2 2 2" xfId="57232" xr:uid="{00000000-0005-0000-0000-000058DF0000}"/>
    <cellStyle name="SAPBEXHLevel2X 2 2 2 2 2" xfId="57233" xr:uid="{00000000-0005-0000-0000-000059DF0000}"/>
    <cellStyle name="SAPBEXHLevel2X 2 2 2 2 2 2" xfId="57234" xr:uid="{00000000-0005-0000-0000-00005ADF0000}"/>
    <cellStyle name="SAPBEXHLevel2X 2 2 2 2 3" xfId="57235" xr:uid="{00000000-0005-0000-0000-00005BDF0000}"/>
    <cellStyle name="SAPBEXHLevel2X 2 2 2 2 3 2" xfId="57236" xr:uid="{00000000-0005-0000-0000-00005CDF0000}"/>
    <cellStyle name="SAPBEXHLevel2X 2 2 2 2 4" xfId="57237" xr:uid="{00000000-0005-0000-0000-00005DDF0000}"/>
    <cellStyle name="SAPBEXHLevel2X 2 2 2 3" xfId="57238" xr:uid="{00000000-0005-0000-0000-00005EDF0000}"/>
    <cellStyle name="SAPBEXHLevel2X 2 2 2 3 2" xfId="57239" xr:uid="{00000000-0005-0000-0000-00005FDF0000}"/>
    <cellStyle name="SAPBEXHLevel2X 2 2 2 4" xfId="57240" xr:uid="{00000000-0005-0000-0000-000060DF0000}"/>
    <cellStyle name="SAPBEXHLevel2X 2 2 2 4 2" xfId="57241" xr:uid="{00000000-0005-0000-0000-000061DF0000}"/>
    <cellStyle name="SAPBEXHLevel2X 2 2 2 5" xfId="57242" xr:uid="{00000000-0005-0000-0000-000062DF0000}"/>
    <cellStyle name="SAPBEXHLevel2X 2 2 2 6" xfId="57243" xr:uid="{00000000-0005-0000-0000-000063DF0000}"/>
    <cellStyle name="SAPBEXHLevel2X 2 2 2 7" xfId="57244" xr:uid="{00000000-0005-0000-0000-000064DF0000}"/>
    <cellStyle name="SAPBEXHLevel2X 2 2 3" xfId="57245" xr:uid="{00000000-0005-0000-0000-000065DF0000}"/>
    <cellStyle name="SAPBEXHLevel2X 2 2 3 2" xfId="57246" xr:uid="{00000000-0005-0000-0000-000066DF0000}"/>
    <cellStyle name="SAPBEXHLevel2X 2 2 3 2 2" xfId="57247" xr:uid="{00000000-0005-0000-0000-000067DF0000}"/>
    <cellStyle name="SAPBEXHLevel2X 2 2 3 3" xfId="57248" xr:uid="{00000000-0005-0000-0000-000068DF0000}"/>
    <cellStyle name="SAPBEXHLevel2X 2 2 3 3 2" xfId="57249" xr:uid="{00000000-0005-0000-0000-000069DF0000}"/>
    <cellStyle name="SAPBEXHLevel2X 2 2 3 4" xfId="57250" xr:uid="{00000000-0005-0000-0000-00006ADF0000}"/>
    <cellStyle name="SAPBEXHLevel2X 2 2 4" xfId="57251" xr:uid="{00000000-0005-0000-0000-00006BDF0000}"/>
    <cellStyle name="SAPBEXHLevel2X 2 2 4 2" xfId="57252" xr:uid="{00000000-0005-0000-0000-00006CDF0000}"/>
    <cellStyle name="SAPBEXHLevel2X 2 2 4 2 2" xfId="57253" xr:uid="{00000000-0005-0000-0000-00006DDF0000}"/>
    <cellStyle name="SAPBEXHLevel2X 2 2 4 3" xfId="57254" xr:uid="{00000000-0005-0000-0000-00006EDF0000}"/>
    <cellStyle name="SAPBEXHLevel2X 2 2 4 3 2" xfId="57255" xr:uid="{00000000-0005-0000-0000-00006FDF0000}"/>
    <cellStyle name="SAPBEXHLevel2X 2 2 4 4" xfId="57256" xr:uid="{00000000-0005-0000-0000-000070DF0000}"/>
    <cellStyle name="SAPBEXHLevel2X 2 2 5" xfId="57257" xr:uid="{00000000-0005-0000-0000-000071DF0000}"/>
    <cellStyle name="SAPBEXHLevel2X 2 2 5 2" xfId="57258" xr:uid="{00000000-0005-0000-0000-000072DF0000}"/>
    <cellStyle name="SAPBEXHLevel2X 2 2 6" xfId="57259" xr:uid="{00000000-0005-0000-0000-000073DF0000}"/>
    <cellStyle name="SAPBEXHLevel2X 2 2 6 2" xfId="57260" xr:uid="{00000000-0005-0000-0000-000074DF0000}"/>
    <cellStyle name="SAPBEXHLevel2X 2 2 7" xfId="57261" xr:uid="{00000000-0005-0000-0000-000075DF0000}"/>
    <cellStyle name="SAPBEXHLevel2X 2 2 7 2" xfId="57262" xr:uid="{00000000-0005-0000-0000-000076DF0000}"/>
    <cellStyle name="SAPBEXHLevel2X 2 2 8" xfId="57263" xr:uid="{00000000-0005-0000-0000-000077DF0000}"/>
    <cellStyle name="SAPBEXHLevel2X 2 2 9" xfId="57264" xr:uid="{00000000-0005-0000-0000-000078DF0000}"/>
    <cellStyle name="SAPBEXHLevel2X 2 3" xfId="57265" xr:uid="{00000000-0005-0000-0000-000079DF0000}"/>
    <cellStyle name="SAPBEXHLevel2X 2 3 2" xfId="57266" xr:uid="{00000000-0005-0000-0000-00007ADF0000}"/>
    <cellStyle name="SAPBEXHLevel2X 2 3 2 2" xfId="57267" xr:uid="{00000000-0005-0000-0000-00007BDF0000}"/>
    <cellStyle name="SAPBEXHLevel2X 2 3 3" xfId="57268" xr:uid="{00000000-0005-0000-0000-00007CDF0000}"/>
    <cellStyle name="SAPBEXHLevel2X 2 3 3 2" xfId="57269" xr:uid="{00000000-0005-0000-0000-00007DDF0000}"/>
    <cellStyle name="SAPBEXHLevel2X 2 3 4" xfId="57270" xr:uid="{00000000-0005-0000-0000-00007EDF0000}"/>
    <cellStyle name="SAPBEXHLevel2X 2 3 4 2" xfId="57271" xr:uid="{00000000-0005-0000-0000-00007FDF0000}"/>
    <cellStyle name="SAPBEXHLevel2X 2 3 5" xfId="57272" xr:uid="{00000000-0005-0000-0000-000080DF0000}"/>
    <cellStyle name="SAPBEXHLevel2X 2 3 6" xfId="57273" xr:uid="{00000000-0005-0000-0000-000081DF0000}"/>
    <cellStyle name="SAPBEXHLevel2X 2 3 7" xfId="57274" xr:uid="{00000000-0005-0000-0000-000082DF0000}"/>
    <cellStyle name="SAPBEXHLevel2X 2 4" xfId="57275" xr:uid="{00000000-0005-0000-0000-000083DF0000}"/>
    <cellStyle name="SAPBEXHLevel2X 2 4 2" xfId="57276" xr:uid="{00000000-0005-0000-0000-000084DF0000}"/>
    <cellStyle name="SAPBEXHLevel2X 2 4 2 2" xfId="57277" xr:uid="{00000000-0005-0000-0000-000085DF0000}"/>
    <cellStyle name="SAPBEXHLevel2X 2 4 3" xfId="57278" xr:uid="{00000000-0005-0000-0000-000086DF0000}"/>
    <cellStyle name="SAPBEXHLevel2X 2 4 3 2" xfId="57279" xr:uid="{00000000-0005-0000-0000-000087DF0000}"/>
    <cellStyle name="SAPBEXHLevel2X 2 4 4" xfId="57280" xr:uid="{00000000-0005-0000-0000-000088DF0000}"/>
    <cellStyle name="SAPBEXHLevel2X 2 4 4 2" xfId="57281" xr:uid="{00000000-0005-0000-0000-000089DF0000}"/>
    <cellStyle name="SAPBEXHLevel2X 2 4 5" xfId="57282" xr:uid="{00000000-0005-0000-0000-00008ADF0000}"/>
    <cellStyle name="SAPBEXHLevel2X 2 4 6" xfId="57283" xr:uid="{00000000-0005-0000-0000-00008BDF0000}"/>
    <cellStyle name="SAPBEXHLevel2X 2 5" xfId="57284" xr:uid="{00000000-0005-0000-0000-00008CDF0000}"/>
    <cellStyle name="SAPBEXHLevel2X 2 5 2" xfId="57285" xr:uid="{00000000-0005-0000-0000-00008DDF0000}"/>
    <cellStyle name="SAPBEXHLevel2X 2 5 2 2" xfId="57286" xr:uid="{00000000-0005-0000-0000-00008EDF0000}"/>
    <cellStyle name="SAPBEXHLevel2X 2 5 3" xfId="57287" xr:uid="{00000000-0005-0000-0000-00008FDF0000}"/>
    <cellStyle name="SAPBEXHLevel2X 2 5 3 2" xfId="57288" xr:uid="{00000000-0005-0000-0000-000090DF0000}"/>
    <cellStyle name="SAPBEXHLevel2X 2 5 4" xfId="57289" xr:uid="{00000000-0005-0000-0000-000091DF0000}"/>
    <cellStyle name="SAPBEXHLevel2X 2 6" xfId="57290" xr:uid="{00000000-0005-0000-0000-000092DF0000}"/>
    <cellStyle name="SAPBEXHLevel2X 2 6 2" xfId="57291" xr:uid="{00000000-0005-0000-0000-000093DF0000}"/>
    <cellStyle name="SAPBEXHLevel2X 2 7" xfId="57292" xr:uid="{00000000-0005-0000-0000-000094DF0000}"/>
    <cellStyle name="SAPBEXHLevel2X 2 7 2" xfId="57293" xr:uid="{00000000-0005-0000-0000-000095DF0000}"/>
    <cellStyle name="SAPBEXHLevel2X 2 8" xfId="57294" xr:uid="{00000000-0005-0000-0000-000096DF0000}"/>
    <cellStyle name="SAPBEXHLevel2X 2 8 2" xfId="57295" xr:uid="{00000000-0005-0000-0000-000097DF0000}"/>
    <cellStyle name="SAPBEXHLevel2X 2 9" xfId="57296" xr:uid="{00000000-0005-0000-0000-000098DF0000}"/>
    <cellStyle name="SAPBEXHLevel2X 2 9 2" xfId="57297" xr:uid="{00000000-0005-0000-0000-000099DF0000}"/>
    <cellStyle name="SAPBEXHLevel2X 3" xfId="57298" xr:uid="{00000000-0005-0000-0000-00009ADF0000}"/>
    <cellStyle name="SAPBEXHLevel2X 3 2" xfId="57299" xr:uid="{00000000-0005-0000-0000-00009BDF0000}"/>
    <cellStyle name="SAPBEXHLevel2X 3 2 2" xfId="57300" xr:uid="{00000000-0005-0000-0000-00009CDF0000}"/>
    <cellStyle name="SAPBEXHLevel2X 3 2 2 2" xfId="57301" xr:uid="{00000000-0005-0000-0000-00009DDF0000}"/>
    <cellStyle name="SAPBEXHLevel2X 3 2 2 2 2" xfId="57302" xr:uid="{00000000-0005-0000-0000-00009EDF0000}"/>
    <cellStyle name="SAPBEXHLevel2X 3 2 2 3" xfId="57303" xr:uid="{00000000-0005-0000-0000-00009FDF0000}"/>
    <cellStyle name="SAPBEXHLevel2X 3 2 2 3 2" xfId="57304" xr:uid="{00000000-0005-0000-0000-0000A0DF0000}"/>
    <cellStyle name="SAPBEXHLevel2X 3 2 2 4" xfId="57305" xr:uid="{00000000-0005-0000-0000-0000A1DF0000}"/>
    <cellStyle name="SAPBEXHLevel2X 3 2 2 5" xfId="57306" xr:uid="{00000000-0005-0000-0000-0000A2DF0000}"/>
    <cellStyle name="SAPBEXHLevel2X 3 2 2 6" xfId="57307" xr:uid="{00000000-0005-0000-0000-0000A3DF0000}"/>
    <cellStyle name="SAPBEXHLevel2X 3 2 3" xfId="57308" xr:uid="{00000000-0005-0000-0000-0000A4DF0000}"/>
    <cellStyle name="SAPBEXHLevel2X 3 2 3 2" xfId="57309" xr:uid="{00000000-0005-0000-0000-0000A5DF0000}"/>
    <cellStyle name="SAPBEXHLevel2X 3 2 3 2 2" xfId="57310" xr:uid="{00000000-0005-0000-0000-0000A6DF0000}"/>
    <cellStyle name="SAPBEXHLevel2X 3 2 3 3" xfId="57311" xr:uid="{00000000-0005-0000-0000-0000A7DF0000}"/>
    <cellStyle name="SAPBEXHLevel2X 3 2 3 3 2" xfId="57312" xr:uid="{00000000-0005-0000-0000-0000A8DF0000}"/>
    <cellStyle name="SAPBEXHLevel2X 3 2 3 4" xfId="57313" xr:uid="{00000000-0005-0000-0000-0000A9DF0000}"/>
    <cellStyle name="SAPBEXHLevel2X 3 2 3 5" xfId="57314" xr:uid="{00000000-0005-0000-0000-0000AADF0000}"/>
    <cellStyle name="SAPBEXHLevel2X 3 2 4" xfId="57315" xr:uid="{00000000-0005-0000-0000-0000ABDF0000}"/>
    <cellStyle name="SAPBEXHLevel2X 3 2 4 2" xfId="57316" xr:uid="{00000000-0005-0000-0000-0000ACDF0000}"/>
    <cellStyle name="SAPBEXHLevel2X 3 2 4 3" xfId="57317" xr:uid="{00000000-0005-0000-0000-0000ADDF0000}"/>
    <cellStyle name="SAPBEXHLevel2X 3 2 5" xfId="57318" xr:uid="{00000000-0005-0000-0000-0000AEDF0000}"/>
    <cellStyle name="SAPBEXHLevel2X 3 2 5 2" xfId="57319" xr:uid="{00000000-0005-0000-0000-0000AFDF0000}"/>
    <cellStyle name="SAPBEXHLevel2X 3 2 6" xfId="57320" xr:uid="{00000000-0005-0000-0000-0000B0DF0000}"/>
    <cellStyle name="SAPBEXHLevel2X 3 2 6 2" xfId="57321" xr:uid="{00000000-0005-0000-0000-0000B1DF0000}"/>
    <cellStyle name="SAPBEXHLevel2X 3 2 7" xfId="57322" xr:uid="{00000000-0005-0000-0000-0000B2DF0000}"/>
    <cellStyle name="SAPBEXHLevel2X 3 2 8" xfId="57323" xr:uid="{00000000-0005-0000-0000-0000B3DF0000}"/>
    <cellStyle name="SAPBEXHLevel2X 3 2 9" xfId="57324" xr:uid="{00000000-0005-0000-0000-0000B4DF0000}"/>
    <cellStyle name="SAPBEXHLevel2X 3 3" xfId="57325" xr:uid="{00000000-0005-0000-0000-0000B5DF0000}"/>
    <cellStyle name="SAPBEXHLevel2X 3 3 2" xfId="57326" xr:uid="{00000000-0005-0000-0000-0000B6DF0000}"/>
    <cellStyle name="SAPBEXHLevel2X 3 3 2 2" xfId="57327" xr:uid="{00000000-0005-0000-0000-0000B7DF0000}"/>
    <cellStyle name="SAPBEXHLevel2X 3 3 3" xfId="57328" xr:uid="{00000000-0005-0000-0000-0000B8DF0000}"/>
    <cellStyle name="SAPBEXHLevel2X 3 3 3 2" xfId="57329" xr:uid="{00000000-0005-0000-0000-0000B9DF0000}"/>
    <cellStyle name="SAPBEXHLevel2X 3 3 4" xfId="57330" xr:uid="{00000000-0005-0000-0000-0000BADF0000}"/>
    <cellStyle name="SAPBEXHLevel2X 3 3 4 2" xfId="57331" xr:uid="{00000000-0005-0000-0000-0000BBDF0000}"/>
    <cellStyle name="SAPBEXHLevel2X 3 3 5" xfId="57332" xr:uid="{00000000-0005-0000-0000-0000BCDF0000}"/>
    <cellStyle name="SAPBEXHLevel2X 3 3 6" xfId="57333" xr:uid="{00000000-0005-0000-0000-0000BDDF0000}"/>
    <cellStyle name="SAPBEXHLevel2X 3 3 7" xfId="57334" xr:uid="{00000000-0005-0000-0000-0000BEDF0000}"/>
    <cellStyle name="SAPBEXHLevel2X 3 4" xfId="57335" xr:uid="{00000000-0005-0000-0000-0000BFDF0000}"/>
    <cellStyle name="SAPBEXHLevel2X 3 4 2" xfId="57336" xr:uid="{00000000-0005-0000-0000-0000C0DF0000}"/>
    <cellStyle name="SAPBEXHLevel2X 3 4 2 2" xfId="57337" xr:uid="{00000000-0005-0000-0000-0000C1DF0000}"/>
    <cellStyle name="SAPBEXHLevel2X 3 4 3" xfId="57338" xr:uid="{00000000-0005-0000-0000-0000C2DF0000}"/>
    <cellStyle name="SAPBEXHLevel2X 3 4 3 2" xfId="57339" xr:uid="{00000000-0005-0000-0000-0000C3DF0000}"/>
    <cellStyle name="SAPBEXHLevel2X 3 4 4" xfId="57340" xr:uid="{00000000-0005-0000-0000-0000C4DF0000}"/>
    <cellStyle name="SAPBEXHLevel2X 3 4 5" xfId="57341" xr:uid="{00000000-0005-0000-0000-0000C5DF0000}"/>
    <cellStyle name="SAPBEXHLevel2X 3 5" xfId="57342" xr:uid="{00000000-0005-0000-0000-0000C6DF0000}"/>
    <cellStyle name="SAPBEXHLevel2X 3 5 2" xfId="57343" xr:uid="{00000000-0005-0000-0000-0000C7DF0000}"/>
    <cellStyle name="SAPBEXHLevel2X 3 5 3" xfId="57344" xr:uid="{00000000-0005-0000-0000-0000C8DF0000}"/>
    <cellStyle name="SAPBEXHLevel2X 3 5 4" xfId="57345" xr:uid="{00000000-0005-0000-0000-0000C9DF0000}"/>
    <cellStyle name="SAPBEXHLevel2X 3 6" xfId="57346" xr:uid="{00000000-0005-0000-0000-0000CADF0000}"/>
    <cellStyle name="SAPBEXHLevel2X 3 6 2" xfId="57347" xr:uid="{00000000-0005-0000-0000-0000CBDF0000}"/>
    <cellStyle name="SAPBEXHLevel2X 3 7" xfId="57348" xr:uid="{00000000-0005-0000-0000-0000CCDF0000}"/>
    <cellStyle name="SAPBEXHLevel2X 3 7 2" xfId="57349" xr:uid="{00000000-0005-0000-0000-0000CDDF0000}"/>
    <cellStyle name="SAPBEXHLevel2X 3 8" xfId="57350" xr:uid="{00000000-0005-0000-0000-0000CEDF0000}"/>
    <cellStyle name="SAPBEXHLevel2X 3 9" xfId="57351" xr:uid="{00000000-0005-0000-0000-0000CFDF0000}"/>
    <cellStyle name="SAPBEXHLevel2X 4" xfId="57352" xr:uid="{00000000-0005-0000-0000-0000D0DF0000}"/>
    <cellStyle name="SAPBEXHLevel2X 4 10" xfId="57353" xr:uid="{00000000-0005-0000-0000-0000D1DF0000}"/>
    <cellStyle name="SAPBEXHLevel2X 4 2" xfId="57354" xr:uid="{00000000-0005-0000-0000-0000D2DF0000}"/>
    <cellStyle name="SAPBEXHLevel2X 4 2 2" xfId="57355" xr:uid="{00000000-0005-0000-0000-0000D3DF0000}"/>
    <cellStyle name="SAPBEXHLevel2X 4 2 2 2" xfId="57356" xr:uid="{00000000-0005-0000-0000-0000D4DF0000}"/>
    <cellStyle name="SAPBEXHLevel2X 4 2 2 2 2" xfId="57357" xr:uid="{00000000-0005-0000-0000-0000D5DF0000}"/>
    <cellStyle name="SAPBEXHLevel2X 4 2 2 3" xfId="57358" xr:uid="{00000000-0005-0000-0000-0000D6DF0000}"/>
    <cellStyle name="SAPBEXHLevel2X 4 2 2 3 2" xfId="57359" xr:uid="{00000000-0005-0000-0000-0000D7DF0000}"/>
    <cellStyle name="SAPBEXHLevel2X 4 2 2 4" xfId="57360" xr:uid="{00000000-0005-0000-0000-0000D8DF0000}"/>
    <cellStyle name="SAPBEXHLevel2X 4 2 2 5" xfId="57361" xr:uid="{00000000-0005-0000-0000-0000D9DF0000}"/>
    <cellStyle name="SAPBEXHLevel2X 4 2 2 6" xfId="57362" xr:uid="{00000000-0005-0000-0000-0000DADF0000}"/>
    <cellStyle name="SAPBEXHLevel2X 4 2 3" xfId="57363" xr:uid="{00000000-0005-0000-0000-0000DBDF0000}"/>
    <cellStyle name="SAPBEXHLevel2X 4 2 3 2" xfId="57364" xr:uid="{00000000-0005-0000-0000-0000DCDF0000}"/>
    <cellStyle name="SAPBEXHLevel2X 4 2 3 2 2" xfId="57365" xr:uid="{00000000-0005-0000-0000-0000DDDF0000}"/>
    <cellStyle name="SAPBEXHLevel2X 4 2 3 3" xfId="57366" xr:uid="{00000000-0005-0000-0000-0000DEDF0000}"/>
    <cellStyle name="SAPBEXHLevel2X 4 2 3 3 2" xfId="57367" xr:uid="{00000000-0005-0000-0000-0000DFDF0000}"/>
    <cellStyle name="SAPBEXHLevel2X 4 2 3 4" xfId="57368" xr:uid="{00000000-0005-0000-0000-0000E0DF0000}"/>
    <cellStyle name="SAPBEXHLevel2X 4 2 4" xfId="57369" xr:uid="{00000000-0005-0000-0000-0000E1DF0000}"/>
    <cellStyle name="SAPBEXHLevel2X 4 2 4 2" xfId="57370" xr:uid="{00000000-0005-0000-0000-0000E2DF0000}"/>
    <cellStyle name="SAPBEXHLevel2X 4 2 5" xfId="57371" xr:uid="{00000000-0005-0000-0000-0000E3DF0000}"/>
    <cellStyle name="SAPBEXHLevel2X 4 2 5 2" xfId="57372" xr:uid="{00000000-0005-0000-0000-0000E4DF0000}"/>
    <cellStyle name="SAPBEXHLevel2X 4 2 6" xfId="57373" xr:uid="{00000000-0005-0000-0000-0000E5DF0000}"/>
    <cellStyle name="SAPBEXHLevel2X 4 2 6 2" xfId="57374" xr:uid="{00000000-0005-0000-0000-0000E6DF0000}"/>
    <cellStyle name="SAPBEXHLevel2X 4 2 7" xfId="57375" xr:uid="{00000000-0005-0000-0000-0000E7DF0000}"/>
    <cellStyle name="SAPBEXHLevel2X 4 2 8" xfId="57376" xr:uid="{00000000-0005-0000-0000-0000E8DF0000}"/>
    <cellStyle name="SAPBEXHLevel2X 4 2 9" xfId="57377" xr:uid="{00000000-0005-0000-0000-0000E9DF0000}"/>
    <cellStyle name="SAPBEXHLevel2X 4 3" xfId="57378" xr:uid="{00000000-0005-0000-0000-0000EADF0000}"/>
    <cellStyle name="SAPBEXHLevel2X 4 3 2" xfId="57379" xr:uid="{00000000-0005-0000-0000-0000EBDF0000}"/>
    <cellStyle name="SAPBEXHLevel2X 4 3 2 2" xfId="57380" xr:uid="{00000000-0005-0000-0000-0000ECDF0000}"/>
    <cellStyle name="SAPBEXHLevel2X 4 3 3" xfId="57381" xr:uid="{00000000-0005-0000-0000-0000EDDF0000}"/>
    <cellStyle name="SAPBEXHLevel2X 4 3 3 2" xfId="57382" xr:uid="{00000000-0005-0000-0000-0000EEDF0000}"/>
    <cellStyle name="SAPBEXHLevel2X 4 3 4" xfId="57383" xr:uid="{00000000-0005-0000-0000-0000EFDF0000}"/>
    <cellStyle name="SAPBEXHLevel2X 4 3 4 2" xfId="57384" xr:uid="{00000000-0005-0000-0000-0000F0DF0000}"/>
    <cellStyle name="SAPBEXHLevel2X 4 3 5" xfId="57385" xr:uid="{00000000-0005-0000-0000-0000F1DF0000}"/>
    <cellStyle name="SAPBEXHLevel2X 4 3 6" xfId="57386" xr:uid="{00000000-0005-0000-0000-0000F2DF0000}"/>
    <cellStyle name="SAPBEXHLevel2X 4 3 7" xfId="57387" xr:uid="{00000000-0005-0000-0000-0000F3DF0000}"/>
    <cellStyle name="SAPBEXHLevel2X 4 4" xfId="57388" xr:uid="{00000000-0005-0000-0000-0000F4DF0000}"/>
    <cellStyle name="SAPBEXHLevel2X 4 4 2" xfId="57389" xr:uid="{00000000-0005-0000-0000-0000F5DF0000}"/>
    <cellStyle name="SAPBEXHLevel2X 4 4 2 2" xfId="57390" xr:uid="{00000000-0005-0000-0000-0000F6DF0000}"/>
    <cellStyle name="SAPBEXHLevel2X 4 4 3" xfId="57391" xr:uid="{00000000-0005-0000-0000-0000F7DF0000}"/>
    <cellStyle name="SAPBEXHLevel2X 4 4 3 2" xfId="57392" xr:uid="{00000000-0005-0000-0000-0000F8DF0000}"/>
    <cellStyle name="SAPBEXHLevel2X 4 4 4" xfId="57393" xr:uid="{00000000-0005-0000-0000-0000F9DF0000}"/>
    <cellStyle name="SAPBEXHLevel2X 4 5" xfId="57394" xr:uid="{00000000-0005-0000-0000-0000FADF0000}"/>
    <cellStyle name="SAPBEXHLevel2X 4 5 2" xfId="57395" xr:uid="{00000000-0005-0000-0000-0000FBDF0000}"/>
    <cellStyle name="SAPBEXHLevel2X 4 6" xfId="57396" xr:uid="{00000000-0005-0000-0000-0000FCDF0000}"/>
    <cellStyle name="SAPBEXHLevel2X 4 6 2" xfId="57397" xr:uid="{00000000-0005-0000-0000-0000FDDF0000}"/>
    <cellStyle name="SAPBEXHLevel2X 4 7" xfId="57398" xr:uid="{00000000-0005-0000-0000-0000FEDF0000}"/>
    <cellStyle name="SAPBEXHLevel2X 4 7 2" xfId="57399" xr:uid="{00000000-0005-0000-0000-0000FFDF0000}"/>
    <cellStyle name="SAPBEXHLevel2X 4 8" xfId="57400" xr:uid="{00000000-0005-0000-0000-000000E00000}"/>
    <cellStyle name="SAPBEXHLevel2X 4 9" xfId="57401" xr:uid="{00000000-0005-0000-0000-000001E00000}"/>
    <cellStyle name="SAPBEXHLevel2X 5" xfId="57402" xr:uid="{00000000-0005-0000-0000-000002E00000}"/>
    <cellStyle name="SAPBEXHLevel2X 5 10" xfId="57403" xr:uid="{00000000-0005-0000-0000-000003E00000}"/>
    <cellStyle name="SAPBEXHLevel2X 5 11" xfId="57404" xr:uid="{00000000-0005-0000-0000-000004E00000}"/>
    <cellStyle name="SAPBEXHLevel2X 5 2" xfId="57405" xr:uid="{00000000-0005-0000-0000-000005E00000}"/>
    <cellStyle name="SAPBEXHLevel2X 5 2 2" xfId="57406" xr:uid="{00000000-0005-0000-0000-000006E00000}"/>
    <cellStyle name="SAPBEXHLevel2X 5 2 2 2" xfId="57407" xr:uid="{00000000-0005-0000-0000-000007E00000}"/>
    <cellStyle name="SAPBEXHLevel2X 5 2 3" xfId="57408" xr:uid="{00000000-0005-0000-0000-000008E00000}"/>
    <cellStyle name="SAPBEXHLevel2X 5 2 3 2" xfId="57409" xr:uid="{00000000-0005-0000-0000-000009E00000}"/>
    <cellStyle name="SAPBEXHLevel2X 5 2 4" xfId="57410" xr:uid="{00000000-0005-0000-0000-00000AE00000}"/>
    <cellStyle name="SAPBEXHLevel2X 5 2 5" xfId="57411" xr:uid="{00000000-0005-0000-0000-00000BE00000}"/>
    <cellStyle name="SAPBEXHLevel2X 5 2 6" xfId="57412" xr:uid="{00000000-0005-0000-0000-00000CE00000}"/>
    <cellStyle name="SAPBEXHLevel2X 5 3" xfId="57413" xr:uid="{00000000-0005-0000-0000-00000DE00000}"/>
    <cellStyle name="SAPBEXHLevel2X 5 3 2" xfId="57414" xr:uid="{00000000-0005-0000-0000-00000EE00000}"/>
    <cellStyle name="SAPBEXHLevel2X 5 3 2 2" xfId="57415" xr:uid="{00000000-0005-0000-0000-00000FE00000}"/>
    <cellStyle name="SAPBEXHLevel2X 5 3 3" xfId="57416" xr:uid="{00000000-0005-0000-0000-000010E00000}"/>
    <cellStyle name="SAPBEXHLevel2X 5 3 3 2" xfId="57417" xr:uid="{00000000-0005-0000-0000-000011E00000}"/>
    <cellStyle name="SAPBEXHLevel2X 5 3 4" xfId="57418" xr:uid="{00000000-0005-0000-0000-000012E00000}"/>
    <cellStyle name="SAPBEXHLevel2X 5 4" xfId="57419" xr:uid="{00000000-0005-0000-0000-000013E00000}"/>
    <cellStyle name="SAPBEXHLevel2X 5 4 2" xfId="57420" xr:uid="{00000000-0005-0000-0000-000014E00000}"/>
    <cellStyle name="SAPBEXHLevel2X 5 5" xfId="57421" xr:uid="{00000000-0005-0000-0000-000015E00000}"/>
    <cellStyle name="SAPBEXHLevel2X 5 5 2" xfId="57422" xr:uid="{00000000-0005-0000-0000-000016E00000}"/>
    <cellStyle name="SAPBEXHLevel2X 5 6" xfId="57423" xr:uid="{00000000-0005-0000-0000-000017E00000}"/>
    <cellStyle name="SAPBEXHLevel2X 5 6 2" xfId="57424" xr:uid="{00000000-0005-0000-0000-000018E00000}"/>
    <cellStyle name="SAPBEXHLevel2X 5 7" xfId="57425" xr:uid="{00000000-0005-0000-0000-000019E00000}"/>
    <cellStyle name="SAPBEXHLevel2X 5 7 2" xfId="57426" xr:uid="{00000000-0005-0000-0000-00001AE00000}"/>
    <cellStyle name="SAPBEXHLevel2X 5 8" xfId="57427" xr:uid="{00000000-0005-0000-0000-00001BE00000}"/>
    <cellStyle name="SAPBEXHLevel2X 5 8 2" xfId="57428" xr:uid="{00000000-0005-0000-0000-00001CE00000}"/>
    <cellStyle name="SAPBEXHLevel2X 5 9" xfId="57429" xr:uid="{00000000-0005-0000-0000-00001DE00000}"/>
    <cellStyle name="SAPBEXHLevel2X 6" xfId="57430" xr:uid="{00000000-0005-0000-0000-00001EE00000}"/>
    <cellStyle name="SAPBEXHLevel2X 6 2" xfId="57431" xr:uid="{00000000-0005-0000-0000-00001FE00000}"/>
    <cellStyle name="SAPBEXHLevel2X 6 2 2" xfId="57432" xr:uid="{00000000-0005-0000-0000-000020E00000}"/>
    <cellStyle name="SAPBEXHLevel2X 6 3" xfId="57433" xr:uid="{00000000-0005-0000-0000-000021E00000}"/>
    <cellStyle name="SAPBEXHLevel2X 6 3 2" xfId="57434" xr:uid="{00000000-0005-0000-0000-000022E00000}"/>
    <cellStyle name="SAPBEXHLevel2X 6 4" xfId="57435" xr:uid="{00000000-0005-0000-0000-000023E00000}"/>
    <cellStyle name="SAPBEXHLevel2X 6 4 2" xfId="57436" xr:uid="{00000000-0005-0000-0000-000024E00000}"/>
    <cellStyle name="SAPBEXHLevel2X 6 5" xfId="57437" xr:uid="{00000000-0005-0000-0000-000025E00000}"/>
    <cellStyle name="SAPBEXHLevel2X 6 5 2" xfId="57438" xr:uid="{00000000-0005-0000-0000-000026E00000}"/>
    <cellStyle name="SAPBEXHLevel2X 6 6" xfId="57439" xr:uid="{00000000-0005-0000-0000-000027E00000}"/>
    <cellStyle name="SAPBEXHLevel2X 6 6 2" xfId="57440" xr:uid="{00000000-0005-0000-0000-000028E00000}"/>
    <cellStyle name="SAPBEXHLevel2X 6 7" xfId="57441" xr:uid="{00000000-0005-0000-0000-000029E00000}"/>
    <cellStyle name="SAPBEXHLevel2X 6 8" xfId="57442" xr:uid="{00000000-0005-0000-0000-00002AE00000}"/>
    <cellStyle name="SAPBEXHLevel2X 6 9" xfId="57443" xr:uid="{00000000-0005-0000-0000-00002BE00000}"/>
    <cellStyle name="SAPBEXHLevel2X 7" xfId="57444" xr:uid="{00000000-0005-0000-0000-00002CE00000}"/>
    <cellStyle name="SAPBEXHLevel2X 7 2" xfId="57445" xr:uid="{00000000-0005-0000-0000-00002DE00000}"/>
    <cellStyle name="SAPBEXHLevel2X 7 2 2" xfId="57446" xr:uid="{00000000-0005-0000-0000-00002EE00000}"/>
    <cellStyle name="SAPBEXHLevel2X 7 3" xfId="57447" xr:uid="{00000000-0005-0000-0000-00002FE00000}"/>
    <cellStyle name="SAPBEXHLevel2X 7 3 2" xfId="57448" xr:uid="{00000000-0005-0000-0000-000030E00000}"/>
    <cellStyle name="SAPBEXHLevel2X 7 4" xfId="57449" xr:uid="{00000000-0005-0000-0000-000031E00000}"/>
    <cellStyle name="SAPBEXHLevel2X 7 4 2" xfId="57450" xr:uid="{00000000-0005-0000-0000-000032E00000}"/>
    <cellStyle name="SAPBEXHLevel2X 7 5" xfId="57451" xr:uid="{00000000-0005-0000-0000-000033E00000}"/>
    <cellStyle name="SAPBEXHLevel2X 7 5 2" xfId="57452" xr:uid="{00000000-0005-0000-0000-000034E00000}"/>
    <cellStyle name="SAPBEXHLevel2X 7 6" xfId="57453" xr:uid="{00000000-0005-0000-0000-000035E00000}"/>
    <cellStyle name="SAPBEXHLevel2X 7 6 2" xfId="57454" xr:uid="{00000000-0005-0000-0000-000036E00000}"/>
    <cellStyle name="SAPBEXHLevel2X 7 7" xfId="57455" xr:uid="{00000000-0005-0000-0000-000037E00000}"/>
    <cellStyle name="SAPBEXHLevel2X 7 8" xfId="57456" xr:uid="{00000000-0005-0000-0000-000038E00000}"/>
    <cellStyle name="SAPBEXHLevel2X 8" xfId="57457" xr:uid="{00000000-0005-0000-0000-000039E00000}"/>
    <cellStyle name="SAPBEXHLevel2X 8 2" xfId="57458" xr:uid="{00000000-0005-0000-0000-00003AE00000}"/>
    <cellStyle name="SAPBEXHLevel2X 8 2 2" xfId="57459" xr:uid="{00000000-0005-0000-0000-00003BE00000}"/>
    <cellStyle name="SAPBEXHLevel2X 8 3" xfId="57460" xr:uid="{00000000-0005-0000-0000-00003CE00000}"/>
    <cellStyle name="SAPBEXHLevel2X 9" xfId="57461" xr:uid="{00000000-0005-0000-0000-00003DE00000}"/>
    <cellStyle name="SAPBEXHLevel2X 9 2" xfId="57462" xr:uid="{00000000-0005-0000-0000-00003EE00000}"/>
    <cellStyle name="SAPBEXHLevel2X_2010-2012 Program Workbook_Incent_FS" xfId="57463" xr:uid="{00000000-0005-0000-0000-00003FE00000}"/>
    <cellStyle name="SAPBEXHLevel3" xfId="57464" xr:uid="{00000000-0005-0000-0000-000040E00000}"/>
    <cellStyle name="SAPBEXHLevel3 10" xfId="57465" xr:uid="{00000000-0005-0000-0000-000041E00000}"/>
    <cellStyle name="SAPBEXHLevel3 10 2" xfId="57466" xr:uid="{00000000-0005-0000-0000-000042E00000}"/>
    <cellStyle name="SAPBEXHLevel3 11" xfId="57467" xr:uid="{00000000-0005-0000-0000-000043E00000}"/>
    <cellStyle name="SAPBEXHLevel3 11 2" xfId="57468" xr:uid="{00000000-0005-0000-0000-000044E00000}"/>
    <cellStyle name="SAPBEXHLevel3 12" xfId="57469" xr:uid="{00000000-0005-0000-0000-000045E00000}"/>
    <cellStyle name="SAPBEXHLevel3 12 2" xfId="57470" xr:uid="{00000000-0005-0000-0000-000046E00000}"/>
    <cellStyle name="SAPBEXHLevel3 13" xfId="57471" xr:uid="{00000000-0005-0000-0000-000047E00000}"/>
    <cellStyle name="SAPBEXHLevel3 13 2" xfId="57472" xr:uid="{00000000-0005-0000-0000-000048E00000}"/>
    <cellStyle name="SAPBEXHLevel3 14" xfId="57473" xr:uid="{00000000-0005-0000-0000-000049E00000}"/>
    <cellStyle name="SAPBEXHLevel3 14 2" xfId="57474" xr:uid="{00000000-0005-0000-0000-00004AE00000}"/>
    <cellStyle name="SAPBEXHLevel3 15" xfId="57475" xr:uid="{00000000-0005-0000-0000-00004BE00000}"/>
    <cellStyle name="SAPBEXHLevel3 15 2" xfId="57476" xr:uid="{00000000-0005-0000-0000-00004CE00000}"/>
    <cellStyle name="SAPBEXHLevel3 16" xfId="57477" xr:uid="{00000000-0005-0000-0000-00004DE00000}"/>
    <cellStyle name="SAPBEXHLevel3 16 2" xfId="57478" xr:uid="{00000000-0005-0000-0000-00004EE00000}"/>
    <cellStyle name="SAPBEXHLevel3 17" xfId="57479" xr:uid="{00000000-0005-0000-0000-00004FE00000}"/>
    <cellStyle name="SAPBEXHLevel3 18" xfId="57480" xr:uid="{00000000-0005-0000-0000-000050E00000}"/>
    <cellStyle name="SAPBEXHLevel3 19" xfId="57481" xr:uid="{00000000-0005-0000-0000-000051E00000}"/>
    <cellStyle name="SAPBEXHLevel3 2" xfId="57482" xr:uid="{00000000-0005-0000-0000-000052E00000}"/>
    <cellStyle name="SAPBEXHLevel3 2 10" xfId="57483" xr:uid="{00000000-0005-0000-0000-000053E00000}"/>
    <cellStyle name="SAPBEXHLevel3 2 11" xfId="57484" xr:uid="{00000000-0005-0000-0000-000054E00000}"/>
    <cellStyle name="SAPBEXHLevel3 2 2" xfId="57485" xr:uid="{00000000-0005-0000-0000-000055E00000}"/>
    <cellStyle name="SAPBEXHLevel3 2 2 2" xfId="57486" xr:uid="{00000000-0005-0000-0000-000056E00000}"/>
    <cellStyle name="SAPBEXHLevel3 2 2 2 2" xfId="57487" xr:uid="{00000000-0005-0000-0000-000057E00000}"/>
    <cellStyle name="SAPBEXHLevel3 2 2 2 2 2" xfId="57488" xr:uid="{00000000-0005-0000-0000-000058E00000}"/>
    <cellStyle name="SAPBEXHLevel3 2 2 2 3" xfId="57489" xr:uid="{00000000-0005-0000-0000-000059E00000}"/>
    <cellStyle name="SAPBEXHLevel3 2 2 2 3 2" xfId="57490" xr:uid="{00000000-0005-0000-0000-00005AE00000}"/>
    <cellStyle name="SAPBEXHLevel3 2 2 2 4" xfId="57491" xr:uid="{00000000-0005-0000-0000-00005BE00000}"/>
    <cellStyle name="SAPBEXHLevel3 2 2 2 5" xfId="57492" xr:uid="{00000000-0005-0000-0000-00005CE00000}"/>
    <cellStyle name="SAPBEXHLevel3 2 2 2 6" xfId="57493" xr:uid="{00000000-0005-0000-0000-00005DE00000}"/>
    <cellStyle name="SAPBEXHLevel3 2 2 3" xfId="57494" xr:uid="{00000000-0005-0000-0000-00005EE00000}"/>
    <cellStyle name="SAPBEXHLevel3 2 2 3 2" xfId="57495" xr:uid="{00000000-0005-0000-0000-00005FE00000}"/>
    <cellStyle name="SAPBEXHLevel3 2 2 3 2 2" xfId="57496" xr:uid="{00000000-0005-0000-0000-000060E00000}"/>
    <cellStyle name="SAPBEXHLevel3 2 2 3 3" xfId="57497" xr:uid="{00000000-0005-0000-0000-000061E00000}"/>
    <cellStyle name="SAPBEXHLevel3 2 2 3 3 2" xfId="57498" xr:uid="{00000000-0005-0000-0000-000062E00000}"/>
    <cellStyle name="SAPBEXHLevel3 2 2 3 4" xfId="57499" xr:uid="{00000000-0005-0000-0000-000063E00000}"/>
    <cellStyle name="SAPBEXHLevel3 2 2 4" xfId="57500" xr:uid="{00000000-0005-0000-0000-000064E00000}"/>
    <cellStyle name="SAPBEXHLevel3 2 2 4 2" xfId="57501" xr:uid="{00000000-0005-0000-0000-000065E00000}"/>
    <cellStyle name="SAPBEXHLevel3 2 2 5" xfId="57502" xr:uid="{00000000-0005-0000-0000-000066E00000}"/>
    <cellStyle name="SAPBEXHLevel3 2 2 5 2" xfId="57503" xr:uid="{00000000-0005-0000-0000-000067E00000}"/>
    <cellStyle name="SAPBEXHLevel3 2 2 6" xfId="57504" xr:uid="{00000000-0005-0000-0000-000068E00000}"/>
    <cellStyle name="SAPBEXHLevel3 2 2 6 2" xfId="57505" xr:uid="{00000000-0005-0000-0000-000069E00000}"/>
    <cellStyle name="SAPBEXHLevel3 2 2 7" xfId="57506" xr:uid="{00000000-0005-0000-0000-00006AE00000}"/>
    <cellStyle name="SAPBEXHLevel3 2 2 8" xfId="57507" xr:uid="{00000000-0005-0000-0000-00006BE00000}"/>
    <cellStyle name="SAPBEXHLevel3 2 3" xfId="57508" xr:uid="{00000000-0005-0000-0000-00006CE00000}"/>
    <cellStyle name="SAPBEXHLevel3 2 3 2" xfId="57509" xr:uid="{00000000-0005-0000-0000-00006DE00000}"/>
    <cellStyle name="SAPBEXHLevel3 2 3 2 2" xfId="57510" xr:uid="{00000000-0005-0000-0000-00006EE00000}"/>
    <cellStyle name="SAPBEXHLevel3 2 3 3" xfId="57511" xr:uid="{00000000-0005-0000-0000-00006FE00000}"/>
    <cellStyle name="SAPBEXHLevel3 2 3 3 2" xfId="57512" xr:uid="{00000000-0005-0000-0000-000070E00000}"/>
    <cellStyle name="SAPBEXHLevel3 2 3 4" xfId="57513" xr:uid="{00000000-0005-0000-0000-000071E00000}"/>
    <cellStyle name="SAPBEXHLevel3 2 3 4 2" xfId="57514" xr:uid="{00000000-0005-0000-0000-000072E00000}"/>
    <cellStyle name="SAPBEXHLevel3 2 3 5" xfId="57515" xr:uid="{00000000-0005-0000-0000-000073E00000}"/>
    <cellStyle name="SAPBEXHLevel3 2 3 6" xfId="57516" xr:uid="{00000000-0005-0000-0000-000074E00000}"/>
    <cellStyle name="SAPBEXHLevel3 2 3 7" xfId="57517" xr:uid="{00000000-0005-0000-0000-000075E00000}"/>
    <cellStyle name="SAPBEXHLevel3 2 4" xfId="57518" xr:uid="{00000000-0005-0000-0000-000076E00000}"/>
    <cellStyle name="SAPBEXHLevel3 2 4 2" xfId="57519" xr:uid="{00000000-0005-0000-0000-000077E00000}"/>
    <cellStyle name="SAPBEXHLevel3 2 4 2 2" xfId="57520" xr:uid="{00000000-0005-0000-0000-000078E00000}"/>
    <cellStyle name="SAPBEXHLevel3 2 4 3" xfId="57521" xr:uid="{00000000-0005-0000-0000-000079E00000}"/>
    <cellStyle name="SAPBEXHLevel3 2 4 3 2" xfId="57522" xr:uid="{00000000-0005-0000-0000-00007AE00000}"/>
    <cellStyle name="SAPBEXHLevel3 2 4 4" xfId="57523" xr:uid="{00000000-0005-0000-0000-00007BE00000}"/>
    <cellStyle name="SAPBEXHLevel3 2 4 4 2" xfId="57524" xr:uid="{00000000-0005-0000-0000-00007CE00000}"/>
    <cellStyle name="SAPBEXHLevel3 2 4 5" xfId="57525" xr:uid="{00000000-0005-0000-0000-00007DE00000}"/>
    <cellStyle name="SAPBEXHLevel3 2 4 6" xfId="57526" xr:uid="{00000000-0005-0000-0000-00007EE00000}"/>
    <cellStyle name="SAPBEXHLevel3 2 5" xfId="57527" xr:uid="{00000000-0005-0000-0000-00007FE00000}"/>
    <cellStyle name="SAPBEXHLevel3 2 5 2" xfId="57528" xr:uid="{00000000-0005-0000-0000-000080E00000}"/>
    <cellStyle name="SAPBEXHLevel3 2 6" xfId="57529" xr:uid="{00000000-0005-0000-0000-000081E00000}"/>
    <cellStyle name="SAPBEXHLevel3 2 6 2" xfId="57530" xr:uid="{00000000-0005-0000-0000-000082E00000}"/>
    <cellStyle name="SAPBEXHLevel3 2 7" xfId="57531" xr:uid="{00000000-0005-0000-0000-000083E00000}"/>
    <cellStyle name="SAPBEXHLevel3 2 7 2" xfId="57532" xr:uid="{00000000-0005-0000-0000-000084E00000}"/>
    <cellStyle name="SAPBEXHLevel3 2 8" xfId="57533" xr:uid="{00000000-0005-0000-0000-000085E00000}"/>
    <cellStyle name="SAPBEXHLevel3 2 8 2" xfId="57534" xr:uid="{00000000-0005-0000-0000-000086E00000}"/>
    <cellStyle name="SAPBEXHLevel3 2 9" xfId="57535" xr:uid="{00000000-0005-0000-0000-000087E00000}"/>
    <cellStyle name="SAPBEXHLevel3 3" xfId="57536" xr:uid="{00000000-0005-0000-0000-000088E00000}"/>
    <cellStyle name="SAPBEXHLevel3 3 2" xfId="57537" xr:uid="{00000000-0005-0000-0000-000089E00000}"/>
    <cellStyle name="SAPBEXHLevel3 3 2 2" xfId="57538" xr:uid="{00000000-0005-0000-0000-00008AE00000}"/>
    <cellStyle name="SAPBEXHLevel3 3 2 2 2" xfId="57539" xr:uid="{00000000-0005-0000-0000-00008BE00000}"/>
    <cellStyle name="SAPBEXHLevel3 3 2 2 2 2" xfId="57540" xr:uid="{00000000-0005-0000-0000-00008CE00000}"/>
    <cellStyle name="SAPBEXHLevel3 3 2 2 3" xfId="57541" xr:uid="{00000000-0005-0000-0000-00008DE00000}"/>
    <cellStyle name="SAPBEXHLevel3 3 2 2 3 2" xfId="57542" xr:uid="{00000000-0005-0000-0000-00008EE00000}"/>
    <cellStyle name="SAPBEXHLevel3 3 2 2 4" xfId="57543" xr:uid="{00000000-0005-0000-0000-00008FE00000}"/>
    <cellStyle name="SAPBEXHLevel3 3 2 2 5" xfId="57544" xr:uid="{00000000-0005-0000-0000-000090E00000}"/>
    <cellStyle name="SAPBEXHLevel3 3 2 2 6" xfId="57545" xr:uid="{00000000-0005-0000-0000-000091E00000}"/>
    <cellStyle name="SAPBEXHLevel3 3 2 3" xfId="57546" xr:uid="{00000000-0005-0000-0000-000092E00000}"/>
    <cellStyle name="SAPBEXHLevel3 3 2 3 2" xfId="57547" xr:uid="{00000000-0005-0000-0000-000093E00000}"/>
    <cellStyle name="SAPBEXHLevel3 3 2 3 2 2" xfId="57548" xr:uid="{00000000-0005-0000-0000-000094E00000}"/>
    <cellStyle name="SAPBEXHLevel3 3 2 3 3" xfId="57549" xr:uid="{00000000-0005-0000-0000-000095E00000}"/>
    <cellStyle name="SAPBEXHLevel3 3 2 3 3 2" xfId="57550" xr:uid="{00000000-0005-0000-0000-000096E00000}"/>
    <cellStyle name="SAPBEXHLevel3 3 2 3 4" xfId="57551" xr:uid="{00000000-0005-0000-0000-000097E00000}"/>
    <cellStyle name="SAPBEXHLevel3 3 2 3 5" xfId="57552" xr:uid="{00000000-0005-0000-0000-000098E00000}"/>
    <cellStyle name="SAPBEXHLevel3 3 2 4" xfId="57553" xr:uid="{00000000-0005-0000-0000-000099E00000}"/>
    <cellStyle name="SAPBEXHLevel3 3 2 4 2" xfId="57554" xr:uid="{00000000-0005-0000-0000-00009AE00000}"/>
    <cellStyle name="SAPBEXHLevel3 3 2 5" xfId="57555" xr:uid="{00000000-0005-0000-0000-00009BE00000}"/>
    <cellStyle name="SAPBEXHLevel3 3 2 5 2" xfId="57556" xr:uid="{00000000-0005-0000-0000-00009CE00000}"/>
    <cellStyle name="SAPBEXHLevel3 3 2 6" xfId="57557" xr:uid="{00000000-0005-0000-0000-00009DE00000}"/>
    <cellStyle name="SAPBEXHLevel3 3 2 6 2" xfId="57558" xr:uid="{00000000-0005-0000-0000-00009EE00000}"/>
    <cellStyle name="SAPBEXHLevel3 3 2 7" xfId="57559" xr:uid="{00000000-0005-0000-0000-00009FE00000}"/>
    <cellStyle name="SAPBEXHLevel3 3 2 8" xfId="57560" xr:uid="{00000000-0005-0000-0000-0000A0E00000}"/>
    <cellStyle name="SAPBEXHLevel3 3 2 9" xfId="57561" xr:uid="{00000000-0005-0000-0000-0000A1E00000}"/>
    <cellStyle name="SAPBEXHLevel3 3 3" xfId="57562" xr:uid="{00000000-0005-0000-0000-0000A2E00000}"/>
    <cellStyle name="SAPBEXHLevel3 3 3 2" xfId="57563" xr:uid="{00000000-0005-0000-0000-0000A3E00000}"/>
    <cellStyle name="SAPBEXHLevel3 3 3 2 2" xfId="57564" xr:uid="{00000000-0005-0000-0000-0000A4E00000}"/>
    <cellStyle name="SAPBEXHLevel3 3 3 3" xfId="57565" xr:uid="{00000000-0005-0000-0000-0000A5E00000}"/>
    <cellStyle name="SAPBEXHLevel3 3 3 3 2" xfId="57566" xr:uid="{00000000-0005-0000-0000-0000A6E00000}"/>
    <cellStyle name="SAPBEXHLevel3 3 3 4" xfId="57567" xr:uid="{00000000-0005-0000-0000-0000A7E00000}"/>
    <cellStyle name="SAPBEXHLevel3 3 3 4 2" xfId="57568" xr:uid="{00000000-0005-0000-0000-0000A8E00000}"/>
    <cellStyle name="SAPBEXHLevel3 3 3 5" xfId="57569" xr:uid="{00000000-0005-0000-0000-0000A9E00000}"/>
    <cellStyle name="SAPBEXHLevel3 3 3 6" xfId="57570" xr:uid="{00000000-0005-0000-0000-0000AAE00000}"/>
    <cellStyle name="SAPBEXHLevel3 3 3 7" xfId="57571" xr:uid="{00000000-0005-0000-0000-0000ABE00000}"/>
    <cellStyle name="SAPBEXHLevel3 3 4" xfId="57572" xr:uid="{00000000-0005-0000-0000-0000ACE00000}"/>
    <cellStyle name="SAPBEXHLevel3 3 4 2" xfId="57573" xr:uid="{00000000-0005-0000-0000-0000ADE00000}"/>
    <cellStyle name="SAPBEXHLevel3 3 4 2 2" xfId="57574" xr:uid="{00000000-0005-0000-0000-0000AEE00000}"/>
    <cellStyle name="SAPBEXHLevel3 3 4 3" xfId="57575" xr:uid="{00000000-0005-0000-0000-0000AFE00000}"/>
    <cellStyle name="SAPBEXHLevel3 3 4 3 2" xfId="57576" xr:uid="{00000000-0005-0000-0000-0000B0E00000}"/>
    <cellStyle name="SAPBEXHLevel3 3 4 4" xfId="57577" xr:uid="{00000000-0005-0000-0000-0000B1E00000}"/>
    <cellStyle name="SAPBEXHLevel3 3 4 5" xfId="57578" xr:uid="{00000000-0005-0000-0000-0000B2E00000}"/>
    <cellStyle name="SAPBEXHLevel3 3 4 6" xfId="57579" xr:uid="{00000000-0005-0000-0000-0000B3E00000}"/>
    <cellStyle name="SAPBEXHLevel3 3 5" xfId="57580" xr:uid="{00000000-0005-0000-0000-0000B4E00000}"/>
    <cellStyle name="SAPBEXHLevel3 3 5 2" xfId="57581" xr:uid="{00000000-0005-0000-0000-0000B5E00000}"/>
    <cellStyle name="SAPBEXHLevel3 3 5 3" xfId="57582" xr:uid="{00000000-0005-0000-0000-0000B6E00000}"/>
    <cellStyle name="SAPBEXHLevel3 3 6" xfId="57583" xr:uid="{00000000-0005-0000-0000-0000B7E00000}"/>
    <cellStyle name="SAPBEXHLevel3 3 6 2" xfId="57584" xr:uid="{00000000-0005-0000-0000-0000B8E00000}"/>
    <cellStyle name="SAPBEXHLevel3 3 7" xfId="57585" xr:uid="{00000000-0005-0000-0000-0000B9E00000}"/>
    <cellStyle name="SAPBEXHLevel3 3 7 2" xfId="57586" xr:uid="{00000000-0005-0000-0000-0000BAE00000}"/>
    <cellStyle name="SAPBEXHLevel3 3 8" xfId="57587" xr:uid="{00000000-0005-0000-0000-0000BBE00000}"/>
    <cellStyle name="SAPBEXHLevel3 3 9" xfId="57588" xr:uid="{00000000-0005-0000-0000-0000BCE00000}"/>
    <cellStyle name="SAPBEXHLevel3 4" xfId="57589" xr:uid="{00000000-0005-0000-0000-0000BDE00000}"/>
    <cellStyle name="SAPBEXHLevel3 4 2" xfId="57590" xr:uid="{00000000-0005-0000-0000-0000BEE00000}"/>
    <cellStyle name="SAPBEXHLevel3 4 2 2" xfId="57591" xr:uid="{00000000-0005-0000-0000-0000BFE00000}"/>
    <cellStyle name="SAPBEXHLevel3 4 2 2 2" xfId="57592" xr:uid="{00000000-0005-0000-0000-0000C0E00000}"/>
    <cellStyle name="SAPBEXHLevel3 4 2 2 3" xfId="57593" xr:uid="{00000000-0005-0000-0000-0000C1E00000}"/>
    <cellStyle name="SAPBEXHLevel3 4 2 3" xfId="57594" xr:uid="{00000000-0005-0000-0000-0000C2E00000}"/>
    <cellStyle name="SAPBEXHLevel3 4 2 4" xfId="57595" xr:uid="{00000000-0005-0000-0000-0000C3E00000}"/>
    <cellStyle name="SAPBEXHLevel3 4 3" xfId="57596" xr:uid="{00000000-0005-0000-0000-0000C4E00000}"/>
    <cellStyle name="SAPBEXHLevel3 4 3 2" xfId="57597" xr:uid="{00000000-0005-0000-0000-0000C5E00000}"/>
    <cellStyle name="SAPBEXHLevel3 4 3 3" xfId="57598" xr:uid="{00000000-0005-0000-0000-0000C6E00000}"/>
    <cellStyle name="SAPBEXHLevel3 4 3 4" xfId="57599" xr:uid="{00000000-0005-0000-0000-0000C7E00000}"/>
    <cellStyle name="SAPBEXHLevel3 4 4" xfId="57600" xr:uid="{00000000-0005-0000-0000-0000C8E00000}"/>
    <cellStyle name="SAPBEXHLevel3 4 4 2" xfId="57601" xr:uid="{00000000-0005-0000-0000-0000C9E00000}"/>
    <cellStyle name="SAPBEXHLevel3 4 5" xfId="57602" xr:uid="{00000000-0005-0000-0000-0000CAE00000}"/>
    <cellStyle name="SAPBEXHLevel3 4 5 2" xfId="57603" xr:uid="{00000000-0005-0000-0000-0000CBE00000}"/>
    <cellStyle name="SAPBEXHLevel3 4 6" xfId="57604" xr:uid="{00000000-0005-0000-0000-0000CCE00000}"/>
    <cellStyle name="SAPBEXHLevel3 4 6 2" xfId="57605" xr:uid="{00000000-0005-0000-0000-0000CDE00000}"/>
    <cellStyle name="SAPBEXHLevel3 4 7" xfId="57606" xr:uid="{00000000-0005-0000-0000-0000CEE00000}"/>
    <cellStyle name="SAPBEXHLevel3 4 8" xfId="57607" xr:uid="{00000000-0005-0000-0000-0000CFE00000}"/>
    <cellStyle name="SAPBEXHLevel3 4 9" xfId="57608" xr:uid="{00000000-0005-0000-0000-0000D0E00000}"/>
    <cellStyle name="SAPBEXHLevel3 5" xfId="57609" xr:uid="{00000000-0005-0000-0000-0000D1E00000}"/>
    <cellStyle name="SAPBEXHLevel3 5 10" xfId="57610" xr:uid="{00000000-0005-0000-0000-0000D2E00000}"/>
    <cellStyle name="SAPBEXHLevel3 5 11" xfId="57611" xr:uid="{00000000-0005-0000-0000-0000D3E00000}"/>
    <cellStyle name="SAPBEXHLevel3 5 2" xfId="57612" xr:uid="{00000000-0005-0000-0000-0000D4E00000}"/>
    <cellStyle name="SAPBEXHLevel3 5 2 2" xfId="57613" xr:uid="{00000000-0005-0000-0000-0000D5E00000}"/>
    <cellStyle name="SAPBEXHLevel3 5 2 2 2" xfId="57614" xr:uid="{00000000-0005-0000-0000-0000D6E00000}"/>
    <cellStyle name="SAPBEXHLevel3 5 2 3" xfId="57615" xr:uid="{00000000-0005-0000-0000-0000D7E00000}"/>
    <cellStyle name="SAPBEXHLevel3 5 2 3 2" xfId="57616" xr:uid="{00000000-0005-0000-0000-0000D8E00000}"/>
    <cellStyle name="SAPBEXHLevel3 5 2 4" xfId="57617" xr:uid="{00000000-0005-0000-0000-0000D9E00000}"/>
    <cellStyle name="SAPBEXHLevel3 5 2 5" xfId="57618" xr:uid="{00000000-0005-0000-0000-0000DAE00000}"/>
    <cellStyle name="SAPBEXHLevel3 5 2 6" xfId="57619" xr:uid="{00000000-0005-0000-0000-0000DBE00000}"/>
    <cellStyle name="SAPBEXHLevel3 5 3" xfId="57620" xr:uid="{00000000-0005-0000-0000-0000DCE00000}"/>
    <cellStyle name="SAPBEXHLevel3 5 3 2" xfId="57621" xr:uid="{00000000-0005-0000-0000-0000DDE00000}"/>
    <cellStyle name="SAPBEXHLevel3 5 3 2 2" xfId="57622" xr:uid="{00000000-0005-0000-0000-0000DEE00000}"/>
    <cellStyle name="SAPBEXHLevel3 5 3 3" xfId="57623" xr:uid="{00000000-0005-0000-0000-0000DFE00000}"/>
    <cellStyle name="SAPBEXHLevel3 5 3 3 2" xfId="57624" xr:uid="{00000000-0005-0000-0000-0000E0E00000}"/>
    <cellStyle name="SAPBEXHLevel3 5 3 4" xfId="57625" xr:uid="{00000000-0005-0000-0000-0000E1E00000}"/>
    <cellStyle name="SAPBEXHLevel3 5 4" xfId="57626" xr:uid="{00000000-0005-0000-0000-0000E2E00000}"/>
    <cellStyle name="SAPBEXHLevel3 5 4 2" xfId="57627" xr:uid="{00000000-0005-0000-0000-0000E3E00000}"/>
    <cellStyle name="SAPBEXHLevel3 5 5" xfId="57628" xr:uid="{00000000-0005-0000-0000-0000E4E00000}"/>
    <cellStyle name="SAPBEXHLevel3 5 5 2" xfId="57629" xr:uid="{00000000-0005-0000-0000-0000E5E00000}"/>
    <cellStyle name="SAPBEXHLevel3 5 6" xfId="57630" xr:uid="{00000000-0005-0000-0000-0000E6E00000}"/>
    <cellStyle name="SAPBEXHLevel3 5 6 2" xfId="57631" xr:uid="{00000000-0005-0000-0000-0000E7E00000}"/>
    <cellStyle name="SAPBEXHLevel3 5 7" xfId="57632" xr:uid="{00000000-0005-0000-0000-0000E8E00000}"/>
    <cellStyle name="SAPBEXHLevel3 5 7 2" xfId="57633" xr:uid="{00000000-0005-0000-0000-0000E9E00000}"/>
    <cellStyle name="SAPBEXHLevel3 5 8" xfId="57634" xr:uid="{00000000-0005-0000-0000-0000EAE00000}"/>
    <cellStyle name="SAPBEXHLevel3 5 8 2" xfId="57635" xr:uid="{00000000-0005-0000-0000-0000EBE00000}"/>
    <cellStyle name="SAPBEXHLevel3 5 9" xfId="57636" xr:uid="{00000000-0005-0000-0000-0000ECE00000}"/>
    <cellStyle name="SAPBEXHLevel3 6" xfId="57637" xr:uid="{00000000-0005-0000-0000-0000EDE00000}"/>
    <cellStyle name="SAPBEXHLevel3 6 2" xfId="57638" xr:uid="{00000000-0005-0000-0000-0000EEE00000}"/>
    <cellStyle name="SAPBEXHLevel3 6 2 2" xfId="57639" xr:uid="{00000000-0005-0000-0000-0000EFE00000}"/>
    <cellStyle name="SAPBEXHLevel3 6 3" xfId="57640" xr:uid="{00000000-0005-0000-0000-0000F0E00000}"/>
    <cellStyle name="SAPBEXHLevel3 6 3 2" xfId="57641" xr:uid="{00000000-0005-0000-0000-0000F1E00000}"/>
    <cellStyle name="SAPBEXHLevel3 6 4" xfId="57642" xr:uid="{00000000-0005-0000-0000-0000F2E00000}"/>
    <cellStyle name="SAPBEXHLevel3 6 4 2" xfId="57643" xr:uid="{00000000-0005-0000-0000-0000F3E00000}"/>
    <cellStyle name="SAPBEXHLevel3 6 5" xfId="57644" xr:uid="{00000000-0005-0000-0000-0000F4E00000}"/>
    <cellStyle name="SAPBEXHLevel3 6 5 2" xfId="57645" xr:uid="{00000000-0005-0000-0000-0000F5E00000}"/>
    <cellStyle name="SAPBEXHLevel3 6 6" xfId="57646" xr:uid="{00000000-0005-0000-0000-0000F6E00000}"/>
    <cellStyle name="SAPBEXHLevel3 6 6 2" xfId="57647" xr:uid="{00000000-0005-0000-0000-0000F7E00000}"/>
    <cellStyle name="SAPBEXHLevel3 6 7" xfId="57648" xr:uid="{00000000-0005-0000-0000-0000F8E00000}"/>
    <cellStyle name="SAPBEXHLevel3 6 8" xfId="57649" xr:uid="{00000000-0005-0000-0000-0000F9E00000}"/>
    <cellStyle name="SAPBEXHLevel3 6 9" xfId="57650" xr:uid="{00000000-0005-0000-0000-0000FAE00000}"/>
    <cellStyle name="SAPBEXHLevel3 7" xfId="57651" xr:uid="{00000000-0005-0000-0000-0000FBE00000}"/>
    <cellStyle name="SAPBEXHLevel3 7 2" xfId="57652" xr:uid="{00000000-0005-0000-0000-0000FCE00000}"/>
    <cellStyle name="SAPBEXHLevel3 7 2 2" xfId="57653" xr:uid="{00000000-0005-0000-0000-0000FDE00000}"/>
    <cellStyle name="SAPBEXHLevel3 7 3" xfId="57654" xr:uid="{00000000-0005-0000-0000-0000FEE00000}"/>
    <cellStyle name="SAPBEXHLevel3 7 3 2" xfId="57655" xr:uid="{00000000-0005-0000-0000-0000FFE00000}"/>
    <cellStyle name="SAPBEXHLevel3 7 4" xfId="57656" xr:uid="{00000000-0005-0000-0000-000000E10000}"/>
    <cellStyle name="SAPBEXHLevel3 7 5" xfId="57657" xr:uid="{00000000-0005-0000-0000-000001E10000}"/>
    <cellStyle name="SAPBEXHLevel3 8" xfId="57658" xr:uid="{00000000-0005-0000-0000-000002E10000}"/>
    <cellStyle name="SAPBEXHLevel3 8 2" xfId="57659" xr:uid="{00000000-0005-0000-0000-000003E10000}"/>
    <cellStyle name="SAPBEXHLevel3 8 2 2" xfId="57660" xr:uid="{00000000-0005-0000-0000-000004E10000}"/>
    <cellStyle name="SAPBEXHLevel3 8 3" xfId="57661" xr:uid="{00000000-0005-0000-0000-000005E10000}"/>
    <cellStyle name="SAPBEXHLevel3 9" xfId="57662" xr:uid="{00000000-0005-0000-0000-000006E10000}"/>
    <cellStyle name="SAPBEXHLevel3 9 2" xfId="57663" xr:uid="{00000000-0005-0000-0000-000007E10000}"/>
    <cellStyle name="SAPBEXHLevel3_Phase 1 Fundshift - ELP Partnerships to WRELP Partnership SAP Accounting" xfId="57664" xr:uid="{00000000-0005-0000-0000-000008E10000}"/>
    <cellStyle name="SAPBEXHLevel3X" xfId="57665" xr:uid="{00000000-0005-0000-0000-000009E10000}"/>
    <cellStyle name="SAPBEXHLevel3X 10" xfId="57666" xr:uid="{00000000-0005-0000-0000-00000AE10000}"/>
    <cellStyle name="SAPBEXHLevel3X 10 2" xfId="57667" xr:uid="{00000000-0005-0000-0000-00000BE10000}"/>
    <cellStyle name="SAPBEXHLevel3X 11" xfId="57668" xr:uid="{00000000-0005-0000-0000-00000CE10000}"/>
    <cellStyle name="SAPBEXHLevel3X 11 2" xfId="57669" xr:uid="{00000000-0005-0000-0000-00000DE10000}"/>
    <cellStyle name="SAPBEXHLevel3X 12" xfId="57670" xr:uid="{00000000-0005-0000-0000-00000EE10000}"/>
    <cellStyle name="SAPBEXHLevel3X 12 2" xfId="57671" xr:uid="{00000000-0005-0000-0000-00000FE10000}"/>
    <cellStyle name="SAPBEXHLevel3X 13" xfId="57672" xr:uid="{00000000-0005-0000-0000-000010E10000}"/>
    <cellStyle name="SAPBEXHLevel3X 13 2" xfId="57673" xr:uid="{00000000-0005-0000-0000-000011E10000}"/>
    <cellStyle name="SAPBEXHLevel3X 14" xfId="57674" xr:uid="{00000000-0005-0000-0000-000012E10000}"/>
    <cellStyle name="SAPBEXHLevel3X 14 2" xfId="57675" xr:uid="{00000000-0005-0000-0000-000013E10000}"/>
    <cellStyle name="SAPBEXHLevel3X 15" xfId="57676" xr:uid="{00000000-0005-0000-0000-000014E10000}"/>
    <cellStyle name="SAPBEXHLevel3X 15 2" xfId="57677" xr:uid="{00000000-0005-0000-0000-000015E10000}"/>
    <cellStyle name="SAPBEXHLevel3X 16" xfId="57678" xr:uid="{00000000-0005-0000-0000-000016E10000}"/>
    <cellStyle name="SAPBEXHLevel3X 16 2" xfId="57679" xr:uid="{00000000-0005-0000-0000-000017E10000}"/>
    <cellStyle name="SAPBEXHLevel3X 17" xfId="57680" xr:uid="{00000000-0005-0000-0000-000018E10000}"/>
    <cellStyle name="SAPBEXHLevel3X 18" xfId="57681" xr:uid="{00000000-0005-0000-0000-000019E10000}"/>
    <cellStyle name="SAPBEXHLevel3X 19" xfId="57682" xr:uid="{00000000-0005-0000-0000-00001AE10000}"/>
    <cellStyle name="SAPBEXHLevel3X 2" xfId="57683" xr:uid="{00000000-0005-0000-0000-00001BE10000}"/>
    <cellStyle name="SAPBEXHLevel3X 2 10" xfId="57684" xr:uid="{00000000-0005-0000-0000-00001CE10000}"/>
    <cellStyle name="SAPBEXHLevel3X 2 11" xfId="57685" xr:uid="{00000000-0005-0000-0000-00001DE10000}"/>
    <cellStyle name="SAPBEXHLevel3X 2 12" xfId="57686" xr:uid="{00000000-0005-0000-0000-00001EE10000}"/>
    <cellStyle name="SAPBEXHLevel3X 2 2" xfId="57687" xr:uid="{00000000-0005-0000-0000-00001FE10000}"/>
    <cellStyle name="SAPBEXHLevel3X 2 2 2" xfId="57688" xr:uid="{00000000-0005-0000-0000-000020E10000}"/>
    <cellStyle name="SAPBEXHLevel3X 2 2 2 2" xfId="57689" xr:uid="{00000000-0005-0000-0000-000021E10000}"/>
    <cellStyle name="SAPBEXHLevel3X 2 2 2 2 2" xfId="57690" xr:uid="{00000000-0005-0000-0000-000022E10000}"/>
    <cellStyle name="SAPBEXHLevel3X 2 2 2 2 2 2" xfId="57691" xr:uid="{00000000-0005-0000-0000-000023E10000}"/>
    <cellStyle name="SAPBEXHLevel3X 2 2 2 2 3" xfId="57692" xr:uid="{00000000-0005-0000-0000-000024E10000}"/>
    <cellStyle name="SAPBEXHLevel3X 2 2 2 2 3 2" xfId="57693" xr:uid="{00000000-0005-0000-0000-000025E10000}"/>
    <cellStyle name="SAPBEXHLevel3X 2 2 2 2 4" xfId="57694" xr:uid="{00000000-0005-0000-0000-000026E10000}"/>
    <cellStyle name="SAPBEXHLevel3X 2 2 2 3" xfId="57695" xr:uid="{00000000-0005-0000-0000-000027E10000}"/>
    <cellStyle name="SAPBEXHLevel3X 2 2 2 3 2" xfId="57696" xr:uid="{00000000-0005-0000-0000-000028E10000}"/>
    <cellStyle name="SAPBEXHLevel3X 2 2 2 4" xfId="57697" xr:uid="{00000000-0005-0000-0000-000029E10000}"/>
    <cellStyle name="SAPBEXHLevel3X 2 2 2 4 2" xfId="57698" xr:uid="{00000000-0005-0000-0000-00002AE10000}"/>
    <cellStyle name="SAPBEXHLevel3X 2 2 2 5" xfId="57699" xr:uid="{00000000-0005-0000-0000-00002BE10000}"/>
    <cellStyle name="SAPBEXHLevel3X 2 2 2 6" xfId="57700" xr:uid="{00000000-0005-0000-0000-00002CE10000}"/>
    <cellStyle name="SAPBEXHLevel3X 2 2 2 7" xfId="57701" xr:uid="{00000000-0005-0000-0000-00002DE10000}"/>
    <cellStyle name="SAPBEXHLevel3X 2 2 3" xfId="57702" xr:uid="{00000000-0005-0000-0000-00002EE10000}"/>
    <cellStyle name="SAPBEXHLevel3X 2 2 3 2" xfId="57703" xr:uid="{00000000-0005-0000-0000-00002FE10000}"/>
    <cellStyle name="SAPBEXHLevel3X 2 2 3 2 2" xfId="57704" xr:uid="{00000000-0005-0000-0000-000030E10000}"/>
    <cellStyle name="SAPBEXHLevel3X 2 2 3 3" xfId="57705" xr:uid="{00000000-0005-0000-0000-000031E10000}"/>
    <cellStyle name="SAPBEXHLevel3X 2 2 3 3 2" xfId="57706" xr:uid="{00000000-0005-0000-0000-000032E10000}"/>
    <cellStyle name="SAPBEXHLevel3X 2 2 3 4" xfId="57707" xr:uid="{00000000-0005-0000-0000-000033E10000}"/>
    <cellStyle name="SAPBEXHLevel3X 2 2 4" xfId="57708" xr:uid="{00000000-0005-0000-0000-000034E10000}"/>
    <cellStyle name="SAPBEXHLevel3X 2 2 4 2" xfId="57709" xr:uid="{00000000-0005-0000-0000-000035E10000}"/>
    <cellStyle name="SAPBEXHLevel3X 2 2 4 2 2" xfId="57710" xr:uid="{00000000-0005-0000-0000-000036E10000}"/>
    <cellStyle name="SAPBEXHLevel3X 2 2 4 3" xfId="57711" xr:uid="{00000000-0005-0000-0000-000037E10000}"/>
    <cellStyle name="SAPBEXHLevel3X 2 2 4 3 2" xfId="57712" xr:uid="{00000000-0005-0000-0000-000038E10000}"/>
    <cellStyle name="SAPBEXHLevel3X 2 2 4 4" xfId="57713" xr:uid="{00000000-0005-0000-0000-000039E10000}"/>
    <cellStyle name="SAPBEXHLevel3X 2 2 5" xfId="57714" xr:uid="{00000000-0005-0000-0000-00003AE10000}"/>
    <cellStyle name="SAPBEXHLevel3X 2 2 5 2" xfId="57715" xr:uid="{00000000-0005-0000-0000-00003BE10000}"/>
    <cellStyle name="SAPBEXHLevel3X 2 2 6" xfId="57716" xr:uid="{00000000-0005-0000-0000-00003CE10000}"/>
    <cellStyle name="SAPBEXHLevel3X 2 2 6 2" xfId="57717" xr:uid="{00000000-0005-0000-0000-00003DE10000}"/>
    <cellStyle name="SAPBEXHLevel3X 2 2 7" xfId="57718" xr:uid="{00000000-0005-0000-0000-00003EE10000}"/>
    <cellStyle name="SAPBEXHLevel3X 2 2 7 2" xfId="57719" xr:uid="{00000000-0005-0000-0000-00003FE10000}"/>
    <cellStyle name="SAPBEXHLevel3X 2 2 8" xfId="57720" xr:uid="{00000000-0005-0000-0000-000040E10000}"/>
    <cellStyle name="SAPBEXHLevel3X 2 2 9" xfId="57721" xr:uid="{00000000-0005-0000-0000-000041E10000}"/>
    <cellStyle name="SAPBEXHLevel3X 2 3" xfId="57722" xr:uid="{00000000-0005-0000-0000-000042E10000}"/>
    <cellStyle name="SAPBEXHLevel3X 2 3 2" xfId="57723" xr:uid="{00000000-0005-0000-0000-000043E10000}"/>
    <cellStyle name="SAPBEXHLevel3X 2 3 2 2" xfId="57724" xr:uid="{00000000-0005-0000-0000-000044E10000}"/>
    <cellStyle name="SAPBEXHLevel3X 2 3 3" xfId="57725" xr:uid="{00000000-0005-0000-0000-000045E10000}"/>
    <cellStyle name="SAPBEXHLevel3X 2 3 3 2" xfId="57726" xr:uid="{00000000-0005-0000-0000-000046E10000}"/>
    <cellStyle name="SAPBEXHLevel3X 2 3 4" xfId="57727" xr:uid="{00000000-0005-0000-0000-000047E10000}"/>
    <cellStyle name="SAPBEXHLevel3X 2 3 4 2" xfId="57728" xr:uid="{00000000-0005-0000-0000-000048E10000}"/>
    <cellStyle name="SAPBEXHLevel3X 2 3 5" xfId="57729" xr:uid="{00000000-0005-0000-0000-000049E10000}"/>
    <cellStyle name="SAPBEXHLevel3X 2 3 6" xfId="57730" xr:uid="{00000000-0005-0000-0000-00004AE10000}"/>
    <cellStyle name="SAPBEXHLevel3X 2 3 7" xfId="57731" xr:uid="{00000000-0005-0000-0000-00004BE10000}"/>
    <cellStyle name="SAPBEXHLevel3X 2 4" xfId="57732" xr:uid="{00000000-0005-0000-0000-00004CE10000}"/>
    <cellStyle name="SAPBEXHLevel3X 2 4 2" xfId="57733" xr:uid="{00000000-0005-0000-0000-00004DE10000}"/>
    <cellStyle name="SAPBEXHLevel3X 2 4 2 2" xfId="57734" xr:uid="{00000000-0005-0000-0000-00004EE10000}"/>
    <cellStyle name="SAPBEXHLevel3X 2 4 3" xfId="57735" xr:uid="{00000000-0005-0000-0000-00004FE10000}"/>
    <cellStyle name="SAPBEXHLevel3X 2 4 3 2" xfId="57736" xr:uid="{00000000-0005-0000-0000-000050E10000}"/>
    <cellStyle name="SAPBEXHLevel3X 2 4 4" xfId="57737" xr:uid="{00000000-0005-0000-0000-000051E10000}"/>
    <cellStyle name="SAPBEXHLevel3X 2 4 4 2" xfId="57738" xr:uid="{00000000-0005-0000-0000-000052E10000}"/>
    <cellStyle name="SAPBEXHLevel3X 2 4 5" xfId="57739" xr:uid="{00000000-0005-0000-0000-000053E10000}"/>
    <cellStyle name="SAPBEXHLevel3X 2 4 6" xfId="57740" xr:uid="{00000000-0005-0000-0000-000054E10000}"/>
    <cellStyle name="SAPBEXHLevel3X 2 5" xfId="57741" xr:uid="{00000000-0005-0000-0000-000055E10000}"/>
    <cellStyle name="SAPBEXHLevel3X 2 5 2" xfId="57742" xr:uid="{00000000-0005-0000-0000-000056E10000}"/>
    <cellStyle name="SAPBEXHLevel3X 2 5 2 2" xfId="57743" xr:uid="{00000000-0005-0000-0000-000057E10000}"/>
    <cellStyle name="SAPBEXHLevel3X 2 5 3" xfId="57744" xr:uid="{00000000-0005-0000-0000-000058E10000}"/>
    <cellStyle name="SAPBEXHLevel3X 2 5 3 2" xfId="57745" xr:uid="{00000000-0005-0000-0000-000059E10000}"/>
    <cellStyle name="SAPBEXHLevel3X 2 5 4" xfId="57746" xr:uid="{00000000-0005-0000-0000-00005AE10000}"/>
    <cellStyle name="SAPBEXHLevel3X 2 6" xfId="57747" xr:uid="{00000000-0005-0000-0000-00005BE10000}"/>
    <cellStyle name="SAPBEXHLevel3X 2 6 2" xfId="57748" xr:uid="{00000000-0005-0000-0000-00005CE10000}"/>
    <cellStyle name="SAPBEXHLevel3X 2 7" xfId="57749" xr:uid="{00000000-0005-0000-0000-00005DE10000}"/>
    <cellStyle name="SAPBEXHLevel3X 2 7 2" xfId="57750" xr:uid="{00000000-0005-0000-0000-00005EE10000}"/>
    <cellStyle name="SAPBEXHLevel3X 2 8" xfId="57751" xr:uid="{00000000-0005-0000-0000-00005FE10000}"/>
    <cellStyle name="SAPBEXHLevel3X 2 8 2" xfId="57752" xr:uid="{00000000-0005-0000-0000-000060E10000}"/>
    <cellStyle name="SAPBEXHLevel3X 2 9" xfId="57753" xr:uid="{00000000-0005-0000-0000-000061E10000}"/>
    <cellStyle name="SAPBEXHLevel3X 2 9 2" xfId="57754" xr:uid="{00000000-0005-0000-0000-000062E10000}"/>
    <cellStyle name="SAPBEXHLevel3X 3" xfId="57755" xr:uid="{00000000-0005-0000-0000-000063E10000}"/>
    <cellStyle name="SAPBEXHLevel3X 3 2" xfId="57756" xr:uid="{00000000-0005-0000-0000-000064E10000}"/>
    <cellStyle name="SAPBEXHLevel3X 3 2 2" xfId="57757" xr:uid="{00000000-0005-0000-0000-000065E10000}"/>
    <cellStyle name="SAPBEXHLevel3X 3 2 2 2" xfId="57758" xr:uid="{00000000-0005-0000-0000-000066E10000}"/>
    <cellStyle name="SAPBEXHLevel3X 3 2 2 2 2" xfId="57759" xr:uid="{00000000-0005-0000-0000-000067E10000}"/>
    <cellStyle name="SAPBEXHLevel3X 3 2 2 3" xfId="57760" xr:uid="{00000000-0005-0000-0000-000068E10000}"/>
    <cellStyle name="SAPBEXHLevel3X 3 2 2 3 2" xfId="57761" xr:uid="{00000000-0005-0000-0000-000069E10000}"/>
    <cellStyle name="SAPBEXHLevel3X 3 2 2 4" xfId="57762" xr:uid="{00000000-0005-0000-0000-00006AE10000}"/>
    <cellStyle name="SAPBEXHLevel3X 3 2 2 5" xfId="57763" xr:uid="{00000000-0005-0000-0000-00006BE10000}"/>
    <cellStyle name="SAPBEXHLevel3X 3 2 2 6" xfId="57764" xr:uid="{00000000-0005-0000-0000-00006CE10000}"/>
    <cellStyle name="SAPBEXHLevel3X 3 2 3" xfId="57765" xr:uid="{00000000-0005-0000-0000-00006DE10000}"/>
    <cellStyle name="SAPBEXHLevel3X 3 2 3 2" xfId="57766" xr:uid="{00000000-0005-0000-0000-00006EE10000}"/>
    <cellStyle name="SAPBEXHLevel3X 3 2 3 2 2" xfId="57767" xr:uid="{00000000-0005-0000-0000-00006FE10000}"/>
    <cellStyle name="SAPBEXHLevel3X 3 2 3 3" xfId="57768" xr:uid="{00000000-0005-0000-0000-000070E10000}"/>
    <cellStyle name="SAPBEXHLevel3X 3 2 3 3 2" xfId="57769" xr:uid="{00000000-0005-0000-0000-000071E10000}"/>
    <cellStyle name="SAPBEXHLevel3X 3 2 3 4" xfId="57770" xr:uid="{00000000-0005-0000-0000-000072E10000}"/>
    <cellStyle name="SAPBEXHLevel3X 3 2 3 5" xfId="57771" xr:uid="{00000000-0005-0000-0000-000073E10000}"/>
    <cellStyle name="SAPBEXHLevel3X 3 2 4" xfId="57772" xr:uid="{00000000-0005-0000-0000-000074E10000}"/>
    <cellStyle name="SAPBEXHLevel3X 3 2 4 2" xfId="57773" xr:uid="{00000000-0005-0000-0000-000075E10000}"/>
    <cellStyle name="SAPBEXHLevel3X 3 2 4 3" xfId="57774" xr:uid="{00000000-0005-0000-0000-000076E10000}"/>
    <cellStyle name="SAPBEXHLevel3X 3 2 5" xfId="57775" xr:uid="{00000000-0005-0000-0000-000077E10000}"/>
    <cellStyle name="SAPBEXHLevel3X 3 2 5 2" xfId="57776" xr:uid="{00000000-0005-0000-0000-000078E10000}"/>
    <cellStyle name="SAPBEXHLevel3X 3 2 6" xfId="57777" xr:uid="{00000000-0005-0000-0000-000079E10000}"/>
    <cellStyle name="SAPBEXHLevel3X 3 2 6 2" xfId="57778" xr:uid="{00000000-0005-0000-0000-00007AE10000}"/>
    <cellStyle name="SAPBEXHLevel3X 3 2 7" xfId="57779" xr:uid="{00000000-0005-0000-0000-00007BE10000}"/>
    <cellStyle name="SAPBEXHLevel3X 3 2 8" xfId="57780" xr:uid="{00000000-0005-0000-0000-00007CE10000}"/>
    <cellStyle name="SAPBEXHLevel3X 3 2 9" xfId="57781" xr:uid="{00000000-0005-0000-0000-00007DE10000}"/>
    <cellStyle name="SAPBEXHLevel3X 3 3" xfId="57782" xr:uid="{00000000-0005-0000-0000-00007EE10000}"/>
    <cellStyle name="SAPBEXHLevel3X 3 3 2" xfId="57783" xr:uid="{00000000-0005-0000-0000-00007FE10000}"/>
    <cellStyle name="SAPBEXHLevel3X 3 3 2 2" xfId="57784" xr:uid="{00000000-0005-0000-0000-000080E10000}"/>
    <cellStyle name="SAPBEXHLevel3X 3 3 3" xfId="57785" xr:uid="{00000000-0005-0000-0000-000081E10000}"/>
    <cellStyle name="SAPBEXHLevel3X 3 3 3 2" xfId="57786" xr:uid="{00000000-0005-0000-0000-000082E10000}"/>
    <cellStyle name="SAPBEXHLevel3X 3 3 4" xfId="57787" xr:uid="{00000000-0005-0000-0000-000083E10000}"/>
    <cellStyle name="SAPBEXHLevel3X 3 3 4 2" xfId="57788" xr:uid="{00000000-0005-0000-0000-000084E10000}"/>
    <cellStyle name="SAPBEXHLevel3X 3 3 5" xfId="57789" xr:uid="{00000000-0005-0000-0000-000085E10000}"/>
    <cellStyle name="SAPBEXHLevel3X 3 3 6" xfId="57790" xr:uid="{00000000-0005-0000-0000-000086E10000}"/>
    <cellStyle name="SAPBEXHLevel3X 3 3 7" xfId="57791" xr:uid="{00000000-0005-0000-0000-000087E10000}"/>
    <cellStyle name="SAPBEXHLevel3X 3 4" xfId="57792" xr:uid="{00000000-0005-0000-0000-000088E10000}"/>
    <cellStyle name="SAPBEXHLevel3X 3 4 2" xfId="57793" xr:uid="{00000000-0005-0000-0000-000089E10000}"/>
    <cellStyle name="SAPBEXHLevel3X 3 4 2 2" xfId="57794" xr:uid="{00000000-0005-0000-0000-00008AE10000}"/>
    <cellStyle name="SAPBEXHLevel3X 3 4 3" xfId="57795" xr:uid="{00000000-0005-0000-0000-00008BE10000}"/>
    <cellStyle name="SAPBEXHLevel3X 3 4 3 2" xfId="57796" xr:uid="{00000000-0005-0000-0000-00008CE10000}"/>
    <cellStyle name="SAPBEXHLevel3X 3 4 4" xfId="57797" xr:uid="{00000000-0005-0000-0000-00008DE10000}"/>
    <cellStyle name="SAPBEXHLevel3X 3 4 5" xfId="57798" xr:uid="{00000000-0005-0000-0000-00008EE10000}"/>
    <cellStyle name="SAPBEXHLevel3X 3 5" xfId="57799" xr:uid="{00000000-0005-0000-0000-00008FE10000}"/>
    <cellStyle name="SAPBEXHLevel3X 3 5 2" xfId="57800" xr:uid="{00000000-0005-0000-0000-000090E10000}"/>
    <cellStyle name="SAPBEXHLevel3X 3 5 3" xfId="57801" xr:uid="{00000000-0005-0000-0000-000091E10000}"/>
    <cellStyle name="SAPBEXHLevel3X 3 5 4" xfId="57802" xr:uid="{00000000-0005-0000-0000-000092E10000}"/>
    <cellStyle name="SAPBEXHLevel3X 3 6" xfId="57803" xr:uid="{00000000-0005-0000-0000-000093E10000}"/>
    <cellStyle name="SAPBEXHLevel3X 3 6 2" xfId="57804" xr:uid="{00000000-0005-0000-0000-000094E10000}"/>
    <cellStyle name="SAPBEXHLevel3X 3 7" xfId="57805" xr:uid="{00000000-0005-0000-0000-000095E10000}"/>
    <cellStyle name="SAPBEXHLevel3X 3 7 2" xfId="57806" xr:uid="{00000000-0005-0000-0000-000096E10000}"/>
    <cellStyle name="SAPBEXHLevel3X 3 8" xfId="57807" xr:uid="{00000000-0005-0000-0000-000097E10000}"/>
    <cellStyle name="SAPBEXHLevel3X 3 9" xfId="57808" xr:uid="{00000000-0005-0000-0000-000098E10000}"/>
    <cellStyle name="SAPBEXHLevel3X 4" xfId="57809" xr:uid="{00000000-0005-0000-0000-000099E10000}"/>
    <cellStyle name="SAPBEXHLevel3X 4 10" xfId="57810" xr:uid="{00000000-0005-0000-0000-00009AE10000}"/>
    <cellStyle name="SAPBEXHLevel3X 4 2" xfId="57811" xr:uid="{00000000-0005-0000-0000-00009BE10000}"/>
    <cellStyle name="SAPBEXHLevel3X 4 2 2" xfId="57812" xr:uid="{00000000-0005-0000-0000-00009CE10000}"/>
    <cellStyle name="SAPBEXHLevel3X 4 2 2 2" xfId="57813" xr:uid="{00000000-0005-0000-0000-00009DE10000}"/>
    <cellStyle name="SAPBEXHLevel3X 4 2 2 2 2" xfId="57814" xr:uid="{00000000-0005-0000-0000-00009EE10000}"/>
    <cellStyle name="SAPBEXHLevel3X 4 2 2 3" xfId="57815" xr:uid="{00000000-0005-0000-0000-00009FE10000}"/>
    <cellStyle name="SAPBEXHLevel3X 4 2 2 3 2" xfId="57816" xr:uid="{00000000-0005-0000-0000-0000A0E10000}"/>
    <cellStyle name="SAPBEXHLevel3X 4 2 2 4" xfId="57817" xr:uid="{00000000-0005-0000-0000-0000A1E10000}"/>
    <cellStyle name="SAPBEXHLevel3X 4 2 2 5" xfId="57818" xr:uid="{00000000-0005-0000-0000-0000A2E10000}"/>
    <cellStyle name="SAPBEXHLevel3X 4 2 2 6" xfId="57819" xr:uid="{00000000-0005-0000-0000-0000A3E10000}"/>
    <cellStyle name="SAPBEXHLevel3X 4 2 3" xfId="57820" xr:uid="{00000000-0005-0000-0000-0000A4E10000}"/>
    <cellStyle name="SAPBEXHLevel3X 4 2 3 2" xfId="57821" xr:uid="{00000000-0005-0000-0000-0000A5E10000}"/>
    <cellStyle name="SAPBEXHLevel3X 4 2 3 2 2" xfId="57822" xr:uid="{00000000-0005-0000-0000-0000A6E10000}"/>
    <cellStyle name="SAPBEXHLevel3X 4 2 3 3" xfId="57823" xr:uid="{00000000-0005-0000-0000-0000A7E10000}"/>
    <cellStyle name="SAPBEXHLevel3X 4 2 3 3 2" xfId="57824" xr:uid="{00000000-0005-0000-0000-0000A8E10000}"/>
    <cellStyle name="SAPBEXHLevel3X 4 2 3 4" xfId="57825" xr:uid="{00000000-0005-0000-0000-0000A9E10000}"/>
    <cellStyle name="SAPBEXHLevel3X 4 2 4" xfId="57826" xr:uid="{00000000-0005-0000-0000-0000AAE10000}"/>
    <cellStyle name="SAPBEXHLevel3X 4 2 4 2" xfId="57827" xr:uid="{00000000-0005-0000-0000-0000ABE10000}"/>
    <cellStyle name="SAPBEXHLevel3X 4 2 5" xfId="57828" xr:uid="{00000000-0005-0000-0000-0000ACE10000}"/>
    <cellStyle name="SAPBEXHLevel3X 4 2 5 2" xfId="57829" xr:uid="{00000000-0005-0000-0000-0000ADE10000}"/>
    <cellStyle name="SAPBEXHLevel3X 4 2 6" xfId="57830" xr:uid="{00000000-0005-0000-0000-0000AEE10000}"/>
    <cellStyle name="SAPBEXHLevel3X 4 2 6 2" xfId="57831" xr:uid="{00000000-0005-0000-0000-0000AFE10000}"/>
    <cellStyle name="SAPBEXHLevel3X 4 2 7" xfId="57832" xr:uid="{00000000-0005-0000-0000-0000B0E10000}"/>
    <cellStyle name="SAPBEXHLevel3X 4 2 8" xfId="57833" xr:uid="{00000000-0005-0000-0000-0000B1E10000}"/>
    <cellStyle name="SAPBEXHLevel3X 4 2 9" xfId="57834" xr:uid="{00000000-0005-0000-0000-0000B2E10000}"/>
    <cellStyle name="SAPBEXHLevel3X 4 3" xfId="57835" xr:uid="{00000000-0005-0000-0000-0000B3E10000}"/>
    <cellStyle name="SAPBEXHLevel3X 4 3 2" xfId="57836" xr:uid="{00000000-0005-0000-0000-0000B4E10000}"/>
    <cellStyle name="SAPBEXHLevel3X 4 3 2 2" xfId="57837" xr:uid="{00000000-0005-0000-0000-0000B5E10000}"/>
    <cellStyle name="SAPBEXHLevel3X 4 3 3" xfId="57838" xr:uid="{00000000-0005-0000-0000-0000B6E10000}"/>
    <cellStyle name="SAPBEXHLevel3X 4 3 3 2" xfId="57839" xr:uid="{00000000-0005-0000-0000-0000B7E10000}"/>
    <cellStyle name="SAPBEXHLevel3X 4 3 4" xfId="57840" xr:uid="{00000000-0005-0000-0000-0000B8E10000}"/>
    <cellStyle name="SAPBEXHLevel3X 4 3 4 2" xfId="57841" xr:uid="{00000000-0005-0000-0000-0000B9E10000}"/>
    <cellStyle name="SAPBEXHLevel3X 4 3 5" xfId="57842" xr:uid="{00000000-0005-0000-0000-0000BAE10000}"/>
    <cellStyle name="SAPBEXHLevel3X 4 3 6" xfId="57843" xr:uid="{00000000-0005-0000-0000-0000BBE10000}"/>
    <cellStyle name="SAPBEXHLevel3X 4 3 7" xfId="57844" xr:uid="{00000000-0005-0000-0000-0000BCE10000}"/>
    <cellStyle name="SAPBEXHLevel3X 4 4" xfId="57845" xr:uid="{00000000-0005-0000-0000-0000BDE10000}"/>
    <cellStyle name="SAPBEXHLevel3X 4 4 2" xfId="57846" xr:uid="{00000000-0005-0000-0000-0000BEE10000}"/>
    <cellStyle name="SAPBEXHLevel3X 4 4 2 2" xfId="57847" xr:uid="{00000000-0005-0000-0000-0000BFE10000}"/>
    <cellStyle name="SAPBEXHLevel3X 4 4 3" xfId="57848" xr:uid="{00000000-0005-0000-0000-0000C0E10000}"/>
    <cellStyle name="SAPBEXHLevel3X 4 4 3 2" xfId="57849" xr:uid="{00000000-0005-0000-0000-0000C1E10000}"/>
    <cellStyle name="SAPBEXHLevel3X 4 4 4" xfId="57850" xr:uid="{00000000-0005-0000-0000-0000C2E10000}"/>
    <cellStyle name="SAPBEXHLevel3X 4 5" xfId="57851" xr:uid="{00000000-0005-0000-0000-0000C3E10000}"/>
    <cellStyle name="SAPBEXHLevel3X 4 5 2" xfId="57852" xr:uid="{00000000-0005-0000-0000-0000C4E10000}"/>
    <cellStyle name="SAPBEXHLevel3X 4 6" xfId="57853" xr:uid="{00000000-0005-0000-0000-0000C5E10000}"/>
    <cellStyle name="SAPBEXHLevel3X 4 6 2" xfId="57854" xr:uid="{00000000-0005-0000-0000-0000C6E10000}"/>
    <cellStyle name="SAPBEXHLevel3X 4 7" xfId="57855" xr:uid="{00000000-0005-0000-0000-0000C7E10000}"/>
    <cellStyle name="SAPBEXHLevel3X 4 7 2" xfId="57856" xr:uid="{00000000-0005-0000-0000-0000C8E10000}"/>
    <cellStyle name="SAPBEXHLevel3X 4 8" xfId="57857" xr:uid="{00000000-0005-0000-0000-0000C9E10000}"/>
    <cellStyle name="SAPBEXHLevel3X 4 9" xfId="57858" xr:uid="{00000000-0005-0000-0000-0000CAE10000}"/>
    <cellStyle name="SAPBEXHLevel3X 5" xfId="57859" xr:uid="{00000000-0005-0000-0000-0000CBE10000}"/>
    <cellStyle name="SAPBEXHLevel3X 5 10" xfId="57860" xr:uid="{00000000-0005-0000-0000-0000CCE10000}"/>
    <cellStyle name="SAPBEXHLevel3X 5 11" xfId="57861" xr:uid="{00000000-0005-0000-0000-0000CDE10000}"/>
    <cellStyle name="SAPBEXHLevel3X 5 2" xfId="57862" xr:uid="{00000000-0005-0000-0000-0000CEE10000}"/>
    <cellStyle name="SAPBEXHLevel3X 5 2 2" xfId="57863" xr:uid="{00000000-0005-0000-0000-0000CFE10000}"/>
    <cellStyle name="SAPBEXHLevel3X 5 2 2 2" xfId="57864" xr:uid="{00000000-0005-0000-0000-0000D0E10000}"/>
    <cellStyle name="SAPBEXHLevel3X 5 2 3" xfId="57865" xr:uid="{00000000-0005-0000-0000-0000D1E10000}"/>
    <cellStyle name="SAPBEXHLevel3X 5 2 3 2" xfId="57866" xr:uid="{00000000-0005-0000-0000-0000D2E10000}"/>
    <cellStyle name="SAPBEXHLevel3X 5 2 4" xfId="57867" xr:uid="{00000000-0005-0000-0000-0000D3E10000}"/>
    <cellStyle name="SAPBEXHLevel3X 5 2 5" xfId="57868" xr:uid="{00000000-0005-0000-0000-0000D4E10000}"/>
    <cellStyle name="SAPBEXHLevel3X 5 2 6" xfId="57869" xr:uid="{00000000-0005-0000-0000-0000D5E10000}"/>
    <cellStyle name="SAPBEXHLevel3X 5 3" xfId="57870" xr:uid="{00000000-0005-0000-0000-0000D6E10000}"/>
    <cellStyle name="SAPBEXHLevel3X 5 3 2" xfId="57871" xr:uid="{00000000-0005-0000-0000-0000D7E10000}"/>
    <cellStyle name="SAPBEXHLevel3X 5 3 2 2" xfId="57872" xr:uid="{00000000-0005-0000-0000-0000D8E10000}"/>
    <cellStyle name="SAPBEXHLevel3X 5 3 3" xfId="57873" xr:uid="{00000000-0005-0000-0000-0000D9E10000}"/>
    <cellStyle name="SAPBEXHLevel3X 5 3 3 2" xfId="57874" xr:uid="{00000000-0005-0000-0000-0000DAE10000}"/>
    <cellStyle name="SAPBEXHLevel3X 5 3 4" xfId="57875" xr:uid="{00000000-0005-0000-0000-0000DBE10000}"/>
    <cellStyle name="SAPBEXHLevel3X 5 4" xfId="57876" xr:uid="{00000000-0005-0000-0000-0000DCE10000}"/>
    <cellStyle name="SAPBEXHLevel3X 5 4 2" xfId="57877" xr:uid="{00000000-0005-0000-0000-0000DDE10000}"/>
    <cellStyle name="SAPBEXHLevel3X 5 5" xfId="57878" xr:uid="{00000000-0005-0000-0000-0000DEE10000}"/>
    <cellStyle name="SAPBEXHLevel3X 5 5 2" xfId="57879" xr:uid="{00000000-0005-0000-0000-0000DFE10000}"/>
    <cellStyle name="SAPBEXHLevel3X 5 6" xfId="57880" xr:uid="{00000000-0005-0000-0000-0000E0E10000}"/>
    <cellStyle name="SAPBEXHLevel3X 5 6 2" xfId="57881" xr:uid="{00000000-0005-0000-0000-0000E1E10000}"/>
    <cellStyle name="SAPBEXHLevel3X 5 7" xfId="57882" xr:uid="{00000000-0005-0000-0000-0000E2E10000}"/>
    <cellStyle name="SAPBEXHLevel3X 5 7 2" xfId="57883" xr:uid="{00000000-0005-0000-0000-0000E3E10000}"/>
    <cellStyle name="SAPBEXHLevel3X 5 8" xfId="57884" xr:uid="{00000000-0005-0000-0000-0000E4E10000}"/>
    <cellStyle name="SAPBEXHLevel3X 5 8 2" xfId="57885" xr:uid="{00000000-0005-0000-0000-0000E5E10000}"/>
    <cellStyle name="SAPBEXHLevel3X 5 9" xfId="57886" xr:uid="{00000000-0005-0000-0000-0000E6E10000}"/>
    <cellStyle name="SAPBEXHLevel3X 6" xfId="57887" xr:uid="{00000000-0005-0000-0000-0000E7E10000}"/>
    <cellStyle name="SAPBEXHLevel3X 6 2" xfId="57888" xr:uid="{00000000-0005-0000-0000-0000E8E10000}"/>
    <cellStyle name="SAPBEXHLevel3X 6 2 2" xfId="57889" xr:uid="{00000000-0005-0000-0000-0000E9E10000}"/>
    <cellStyle name="SAPBEXHLevel3X 6 3" xfId="57890" xr:uid="{00000000-0005-0000-0000-0000EAE10000}"/>
    <cellStyle name="SAPBEXHLevel3X 6 3 2" xfId="57891" xr:uid="{00000000-0005-0000-0000-0000EBE10000}"/>
    <cellStyle name="SAPBEXHLevel3X 6 4" xfId="57892" xr:uid="{00000000-0005-0000-0000-0000ECE10000}"/>
    <cellStyle name="SAPBEXHLevel3X 6 4 2" xfId="57893" xr:uid="{00000000-0005-0000-0000-0000EDE10000}"/>
    <cellStyle name="SAPBEXHLevel3X 6 5" xfId="57894" xr:uid="{00000000-0005-0000-0000-0000EEE10000}"/>
    <cellStyle name="SAPBEXHLevel3X 6 5 2" xfId="57895" xr:uid="{00000000-0005-0000-0000-0000EFE10000}"/>
    <cellStyle name="SAPBEXHLevel3X 6 6" xfId="57896" xr:uid="{00000000-0005-0000-0000-0000F0E10000}"/>
    <cellStyle name="SAPBEXHLevel3X 6 6 2" xfId="57897" xr:uid="{00000000-0005-0000-0000-0000F1E10000}"/>
    <cellStyle name="SAPBEXHLevel3X 6 7" xfId="57898" xr:uid="{00000000-0005-0000-0000-0000F2E10000}"/>
    <cellStyle name="SAPBEXHLevel3X 6 8" xfId="57899" xr:uid="{00000000-0005-0000-0000-0000F3E10000}"/>
    <cellStyle name="SAPBEXHLevel3X 6 9" xfId="57900" xr:uid="{00000000-0005-0000-0000-0000F4E10000}"/>
    <cellStyle name="SAPBEXHLevel3X 7" xfId="57901" xr:uid="{00000000-0005-0000-0000-0000F5E10000}"/>
    <cellStyle name="SAPBEXHLevel3X 7 2" xfId="57902" xr:uid="{00000000-0005-0000-0000-0000F6E10000}"/>
    <cellStyle name="SAPBEXHLevel3X 7 2 2" xfId="57903" xr:uid="{00000000-0005-0000-0000-0000F7E10000}"/>
    <cellStyle name="SAPBEXHLevel3X 7 3" xfId="57904" xr:uid="{00000000-0005-0000-0000-0000F8E10000}"/>
    <cellStyle name="SAPBEXHLevel3X 7 3 2" xfId="57905" xr:uid="{00000000-0005-0000-0000-0000F9E10000}"/>
    <cellStyle name="SAPBEXHLevel3X 7 4" xfId="57906" xr:uid="{00000000-0005-0000-0000-0000FAE10000}"/>
    <cellStyle name="SAPBEXHLevel3X 7 4 2" xfId="57907" xr:uid="{00000000-0005-0000-0000-0000FBE10000}"/>
    <cellStyle name="SAPBEXHLevel3X 7 5" xfId="57908" xr:uid="{00000000-0005-0000-0000-0000FCE10000}"/>
    <cellStyle name="SAPBEXHLevel3X 7 5 2" xfId="57909" xr:uid="{00000000-0005-0000-0000-0000FDE10000}"/>
    <cellStyle name="SAPBEXHLevel3X 7 6" xfId="57910" xr:uid="{00000000-0005-0000-0000-0000FEE10000}"/>
    <cellStyle name="SAPBEXHLevel3X 7 6 2" xfId="57911" xr:uid="{00000000-0005-0000-0000-0000FFE10000}"/>
    <cellStyle name="SAPBEXHLevel3X 7 7" xfId="57912" xr:uid="{00000000-0005-0000-0000-000000E20000}"/>
    <cellStyle name="SAPBEXHLevel3X 7 8" xfId="57913" xr:uid="{00000000-0005-0000-0000-000001E20000}"/>
    <cellStyle name="SAPBEXHLevel3X 8" xfId="57914" xr:uid="{00000000-0005-0000-0000-000002E20000}"/>
    <cellStyle name="SAPBEXHLevel3X 8 2" xfId="57915" xr:uid="{00000000-0005-0000-0000-000003E20000}"/>
    <cellStyle name="SAPBEXHLevel3X 8 2 2" xfId="57916" xr:uid="{00000000-0005-0000-0000-000004E20000}"/>
    <cellStyle name="SAPBEXHLevel3X 8 3" xfId="57917" xr:uid="{00000000-0005-0000-0000-000005E20000}"/>
    <cellStyle name="SAPBEXHLevel3X 9" xfId="57918" xr:uid="{00000000-0005-0000-0000-000006E20000}"/>
    <cellStyle name="SAPBEXHLevel3X 9 2" xfId="57919" xr:uid="{00000000-0005-0000-0000-000007E20000}"/>
    <cellStyle name="SAPBEXHLevel3X_2010-2012 Program Workbook_Incent_FS" xfId="57920" xr:uid="{00000000-0005-0000-0000-000008E20000}"/>
    <cellStyle name="SAPBEXinputData" xfId="57921" xr:uid="{00000000-0005-0000-0000-000009E20000}"/>
    <cellStyle name="SAPBEXinputData 10" xfId="57922" xr:uid="{00000000-0005-0000-0000-00000AE20000}"/>
    <cellStyle name="SAPBEXinputData 10 2" xfId="57923" xr:uid="{00000000-0005-0000-0000-00000BE20000}"/>
    <cellStyle name="SAPBEXinputData 10 2 2" xfId="57924" xr:uid="{00000000-0005-0000-0000-00000CE20000}"/>
    <cellStyle name="SAPBEXinputData 10 2 3" xfId="57925" xr:uid="{00000000-0005-0000-0000-00000DE20000}"/>
    <cellStyle name="SAPBEXinputData 10 3" xfId="57926" xr:uid="{00000000-0005-0000-0000-00000EE20000}"/>
    <cellStyle name="SAPBEXinputData 10 4" xfId="57927" xr:uid="{00000000-0005-0000-0000-00000FE20000}"/>
    <cellStyle name="SAPBEXinputData 10 5" xfId="57928" xr:uid="{00000000-0005-0000-0000-000010E20000}"/>
    <cellStyle name="SAPBEXinputData 10 6" xfId="57929" xr:uid="{00000000-0005-0000-0000-000011E20000}"/>
    <cellStyle name="SAPBEXinputData 11" xfId="57930" xr:uid="{00000000-0005-0000-0000-000012E20000}"/>
    <cellStyle name="SAPBEXinputData 11 2" xfId="57931" xr:uid="{00000000-0005-0000-0000-000013E20000}"/>
    <cellStyle name="SAPBEXinputData 11 3" xfId="57932" xr:uid="{00000000-0005-0000-0000-000014E20000}"/>
    <cellStyle name="SAPBEXinputData 12" xfId="57933" xr:uid="{00000000-0005-0000-0000-000015E20000}"/>
    <cellStyle name="SAPBEXinputData 12 2" xfId="57934" xr:uid="{00000000-0005-0000-0000-000016E20000}"/>
    <cellStyle name="SAPBEXinputData 12 3" xfId="57935" xr:uid="{00000000-0005-0000-0000-000017E20000}"/>
    <cellStyle name="SAPBEXinputData 13" xfId="57936" xr:uid="{00000000-0005-0000-0000-000018E20000}"/>
    <cellStyle name="SAPBEXinputData 14" xfId="57937" xr:uid="{00000000-0005-0000-0000-000019E20000}"/>
    <cellStyle name="SAPBEXinputData 15" xfId="57938" xr:uid="{00000000-0005-0000-0000-00001AE20000}"/>
    <cellStyle name="SAPBEXinputData 2" xfId="57939" xr:uid="{00000000-0005-0000-0000-00001BE20000}"/>
    <cellStyle name="SAPBEXinputData 2 2" xfId="57940" xr:uid="{00000000-0005-0000-0000-00001CE20000}"/>
    <cellStyle name="SAPBEXinputData 2 2 2" xfId="57941" xr:uid="{00000000-0005-0000-0000-00001DE20000}"/>
    <cellStyle name="SAPBEXinputData 2 2 2 2" xfId="57942" xr:uid="{00000000-0005-0000-0000-00001EE20000}"/>
    <cellStyle name="SAPBEXinputData 2 2 3" xfId="57943" xr:uid="{00000000-0005-0000-0000-00001FE20000}"/>
    <cellStyle name="SAPBEXinputData 2 2 4" xfId="57944" xr:uid="{00000000-0005-0000-0000-000020E20000}"/>
    <cellStyle name="SAPBEXinputData 2 3" xfId="57945" xr:uid="{00000000-0005-0000-0000-000021E20000}"/>
    <cellStyle name="SAPBEXinputData 2 3 2" xfId="57946" xr:uid="{00000000-0005-0000-0000-000022E20000}"/>
    <cellStyle name="SAPBEXinputData 2 3 3" xfId="57947" xr:uid="{00000000-0005-0000-0000-000023E20000}"/>
    <cellStyle name="SAPBEXinputData 2 4" xfId="57948" xr:uid="{00000000-0005-0000-0000-000024E20000}"/>
    <cellStyle name="SAPBEXinputData 2 4 2" xfId="57949" xr:uid="{00000000-0005-0000-0000-000025E20000}"/>
    <cellStyle name="SAPBEXinputData 2 4 3" xfId="57950" xr:uid="{00000000-0005-0000-0000-000026E20000}"/>
    <cellStyle name="SAPBEXinputData 2 5" xfId="57951" xr:uid="{00000000-0005-0000-0000-000027E20000}"/>
    <cellStyle name="SAPBEXinputData 2 6" xfId="57952" xr:uid="{00000000-0005-0000-0000-000028E20000}"/>
    <cellStyle name="SAPBEXinputData 3" xfId="57953" xr:uid="{00000000-0005-0000-0000-000029E20000}"/>
    <cellStyle name="SAPBEXinputData 3 10" xfId="57954" xr:uid="{00000000-0005-0000-0000-00002AE20000}"/>
    <cellStyle name="SAPBEXinputData 3 10 2" xfId="57955" xr:uid="{00000000-0005-0000-0000-00002BE20000}"/>
    <cellStyle name="SAPBEXinputData 3 10 3" xfId="57956" xr:uid="{00000000-0005-0000-0000-00002CE20000}"/>
    <cellStyle name="SAPBEXinputData 3 11" xfId="57957" xr:uid="{00000000-0005-0000-0000-00002DE20000}"/>
    <cellStyle name="SAPBEXinputData 3 12" xfId="57958" xr:uid="{00000000-0005-0000-0000-00002EE20000}"/>
    <cellStyle name="SAPBEXinputData 3 13" xfId="57959" xr:uid="{00000000-0005-0000-0000-00002FE20000}"/>
    <cellStyle name="SAPBEXinputData 3 14" xfId="57960" xr:uid="{00000000-0005-0000-0000-000030E20000}"/>
    <cellStyle name="SAPBEXinputData 3 15" xfId="57961" xr:uid="{00000000-0005-0000-0000-000031E20000}"/>
    <cellStyle name="SAPBEXinputData 3 2" xfId="57962" xr:uid="{00000000-0005-0000-0000-000032E20000}"/>
    <cellStyle name="SAPBEXinputData 3 2 10" xfId="57963" xr:uid="{00000000-0005-0000-0000-000033E20000}"/>
    <cellStyle name="SAPBEXinputData 3 2 11" xfId="57964" xr:uid="{00000000-0005-0000-0000-000034E20000}"/>
    <cellStyle name="SAPBEXinputData 3 2 12" xfId="57965" xr:uid="{00000000-0005-0000-0000-000035E20000}"/>
    <cellStyle name="SAPBEXinputData 3 2 13" xfId="57966" xr:uid="{00000000-0005-0000-0000-000036E20000}"/>
    <cellStyle name="SAPBEXinputData 3 2 2" xfId="57967" xr:uid="{00000000-0005-0000-0000-000037E20000}"/>
    <cellStyle name="SAPBEXinputData 3 2 2 10" xfId="57968" xr:uid="{00000000-0005-0000-0000-000038E20000}"/>
    <cellStyle name="SAPBEXinputData 3 2 2 11" xfId="57969" xr:uid="{00000000-0005-0000-0000-000039E20000}"/>
    <cellStyle name="SAPBEXinputData 3 2 2 12" xfId="57970" xr:uid="{00000000-0005-0000-0000-00003AE20000}"/>
    <cellStyle name="SAPBEXinputData 3 2 2 2" xfId="57971" xr:uid="{00000000-0005-0000-0000-00003BE20000}"/>
    <cellStyle name="SAPBEXinputData 3 2 2 2 10" xfId="57972" xr:uid="{00000000-0005-0000-0000-00003CE20000}"/>
    <cellStyle name="SAPBEXinputData 3 2 2 2 11" xfId="57973" xr:uid="{00000000-0005-0000-0000-00003DE20000}"/>
    <cellStyle name="SAPBEXinputData 3 2 2 2 2" xfId="57974" xr:uid="{00000000-0005-0000-0000-00003EE20000}"/>
    <cellStyle name="SAPBEXinputData 3 2 2 2 2 2" xfId="57975" xr:uid="{00000000-0005-0000-0000-00003FE20000}"/>
    <cellStyle name="SAPBEXinputData 3 2 2 2 2 2 2" xfId="57976" xr:uid="{00000000-0005-0000-0000-000040E20000}"/>
    <cellStyle name="SAPBEXinputData 3 2 2 2 2 2 2 2" xfId="57977" xr:uid="{00000000-0005-0000-0000-000041E20000}"/>
    <cellStyle name="SAPBEXinputData 3 2 2 2 2 2 2 3" xfId="57978" xr:uid="{00000000-0005-0000-0000-000042E20000}"/>
    <cellStyle name="SAPBEXinputData 3 2 2 2 2 2 3" xfId="57979" xr:uid="{00000000-0005-0000-0000-000043E20000}"/>
    <cellStyle name="SAPBEXinputData 3 2 2 2 2 2 3 2" xfId="57980" xr:uid="{00000000-0005-0000-0000-000044E20000}"/>
    <cellStyle name="SAPBEXinputData 3 2 2 2 2 2 3 3" xfId="57981" xr:uid="{00000000-0005-0000-0000-000045E20000}"/>
    <cellStyle name="SAPBEXinputData 3 2 2 2 2 2 4" xfId="57982" xr:uid="{00000000-0005-0000-0000-000046E20000}"/>
    <cellStyle name="SAPBEXinputData 3 2 2 2 2 2 5" xfId="57983" xr:uid="{00000000-0005-0000-0000-000047E20000}"/>
    <cellStyle name="SAPBEXinputData 3 2 2 2 2 2 6" xfId="57984" xr:uid="{00000000-0005-0000-0000-000048E20000}"/>
    <cellStyle name="SAPBEXinputData 3 2 2 2 2 2 7" xfId="57985" xr:uid="{00000000-0005-0000-0000-000049E20000}"/>
    <cellStyle name="SAPBEXinputData 3 2 2 2 2 2 8" xfId="57986" xr:uid="{00000000-0005-0000-0000-00004AE20000}"/>
    <cellStyle name="SAPBEXinputData 3 2 2 2 2 3" xfId="57987" xr:uid="{00000000-0005-0000-0000-00004BE20000}"/>
    <cellStyle name="SAPBEXinputData 3 2 2 2 2 3 2" xfId="57988" xr:uid="{00000000-0005-0000-0000-00004CE20000}"/>
    <cellStyle name="SAPBEXinputData 3 2 2 2 2 3 2 2" xfId="57989" xr:uid="{00000000-0005-0000-0000-00004DE20000}"/>
    <cellStyle name="SAPBEXinputData 3 2 2 2 2 3 2 3" xfId="57990" xr:uid="{00000000-0005-0000-0000-00004EE20000}"/>
    <cellStyle name="SAPBEXinputData 3 2 2 2 2 3 3" xfId="57991" xr:uid="{00000000-0005-0000-0000-00004FE20000}"/>
    <cellStyle name="SAPBEXinputData 3 2 2 2 2 3 3 2" xfId="57992" xr:uid="{00000000-0005-0000-0000-000050E20000}"/>
    <cellStyle name="SAPBEXinputData 3 2 2 2 2 3 4" xfId="57993" xr:uid="{00000000-0005-0000-0000-000051E20000}"/>
    <cellStyle name="SAPBEXinputData 3 2 2 2 2 4" xfId="57994" xr:uid="{00000000-0005-0000-0000-000052E20000}"/>
    <cellStyle name="SAPBEXinputData 3 2 2 2 2 4 2" xfId="57995" xr:uid="{00000000-0005-0000-0000-000053E20000}"/>
    <cellStyle name="SAPBEXinputData 3 2 2 2 2 4 3" xfId="57996" xr:uid="{00000000-0005-0000-0000-000054E20000}"/>
    <cellStyle name="SAPBEXinputData 3 2 2 2 2 5" xfId="57997" xr:uid="{00000000-0005-0000-0000-000055E20000}"/>
    <cellStyle name="SAPBEXinputData 3 2 2 2 2 6" xfId="57998" xr:uid="{00000000-0005-0000-0000-000056E20000}"/>
    <cellStyle name="SAPBEXinputData 3 2 2 2 2 7" xfId="57999" xr:uid="{00000000-0005-0000-0000-000057E20000}"/>
    <cellStyle name="SAPBEXinputData 3 2 2 2 2 8" xfId="58000" xr:uid="{00000000-0005-0000-0000-000058E20000}"/>
    <cellStyle name="SAPBEXinputData 3 2 2 2 2 9" xfId="58001" xr:uid="{00000000-0005-0000-0000-000059E20000}"/>
    <cellStyle name="SAPBEXinputData 3 2 2 2 3" xfId="58002" xr:uid="{00000000-0005-0000-0000-00005AE20000}"/>
    <cellStyle name="SAPBEXinputData 3 2 2 2 3 2" xfId="58003" xr:uid="{00000000-0005-0000-0000-00005BE20000}"/>
    <cellStyle name="SAPBEXinputData 3 2 2 2 3 2 2" xfId="58004" xr:uid="{00000000-0005-0000-0000-00005CE20000}"/>
    <cellStyle name="SAPBEXinputData 3 2 2 2 3 2 3" xfId="58005" xr:uid="{00000000-0005-0000-0000-00005DE20000}"/>
    <cellStyle name="SAPBEXinputData 3 2 2 2 3 3" xfId="58006" xr:uid="{00000000-0005-0000-0000-00005EE20000}"/>
    <cellStyle name="SAPBEXinputData 3 2 2 2 3 3 2" xfId="58007" xr:uid="{00000000-0005-0000-0000-00005FE20000}"/>
    <cellStyle name="SAPBEXinputData 3 2 2 2 3 3 3" xfId="58008" xr:uid="{00000000-0005-0000-0000-000060E20000}"/>
    <cellStyle name="SAPBEXinputData 3 2 2 2 3 4" xfId="58009" xr:uid="{00000000-0005-0000-0000-000061E20000}"/>
    <cellStyle name="SAPBEXinputData 3 2 2 2 3 5" xfId="58010" xr:uid="{00000000-0005-0000-0000-000062E20000}"/>
    <cellStyle name="SAPBEXinputData 3 2 2 2 3 6" xfId="58011" xr:uid="{00000000-0005-0000-0000-000063E20000}"/>
    <cellStyle name="SAPBEXinputData 3 2 2 2 3 7" xfId="58012" xr:uid="{00000000-0005-0000-0000-000064E20000}"/>
    <cellStyle name="SAPBEXinputData 3 2 2 2 3 8" xfId="58013" xr:uid="{00000000-0005-0000-0000-000065E20000}"/>
    <cellStyle name="SAPBEXinputData 3 2 2 2 4" xfId="58014" xr:uid="{00000000-0005-0000-0000-000066E20000}"/>
    <cellStyle name="SAPBEXinputData 3 2 2 2 4 2" xfId="58015" xr:uid="{00000000-0005-0000-0000-000067E20000}"/>
    <cellStyle name="SAPBEXinputData 3 2 2 2 4 2 2" xfId="58016" xr:uid="{00000000-0005-0000-0000-000068E20000}"/>
    <cellStyle name="SAPBEXinputData 3 2 2 2 4 2 3" xfId="58017" xr:uid="{00000000-0005-0000-0000-000069E20000}"/>
    <cellStyle name="SAPBEXinputData 3 2 2 2 4 3" xfId="58018" xr:uid="{00000000-0005-0000-0000-00006AE20000}"/>
    <cellStyle name="SAPBEXinputData 3 2 2 2 4 3 2" xfId="58019" xr:uid="{00000000-0005-0000-0000-00006BE20000}"/>
    <cellStyle name="SAPBEXinputData 3 2 2 2 4 4" xfId="58020" xr:uid="{00000000-0005-0000-0000-00006CE20000}"/>
    <cellStyle name="SAPBEXinputData 3 2 2 2 5" xfId="58021" xr:uid="{00000000-0005-0000-0000-00006DE20000}"/>
    <cellStyle name="SAPBEXinputData 3 2 2 2 5 2" xfId="58022" xr:uid="{00000000-0005-0000-0000-00006EE20000}"/>
    <cellStyle name="SAPBEXinputData 3 2 2 2 5 3" xfId="58023" xr:uid="{00000000-0005-0000-0000-00006FE20000}"/>
    <cellStyle name="SAPBEXinputData 3 2 2 2 6" xfId="58024" xr:uid="{00000000-0005-0000-0000-000070E20000}"/>
    <cellStyle name="SAPBEXinputData 3 2 2 2 6 2" xfId="58025" xr:uid="{00000000-0005-0000-0000-000071E20000}"/>
    <cellStyle name="SAPBEXinputData 3 2 2 2 6 3" xfId="58026" xr:uid="{00000000-0005-0000-0000-000072E20000}"/>
    <cellStyle name="SAPBEXinputData 3 2 2 2 7" xfId="58027" xr:uid="{00000000-0005-0000-0000-000073E20000}"/>
    <cellStyle name="SAPBEXinputData 3 2 2 2 8" xfId="58028" xr:uid="{00000000-0005-0000-0000-000074E20000}"/>
    <cellStyle name="SAPBEXinputData 3 2 2 2 9" xfId="58029" xr:uid="{00000000-0005-0000-0000-000075E20000}"/>
    <cellStyle name="SAPBEXinputData 3 2 2 3" xfId="58030" xr:uid="{00000000-0005-0000-0000-000076E20000}"/>
    <cellStyle name="SAPBEXinputData 3 2 2 3 10" xfId="58031" xr:uid="{00000000-0005-0000-0000-000077E20000}"/>
    <cellStyle name="SAPBEXinputData 3 2 2 3 2" xfId="58032" xr:uid="{00000000-0005-0000-0000-000078E20000}"/>
    <cellStyle name="SAPBEXinputData 3 2 2 3 2 2" xfId="58033" xr:uid="{00000000-0005-0000-0000-000079E20000}"/>
    <cellStyle name="SAPBEXinputData 3 2 2 3 2 2 2" xfId="58034" xr:uid="{00000000-0005-0000-0000-00007AE20000}"/>
    <cellStyle name="SAPBEXinputData 3 2 2 3 2 2 3" xfId="58035" xr:uid="{00000000-0005-0000-0000-00007BE20000}"/>
    <cellStyle name="SAPBEXinputData 3 2 2 3 2 3" xfId="58036" xr:uid="{00000000-0005-0000-0000-00007CE20000}"/>
    <cellStyle name="SAPBEXinputData 3 2 2 3 2 3 2" xfId="58037" xr:uid="{00000000-0005-0000-0000-00007DE20000}"/>
    <cellStyle name="SAPBEXinputData 3 2 2 3 2 3 3" xfId="58038" xr:uid="{00000000-0005-0000-0000-00007EE20000}"/>
    <cellStyle name="SAPBEXinputData 3 2 2 3 2 4" xfId="58039" xr:uid="{00000000-0005-0000-0000-00007FE20000}"/>
    <cellStyle name="SAPBEXinputData 3 2 2 3 2 5" xfId="58040" xr:uid="{00000000-0005-0000-0000-000080E20000}"/>
    <cellStyle name="SAPBEXinputData 3 2 2 3 2 6" xfId="58041" xr:uid="{00000000-0005-0000-0000-000081E20000}"/>
    <cellStyle name="SAPBEXinputData 3 2 2 3 2 7" xfId="58042" xr:uid="{00000000-0005-0000-0000-000082E20000}"/>
    <cellStyle name="SAPBEXinputData 3 2 2 3 2 8" xfId="58043" xr:uid="{00000000-0005-0000-0000-000083E20000}"/>
    <cellStyle name="SAPBEXinputData 3 2 2 3 3" xfId="58044" xr:uid="{00000000-0005-0000-0000-000084E20000}"/>
    <cellStyle name="SAPBEXinputData 3 2 2 3 3 2" xfId="58045" xr:uid="{00000000-0005-0000-0000-000085E20000}"/>
    <cellStyle name="SAPBEXinputData 3 2 2 3 3 2 2" xfId="58046" xr:uid="{00000000-0005-0000-0000-000086E20000}"/>
    <cellStyle name="SAPBEXinputData 3 2 2 3 3 2 3" xfId="58047" xr:uid="{00000000-0005-0000-0000-000087E20000}"/>
    <cellStyle name="SAPBEXinputData 3 2 2 3 3 3" xfId="58048" xr:uid="{00000000-0005-0000-0000-000088E20000}"/>
    <cellStyle name="SAPBEXinputData 3 2 2 3 3 3 2" xfId="58049" xr:uid="{00000000-0005-0000-0000-000089E20000}"/>
    <cellStyle name="SAPBEXinputData 3 2 2 3 3 4" xfId="58050" xr:uid="{00000000-0005-0000-0000-00008AE20000}"/>
    <cellStyle name="SAPBEXinputData 3 2 2 3 4" xfId="58051" xr:uid="{00000000-0005-0000-0000-00008BE20000}"/>
    <cellStyle name="SAPBEXinputData 3 2 2 3 4 2" xfId="58052" xr:uid="{00000000-0005-0000-0000-00008CE20000}"/>
    <cellStyle name="SAPBEXinputData 3 2 2 3 4 3" xfId="58053" xr:uid="{00000000-0005-0000-0000-00008DE20000}"/>
    <cellStyle name="SAPBEXinputData 3 2 2 3 5" xfId="58054" xr:uid="{00000000-0005-0000-0000-00008EE20000}"/>
    <cellStyle name="SAPBEXinputData 3 2 2 3 5 2" xfId="58055" xr:uid="{00000000-0005-0000-0000-00008FE20000}"/>
    <cellStyle name="SAPBEXinputData 3 2 2 3 5 3" xfId="58056" xr:uid="{00000000-0005-0000-0000-000090E20000}"/>
    <cellStyle name="SAPBEXinputData 3 2 2 3 6" xfId="58057" xr:uid="{00000000-0005-0000-0000-000091E20000}"/>
    <cellStyle name="SAPBEXinputData 3 2 2 3 7" xfId="58058" xr:uid="{00000000-0005-0000-0000-000092E20000}"/>
    <cellStyle name="SAPBEXinputData 3 2 2 3 8" xfId="58059" xr:uid="{00000000-0005-0000-0000-000093E20000}"/>
    <cellStyle name="SAPBEXinputData 3 2 2 3 9" xfId="58060" xr:uid="{00000000-0005-0000-0000-000094E20000}"/>
    <cellStyle name="SAPBEXinputData 3 2 2 4" xfId="58061" xr:uid="{00000000-0005-0000-0000-000095E20000}"/>
    <cellStyle name="SAPBEXinputData 3 2 2 4 2" xfId="58062" xr:uid="{00000000-0005-0000-0000-000096E20000}"/>
    <cellStyle name="SAPBEXinputData 3 2 2 4 2 2" xfId="58063" xr:uid="{00000000-0005-0000-0000-000097E20000}"/>
    <cellStyle name="SAPBEXinputData 3 2 2 4 2 3" xfId="58064" xr:uid="{00000000-0005-0000-0000-000098E20000}"/>
    <cellStyle name="SAPBEXinputData 3 2 2 4 2 4" xfId="58065" xr:uid="{00000000-0005-0000-0000-000099E20000}"/>
    <cellStyle name="SAPBEXinputData 3 2 2 4 3" xfId="58066" xr:uid="{00000000-0005-0000-0000-00009AE20000}"/>
    <cellStyle name="SAPBEXinputData 3 2 2 4 3 2" xfId="58067" xr:uid="{00000000-0005-0000-0000-00009BE20000}"/>
    <cellStyle name="SAPBEXinputData 3 2 2 4 3 3" xfId="58068" xr:uid="{00000000-0005-0000-0000-00009CE20000}"/>
    <cellStyle name="SAPBEXinputData 3 2 2 4 4" xfId="58069" xr:uid="{00000000-0005-0000-0000-00009DE20000}"/>
    <cellStyle name="SAPBEXinputData 3 2 2 4 5" xfId="58070" xr:uid="{00000000-0005-0000-0000-00009EE20000}"/>
    <cellStyle name="SAPBEXinputData 3 2 2 4 6" xfId="58071" xr:uid="{00000000-0005-0000-0000-00009FE20000}"/>
    <cellStyle name="SAPBEXinputData 3 2 2 4 7" xfId="58072" xr:uid="{00000000-0005-0000-0000-0000A0E20000}"/>
    <cellStyle name="SAPBEXinputData 3 2 2 4 8" xfId="58073" xr:uid="{00000000-0005-0000-0000-0000A1E20000}"/>
    <cellStyle name="SAPBEXinputData 3 2 2 5" xfId="58074" xr:uid="{00000000-0005-0000-0000-0000A2E20000}"/>
    <cellStyle name="SAPBEXinputData 3 2 2 5 2" xfId="58075" xr:uid="{00000000-0005-0000-0000-0000A3E20000}"/>
    <cellStyle name="SAPBEXinputData 3 2 2 5 2 2" xfId="58076" xr:uid="{00000000-0005-0000-0000-0000A4E20000}"/>
    <cellStyle name="SAPBEXinputData 3 2 2 5 2 3" xfId="58077" xr:uid="{00000000-0005-0000-0000-0000A5E20000}"/>
    <cellStyle name="SAPBEXinputData 3 2 2 5 3" xfId="58078" xr:uid="{00000000-0005-0000-0000-0000A6E20000}"/>
    <cellStyle name="SAPBEXinputData 3 2 2 5 4" xfId="58079" xr:uid="{00000000-0005-0000-0000-0000A7E20000}"/>
    <cellStyle name="SAPBEXinputData 3 2 2 5 5" xfId="58080" xr:uid="{00000000-0005-0000-0000-0000A8E20000}"/>
    <cellStyle name="SAPBEXinputData 3 2 2 5 6" xfId="58081" xr:uid="{00000000-0005-0000-0000-0000A9E20000}"/>
    <cellStyle name="SAPBEXinputData 3 2 2 6" xfId="58082" xr:uid="{00000000-0005-0000-0000-0000AAE20000}"/>
    <cellStyle name="SAPBEXinputData 3 2 2 6 2" xfId="58083" xr:uid="{00000000-0005-0000-0000-0000ABE20000}"/>
    <cellStyle name="SAPBEXinputData 3 2 2 6 3" xfId="58084" xr:uid="{00000000-0005-0000-0000-0000ACE20000}"/>
    <cellStyle name="SAPBEXinputData 3 2 2 7" xfId="58085" xr:uid="{00000000-0005-0000-0000-0000ADE20000}"/>
    <cellStyle name="SAPBEXinputData 3 2 2 7 2" xfId="58086" xr:uid="{00000000-0005-0000-0000-0000AEE20000}"/>
    <cellStyle name="SAPBEXinputData 3 2 2 7 3" xfId="58087" xr:uid="{00000000-0005-0000-0000-0000AFE20000}"/>
    <cellStyle name="SAPBEXinputData 3 2 2 8" xfId="58088" xr:uid="{00000000-0005-0000-0000-0000B0E20000}"/>
    <cellStyle name="SAPBEXinputData 3 2 2 9" xfId="58089" xr:uid="{00000000-0005-0000-0000-0000B1E20000}"/>
    <cellStyle name="SAPBEXinputData 3 2 3" xfId="58090" xr:uid="{00000000-0005-0000-0000-0000B2E20000}"/>
    <cellStyle name="SAPBEXinputData 3 2 3 10" xfId="58091" xr:uid="{00000000-0005-0000-0000-0000B3E20000}"/>
    <cellStyle name="SAPBEXinputData 3 2 3 11" xfId="58092" xr:uid="{00000000-0005-0000-0000-0000B4E20000}"/>
    <cellStyle name="SAPBEXinputData 3 2 3 2" xfId="58093" xr:uid="{00000000-0005-0000-0000-0000B5E20000}"/>
    <cellStyle name="SAPBEXinputData 3 2 3 2 2" xfId="58094" xr:uid="{00000000-0005-0000-0000-0000B6E20000}"/>
    <cellStyle name="SAPBEXinputData 3 2 3 2 2 2" xfId="58095" xr:uid="{00000000-0005-0000-0000-0000B7E20000}"/>
    <cellStyle name="SAPBEXinputData 3 2 3 2 2 2 2" xfId="58096" xr:uid="{00000000-0005-0000-0000-0000B8E20000}"/>
    <cellStyle name="SAPBEXinputData 3 2 3 2 2 2 3" xfId="58097" xr:uid="{00000000-0005-0000-0000-0000B9E20000}"/>
    <cellStyle name="SAPBEXinputData 3 2 3 2 2 3" xfId="58098" xr:uid="{00000000-0005-0000-0000-0000BAE20000}"/>
    <cellStyle name="SAPBEXinputData 3 2 3 2 2 3 2" xfId="58099" xr:uid="{00000000-0005-0000-0000-0000BBE20000}"/>
    <cellStyle name="SAPBEXinputData 3 2 3 2 2 3 3" xfId="58100" xr:uid="{00000000-0005-0000-0000-0000BCE20000}"/>
    <cellStyle name="SAPBEXinputData 3 2 3 2 2 4" xfId="58101" xr:uid="{00000000-0005-0000-0000-0000BDE20000}"/>
    <cellStyle name="SAPBEXinputData 3 2 3 2 2 5" xfId="58102" xr:uid="{00000000-0005-0000-0000-0000BEE20000}"/>
    <cellStyle name="SAPBEXinputData 3 2 3 2 2 6" xfId="58103" xr:uid="{00000000-0005-0000-0000-0000BFE20000}"/>
    <cellStyle name="SAPBEXinputData 3 2 3 2 2 7" xfId="58104" xr:uid="{00000000-0005-0000-0000-0000C0E20000}"/>
    <cellStyle name="SAPBEXinputData 3 2 3 2 2 8" xfId="58105" xr:uid="{00000000-0005-0000-0000-0000C1E20000}"/>
    <cellStyle name="SAPBEXinputData 3 2 3 2 3" xfId="58106" xr:uid="{00000000-0005-0000-0000-0000C2E20000}"/>
    <cellStyle name="SAPBEXinputData 3 2 3 2 3 2" xfId="58107" xr:uid="{00000000-0005-0000-0000-0000C3E20000}"/>
    <cellStyle name="SAPBEXinputData 3 2 3 2 3 2 2" xfId="58108" xr:uid="{00000000-0005-0000-0000-0000C4E20000}"/>
    <cellStyle name="SAPBEXinputData 3 2 3 2 3 2 3" xfId="58109" xr:uid="{00000000-0005-0000-0000-0000C5E20000}"/>
    <cellStyle name="SAPBEXinputData 3 2 3 2 3 3" xfId="58110" xr:uid="{00000000-0005-0000-0000-0000C6E20000}"/>
    <cellStyle name="SAPBEXinputData 3 2 3 2 3 3 2" xfId="58111" xr:uid="{00000000-0005-0000-0000-0000C7E20000}"/>
    <cellStyle name="SAPBEXinputData 3 2 3 2 3 4" xfId="58112" xr:uid="{00000000-0005-0000-0000-0000C8E20000}"/>
    <cellStyle name="SAPBEXinputData 3 2 3 2 4" xfId="58113" xr:uid="{00000000-0005-0000-0000-0000C9E20000}"/>
    <cellStyle name="SAPBEXinputData 3 2 3 2 4 2" xfId="58114" xr:uid="{00000000-0005-0000-0000-0000CAE20000}"/>
    <cellStyle name="SAPBEXinputData 3 2 3 2 4 3" xfId="58115" xr:uid="{00000000-0005-0000-0000-0000CBE20000}"/>
    <cellStyle name="SAPBEXinputData 3 2 3 2 5" xfId="58116" xr:uid="{00000000-0005-0000-0000-0000CCE20000}"/>
    <cellStyle name="SAPBEXinputData 3 2 3 2 6" xfId="58117" xr:uid="{00000000-0005-0000-0000-0000CDE20000}"/>
    <cellStyle name="SAPBEXinputData 3 2 3 2 7" xfId="58118" xr:uid="{00000000-0005-0000-0000-0000CEE20000}"/>
    <cellStyle name="SAPBEXinputData 3 2 3 2 8" xfId="58119" xr:uid="{00000000-0005-0000-0000-0000CFE20000}"/>
    <cellStyle name="SAPBEXinputData 3 2 3 2 9" xfId="58120" xr:uid="{00000000-0005-0000-0000-0000D0E20000}"/>
    <cellStyle name="SAPBEXinputData 3 2 3 3" xfId="58121" xr:uid="{00000000-0005-0000-0000-0000D1E20000}"/>
    <cellStyle name="SAPBEXinputData 3 2 3 3 2" xfId="58122" xr:uid="{00000000-0005-0000-0000-0000D2E20000}"/>
    <cellStyle name="SAPBEXinputData 3 2 3 3 2 2" xfId="58123" xr:uid="{00000000-0005-0000-0000-0000D3E20000}"/>
    <cellStyle name="SAPBEXinputData 3 2 3 3 2 3" xfId="58124" xr:uid="{00000000-0005-0000-0000-0000D4E20000}"/>
    <cellStyle name="SAPBEXinputData 3 2 3 3 3" xfId="58125" xr:uid="{00000000-0005-0000-0000-0000D5E20000}"/>
    <cellStyle name="SAPBEXinputData 3 2 3 3 3 2" xfId="58126" xr:uid="{00000000-0005-0000-0000-0000D6E20000}"/>
    <cellStyle name="SAPBEXinputData 3 2 3 3 3 3" xfId="58127" xr:uid="{00000000-0005-0000-0000-0000D7E20000}"/>
    <cellStyle name="SAPBEXinputData 3 2 3 3 4" xfId="58128" xr:uid="{00000000-0005-0000-0000-0000D8E20000}"/>
    <cellStyle name="SAPBEXinputData 3 2 3 3 5" xfId="58129" xr:uid="{00000000-0005-0000-0000-0000D9E20000}"/>
    <cellStyle name="SAPBEXinputData 3 2 3 3 6" xfId="58130" xr:uid="{00000000-0005-0000-0000-0000DAE20000}"/>
    <cellStyle name="SAPBEXinputData 3 2 3 3 7" xfId="58131" xr:uid="{00000000-0005-0000-0000-0000DBE20000}"/>
    <cellStyle name="SAPBEXinputData 3 2 3 3 8" xfId="58132" xr:uid="{00000000-0005-0000-0000-0000DCE20000}"/>
    <cellStyle name="SAPBEXinputData 3 2 3 4" xfId="58133" xr:uid="{00000000-0005-0000-0000-0000DDE20000}"/>
    <cellStyle name="SAPBEXinputData 3 2 3 4 2" xfId="58134" xr:uid="{00000000-0005-0000-0000-0000DEE20000}"/>
    <cellStyle name="SAPBEXinputData 3 2 3 4 2 2" xfId="58135" xr:uid="{00000000-0005-0000-0000-0000DFE20000}"/>
    <cellStyle name="SAPBEXinputData 3 2 3 4 2 3" xfId="58136" xr:uid="{00000000-0005-0000-0000-0000E0E20000}"/>
    <cellStyle name="SAPBEXinputData 3 2 3 4 3" xfId="58137" xr:uid="{00000000-0005-0000-0000-0000E1E20000}"/>
    <cellStyle name="SAPBEXinputData 3 2 3 4 3 2" xfId="58138" xr:uid="{00000000-0005-0000-0000-0000E2E20000}"/>
    <cellStyle name="SAPBEXinputData 3 2 3 4 4" xfId="58139" xr:uid="{00000000-0005-0000-0000-0000E3E20000}"/>
    <cellStyle name="SAPBEXinputData 3 2 3 5" xfId="58140" xr:uid="{00000000-0005-0000-0000-0000E4E20000}"/>
    <cellStyle name="SAPBEXinputData 3 2 3 5 2" xfId="58141" xr:uid="{00000000-0005-0000-0000-0000E5E20000}"/>
    <cellStyle name="SAPBEXinputData 3 2 3 5 3" xfId="58142" xr:uid="{00000000-0005-0000-0000-0000E6E20000}"/>
    <cellStyle name="SAPBEXinputData 3 2 3 6" xfId="58143" xr:uid="{00000000-0005-0000-0000-0000E7E20000}"/>
    <cellStyle name="SAPBEXinputData 3 2 3 6 2" xfId="58144" xr:uid="{00000000-0005-0000-0000-0000E8E20000}"/>
    <cellStyle name="SAPBEXinputData 3 2 3 6 3" xfId="58145" xr:uid="{00000000-0005-0000-0000-0000E9E20000}"/>
    <cellStyle name="SAPBEXinputData 3 2 3 7" xfId="58146" xr:uid="{00000000-0005-0000-0000-0000EAE20000}"/>
    <cellStyle name="SAPBEXinputData 3 2 3 8" xfId="58147" xr:uid="{00000000-0005-0000-0000-0000EBE20000}"/>
    <cellStyle name="SAPBEXinputData 3 2 3 9" xfId="58148" xr:uid="{00000000-0005-0000-0000-0000ECE20000}"/>
    <cellStyle name="SAPBEXinputData 3 2 4" xfId="58149" xr:uid="{00000000-0005-0000-0000-0000EDE20000}"/>
    <cellStyle name="SAPBEXinputData 3 2 4 10" xfId="58150" xr:uid="{00000000-0005-0000-0000-0000EEE20000}"/>
    <cellStyle name="SAPBEXinputData 3 2 4 2" xfId="58151" xr:uid="{00000000-0005-0000-0000-0000EFE20000}"/>
    <cellStyle name="SAPBEXinputData 3 2 4 2 2" xfId="58152" xr:uid="{00000000-0005-0000-0000-0000F0E20000}"/>
    <cellStyle name="SAPBEXinputData 3 2 4 2 2 2" xfId="58153" xr:uid="{00000000-0005-0000-0000-0000F1E20000}"/>
    <cellStyle name="SAPBEXinputData 3 2 4 2 2 3" xfId="58154" xr:uid="{00000000-0005-0000-0000-0000F2E20000}"/>
    <cellStyle name="SAPBEXinputData 3 2 4 2 2 4" xfId="58155" xr:uid="{00000000-0005-0000-0000-0000F3E20000}"/>
    <cellStyle name="SAPBEXinputData 3 2 4 2 3" xfId="58156" xr:uid="{00000000-0005-0000-0000-0000F4E20000}"/>
    <cellStyle name="SAPBEXinputData 3 2 4 2 3 2" xfId="58157" xr:uid="{00000000-0005-0000-0000-0000F5E20000}"/>
    <cellStyle name="SAPBEXinputData 3 2 4 2 3 3" xfId="58158" xr:uid="{00000000-0005-0000-0000-0000F6E20000}"/>
    <cellStyle name="SAPBEXinputData 3 2 4 2 4" xfId="58159" xr:uid="{00000000-0005-0000-0000-0000F7E20000}"/>
    <cellStyle name="SAPBEXinputData 3 2 4 2 5" xfId="58160" xr:uid="{00000000-0005-0000-0000-0000F8E20000}"/>
    <cellStyle name="SAPBEXinputData 3 2 4 2 6" xfId="58161" xr:uid="{00000000-0005-0000-0000-0000F9E20000}"/>
    <cellStyle name="SAPBEXinputData 3 2 4 2 7" xfId="58162" xr:uid="{00000000-0005-0000-0000-0000FAE20000}"/>
    <cellStyle name="SAPBEXinputData 3 2 4 2 8" xfId="58163" xr:uid="{00000000-0005-0000-0000-0000FBE20000}"/>
    <cellStyle name="SAPBEXinputData 3 2 4 3" xfId="58164" xr:uid="{00000000-0005-0000-0000-0000FCE20000}"/>
    <cellStyle name="SAPBEXinputData 3 2 4 3 2" xfId="58165" xr:uid="{00000000-0005-0000-0000-0000FDE20000}"/>
    <cellStyle name="SAPBEXinputData 3 2 4 3 2 2" xfId="58166" xr:uid="{00000000-0005-0000-0000-0000FEE20000}"/>
    <cellStyle name="SAPBEXinputData 3 2 4 3 2 3" xfId="58167" xr:uid="{00000000-0005-0000-0000-0000FFE20000}"/>
    <cellStyle name="SAPBEXinputData 3 2 4 3 3" xfId="58168" xr:uid="{00000000-0005-0000-0000-000000E30000}"/>
    <cellStyle name="SAPBEXinputData 3 2 4 3 4" xfId="58169" xr:uid="{00000000-0005-0000-0000-000001E30000}"/>
    <cellStyle name="SAPBEXinputData 3 2 4 3 5" xfId="58170" xr:uid="{00000000-0005-0000-0000-000002E30000}"/>
    <cellStyle name="SAPBEXinputData 3 2 4 3 6" xfId="58171" xr:uid="{00000000-0005-0000-0000-000003E30000}"/>
    <cellStyle name="SAPBEXinputData 3 2 4 4" xfId="58172" xr:uid="{00000000-0005-0000-0000-000004E30000}"/>
    <cellStyle name="SAPBEXinputData 3 2 4 4 2" xfId="58173" xr:uid="{00000000-0005-0000-0000-000005E30000}"/>
    <cellStyle name="SAPBEXinputData 3 2 4 4 3" xfId="58174" xr:uid="{00000000-0005-0000-0000-000006E30000}"/>
    <cellStyle name="SAPBEXinputData 3 2 4 5" xfId="58175" xr:uid="{00000000-0005-0000-0000-000007E30000}"/>
    <cellStyle name="SAPBEXinputData 3 2 4 5 2" xfId="58176" xr:uid="{00000000-0005-0000-0000-000008E30000}"/>
    <cellStyle name="SAPBEXinputData 3 2 4 5 3" xfId="58177" xr:uid="{00000000-0005-0000-0000-000009E30000}"/>
    <cellStyle name="SAPBEXinputData 3 2 4 6" xfId="58178" xr:uid="{00000000-0005-0000-0000-00000AE30000}"/>
    <cellStyle name="SAPBEXinputData 3 2 4 7" xfId="58179" xr:uid="{00000000-0005-0000-0000-00000BE30000}"/>
    <cellStyle name="SAPBEXinputData 3 2 4 8" xfId="58180" xr:uid="{00000000-0005-0000-0000-00000CE30000}"/>
    <cellStyle name="SAPBEXinputData 3 2 4 9" xfId="58181" xr:uid="{00000000-0005-0000-0000-00000DE30000}"/>
    <cellStyle name="SAPBEXinputData 3 2 5" xfId="58182" xr:uid="{00000000-0005-0000-0000-00000EE30000}"/>
    <cellStyle name="SAPBEXinputData 3 2 5 2" xfId="58183" xr:uid="{00000000-0005-0000-0000-00000FE30000}"/>
    <cellStyle name="SAPBEXinputData 3 2 5 2 2" xfId="58184" xr:uid="{00000000-0005-0000-0000-000010E30000}"/>
    <cellStyle name="SAPBEXinputData 3 2 5 2 3" xfId="58185" xr:uid="{00000000-0005-0000-0000-000011E30000}"/>
    <cellStyle name="SAPBEXinputData 3 2 5 2 4" xfId="58186" xr:uid="{00000000-0005-0000-0000-000012E30000}"/>
    <cellStyle name="SAPBEXinputData 3 2 5 3" xfId="58187" xr:uid="{00000000-0005-0000-0000-000013E30000}"/>
    <cellStyle name="SAPBEXinputData 3 2 5 3 2" xfId="58188" xr:uid="{00000000-0005-0000-0000-000014E30000}"/>
    <cellStyle name="SAPBEXinputData 3 2 5 3 3" xfId="58189" xr:uid="{00000000-0005-0000-0000-000015E30000}"/>
    <cellStyle name="SAPBEXinputData 3 2 5 4" xfId="58190" xr:uid="{00000000-0005-0000-0000-000016E30000}"/>
    <cellStyle name="SAPBEXinputData 3 2 5 5" xfId="58191" xr:uid="{00000000-0005-0000-0000-000017E30000}"/>
    <cellStyle name="SAPBEXinputData 3 2 5 6" xfId="58192" xr:uid="{00000000-0005-0000-0000-000018E30000}"/>
    <cellStyle name="SAPBEXinputData 3 2 5 7" xfId="58193" xr:uid="{00000000-0005-0000-0000-000019E30000}"/>
    <cellStyle name="SAPBEXinputData 3 2 5 8" xfId="58194" xr:uid="{00000000-0005-0000-0000-00001AE30000}"/>
    <cellStyle name="SAPBEXinputData 3 2 6" xfId="58195" xr:uid="{00000000-0005-0000-0000-00001BE30000}"/>
    <cellStyle name="SAPBEXinputData 3 2 6 2" xfId="58196" xr:uid="{00000000-0005-0000-0000-00001CE30000}"/>
    <cellStyle name="SAPBEXinputData 3 2 6 2 2" xfId="58197" xr:uid="{00000000-0005-0000-0000-00001DE30000}"/>
    <cellStyle name="SAPBEXinputData 3 2 6 2 3" xfId="58198" xr:uid="{00000000-0005-0000-0000-00001EE30000}"/>
    <cellStyle name="SAPBEXinputData 3 2 6 3" xfId="58199" xr:uid="{00000000-0005-0000-0000-00001FE30000}"/>
    <cellStyle name="SAPBEXinputData 3 2 6 4" xfId="58200" xr:uid="{00000000-0005-0000-0000-000020E30000}"/>
    <cellStyle name="SAPBEXinputData 3 2 6 5" xfId="58201" xr:uid="{00000000-0005-0000-0000-000021E30000}"/>
    <cellStyle name="SAPBEXinputData 3 2 6 6" xfId="58202" xr:uid="{00000000-0005-0000-0000-000022E30000}"/>
    <cellStyle name="SAPBEXinputData 3 2 7" xfId="58203" xr:uid="{00000000-0005-0000-0000-000023E30000}"/>
    <cellStyle name="SAPBEXinputData 3 2 7 2" xfId="58204" xr:uid="{00000000-0005-0000-0000-000024E30000}"/>
    <cellStyle name="SAPBEXinputData 3 2 7 3" xfId="58205" xr:uid="{00000000-0005-0000-0000-000025E30000}"/>
    <cellStyle name="SAPBEXinputData 3 2 8" xfId="58206" xr:uid="{00000000-0005-0000-0000-000026E30000}"/>
    <cellStyle name="SAPBEXinputData 3 2 8 2" xfId="58207" xr:uid="{00000000-0005-0000-0000-000027E30000}"/>
    <cellStyle name="SAPBEXinputData 3 2 8 3" xfId="58208" xr:uid="{00000000-0005-0000-0000-000028E30000}"/>
    <cellStyle name="SAPBEXinputData 3 2 9" xfId="58209" xr:uid="{00000000-0005-0000-0000-000029E30000}"/>
    <cellStyle name="SAPBEXinputData 3 3" xfId="58210" xr:uid="{00000000-0005-0000-0000-00002AE30000}"/>
    <cellStyle name="SAPBEXinputData 3 3 10" xfId="58211" xr:uid="{00000000-0005-0000-0000-00002BE30000}"/>
    <cellStyle name="SAPBEXinputData 3 3 11" xfId="58212" xr:uid="{00000000-0005-0000-0000-00002CE30000}"/>
    <cellStyle name="SAPBEXinputData 3 3 12" xfId="58213" xr:uid="{00000000-0005-0000-0000-00002DE30000}"/>
    <cellStyle name="SAPBEXinputData 3 3 2" xfId="58214" xr:uid="{00000000-0005-0000-0000-00002EE30000}"/>
    <cellStyle name="SAPBEXinputData 3 3 2 10" xfId="58215" xr:uid="{00000000-0005-0000-0000-00002FE30000}"/>
    <cellStyle name="SAPBEXinputData 3 3 2 11" xfId="58216" xr:uid="{00000000-0005-0000-0000-000030E30000}"/>
    <cellStyle name="SAPBEXinputData 3 3 2 2" xfId="58217" xr:uid="{00000000-0005-0000-0000-000031E30000}"/>
    <cellStyle name="SAPBEXinputData 3 3 2 2 2" xfId="58218" xr:uid="{00000000-0005-0000-0000-000032E30000}"/>
    <cellStyle name="SAPBEXinputData 3 3 2 2 2 2" xfId="58219" xr:uid="{00000000-0005-0000-0000-000033E30000}"/>
    <cellStyle name="SAPBEXinputData 3 3 2 2 2 2 2" xfId="58220" xr:uid="{00000000-0005-0000-0000-000034E30000}"/>
    <cellStyle name="SAPBEXinputData 3 3 2 2 2 2 3" xfId="58221" xr:uid="{00000000-0005-0000-0000-000035E30000}"/>
    <cellStyle name="SAPBEXinputData 3 3 2 2 2 3" xfId="58222" xr:uid="{00000000-0005-0000-0000-000036E30000}"/>
    <cellStyle name="SAPBEXinputData 3 3 2 2 2 3 2" xfId="58223" xr:uid="{00000000-0005-0000-0000-000037E30000}"/>
    <cellStyle name="SAPBEXinputData 3 3 2 2 2 3 3" xfId="58224" xr:uid="{00000000-0005-0000-0000-000038E30000}"/>
    <cellStyle name="SAPBEXinputData 3 3 2 2 2 4" xfId="58225" xr:uid="{00000000-0005-0000-0000-000039E30000}"/>
    <cellStyle name="SAPBEXinputData 3 3 2 2 2 5" xfId="58226" xr:uid="{00000000-0005-0000-0000-00003AE30000}"/>
    <cellStyle name="SAPBEXinputData 3 3 2 2 2 6" xfId="58227" xr:uid="{00000000-0005-0000-0000-00003BE30000}"/>
    <cellStyle name="SAPBEXinputData 3 3 2 2 2 7" xfId="58228" xr:uid="{00000000-0005-0000-0000-00003CE30000}"/>
    <cellStyle name="SAPBEXinputData 3 3 2 2 2 8" xfId="58229" xr:uid="{00000000-0005-0000-0000-00003DE30000}"/>
    <cellStyle name="SAPBEXinputData 3 3 2 2 3" xfId="58230" xr:uid="{00000000-0005-0000-0000-00003EE30000}"/>
    <cellStyle name="SAPBEXinputData 3 3 2 2 3 2" xfId="58231" xr:uid="{00000000-0005-0000-0000-00003FE30000}"/>
    <cellStyle name="SAPBEXinputData 3 3 2 2 3 2 2" xfId="58232" xr:uid="{00000000-0005-0000-0000-000040E30000}"/>
    <cellStyle name="SAPBEXinputData 3 3 2 2 3 2 3" xfId="58233" xr:uid="{00000000-0005-0000-0000-000041E30000}"/>
    <cellStyle name="SAPBEXinputData 3 3 2 2 3 3" xfId="58234" xr:uid="{00000000-0005-0000-0000-000042E30000}"/>
    <cellStyle name="SAPBEXinputData 3 3 2 2 3 3 2" xfId="58235" xr:uid="{00000000-0005-0000-0000-000043E30000}"/>
    <cellStyle name="SAPBEXinputData 3 3 2 2 3 4" xfId="58236" xr:uid="{00000000-0005-0000-0000-000044E30000}"/>
    <cellStyle name="SAPBEXinputData 3 3 2 2 4" xfId="58237" xr:uid="{00000000-0005-0000-0000-000045E30000}"/>
    <cellStyle name="SAPBEXinputData 3 3 2 2 4 2" xfId="58238" xr:uid="{00000000-0005-0000-0000-000046E30000}"/>
    <cellStyle name="SAPBEXinputData 3 3 2 2 4 3" xfId="58239" xr:uid="{00000000-0005-0000-0000-000047E30000}"/>
    <cellStyle name="SAPBEXinputData 3 3 2 2 5" xfId="58240" xr:uid="{00000000-0005-0000-0000-000048E30000}"/>
    <cellStyle name="SAPBEXinputData 3 3 2 2 6" xfId="58241" xr:uid="{00000000-0005-0000-0000-000049E30000}"/>
    <cellStyle name="SAPBEXinputData 3 3 2 2 7" xfId="58242" xr:uid="{00000000-0005-0000-0000-00004AE30000}"/>
    <cellStyle name="SAPBEXinputData 3 3 2 2 8" xfId="58243" xr:uid="{00000000-0005-0000-0000-00004BE30000}"/>
    <cellStyle name="SAPBEXinputData 3 3 2 2 9" xfId="58244" xr:uid="{00000000-0005-0000-0000-00004CE30000}"/>
    <cellStyle name="SAPBEXinputData 3 3 2 3" xfId="58245" xr:uid="{00000000-0005-0000-0000-00004DE30000}"/>
    <cellStyle name="SAPBEXinputData 3 3 2 3 2" xfId="58246" xr:uid="{00000000-0005-0000-0000-00004EE30000}"/>
    <cellStyle name="SAPBEXinputData 3 3 2 3 2 2" xfId="58247" xr:uid="{00000000-0005-0000-0000-00004FE30000}"/>
    <cellStyle name="SAPBEXinputData 3 3 2 3 2 3" xfId="58248" xr:uid="{00000000-0005-0000-0000-000050E30000}"/>
    <cellStyle name="SAPBEXinputData 3 3 2 3 3" xfId="58249" xr:uid="{00000000-0005-0000-0000-000051E30000}"/>
    <cellStyle name="SAPBEXinputData 3 3 2 3 3 2" xfId="58250" xr:uid="{00000000-0005-0000-0000-000052E30000}"/>
    <cellStyle name="SAPBEXinputData 3 3 2 3 3 3" xfId="58251" xr:uid="{00000000-0005-0000-0000-000053E30000}"/>
    <cellStyle name="SAPBEXinputData 3 3 2 3 4" xfId="58252" xr:uid="{00000000-0005-0000-0000-000054E30000}"/>
    <cellStyle name="SAPBEXinputData 3 3 2 3 5" xfId="58253" xr:uid="{00000000-0005-0000-0000-000055E30000}"/>
    <cellStyle name="SAPBEXinputData 3 3 2 3 6" xfId="58254" xr:uid="{00000000-0005-0000-0000-000056E30000}"/>
    <cellStyle name="SAPBEXinputData 3 3 2 3 7" xfId="58255" xr:uid="{00000000-0005-0000-0000-000057E30000}"/>
    <cellStyle name="SAPBEXinputData 3 3 2 3 8" xfId="58256" xr:uid="{00000000-0005-0000-0000-000058E30000}"/>
    <cellStyle name="SAPBEXinputData 3 3 2 4" xfId="58257" xr:uid="{00000000-0005-0000-0000-000059E30000}"/>
    <cellStyle name="SAPBEXinputData 3 3 2 4 2" xfId="58258" xr:uid="{00000000-0005-0000-0000-00005AE30000}"/>
    <cellStyle name="SAPBEXinputData 3 3 2 4 2 2" xfId="58259" xr:uid="{00000000-0005-0000-0000-00005BE30000}"/>
    <cellStyle name="SAPBEXinputData 3 3 2 4 2 3" xfId="58260" xr:uid="{00000000-0005-0000-0000-00005CE30000}"/>
    <cellStyle name="SAPBEXinputData 3 3 2 4 3" xfId="58261" xr:uid="{00000000-0005-0000-0000-00005DE30000}"/>
    <cellStyle name="SAPBEXinputData 3 3 2 4 3 2" xfId="58262" xr:uid="{00000000-0005-0000-0000-00005EE30000}"/>
    <cellStyle name="SAPBEXinputData 3 3 2 4 4" xfId="58263" xr:uid="{00000000-0005-0000-0000-00005FE30000}"/>
    <cellStyle name="SAPBEXinputData 3 3 2 5" xfId="58264" xr:uid="{00000000-0005-0000-0000-000060E30000}"/>
    <cellStyle name="SAPBEXinputData 3 3 2 5 2" xfId="58265" xr:uid="{00000000-0005-0000-0000-000061E30000}"/>
    <cellStyle name="SAPBEXinputData 3 3 2 5 3" xfId="58266" xr:uid="{00000000-0005-0000-0000-000062E30000}"/>
    <cellStyle name="SAPBEXinputData 3 3 2 6" xfId="58267" xr:uid="{00000000-0005-0000-0000-000063E30000}"/>
    <cellStyle name="SAPBEXinputData 3 3 2 6 2" xfId="58268" xr:uid="{00000000-0005-0000-0000-000064E30000}"/>
    <cellStyle name="SAPBEXinputData 3 3 2 6 3" xfId="58269" xr:uid="{00000000-0005-0000-0000-000065E30000}"/>
    <cellStyle name="SAPBEXinputData 3 3 2 7" xfId="58270" xr:uid="{00000000-0005-0000-0000-000066E30000}"/>
    <cellStyle name="SAPBEXinputData 3 3 2 8" xfId="58271" xr:uid="{00000000-0005-0000-0000-000067E30000}"/>
    <cellStyle name="SAPBEXinputData 3 3 2 9" xfId="58272" xr:uid="{00000000-0005-0000-0000-000068E30000}"/>
    <cellStyle name="SAPBEXinputData 3 3 3" xfId="58273" xr:uid="{00000000-0005-0000-0000-000069E30000}"/>
    <cellStyle name="SAPBEXinputData 3 3 3 10" xfId="58274" xr:uid="{00000000-0005-0000-0000-00006AE30000}"/>
    <cellStyle name="SAPBEXinputData 3 3 3 2" xfId="58275" xr:uid="{00000000-0005-0000-0000-00006BE30000}"/>
    <cellStyle name="SAPBEXinputData 3 3 3 2 2" xfId="58276" xr:uid="{00000000-0005-0000-0000-00006CE30000}"/>
    <cellStyle name="SAPBEXinputData 3 3 3 2 2 2" xfId="58277" xr:uid="{00000000-0005-0000-0000-00006DE30000}"/>
    <cellStyle name="SAPBEXinputData 3 3 3 2 2 3" xfId="58278" xr:uid="{00000000-0005-0000-0000-00006EE30000}"/>
    <cellStyle name="SAPBEXinputData 3 3 3 2 3" xfId="58279" xr:uid="{00000000-0005-0000-0000-00006FE30000}"/>
    <cellStyle name="SAPBEXinputData 3 3 3 2 3 2" xfId="58280" xr:uid="{00000000-0005-0000-0000-000070E30000}"/>
    <cellStyle name="SAPBEXinputData 3 3 3 2 3 3" xfId="58281" xr:uid="{00000000-0005-0000-0000-000071E30000}"/>
    <cellStyle name="SAPBEXinputData 3 3 3 2 4" xfId="58282" xr:uid="{00000000-0005-0000-0000-000072E30000}"/>
    <cellStyle name="SAPBEXinputData 3 3 3 2 5" xfId="58283" xr:uid="{00000000-0005-0000-0000-000073E30000}"/>
    <cellStyle name="SAPBEXinputData 3 3 3 2 6" xfId="58284" xr:uid="{00000000-0005-0000-0000-000074E30000}"/>
    <cellStyle name="SAPBEXinputData 3 3 3 2 7" xfId="58285" xr:uid="{00000000-0005-0000-0000-000075E30000}"/>
    <cellStyle name="SAPBEXinputData 3 3 3 2 8" xfId="58286" xr:uid="{00000000-0005-0000-0000-000076E30000}"/>
    <cellStyle name="SAPBEXinputData 3 3 3 3" xfId="58287" xr:uid="{00000000-0005-0000-0000-000077E30000}"/>
    <cellStyle name="SAPBEXinputData 3 3 3 3 2" xfId="58288" xr:uid="{00000000-0005-0000-0000-000078E30000}"/>
    <cellStyle name="SAPBEXinputData 3 3 3 3 2 2" xfId="58289" xr:uid="{00000000-0005-0000-0000-000079E30000}"/>
    <cellStyle name="SAPBEXinputData 3 3 3 3 2 3" xfId="58290" xr:uid="{00000000-0005-0000-0000-00007AE30000}"/>
    <cellStyle name="SAPBEXinputData 3 3 3 3 3" xfId="58291" xr:uid="{00000000-0005-0000-0000-00007BE30000}"/>
    <cellStyle name="SAPBEXinputData 3 3 3 3 3 2" xfId="58292" xr:uid="{00000000-0005-0000-0000-00007CE30000}"/>
    <cellStyle name="SAPBEXinputData 3 3 3 3 4" xfId="58293" xr:uid="{00000000-0005-0000-0000-00007DE30000}"/>
    <cellStyle name="SAPBEXinputData 3 3 3 4" xfId="58294" xr:uid="{00000000-0005-0000-0000-00007EE30000}"/>
    <cellStyle name="SAPBEXinputData 3 3 3 4 2" xfId="58295" xr:uid="{00000000-0005-0000-0000-00007FE30000}"/>
    <cellStyle name="SAPBEXinputData 3 3 3 4 3" xfId="58296" xr:uid="{00000000-0005-0000-0000-000080E30000}"/>
    <cellStyle name="SAPBEXinputData 3 3 3 5" xfId="58297" xr:uid="{00000000-0005-0000-0000-000081E30000}"/>
    <cellStyle name="SAPBEXinputData 3 3 3 5 2" xfId="58298" xr:uid="{00000000-0005-0000-0000-000082E30000}"/>
    <cellStyle name="SAPBEXinputData 3 3 3 5 3" xfId="58299" xr:uid="{00000000-0005-0000-0000-000083E30000}"/>
    <cellStyle name="SAPBEXinputData 3 3 3 6" xfId="58300" xr:uid="{00000000-0005-0000-0000-000084E30000}"/>
    <cellStyle name="SAPBEXinputData 3 3 3 7" xfId="58301" xr:uid="{00000000-0005-0000-0000-000085E30000}"/>
    <cellStyle name="SAPBEXinputData 3 3 3 8" xfId="58302" xr:uid="{00000000-0005-0000-0000-000086E30000}"/>
    <cellStyle name="SAPBEXinputData 3 3 3 9" xfId="58303" xr:uid="{00000000-0005-0000-0000-000087E30000}"/>
    <cellStyle name="SAPBEXinputData 3 3 4" xfId="58304" xr:uid="{00000000-0005-0000-0000-000088E30000}"/>
    <cellStyle name="SAPBEXinputData 3 3 4 2" xfId="58305" xr:uid="{00000000-0005-0000-0000-000089E30000}"/>
    <cellStyle name="SAPBEXinputData 3 3 4 2 2" xfId="58306" xr:uid="{00000000-0005-0000-0000-00008AE30000}"/>
    <cellStyle name="SAPBEXinputData 3 3 4 2 3" xfId="58307" xr:uid="{00000000-0005-0000-0000-00008BE30000}"/>
    <cellStyle name="SAPBEXinputData 3 3 4 2 4" xfId="58308" xr:uid="{00000000-0005-0000-0000-00008CE30000}"/>
    <cellStyle name="SAPBEXinputData 3 3 4 3" xfId="58309" xr:uid="{00000000-0005-0000-0000-00008DE30000}"/>
    <cellStyle name="SAPBEXinputData 3 3 4 3 2" xfId="58310" xr:uid="{00000000-0005-0000-0000-00008EE30000}"/>
    <cellStyle name="SAPBEXinputData 3 3 4 3 3" xfId="58311" xr:uid="{00000000-0005-0000-0000-00008FE30000}"/>
    <cellStyle name="SAPBEXinputData 3 3 4 4" xfId="58312" xr:uid="{00000000-0005-0000-0000-000090E30000}"/>
    <cellStyle name="SAPBEXinputData 3 3 4 5" xfId="58313" xr:uid="{00000000-0005-0000-0000-000091E30000}"/>
    <cellStyle name="SAPBEXinputData 3 3 4 6" xfId="58314" xr:uid="{00000000-0005-0000-0000-000092E30000}"/>
    <cellStyle name="SAPBEXinputData 3 3 4 7" xfId="58315" xr:uid="{00000000-0005-0000-0000-000093E30000}"/>
    <cellStyle name="SAPBEXinputData 3 3 4 8" xfId="58316" xr:uid="{00000000-0005-0000-0000-000094E30000}"/>
    <cellStyle name="SAPBEXinputData 3 3 5" xfId="58317" xr:uid="{00000000-0005-0000-0000-000095E30000}"/>
    <cellStyle name="SAPBEXinputData 3 3 5 2" xfId="58318" xr:uid="{00000000-0005-0000-0000-000096E30000}"/>
    <cellStyle name="SAPBEXinputData 3 3 5 2 2" xfId="58319" xr:uid="{00000000-0005-0000-0000-000097E30000}"/>
    <cellStyle name="SAPBEXinputData 3 3 5 2 3" xfId="58320" xr:uid="{00000000-0005-0000-0000-000098E30000}"/>
    <cellStyle name="SAPBEXinputData 3 3 5 3" xfId="58321" xr:uid="{00000000-0005-0000-0000-000099E30000}"/>
    <cellStyle name="SAPBEXinputData 3 3 5 4" xfId="58322" xr:uid="{00000000-0005-0000-0000-00009AE30000}"/>
    <cellStyle name="SAPBEXinputData 3 3 5 5" xfId="58323" xr:uid="{00000000-0005-0000-0000-00009BE30000}"/>
    <cellStyle name="SAPBEXinputData 3 3 5 6" xfId="58324" xr:uid="{00000000-0005-0000-0000-00009CE30000}"/>
    <cellStyle name="SAPBEXinputData 3 3 6" xfId="58325" xr:uid="{00000000-0005-0000-0000-00009DE30000}"/>
    <cellStyle name="SAPBEXinputData 3 3 6 2" xfId="58326" xr:uid="{00000000-0005-0000-0000-00009EE30000}"/>
    <cellStyle name="SAPBEXinputData 3 3 6 3" xfId="58327" xr:uid="{00000000-0005-0000-0000-00009FE30000}"/>
    <cellStyle name="SAPBEXinputData 3 3 7" xfId="58328" xr:uid="{00000000-0005-0000-0000-0000A0E30000}"/>
    <cellStyle name="SAPBEXinputData 3 3 7 2" xfId="58329" xr:uid="{00000000-0005-0000-0000-0000A1E30000}"/>
    <cellStyle name="SAPBEXinputData 3 3 7 3" xfId="58330" xr:uid="{00000000-0005-0000-0000-0000A2E30000}"/>
    <cellStyle name="SAPBEXinputData 3 3 8" xfId="58331" xr:uid="{00000000-0005-0000-0000-0000A3E30000}"/>
    <cellStyle name="SAPBEXinputData 3 3 9" xfId="58332" xr:uid="{00000000-0005-0000-0000-0000A4E30000}"/>
    <cellStyle name="SAPBEXinputData 3 4" xfId="58333" xr:uid="{00000000-0005-0000-0000-0000A5E30000}"/>
    <cellStyle name="SAPBEXinputData 3 4 10" xfId="58334" xr:uid="{00000000-0005-0000-0000-0000A6E30000}"/>
    <cellStyle name="SAPBEXinputData 3 4 11" xfId="58335" xr:uid="{00000000-0005-0000-0000-0000A7E30000}"/>
    <cellStyle name="SAPBEXinputData 3 4 2" xfId="58336" xr:uid="{00000000-0005-0000-0000-0000A8E30000}"/>
    <cellStyle name="SAPBEXinputData 3 4 2 2" xfId="58337" xr:uid="{00000000-0005-0000-0000-0000A9E30000}"/>
    <cellStyle name="SAPBEXinputData 3 4 2 2 2" xfId="58338" xr:uid="{00000000-0005-0000-0000-0000AAE30000}"/>
    <cellStyle name="SAPBEXinputData 3 4 2 2 2 2" xfId="58339" xr:uid="{00000000-0005-0000-0000-0000ABE30000}"/>
    <cellStyle name="SAPBEXinputData 3 4 2 2 2 3" xfId="58340" xr:uid="{00000000-0005-0000-0000-0000ACE30000}"/>
    <cellStyle name="SAPBEXinputData 3 4 2 2 3" xfId="58341" xr:uid="{00000000-0005-0000-0000-0000ADE30000}"/>
    <cellStyle name="SAPBEXinputData 3 4 2 2 3 2" xfId="58342" xr:uid="{00000000-0005-0000-0000-0000AEE30000}"/>
    <cellStyle name="SAPBEXinputData 3 4 2 2 3 3" xfId="58343" xr:uid="{00000000-0005-0000-0000-0000AFE30000}"/>
    <cellStyle name="SAPBEXinputData 3 4 2 2 4" xfId="58344" xr:uid="{00000000-0005-0000-0000-0000B0E30000}"/>
    <cellStyle name="SAPBEXinputData 3 4 2 2 5" xfId="58345" xr:uid="{00000000-0005-0000-0000-0000B1E30000}"/>
    <cellStyle name="SAPBEXinputData 3 4 2 2 6" xfId="58346" xr:uid="{00000000-0005-0000-0000-0000B2E30000}"/>
    <cellStyle name="SAPBEXinputData 3 4 2 2 7" xfId="58347" xr:uid="{00000000-0005-0000-0000-0000B3E30000}"/>
    <cellStyle name="SAPBEXinputData 3 4 2 2 8" xfId="58348" xr:uid="{00000000-0005-0000-0000-0000B4E30000}"/>
    <cellStyle name="SAPBEXinputData 3 4 2 3" xfId="58349" xr:uid="{00000000-0005-0000-0000-0000B5E30000}"/>
    <cellStyle name="SAPBEXinputData 3 4 2 3 2" xfId="58350" xr:uid="{00000000-0005-0000-0000-0000B6E30000}"/>
    <cellStyle name="SAPBEXinputData 3 4 2 3 2 2" xfId="58351" xr:uid="{00000000-0005-0000-0000-0000B7E30000}"/>
    <cellStyle name="SAPBEXinputData 3 4 2 3 2 3" xfId="58352" xr:uid="{00000000-0005-0000-0000-0000B8E30000}"/>
    <cellStyle name="SAPBEXinputData 3 4 2 3 3" xfId="58353" xr:uid="{00000000-0005-0000-0000-0000B9E30000}"/>
    <cellStyle name="SAPBEXinputData 3 4 2 3 3 2" xfId="58354" xr:uid="{00000000-0005-0000-0000-0000BAE30000}"/>
    <cellStyle name="SAPBEXinputData 3 4 2 3 4" xfId="58355" xr:uid="{00000000-0005-0000-0000-0000BBE30000}"/>
    <cellStyle name="SAPBEXinputData 3 4 2 4" xfId="58356" xr:uid="{00000000-0005-0000-0000-0000BCE30000}"/>
    <cellStyle name="SAPBEXinputData 3 4 2 4 2" xfId="58357" xr:uid="{00000000-0005-0000-0000-0000BDE30000}"/>
    <cellStyle name="SAPBEXinputData 3 4 2 4 3" xfId="58358" xr:uid="{00000000-0005-0000-0000-0000BEE30000}"/>
    <cellStyle name="SAPBEXinputData 3 4 2 5" xfId="58359" xr:uid="{00000000-0005-0000-0000-0000BFE30000}"/>
    <cellStyle name="SAPBEXinputData 3 4 2 6" xfId="58360" xr:uid="{00000000-0005-0000-0000-0000C0E30000}"/>
    <cellStyle name="SAPBEXinputData 3 4 2 7" xfId="58361" xr:uid="{00000000-0005-0000-0000-0000C1E30000}"/>
    <cellStyle name="SAPBEXinputData 3 4 2 8" xfId="58362" xr:uid="{00000000-0005-0000-0000-0000C2E30000}"/>
    <cellStyle name="SAPBEXinputData 3 4 2 9" xfId="58363" xr:uid="{00000000-0005-0000-0000-0000C3E30000}"/>
    <cellStyle name="SAPBEXinputData 3 4 3" xfId="58364" xr:uid="{00000000-0005-0000-0000-0000C4E30000}"/>
    <cellStyle name="SAPBEXinputData 3 4 3 2" xfId="58365" xr:uid="{00000000-0005-0000-0000-0000C5E30000}"/>
    <cellStyle name="SAPBEXinputData 3 4 3 2 2" xfId="58366" xr:uid="{00000000-0005-0000-0000-0000C6E30000}"/>
    <cellStyle name="SAPBEXinputData 3 4 3 2 3" xfId="58367" xr:uid="{00000000-0005-0000-0000-0000C7E30000}"/>
    <cellStyle name="SAPBEXinputData 3 4 3 3" xfId="58368" xr:uid="{00000000-0005-0000-0000-0000C8E30000}"/>
    <cellStyle name="SAPBEXinputData 3 4 3 3 2" xfId="58369" xr:uid="{00000000-0005-0000-0000-0000C9E30000}"/>
    <cellStyle name="SAPBEXinputData 3 4 3 3 3" xfId="58370" xr:uid="{00000000-0005-0000-0000-0000CAE30000}"/>
    <cellStyle name="SAPBEXinputData 3 4 3 4" xfId="58371" xr:uid="{00000000-0005-0000-0000-0000CBE30000}"/>
    <cellStyle name="SAPBEXinputData 3 4 3 5" xfId="58372" xr:uid="{00000000-0005-0000-0000-0000CCE30000}"/>
    <cellStyle name="SAPBEXinputData 3 4 3 6" xfId="58373" xr:uid="{00000000-0005-0000-0000-0000CDE30000}"/>
    <cellStyle name="SAPBEXinputData 3 4 3 7" xfId="58374" xr:uid="{00000000-0005-0000-0000-0000CEE30000}"/>
    <cellStyle name="SAPBEXinputData 3 4 3 8" xfId="58375" xr:uid="{00000000-0005-0000-0000-0000CFE30000}"/>
    <cellStyle name="SAPBEXinputData 3 4 4" xfId="58376" xr:uid="{00000000-0005-0000-0000-0000D0E30000}"/>
    <cellStyle name="SAPBEXinputData 3 4 4 2" xfId="58377" xr:uid="{00000000-0005-0000-0000-0000D1E30000}"/>
    <cellStyle name="SAPBEXinputData 3 4 4 2 2" xfId="58378" xr:uid="{00000000-0005-0000-0000-0000D2E30000}"/>
    <cellStyle name="SAPBEXinputData 3 4 4 2 3" xfId="58379" xr:uid="{00000000-0005-0000-0000-0000D3E30000}"/>
    <cellStyle name="SAPBEXinputData 3 4 4 3" xfId="58380" xr:uid="{00000000-0005-0000-0000-0000D4E30000}"/>
    <cellStyle name="SAPBEXinputData 3 4 4 3 2" xfId="58381" xr:uid="{00000000-0005-0000-0000-0000D5E30000}"/>
    <cellStyle name="SAPBEXinputData 3 4 4 4" xfId="58382" xr:uid="{00000000-0005-0000-0000-0000D6E30000}"/>
    <cellStyle name="SAPBEXinputData 3 4 5" xfId="58383" xr:uid="{00000000-0005-0000-0000-0000D7E30000}"/>
    <cellStyle name="SAPBEXinputData 3 4 5 2" xfId="58384" xr:uid="{00000000-0005-0000-0000-0000D8E30000}"/>
    <cellStyle name="SAPBEXinputData 3 4 5 3" xfId="58385" xr:uid="{00000000-0005-0000-0000-0000D9E30000}"/>
    <cellStyle name="SAPBEXinputData 3 4 6" xfId="58386" xr:uid="{00000000-0005-0000-0000-0000DAE30000}"/>
    <cellStyle name="SAPBEXinputData 3 4 6 2" xfId="58387" xr:uid="{00000000-0005-0000-0000-0000DBE30000}"/>
    <cellStyle name="SAPBEXinputData 3 4 6 3" xfId="58388" xr:uid="{00000000-0005-0000-0000-0000DCE30000}"/>
    <cellStyle name="SAPBEXinputData 3 4 7" xfId="58389" xr:uid="{00000000-0005-0000-0000-0000DDE30000}"/>
    <cellStyle name="SAPBEXinputData 3 4 8" xfId="58390" xr:uid="{00000000-0005-0000-0000-0000DEE30000}"/>
    <cellStyle name="SAPBEXinputData 3 4 9" xfId="58391" xr:uid="{00000000-0005-0000-0000-0000DFE30000}"/>
    <cellStyle name="SAPBEXinputData 3 5" xfId="58392" xr:uid="{00000000-0005-0000-0000-0000E0E30000}"/>
    <cellStyle name="SAPBEXinputData 3 5 10" xfId="58393" xr:uid="{00000000-0005-0000-0000-0000E1E30000}"/>
    <cellStyle name="SAPBEXinputData 3 5 2" xfId="58394" xr:uid="{00000000-0005-0000-0000-0000E2E30000}"/>
    <cellStyle name="SAPBEXinputData 3 5 2 2" xfId="58395" xr:uid="{00000000-0005-0000-0000-0000E3E30000}"/>
    <cellStyle name="SAPBEXinputData 3 5 2 2 2" xfId="58396" xr:uid="{00000000-0005-0000-0000-0000E4E30000}"/>
    <cellStyle name="SAPBEXinputData 3 5 2 2 3" xfId="58397" xr:uid="{00000000-0005-0000-0000-0000E5E30000}"/>
    <cellStyle name="SAPBEXinputData 3 5 2 2 4" xfId="58398" xr:uid="{00000000-0005-0000-0000-0000E6E30000}"/>
    <cellStyle name="SAPBEXinputData 3 5 2 3" xfId="58399" xr:uid="{00000000-0005-0000-0000-0000E7E30000}"/>
    <cellStyle name="SAPBEXinputData 3 5 2 3 2" xfId="58400" xr:uid="{00000000-0005-0000-0000-0000E8E30000}"/>
    <cellStyle name="SAPBEXinputData 3 5 2 3 3" xfId="58401" xr:uid="{00000000-0005-0000-0000-0000E9E30000}"/>
    <cellStyle name="SAPBEXinputData 3 5 2 4" xfId="58402" xr:uid="{00000000-0005-0000-0000-0000EAE30000}"/>
    <cellStyle name="SAPBEXinputData 3 5 2 5" xfId="58403" xr:uid="{00000000-0005-0000-0000-0000EBE30000}"/>
    <cellStyle name="SAPBEXinputData 3 5 2 6" xfId="58404" xr:uid="{00000000-0005-0000-0000-0000ECE30000}"/>
    <cellStyle name="SAPBEXinputData 3 5 2 7" xfId="58405" xr:uid="{00000000-0005-0000-0000-0000EDE30000}"/>
    <cellStyle name="SAPBEXinputData 3 5 2 8" xfId="58406" xr:uid="{00000000-0005-0000-0000-0000EEE30000}"/>
    <cellStyle name="SAPBEXinputData 3 5 3" xfId="58407" xr:uid="{00000000-0005-0000-0000-0000EFE30000}"/>
    <cellStyle name="SAPBEXinputData 3 5 3 2" xfId="58408" xr:uid="{00000000-0005-0000-0000-0000F0E30000}"/>
    <cellStyle name="SAPBEXinputData 3 5 3 2 2" xfId="58409" xr:uid="{00000000-0005-0000-0000-0000F1E30000}"/>
    <cellStyle name="SAPBEXinputData 3 5 3 2 3" xfId="58410" xr:uid="{00000000-0005-0000-0000-0000F2E30000}"/>
    <cellStyle name="SAPBEXinputData 3 5 3 3" xfId="58411" xr:uid="{00000000-0005-0000-0000-0000F3E30000}"/>
    <cellStyle name="SAPBEXinputData 3 5 3 4" xfId="58412" xr:uid="{00000000-0005-0000-0000-0000F4E30000}"/>
    <cellStyle name="SAPBEXinputData 3 5 3 5" xfId="58413" xr:uid="{00000000-0005-0000-0000-0000F5E30000}"/>
    <cellStyle name="SAPBEXinputData 3 5 3 6" xfId="58414" xr:uid="{00000000-0005-0000-0000-0000F6E30000}"/>
    <cellStyle name="SAPBEXinputData 3 5 4" xfId="58415" xr:uid="{00000000-0005-0000-0000-0000F7E30000}"/>
    <cellStyle name="SAPBEXinputData 3 5 4 2" xfId="58416" xr:uid="{00000000-0005-0000-0000-0000F8E30000}"/>
    <cellStyle name="SAPBEXinputData 3 5 4 3" xfId="58417" xr:uid="{00000000-0005-0000-0000-0000F9E30000}"/>
    <cellStyle name="SAPBEXinputData 3 5 5" xfId="58418" xr:uid="{00000000-0005-0000-0000-0000FAE30000}"/>
    <cellStyle name="SAPBEXinputData 3 5 5 2" xfId="58419" xr:uid="{00000000-0005-0000-0000-0000FBE30000}"/>
    <cellStyle name="SAPBEXinputData 3 5 5 3" xfId="58420" xr:uid="{00000000-0005-0000-0000-0000FCE30000}"/>
    <cellStyle name="SAPBEXinputData 3 5 6" xfId="58421" xr:uid="{00000000-0005-0000-0000-0000FDE30000}"/>
    <cellStyle name="SAPBEXinputData 3 5 7" xfId="58422" xr:uid="{00000000-0005-0000-0000-0000FEE30000}"/>
    <cellStyle name="SAPBEXinputData 3 5 8" xfId="58423" xr:uid="{00000000-0005-0000-0000-0000FFE30000}"/>
    <cellStyle name="SAPBEXinputData 3 5 9" xfId="58424" xr:uid="{00000000-0005-0000-0000-000000E40000}"/>
    <cellStyle name="SAPBEXinputData 3 6" xfId="58425" xr:uid="{00000000-0005-0000-0000-000001E40000}"/>
    <cellStyle name="SAPBEXinputData 3 6 2" xfId="58426" xr:uid="{00000000-0005-0000-0000-000002E40000}"/>
    <cellStyle name="SAPBEXinputData 3 6 2 2" xfId="58427" xr:uid="{00000000-0005-0000-0000-000003E40000}"/>
    <cellStyle name="SAPBEXinputData 3 6 3" xfId="58428" xr:uid="{00000000-0005-0000-0000-000004E40000}"/>
    <cellStyle name="SAPBEXinputData 3 6 4" xfId="58429" xr:uid="{00000000-0005-0000-0000-000005E40000}"/>
    <cellStyle name="SAPBEXinputData 3 6 5" xfId="58430" xr:uid="{00000000-0005-0000-0000-000006E40000}"/>
    <cellStyle name="SAPBEXinputData 3 6 6" xfId="58431" xr:uid="{00000000-0005-0000-0000-000007E40000}"/>
    <cellStyle name="SAPBEXinputData 3 7" xfId="58432" xr:uid="{00000000-0005-0000-0000-000008E40000}"/>
    <cellStyle name="SAPBEXinputData 3 7 2" xfId="58433" xr:uid="{00000000-0005-0000-0000-000009E40000}"/>
    <cellStyle name="SAPBEXinputData 3 7 2 2" xfId="58434" xr:uid="{00000000-0005-0000-0000-00000AE40000}"/>
    <cellStyle name="SAPBEXinputData 3 7 2 3" xfId="58435" xr:uid="{00000000-0005-0000-0000-00000BE40000}"/>
    <cellStyle name="SAPBEXinputData 3 7 3" xfId="58436" xr:uid="{00000000-0005-0000-0000-00000CE40000}"/>
    <cellStyle name="SAPBEXinputData 3 7 3 2" xfId="58437" xr:uid="{00000000-0005-0000-0000-00000DE40000}"/>
    <cellStyle name="SAPBEXinputData 3 7 3 3" xfId="58438" xr:uid="{00000000-0005-0000-0000-00000EE40000}"/>
    <cellStyle name="SAPBEXinputData 3 7 4" xfId="58439" xr:uid="{00000000-0005-0000-0000-00000FE40000}"/>
    <cellStyle name="SAPBEXinputData 3 7 5" xfId="58440" xr:uid="{00000000-0005-0000-0000-000010E40000}"/>
    <cellStyle name="SAPBEXinputData 3 7 6" xfId="58441" xr:uid="{00000000-0005-0000-0000-000011E40000}"/>
    <cellStyle name="SAPBEXinputData 3 7 7" xfId="58442" xr:uid="{00000000-0005-0000-0000-000012E40000}"/>
    <cellStyle name="SAPBEXinputData 3 7 8" xfId="58443" xr:uid="{00000000-0005-0000-0000-000013E40000}"/>
    <cellStyle name="SAPBEXinputData 3 8" xfId="58444" xr:uid="{00000000-0005-0000-0000-000014E40000}"/>
    <cellStyle name="SAPBEXinputData 3 8 2" xfId="58445" xr:uid="{00000000-0005-0000-0000-000015E40000}"/>
    <cellStyle name="SAPBEXinputData 3 8 2 2" xfId="58446" xr:uid="{00000000-0005-0000-0000-000016E40000}"/>
    <cellStyle name="SAPBEXinputData 3 8 2 3" xfId="58447" xr:uid="{00000000-0005-0000-0000-000017E40000}"/>
    <cellStyle name="SAPBEXinputData 3 8 3" xfId="58448" xr:uid="{00000000-0005-0000-0000-000018E40000}"/>
    <cellStyle name="SAPBEXinputData 3 8 3 2" xfId="58449" xr:uid="{00000000-0005-0000-0000-000019E40000}"/>
    <cellStyle name="SAPBEXinputData 3 8 4" xfId="58450" xr:uid="{00000000-0005-0000-0000-00001AE40000}"/>
    <cellStyle name="SAPBEXinputData 3 9" xfId="58451" xr:uid="{00000000-0005-0000-0000-00001BE40000}"/>
    <cellStyle name="SAPBEXinputData 3 9 2" xfId="58452" xr:uid="{00000000-0005-0000-0000-00001CE40000}"/>
    <cellStyle name="SAPBEXinputData 3 9 3" xfId="58453" xr:uid="{00000000-0005-0000-0000-00001DE40000}"/>
    <cellStyle name="SAPBEXinputData 4" xfId="58454" xr:uid="{00000000-0005-0000-0000-00001EE40000}"/>
    <cellStyle name="SAPBEXinputData 4 10" xfId="58455" xr:uid="{00000000-0005-0000-0000-00001FE40000}"/>
    <cellStyle name="SAPBEXinputData 4 11" xfId="58456" xr:uid="{00000000-0005-0000-0000-000020E40000}"/>
    <cellStyle name="SAPBEXinputData 4 12" xfId="58457" xr:uid="{00000000-0005-0000-0000-000021E40000}"/>
    <cellStyle name="SAPBEXinputData 4 13" xfId="58458" xr:uid="{00000000-0005-0000-0000-000022E40000}"/>
    <cellStyle name="SAPBEXinputData 4 2" xfId="58459" xr:uid="{00000000-0005-0000-0000-000023E40000}"/>
    <cellStyle name="SAPBEXinputData 4 2 10" xfId="58460" xr:uid="{00000000-0005-0000-0000-000024E40000}"/>
    <cellStyle name="SAPBEXinputData 4 2 11" xfId="58461" xr:uid="{00000000-0005-0000-0000-000025E40000}"/>
    <cellStyle name="SAPBEXinputData 4 2 12" xfId="58462" xr:uid="{00000000-0005-0000-0000-000026E40000}"/>
    <cellStyle name="SAPBEXinputData 4 2 2" xfId="58463" xr:uid="{00000000-0005-0000-0000-000027E40000}"/>
    <cellStyle name="SAPBEXinputData 4 2 2 10" xfId="58464" xr:uid="{00000000-0005-0000-0000-000028E40000}"/>
    <cellStyle name="SAPBEXinputData 4 2 2 11" xfId="58465" xr:uid="{00000000-0005-0000-0000-000029E40000}"/>
    <cellStyle name="SAPBEXinputData 4 2 2 2" xfId="58466" xr:uid="{00000000-0005-0000-0000-00002AE40000}"/>
    <cellStyle name="SAPBEXinputData 4 2 2 2 2" xfId="58467" xr:uid="{00000000-0005-0000-0000-00002BE40000}"/>
    <cellStyle name="SAPBEXinputData 4 2 2 2 2 2" xfId="58468" xr:uid="{00000000-0005-0000-0000-00002CE40000}"/>
    <cellStyle name="SAPBEXinputData 4 2 2 2 2 2 2" xfId="58469" xr:uid="{00000000-0005-0000-0000-00002DE40000}"/>
    <cellStyle name="SAPBEXinputData 4 2 2 2 2 2 3" xfId="58470" xr:uid="{00000000-0005-0000-0000-00002EE40000}"/>
    <cellStyle name="SAPBEXinputData 4 2 2 2 2 3" xfId="58471" xr:uid="{00000000-0005-0000-0000-00002FE40000}"/>
    <cellStyle name="SAPBEXinputData 4 2 2 2 2 3 2" xfId="58472" xr:uid="{00000000-0005-0000-0000-000030E40000}"/>
    <cellStyle name="SAPBEXinputData 4 2 2 2 2 3 3" xfId="58473" xr:uid="{00000000-0005-0000-0000-000031E40000}"/>
    <cellStyle name="SAPBEXinputData 4 2 2 2 2 4" xfId="58474" xr:uid="{00000000-0005-0000-0000-000032E40000}"/>
    <cellStyle name="SAPBEXinputData 4 2 2 2 2 5" xfId="58475" xr:uid="{00000000-0005-0000-0000-000033E40000}"/>
    <cellStyle name="SAPBEXinputData 4 2 2 2 2 6" xfId="58476" xr:uid="{00000000-0005-0000-0000-000034E40000}"/>
    <cellStyle name="SAPBEXinputData 4 2 2 2 2 7" xfId="58477" xr:uid="{00000000-0005-0000-0000-000035E40000}"/>
    <cellStyle name="SAPBEXinputData 4 2 2 2 2 8" xfId="58478" xr:uid="{00000000-0005-0000-0000-000036E40000}"/>
    <cellStyle name="SAPBEXinputData 4 2 2 2 3" xfId="58479" xr:uid="{00000000-0005-0000-0000-000037E40000}"/>
    <cellStyle name="SAPBEXinputData 4 2 2 2 3 2" xfId="58480" xr:uid="{00000000-0005-0000-0000-000038E40000}"/>
    <cellStyle name="SAPBEXinputData 4 2 2 2 3 2 2" xfId="58481" xr:uid="{00000000-0005-0000-0000-000039E40000}"/>
    <cellStyle name="SAPBEXinputData 4 2 2 2 3 2 3" xfId="58482" xr:uid="{00000000-0005-0000-0000-00003AE40000}"/>
    <cellStyle name="SAPBEXinputData 4 2 2 2 3 3" xfId="58483" xr:uid="{00000000-0005-0000-0000-00003BE40000}"/>
    <cellStyle name="SAPBEXinputData 4 2 2 2 3 3 2" xfId="58484" xr:uid="{00000000-0005-0000-0000-00003CE40000}"/>
    <cellStyle name="SAPBEXinputData 4 2 2 2 3 4" xfId="58485" xr:uid="{00000000-0005-0000-0000-00003DE40000}"/>
    <cellStyle name="SAPBEXinputData 4 2 2 2 4" xfId="58486" xr:uid="{00000000-0005-0000-0000-00003EE40000}"/>
    <cellStyle name="SAPBEXinputData 4 2 2 2 4 2" xfId="58487" xr:uid="{00000000-0005-0000-0000-00003FE40000}"/>
    <cellStyle name="SAPBEXinputData 4 2 2 2 4 3" xfId="58488" xr:uid="{00000000-0005-0000-0000-000040E40000}"/>
    <cellStyle name="SAPBEXinputData 4 2 2 2 5" xfId="58489" xr:uid="{00000000-0005-0000-0000-000041E40000}"/>
    <cellStyle name="SAPBEXinputData 4 2 2 2 6" xfId="58490" xr:uid="{00000000-0005-0000-0000-000042E40000}"/>
    <cellStyle name="SAPBEXinputData 4 2 2 2 7" xfId="58491" xr:uid="{00000000-0005-0000-0000-000043E40000}"/>
    <cellStyle name="SAPBEXinputData 4 2 2 2 8" xfId="58492" xr:uid="{00000000-0005-0000-0000-000044E40000}"/>
    <cellStyle name="SAPBEXinputData 4 2 2 2 9" xfId="58493" xr:uid="{00000000-0005-0000-0000-000045E40000}"/>
    <cellStyle name="SAPBEXinputData 4 2 2 3" xfId="58494" xr:uid="{00000000-0005-0000-0000-000046E40000}"/>
    <cellStyle name="SAPBEXinputData 4 2 2 3 2" xfId="58495" xr:uid="{00000000-0005-0000-0000-000047E40000}"/>
    <cellStyle name="SAPBEXinputData 4 2 2 3 2 2" xfId="58496" xr:uid="{00000000-0005-0000-0000-000048E40000}"/>
    <cellStyle name="SAPBEXinputData 4 2 2 3 2 3" xfId="58497" xr:uid="{00000000-0005-0000-0000-000049E40000}"/>
    <cellStyle name="SAPBEXinputData 4 2 2 3 3" xfId="58498" xr:uid="{00000000-0005-0000-0000-00004AE40000}"/>
    <cellStyle name="SAPBEXinputData 4 2 2 3 3 2" xfId="58499" xr:uid="{00000000-0005-0000-0000-00004BE40000}"/>
    <cellStyle name="SAPBEXinputData 4 2 2 3 3 3" xfId="58500" xr:uid="{00000000-0005-0000-0000-00004CE40000}"/>
    <cellStyle name="SAPBEXinputData 4 2 2 3 4" xfId="58501" xr:uid="{00000000-0005-0000-0000-00004DE40000}"/>
    <cellStyle name="SAPBEXinputData 4 2 2 3 5" xfId="58502" xr:uid="{00000000-0005-0000-0000-00004EE40000}"/>
    <cellStyle name="SAPBEXinputData 4 2 2 3 6" xfId="58503" xr:uid="{00000000-0005-0000-0000-00004FE40000}"/>
    <cellStyle name="SAPBEXinputData 4 2 2 3 7" xfId="58504" xr:uid="{00000000-0005-0000-0000-000050E40000}"/>
    <cellStyle name="SAPBEXinputData 4 2 2 3 8" xfId="58505" xr:uid="{00000000-0005-0000-0000-000051E40000}"/>
    <cellStyle name="SAPBEXinputData 4 2 2 4" xfId="58506" xr:uid="{00000000-0005-0000-0000-000052E40000}"/>
    <cellStyle name="SAPBEXinputData 4 2 2 4 2" xfId="58507" xr:uid="{00000000-0005-0000-0000-000053E40000}"/>
    <cellStyle name="SAPBEXinputData 4 2 2 4 2 2" xfId="58508" xr:uid="{00000000-0005-0000-0000-000054E40000}"/>
    <cellStyle name="SAPBEXinputData 4 2 2 4 2 3" xfId="58509" xr:uid="{00000000-0005-0000-0000-000055E40000}"/>
    <cellStyle name="SAPBEXinputData 4 2 2 4 3" xfId="58510" xr:uid="{00000000-0005-0000-0000-000056E40000}"/>
    <cellStyle name="SAPBEXinputData 4 2 2 4 3 2" xfId="58511" xr:uid="{00000000-0005-0000-0000-000057E40000}"/>
    <cellStyle name="SAPBEXinputData 4 2 2 4 4" xfId="58512" xr:uid="{00000000-0005-0000-0000-000058E40000}"/>
    <cellStyle name="SAPBEXinputData 4 2 2 5" xfId="58513" xr:uid="{00000000-0005-0000-0000-000059E40000}"/>
    <cellStyle name="SAPBEXinputData 4 2 2 5 2" xfId="58514" xr:uid="{00000000-0005-0000-0000-00005AE40000}"/>
    <cellStyle name="SAPBEXinputData 4 2 2 5 3" xfId="58515" xr:uid="{00000000-0005-0000-0000-00005BE40000}"/>
    <cellStyle name="SAPBEXinputData 4 2 2 6" xfId="58516" xr:uid="{00000000-0005-0000-0000-00005CE40000}"/>
    <cellStyle name="SAPBEXinputData 4 2 2 6 2" xfId="58517" xr:uid="{00000000-0005-0000-0000-00005DE40000}"/>
    <cellStyle name="SAPBEXinputData 4 2 2 6 3" xfId="58518" xr:uid="{00000000-0005-0000-0000-00005EE40000}"/>
    <cellStyle name="SAPBEXinputData 4 2 2 7" xfId="58519" xr:uid="{00000000-0005-0000-0000-00005FE40000}"/>
    <cellStyle name="SAPBEXinputData 4 2 2 8" xfId="58520" xr:uid="{00000000-0005-0000-0000-000060E40000}"/>
    <cellStyle name="SAPBEXinputData 4 2 2 9" xfId="58521" xr:uid="{00000000-0005-0000-0000-000061E40000}"/>
    <cellStyle name="SAPBEXinputData 4 2 3" xfId="58522" xr:uid="{00000000-0005-0000-0000-000062E40000}"/>
    <cellStyle name="SAPBEXinputData 4 2 3 10" xfId="58523" xr:uid="{00000000-0005-0000-0000-000063E40000}"/>
    <cellStyle name="SAPBEXinputData 4 2 3 2" xfId="58524" xr:uid="{00000000-0005-0000-0000-000064E40000}"/>
    <cellStyle name="SAPBEXinputData 4 2 3 2 2" xfId="58525" xr:uid="{00000000-0005-0000-0000-000065E40000}"/>
    <cellStyle name="SAPBEXinputData 4 2 3 2 2 2" xfId="58526" xr:uid="{00000000-0005-0000-0000-000066E40000}"/>
    <cellStyle name="SAPBEXinputData 4 2 3 2 2 3" xfId="58527" xr:uid="{00000000-0005-0000-0000-000067E40000}"/>
    <cellStyle name="SAPBEXinputData 4 2 3 2 3" xfId="58528" xr:uid="{00000000-0005-0000-0000-000068E40000}"/>
    <cellStyle name="SAPBEXinputData 4 2 3 2 3 2" xfId="58529" xr:uid="{00000000-0005-0000-0000-000069E40000}"/>
    <cellStyle name="SAPBEXinputData 4 2 3 2 3 3" xfId="58530" xr:uid="{00000000-0005-0000-0000-00006AE40000}"/>
    <cellStyle name="SAPBEXinputData 4 2 3 2 4" xfId="58531" xr:uid="{00000000-0005-0000-0000-00006BE40000}"/>
    <cellStyle name="SAPBEXinputData 4 2 3 2 5" xfId="58532" xr:uid="{00000000-0005-0000-0000-00006CE40000}"/>
    <cellStyle name="SAPBEXinputData 4 2 3 2 6" xfId="58533" xr:uid="{00000000-0005-0000-0000-00006DE40000}"/>
    <cellStyle name="SAPBEXinputData 4 2 3 2 7" xfId="58534" xr:uid="{00000000-0005-0000-0000-00006EE40000}"/>
    <cellStyle name="SAPBEXinputData 4 2 3 2 8" xfId="58535" xr:uid="{00000000-0005-0000-0000-00006FE40000}"/>
    <cellStyle name="SAPBEXinputData 4 2 3 3" xfId="58536" xr:uid="{00000000-0005-0000-0000-000070E40000}"/>
    <cellStyle name="SAPBEXinputData 4 2 3 3 2" xfId="58537" xr:uid="{00000000-0005-0000-0000-000071E40000}"/>
    <cellStyle name="SAPBEXinputData 4 2 3 3 2 2" xfId="58538" xr:uid="{00000000-0005-0000-0000-000072E40000}"/>
    <cellStyle name="SAPBEXinputData 4 2 3 3 2 3" xfId="58539" xr:uid="{00000000-0005-0000-0000-000073E40000}"/>
    <cellStyle name="SAPBEXinputData 4 2 3 3 3" xfId="58540" xr:uid="{00000000-0005-0000-0000-000074E40000}"/>
    <cellStyle name="SAPBEXinputData 4 2 3 3 3 2" xfId="58541" xr:uid="{00000000-0005-0000-0000-000075E40000}"/>
    <cellStyle name="SAPBEXinputData 4 2 3 3 4" xfId="58542" xr:uid="{00000000-0005-0000-0000-000076E40000}"/>
    <cellStyle name="SAPBEXinputData 4 2 3 4" xfId="58543" xr:uid="{00000000-0005-0000-0000-000077E40000}"/>
    <cellStyle name="SAPBEXinputData 4 2 3 4 2" xfId="58544" xr:uid="{00000000-0005-0000-0000-000078E40000}"/>
    <cellStyle name="SAPBEXinputData 4 2 3 4 3" xfId="58545" xr:uid="{00000000-0005-0000-0000-000079E40000}"/>
    <cellStyle name="SAPBEXinputData 4 2 3 5" xfId="58546" xr:uid="{00000000-0005-0000-0000-00007AE40000}"/>
    <cellStyle name="SAPBEXinputData 4 2 3 5 2" xfId="58547" xr:uid="{00000000-0005-0000-0000-00007BE40000}"/>
    <cellStyle name="SAPBEXinputData 4 2 3 5 3" xfId="58548" xr:uid="{00000000-0005-0000-0000-00007CE40000}"/>
    <cellStyle name="SAPBEXinputData 4 2 3 6" xfId="58549" xr:uid="{00000000-0005-0000-0000-00007DE40000}"/>
    <cellStyle name="SAPBEXinputData 4 2 3 7" xfId="58550" xr:uid="{00000000-0005-0000-0000-00007EE40000}"/>
    <cellStyle name="SAPBEXinputData 4 2 3 8" xfId="58551" xr:uid="{00000000-0005-0000-0000-00007FE40000}"/>
    <cellStyle name="SAPBEXinputData 4 2 3 9" xfId="58552" xr:uid="{00000000-0005-0000-0000-000080E40000}"/>
    <cellStyle name="SAPBEXinputData 4 2 4" xfId="58553" xr:uid="{00000000-0005-0000-0000-000081E40000}"/>
    <cellStyle name="SAPBEXinputData 4 2 4 2" xfId="58554" xr:uid="{00000000-0005-0000-0000-000082E40000}"/>
    <cellStyle name="SAPBEXinputData 4 2 4 2 2" xfId="58555" xr:uid="{00000000-0005-0000-0000-000083E40000}"/>
    <cellStyle name="SAPBEXinputData 4 2 4 2 3" xfId="58556" xr:uid="{00000000-0005-0000-0000-000084E40000}"/>
    <cellStyle name="SAPBEXinputData 4 2 4 2 4" xfId="58557" xr:uid="{00000000-0005-0000-0000-000085E40000}"/>
    <cellStyle name="SAPBEXinputData 4 2 4 3" xfId="58558" xr:uid="{00000000-0005-0000-0000-000086E40000}"/>
    <cellStyle name="SAPBEXinputData 4 2 4 3 2" xfId="58559" xr:uid="{00000000-0005-0000-0000-000087E40000}"/>
    <cellStyle name="SAPBEXinputData 4 2 4 3 3" xfId="58560" xr:uid="{00000000-0005-0000-0000-000088E40000}"/>
    <cellStyle name="SAPBEXinputData 4 2 4 4" xfId="58561" xr:uid="{00000000-0005-0000-0000-000089E40000}"/>
    <cellStyle name="SAPBEXinputData 4 2 4 5" xfId="58562" xr:uid="{00000000-0005-0000-0000-00008AE40000}"/>
    <cellStyle name="SAPBEXinputData 4 2 4 6" xfId="58563" xr:uid="{00000000-0005-0000-0000-00008BE40000}"/>
    <cellStyle name="SAPBEXinputData 4 2 4 7" xfId="58564" xr:uid="{00000000-0005-0000-0000-00008CE40000}"/>
    <cellStyle name="SAPBEXinputData 4 2 4 8" xfId="58565" xr:uid="{00000000-0005-0000-0000-00008DE40000}"/>
    <cellStyle name="SAPBEXinputData 4 2 5" xfId="58566" xr:uid="{00000000-0005-0000-0000-00008EE40000}"/>
    <cellStyle name="SAPBEXinputData 4 2 5 2" xfId="58567" xr:uid="{00000000-0005-0000-0000-00008FE40000}"/>
    <cellStyle name="SAPBEXinputData 4 2 5 2 2" xfId="58568" xr:uid="{00000000-0005-0000-0000-000090E40000}"/>
    <cellStyle name="SAPBEXinputData 4 2 5 2 3" xfId="58569" xr:uid="{00000000-0005-0000-0000-000091E40000}"/>
    <cellStyle name="SAPBEXinputData 4 2 5 3" xfId="58570" xr:uid="{00000000-0005-0000-0000-000092E40000}"/>
    <cellStyle name="SAPBEXinputData 4 2 5 4" xfId="58571" xr:uid="{00000000-0005-0000-0000-000093E40000}"/>
    <cellStyle name="SAPBEXinputData 4 2 5 5" xfId="58572" xr:uid="{00000000-0005-0000-0000-000094E40000}"/>
    <cellStyle name="SAPBEXinputData 4 2 5 6" xfId="58573" xr:uid="{00000000-0005-0000-0000-000095E40000}"/>
    <cellStyle name="SAPBEXinputData 4 2 6" xfId="58574" xr:uid="{00000000-0005-0000-0000-000096E40000}"/>
    <cellStyle name="SAPBEXinputData 4 2 6 2" xfId="58575" xr:uid="{00000000-0005-0000-0000-000097E40000}"/>
    <cellStyle name="SAPBEXinputData 4 2 6 3" xfId="58576" xr:uid="{00000000-0005-0000-0000-000098E40000}"/>
    <cellStyle name="SAPBEXinputData 4 2 7" xfId="58577" xr:uid="{00000000-0005-0000-0000-000099E40000}"/>
    <cellStyle name="SAPBEXinputData 4 2 7 2" xfId="58578" xr:uid="{00000000-0005-0000-0000-00009AE40000}"/>
    <cellStyle name="SAPBEXinputData 4 2 7 3" xfId="58579" xr:uid="{00000000-0005-0000-0000-00009BE40000}"/>
    <cellStyle name="SAPBEXinputData 4 2 8" xfId="58580" xr:uid="{00000000-0005-0000-0000-00009CE40000}"/>
    <cellStyle name="SAPBEXinputData 4 2 9" xfId="58581" xr:uid="{00000000-0005-0000-0000-00009DE40000}"/>
    <cellStyle name="SAPBEXinputData 4 3" xfId="58582" xr:uid="{00000000-0005-0000-0000-00009EE40000}"/>
    <cellStyle name="SAPBEXinputData 4 3 10" xfId="58583" xr:uid="{00000000-0005-0000-0000-00009FE40000}"/>
    <cellStyle name="SAPBEXinputData 4 3 11" xfId="58584" xr:uid="{00000000-0005-0000-0000-0000A0E40000}"/>
    <cellStyle name="SAPBEXinputData 4 3 2" xfId="58585" xr:uid="{00000000-0005-0000-0000-0000A1E40000}"/>
    <cellStyle name="SAPBEXinputData 4 3 2 2" xfId="58586" xr:uid="{00000000-0005-0000-0000-0000A2E40000}"/>
    <cellStyle name="SAPBEXinputData 4 3 2 2 2" xfId="58587" xr:uid="{00000000-0005-0000-0000-0000A3E40000}"/>
    <cellStyle name="SAPBEXinputData 4 3 2 2 2 2" xfId="58588" xr:uid="{00000000-0005-0000-0000-0000A4E40000}"/>
    <cellStyle name="SAPBEXinputData 4 3 2 2 2 3" xfId="58589" xr:uid="{00000000-0005-0000-0000-0000A5E40000}"/>
    <cellStyle name="SAPBEXinputData 4 3 2 2 3" xfId="58590" xr:uid="{00000000-0005-0000-0000-0000A6E40000}"/>
    <cellStyle name="SAPBEXinputData 4 3 2 2 3 2" xfId="58591" xr:uid="{00000000-0005-0000-0000-0000A7E40000}"/>
    <cellStyle name="SAPBEXinputData 4 3 2 2 3 3" xfId="58592" xr:uid="{00000000-0005-0000-0000-0000A8E40000}"/>
    <cellStyle name="SAPBEXinputData 4 3 2 2 4" xfId="58593" xr:uid="{00000000-0005-0000-0000-0000A9E40000}"/>
    <cellStyle name="SAPBEXinputData 4 3 2 2 5" xfId="58594" xr:uid="{00000000-0005-0000-0000-0000AAE40000}"/>
    <cellStyle name="SAPBEXinputData 4 3 2 2 6" xfId="58595" xr:uid="{00000000-0005-0000-0000-0000ABE40000}"/>
    <cellStyle name="SAPBEXinputData 4 3 2 2 7" xfId="58596" xr:uid="{00000000-0005-0000-0000-0000ACE40000}"/>
    <cellStyle name="SAPBEXinputData 4 3 2 2 8" xfId="58597" xr:uid="{00000000-0005-0000-0000-0000ADE40000}"/>
    <cellStyle name="SAPBEXinputData 4 3 2 3" xfId="58598" xr:uid="{00000000-0005-0000-0000-0000AEE40000}"/>
    <cellStyle name="SAPBEXinputData 4 3 2 3 2" xfId="58599" xr:uid="{00000000-0005-0000-0000-0000AFE40000}"/>
    <cellStyle name="SAPBEXinputData 4 3 2 3 2 2" xfId="58600" xr:uid="{00000000-0005-0000-0000-0000B0E40000}"/>
    <cellStyle name="SAPBEXinputData 4 3 2 3 2 3" xfId="58601" xr:uid="{00000000-0005-0000-0000-0000B1E40000}"/>
    <cellStyle name="SAPBEXinputData 4 3 2 3 3" xfId="58602" xr:uid="{00000000-0005-0000-0000-0000B2E40000}"/>
    <cellStyle name="SAPBEXinputData 4 3 2 3 3 2" xfId="58603" xr:uid="{00000000-0005-0000-0000-0000B3E40000}"/>
    <cellStyle name="SAPBEXinputData 4 3 2 3 4" xfId="58604" xr:uid="{00000000-0005-0000-0000-0000B4E40000}"/>
    <cellStyle name="SAPBEXinputData 4 3 2 4" xfId="58605" xr:uid="{00000000-0005-0000-0000-0000B5E40000}"/>
    <cellStyle name="SAPBEXinputData 4 3 2 4 2" xfId="58606" xr:uid="{00000000-0005-0000-0000-0000B6E40000}"/>
    <cellStyle name="SAPBEXinputData 4 3 2 4 3" xfId="58607" xr:uid="{00000000-0005-0000-0000-0000B7E40000}"/>
    <cellStyle name="SAPBEXinputData 4 3 2 5" xfId="58608" xr:uid="{00000000-0005-0000-0000-0000B8E40000}"/>
    <cellStyle name="SAPBEXinputData 4 3 2 6" xfId="58609" xr:uid="{00000000-0005-0000-0000-0000B9E40000}"/>
    <cellStyle name="SAPBEXinputData 4 3 2 7" xfId="58610" xr:uid="{00000000-0005-0000-0000-0000BAE40000}"/>
    <cellStyle name="SAPBEXinputData 4 3 2 8" xfId="58611" xr:uid="{00000000-0005-0000-0000-0000BBE40000}"/>
    <cellStyle name="SAPBEXinputData 4 3 2 9" xfId="58612" xr:uid="{00000000-0005-0000-0000-0000BCE40000}"/>
    <cellStyle name="SAPBEXinputData 4 3 3" xfId="58613" xr:uid="{00000000-0005-0000-0000-0000BDE40000}"/>
    <cellStyle name="SAPBEXinputData 4 3 3 2" xfId="58614" xr:uid="{00000000-0005-0000-0000-0000BEE40000}"/>
    <cellStyle name="SAPBEXinputData 4 3 3 2 2" xfId="58615" xr:uid="{00000000-0005-0000-0000-0000BFE40000}"/>
    <cellStyle name="SAPBEXinputData 4 3 3 2 3" xfId="58616" xr:uid="{00000000-0005-0000-0000-0000C0E40000}"/>
    <cellStyle name="SAPBEXinputData 4 3 3 3" xfId="58617" xr:uid="{00000000-0005-0000-0000-0000C1E40000}"/>
    <cellStyle name="SAPBEXinputData 4 3 3 3 2" xfId="58618" xr:uid="{00000000-0005-0000-0000-0000C2E40000}"/>
    <cellStyle name="SAPBEXinputData 4 3 3 3 3" xfId="58619" xr:uid="{00000000-0005-0000-0000-0000C3E40000}"/>
    <cellStyle name="SAPBEXinputData 4 3 3 4" xfId="58620" xr:uid="{00000000-0005-0000-0000-0000C4E40000}"/>
    <cellStyle name="SAPBEXinputData 4 3 3 5" xfId="58621" xr:uid="{00000000-0005-0000-0000-0000C5E40000}"/>
    <cellStyle name="SAPBEXinputData 4 3 3 6" xfId="58622" xr:uid="{00000000-0005-0000-0000-0000C6E40000}"/>
    <cellStyle name="SAPBEXinputData 4 3 3 7" xfId="58623" xr:uid="{00000000-0005-0000-0000-0000C7E40000}"/>
    <cellStyle name="SAPBEXinputData 4 3 3 8" xfId="58624" xr:uid="{00000000-0005-0000-0000-0000C8E40000}"/>
    <cellStyle name="SAPBEXinputData 4 3 4" xfId="58625" xr:uid="{00000000-0005-0000-0000-0000C9E40000}"/>
    <cellStyle name="SAPBEXinputData 4 3 4 2" xfId="58626" xr:uid="{00000000-0005-0000-0000-0000CAE40000}"/>
    <cellStyle name="SAPBEXinputData 4 3 4 2 2" xfId="58627" xr:uid="{00000000-0005-0000-0000-0000CBE40000}"/>
    <cellStyle name="SAPBEXinputData 4 3 4 2 3" xfId="58628" xr:uid="{00000000-0005-0000-0000-0000CCE40000}"/>
    <cellStyle name="SAPBEXinputData 4 3 4 3" xfId="58629" xr:uid="{00000000-0005-0000-0000-0000CDE40000}"/>
    <cellStyle name="SAPBEXinputData 4 3 4 3 2" xfId="58630" xr:uid="{00000000-0005-0000-0000-0000CEE40000}"/>
    <cellStyle name="SAPBEXinputData 4 3 4 4" xfId="58631" xr:uid="{00000000-0005-0000-0000-0000CFE40000}"/>
    <cellStyle name="SAPBEXinputData 4 3 5" xfId="58632" xr:uid="{00000000-0005-0000-0000-0000D0E40000}"/>
    <cellStyle name="SAPBEXinputData 4 3 5 2" xfId="58633" xr:uid="{00000000-0005-0000-0000-0000D1E40000}"/>
    <cellStyle name="SAPBEXinputData 4 3 5 3" xfId="58634" xr:uid="{00000000-0005-0000-0000-0000D2E40000}"/>
    <cellStyle name="SAPBEXinputData 4 3 6" xfId="58635" xr:uid="{00000000-0005-0000-0000-0000D3E40000}"/>
    <cellStyle name="SAPBEXinputData 4 3 6 2" xfId="58636" xr:uid="{00000000-0005-0000-0000-0000D4E40000}"/>
    <cellStyle name="SAPBEXinputData 4 3 6 3" xfId="58637" xr:uid="{00000000-0005-0000-0000-0000D5E40000}"/>
    <cellStyle name="SAPBEXinputData 4 3 7" xfId="58638" xr:uid="{00000000-0005-0000-0000-0000D6E40000}"/>
    <cellStyle name="SAPBEXinputData 4 3 8" xfId="58639" xr:uid="{00000000-0005-0000-0000-0000D7E40000}"/>
    <cellStyle name="SAPBEXinputData 4 3 9" xfId="58640" xr:uid="{00000000-0005-0000-0000-0000D8E40000}"/>
    <cellStyle name="SAPBEXinputData 4 4" xfId="58641" xr:uid="{00000000-0005-0000-0000-0000D9E40000}"/>
    <cellStyle name="SAPBEXinputData 4 4 10" xfId="58642" xr:uid="{00000000-0005-0000-0000-0000DAE40000}"/>
    <cellStyle name="SAPBEXinputData 4 4 2" xfId="58643" xr:uid="{00000000-0005-0000-0000-0000DBE40000}"/>
    <cellStyle name="SAPBEXinputData 4 4 2 2" xfId="58644" xr:uid="{00000000-0005-0000-0000-0000DCE40000}"/>
    <cellStyle name="SAPBEXinputData 4 4 2 2 2" xfId="58645" xr:uid="{00000000-0005-0000-0000-0000DDE40000}"/>
    <cellStyle name="SAPBEXinputData 4 4 2 2 3" xfId="58646" xr:uid="{00000000-0005-0000-0000-0000DEE40000}"/>
    <cellStyle name="SAPBEXinputData 4 4 2 2 4" xfId="58647" xr:uid="{00000000-0005-0000-0000-0000DFE40000}"/>
    <cellStyle name="SAPBEXinputData 4 4 2 3" xfId="58648" xr:uid="{00000000-0005-0000-0000-0000E0E40000}"/>
    <cellStyle name="SAPBEXinputData 4 4 2 3 2" xfId="58649" xr:uid="{00000000-0005-0000-0000-0000E1E40000}"/>
    <cellStyle name="SAPBEXinputData 4 4 2 3 3" xfId="58650" xr:uid="{00000000-0005-0000-0000-0000E2E40000}"/>
    <cellStyle name="SAPBEXinputData 4 4 2 4" xfId="58651" xr:uid="{00000000-0005-0000-0000-0000E3E40000}"/>
    <cellStyle name="SAPBEXinputData 4 4 2 5" xfId="58652" xr:uid="{00000000-0005-0000-0000-0000E4E40000}"/>
    <cellStyle name="SAPBEXinputData 4 4 2 6" xfId="58653" xr:uid="{00000000-0005-0000-0000-0000E5E40000}"/>
    <cellStyle name="SAPBEXinputData 4 4 2 7" xfId="58654" xr:uid="{00000000-0005-0000-0000-0000E6E40000}"/>
    <cellStyle name="SAPBEXinputData 4 4 2 8" xfId="58655" xr:uid="{00000000-0005-0000-0000-0000E7E40000}"/>
    <cellStyle name="SAPBEXinputData 4 4 3" xfId="58656" xr:uid="{00000000-0005-0000-0000-0000E8E40000}"/>
    <cellStyle name="SAPBEXinputData 4 4 3 2" xfId="58657" xr:uid="{00000000-0005-0000-0000-0000E9E40000}"/>
    <cellStyle name="SAPBEXinputData 4 4 3 2 2" xfId="58658" xr:uid="{00000000-0005-0000-0000-0000EAE40000}"/>
    <cellStyle name="SAPBEXinputData 4 4 3 2 3" xfId="58659" xr:uid="{00000000-0005-0000-0000-0000EBE40000}"/>
    <cellStyle name="SAPBEXinputData 4 4 3 3" xfId="58660" xr:uid="{00000000-0005-0000-0000-0000ECE40000}"/>
    <cellStyle name="SAPBEXinputData 4 4 3 4" xfId="58661" xr:uid="{00000000-0005-0000-0000-0000EDE40000}"/>
    <cellStyle name="SAPBEXinputData 4 4 3 5" xfId="58662" xr:uid="{00000000-0005-0000-0000-0000EEE40000}"/>
    <cellStyle name="SAPBEXinputData 4 4 3 6" xfId="58663" xr:uid="{00000000-0005-0000-0000-0000EFE40000}"/>
    <cellStyle name="SAPBEXinputData 4 4 4" xfId="58664" xr:uid="{00000000-0005-0000-0000-0000F0E40000}"/>
    <cellStyle name="SAPBEXinputData 4 4 4 2" xfId="58665" xr:uid="{00000000-0005-0000-0000-0000F1E40000}"/>
    <cellStyle name="SAPBEXinputData 4 4 4 3" xfId="58666" xr:uid="{00000000-0005-0000-0000-0000F2E40000}"/>
    <cellStyle name="SAPBEXinputData 4 4 5" xfId="58667" xr:uid="{00000000-0005-0000-0000-0000F3E40000}"/>
    <cellStyle name="SAPBEXinputData 4 4 5 2" xfId="58668" xr:uid="{00000000-0005-0000-0000-0000F4E40000}"/>
    <cellStyle name="SAPBEXinputData 4 4 5 3" xfId="58669" xr:uid="{00000000-0005-0000-0000-0000F5E40000}"/>
    <cellStyle name="SAPBEXinputData 4 4 6" xfId="58670" xr:uid="{00000000-0005-0000-0000-0000F6E40000}"/>
    <cellStyle name="SAPBEXinputData 4 4 7" xfId="58671" xr:uid="{00000000-0005-0000-0000-0000F7E40000}"/>
    <cellStyle name="SAPBEXinputData 4 4 8" xfId="58672" xr:uid="{00000000-0005-0000-0000-0000F8E40000}"/>
    <cellStyle name="SAPBEXinputData 4 4 9" xfId="58673" xr:uid="{00000000-0005-0000-0000-0000F9E40000}"/>
    <cellStyle name="SAPBEXinputData 4 5" xfId="58674" xr:uid="{00000000-0005-0000-0000-0000FAE40000}"/>
    <cellStyle name="SAPBEXinputData 4 5 2" xfId="58675" xr:uid="{00000000-0005-0000-0000-0000FBE40000}"/>
    <cellStyle name="SAPBEXinputData 4 5 2 2" xfId="58676" xr:uid="{00000000-0005-0000-0000-0000FCE40000}"/>
    <cellStyle name="SAPBEXinputData 4 5 2 3" xfId="58677" xr:uid="{00000000-0005-0000-0000-0000FDE40000}"/>
    <cellStyle name="SAPBEXinputData 4 5 2 4" xfId="58678" xr:uid="{00000000-0005-0000-0000-0000FEE40000}"/>
    <cellStyle name="SAPBEXinputData 4 5 3" xfId="58679" xr:uid="{00000000-0005-0000-0000-0000FFE40000}"/>
    <cellStyle name="SAPBEXinputData 4 5 3 2" xfId="58680" xr:uid="{00000000-0005-0000-0000-000000E50000}"/>
    <cellStyle name="SAPBEXinputData 4 5 3 3" xfId="58681" xr:uid="{00000000-0005-0000-0000-000001E50000}"/>
    <cellStyle name="SAPBEXinputData 4 5 4" xfId="58682" xr:uid="{00000000-0005-0000-0000-000002E50000}"/>
    <cellStyle name="SAPBEXinputData 4 5 5" xfId="58683" xr:uid="{00000000-0005-0000-0000-000003E50000}"/>
    <cellStyle name="SAPBEXinputData 4 5 6" xfId="58684" xr:uid="{00000000-0005-0000-0000-000004E50000}"/>
    <cellStyle name="SAPBEXinputData 4 5 7" xfId="58685" xr:uid="{00000000-0005-0000-0000-000005E50000}"/>
    <cellStyle name="SAPBEXinputData 4 5 8" xfId="58686" xr:uid="{00000000-0005-0000-0000-000006E50000}"/>
    <cellStyle name="SAPBEXinputData 4 6" xfId="58687" xr:uid="{00000000-0005-0000-0000-000007E50000}"/>
    <cellStyle name="SAPBEXinputData 4 6 2" xfId="58688" xr:uid="{00000000-0005-0000-0000-000008E50000}"/>
    <cellStyle name="SAPBEXinputData 4 6 2 2" xfId="58689" xr:uid="{00000000-0005-0000-0000-000009E50000}"/>
    <cellStyle name="SAPBEXinputData 4 6 2 3" xfId="58690" xr:uid="{00000000-0005-0000-0000-00000AE50000}"/>
    <cellStyle name="SAPBEXinputData 4 6 3" xfId="58691" xr:uid="{00000000-0005-0000-0000-00000BE50000}"/>
    <cellStyle name="SAPBEXinputData 4 6 4" xfId="58692" xr:uid="{00000000-0005-0000-0000-00000CE50000}"/>
    <cellStyle name="SAPBEXinputData 4 6 5" xfId="58693" xr:uid="{00000000-0005-0000-0000-00000DE50000}"/>
    <cellStyle name="SAPBEXinputData 4 6 6" xfId="58694" xr:uid="{00000000-0005-0000-0000-00000EE50000}"/>
    <cellStyle name="SAPBEXinputData 4 7" xfId="58695" xr:uid="{00000000-0005-0000-0000-00000FE50000}"/>
    <cellStyle name="SAPBEXinputData 4 7 2" xfId="58696" xr:uid="{00000000-0005-0000-0000-000010E50000}"/>
    <cellStyle name="SAPBEXinputData 4 7 3" xfId="58697" xr:uid="{00000000-0005-0000-0000-000011E50000}"/>
    <cellStyle name="SAPBEXinputData 4 8" xfId="58698" xr:uid="{00000000-0005-0000-0000-000012E50000}"/>
    <cellStyle name="SAPBEXinputData 4 8 2" xfId="58699" xr:uid="{00000000-0005-0000-0000-000013E50000}"/>
    <cellStyle name="SAPBEXinputData 4 8 3" xfId="58700" xr:uid="{00000000-0005-0000-0000-000014E50000}"/>
    <cellStyle name="SAPBEXinputData 4 9" xfId="58701" xr:uid="{00000000-0005-0000-0000-000015E50000}"/>
    <cellStyle name="SAPBEXinputData 5" xfId="58702" xr:uid="{00000000-0005-0000-0000-000016E50000}"/>
    <cellStyle name="SAPBEXinputData 5 10" xfId="58703" xr:uid="{00000000-0005-0000-0000-000017E50000}"/>
    <cellStyle name="SAPBEXinputData 5 11" xfId="58704" xr:uid="{00000000-0005-0000-0000-000018E50000}"/>
    <cellStyle name="SAPBEXinputData 5 12" xfId="58705" xr:uid="{00000000-0005-0000-0000-000019E50000}"/>
    <cellStyle name="SAPBEXinputData 5 2" xfId="58706" xr:uid="{00000000-0005-0000-0000-00001AE50000}"/>
    <cellStyle name="SAPBEXinputData 5 2 10" xfId="58707" xr:uid="{00000000-0005-0000-0000-00001BE50000}"/>
    <cellStyle name="SAPBEXinputData 5 2 11" xfId="58708" xr:uid="{00000000-0005-0000-0000-00001CE50000}"/>
    <cellStyle name="SAPBEXinputData 5 2 2" xfId="58709" xr:uid="{00000000-0005-0000-0000-00001DE50000}"/>
    <cellStyle name="SAPBEXinputData 5 2 2 2" xfId="58710" xr:uid="{00000000-0005-0000-0000-00001EE50000}"/>
    <cellStyle name="SAPBEXinputData 5 2 2 2 2" xfId="58711" xr:uid="{00000000-0005-0000-0000-00001FE50000}"/>
    <cellStyle name="SAPBEXinputData 5 2 2 2 2 2" xfId="58712" xr:uid="{00000000-0005-0000-0000-000020E50000}"/>
    <cellStyle name="SAPBEXinputData 5 2 2 2 2 3" xfId="58713" xr:uid="{00000000-0005-0000-0000-000021E50000}"/>
    <cellStyle name="SAPBEXinputData 5 2 2 2 3" xfId="58714" xr:uid="{00000000-0005-0000-0000-000022E50000}"/>
    <cellStyle name="SAPBEXinputData 5 2 2 2 3 2" xfId="58715" xr:uid="{00000000-0005-0000-0000-000023E50000}"/>
    <cellStyle name="SAPBEXinputData 5 2 2 2 3 3" xfId="58716" xr:uid="{00000000-0005-0000-0000-000024E50000}"/>
    <cellStyle name="SAPBEXinputData 5 2 2 2 4" xfId="58717" xr:uid="{00000000-0005-0000-0000-000025E50000}"/>
    <cellStyle name="SAPBEXinputData 5 2 2 2 5" xfId="58718" xr:uid="{00000000-0005-0000-0000-000026E50000}"/>
    <cellStyle name="SAPBEXinputData 5 2 2 2 6" xfId="58719" xr:uid="{00000000-0005-0000-0000-000027E50000}"/>
    <cellStyle name="SAPBEXinputData 5 2 2 2 7" xfId="58720" xr:uid="{00000000-0005-0000-0000-000028E50000}"/>
    <cellStyle name="SAPBEXinputData 5 2 2 2 8" xfId="58721" xr:uid="{00000000-0005-0000-0000-000029E50000}"/>
    <cellStyle name="SAPBEXinputData 5 2 2 3" xfId="58722" xr:uid="{00000000-0005-0000-0000-00002AE50000}"/>
    <cellStyle name="SAPBEXinputData 5 2 2 3 2" xfId="58723" xr:uid="{00000000-0005-0000-0000-00002BE50000}"/>
    <cellStyle name="SAPBEXinputData 5 2 2 3 2 2" xfId="58724" xr:uid="{00000000-0005-0000-0000-00002CE50000}"/>
    <cellStyle name="SAPBEXinputData 5 2 2 3 2 3" xfId="58725" xr:uid="{00000000-0005-0000-0000-00002DE50000}"/>
    <cellStyle name="SAPBEXinputData 5 2 2 3 3" xfId="58726" xr:uid="{00000000-0005-0000-0000-00002EE50000}"/>
    <cellStyle name="SAPBEXinputData 5 2 2 3 3 2" xfId="58727" xr:uid="{00000000-0005-0000-0000-00002FE50000}"/>
    <cellStyle name="SAPBEXinputData 5 2 2 3 4" xfId="58728" xr:uid="{00000000-0005-0000-0000-000030E50000}"/>
    <cellStyle name="SAPBEXinputData 5 2 2 4" xfId="58729" xr:uid="{00000000-0005-0000-0000-000031E50000}"/>
    <cellStyle name="SAPBEXinputData 5 2 2 4 2" xfId="58730" xr:uid="{00000000-0005-0000-0000-000032E50000}"/>
    <cellStyle name="SAPBEXinputData 5 2 2 4 3" xfId="58731" xr:uid="{00000000-0005-0000-0000-000033E50000}"/>
    <cellStyle name="SAPBEXinputData 5 2 2 5" xfId="58732" xr:uid="{00000000-0005-0000-0000-000034E50000}"/>
    <cellStyle name="SAPBEXinputData 5 2 2 6" xfId="58733" xr:uid="{00000000-0005-0000-0000-000035E50000}"/>
    <cellStyle name="SAPBEXinputData 5 2 2 7" xfId="58734" xr:uid="{00000000-0005-0000-0000-000036E50000}"/>
    <cellStyle name="SAPBEXinputData 5 2 2 8" xfId="58735" xr:uid="{00000000-0005-0000-0000-000037E50000}"/>
    <cellStyle name="SAPBEXinputData 5 2 2 9" xfId="58736" xr:uid="{00000000-0005-0000-0000-000038E50000}"/>
    <cellStyle name="SAPBEXinputData 5 2 3" xfId="58737" xr:uid="{00000000-0005-0000-0000-000039E50000}"/>
    <cellStyle name="SAPBEXinputData 5 2 3 2" xfId="58738" xr:uid="{00000000-0005-0000-0000-00003AE50000}"/>
    <cellStyle name="SAPBEXinputData 5 2 3 2 2" xfId="58739" xr:uid="{00000000-0005-0000-0000-00003BE50000}"/>
    <cellStyle name="SAPBEXinputData 5 2 3 2 3" xfId="58740" xr:uid="{00000000-0005-0000-0000-00003CE50000}"/>
    <cellStyle name="SAPBEXinputData 5 2 3 3" xfId="58741" xr:uid="{00000000-0005-0000-0000-00003DE50000}"/>
    <cellStyle name="SAPBEXinputData 5 2 3 3 2" xfId="58742" xr:uid="{00000000-0005-0000-0000-00003EE50000}"/>
    <cellStyle name="SAPBEXinputData 5 2 3 3 3" xfId="58743" xr:uid="{00000000-0005-0000-0000-00003FE50000}"/>
    <cellStyle name="SAPBEXinputData 5 2 3 4" xfId="58744" xr:uid="{00000000-0005-0000-0000-000040E50000}"/>
    <cellStyle name="SAPBEXinputData 5 2 3 5" xfId="58745" xr:uid="{00000000-0005-0000-0000-000041E50000}"/>
    <cellStyle name="SAPBEXinputData 5 2 3 6" xfId="58746" xr:uid="{00000000-0005-0000-0000-000042E50000}"/>
    <cellStyle name="SAPBEXinputData 5 2 3 7" xfId="58747" xr:uid="{00000000-0005-0000-0000-000043E50000}"/>
    <cellStyle name="SAPBEXinputData 5 2 3 8" xfId="58748" xr:uid="{00000000-0005-0000-0000-000044E50000}"/>
    <cellStyle name="SAPBEXinputData 5 2 4" xfId="58749" xr:uid="{00000000-0005-0000-0000-000045E50000}"/>
    <cellStyle name="SAPBEXinputData 5 2 4 2" xfId="58750" xr:uid="{00000000-0005-0000-0000-000046E50000}"/>
    <cellStyle name="SAPBEXinputData 5 2 4 2 2" xfId="58751" xr:uid="{00000000-0005-0000-0000-000047E50000}"/>
    <cellStyle name="SAPBEXinputData 5 2 4 2 3" xfId="58752" xr:uid="{00000000-0005-0000-0000-000048E50000}"/>
    <cellStyle name="SAPBEXinputData 5 2 4 3" xfId="58753" xr:uid="{00000000-0005-0000-0000-000049E50000}"/>
    <cellStyle name="SAPBEXinputData 5 2 4 3 2" xfId="58754" xr:uid="{00000000-0005-0000-0000-00004AE50000}"/>
    <cellStyle name="SAPBEXinputData 5 2 4 4" xfId="58755" xr:uid="{00000000-0005-0000-0000-00004BE50000}"/>
    <cellStyle name="SAPBEXinputData 5 2 5" xfId="58756" xr:uid="{00000000-0005-0000-0000-00004CE50000}"/>
    <cellStyle name="SAPBEXinputData 5 2 5 2" xfId="58757" xr:uid="{00000000-0005-0000-0000-00004DE50000}"/>
    <cellStyle name="SAPBEXinputData 5 2 5 3" xfId="58758" xr:uid="{00000000-0005-0000-0000-00004EE50000}"/>
    <cellStyle name="SAPBEXinputData 5 2 6" xfId="58759" xr:uid="{00000000-0005-0000-0000-00004FE50000}"/>
    <cellStyle name="SAPBEXinputData 5 2 6 2" xfId="58760" xr:uid="{00000000-0005-0000-0000-000050E50000}"/>
    <cellStyle name="SAPBEXinputData 5 2 6 3" xfId="58761" xr:uid="{00000000-0005-0000-0000-000051E50000}"/>
    <cellStyle name="SAPBEXinputData 5 2 7" xfId="58762" xr:uid="{00000000-0005-0000-0000-000052E50000}"/>
    <cellStyle name="SAPBEXinputData 5 2 8" xfId="58763" xr:uid="{00000000-0005-0000-0000-000053E50000}"/>
    <cellStyle name="SAPBEXinputData 5 2 9" xfId="58764" xr:uid="{00000000-0005-0000-0000-000054E50000}"/>
    <cellStyle name="SAPBEXinputData 5 3" xfId="58765" xr:uid="{00000000-0005-0000-0000-000055E50000}"/>
    <cellStyle name="SAPBEXinputData 5 3 10" xfId="58766" xr:uid="{00000000-0005-0000-0000-000056E50000}"/>
    <cellStyle name="SAPBEXinputData 5 3 2" xfId="58767" xr:uid="{00000000-0005-0000-0000-000057E50000}"/>
    <cellStyle name="SAPBEXinputData 5 3 2 2" xfId="58768" xr:uid="{00000000-0005-0000-0000-000058E50000}"/>
    <cellStyle name="SAPBEXinputData 5 3 2 2 2" xfId="58769" xr:uid="{00000000-0005-0000-0000-000059E50000}"/>
    <cellStyle name="SAPBEXinputData 5 3 2 2 3" xfId="58770" xr:uid="{00000000-0005-0000-0000-00005AE50000}"/>
    <cellStyle name="SAPBEXinputData 5 3 2 3" xfId="58771" xr:uid="{00000000-0005-0000-0000-00005BE50000}"/>
    <cellStyle name="SAPBEXinputData 5 3 2 3 2" xfId="58772" xr:uid="{00000000-0005-0000-0000-00005CE50000}"/>
    <cellStyle name="SAPBEXinputData 5 3 2 3 3" xfId="58773" xr:uid="{00000000-0005-0000-0000-00005DE50000}"/>
    <cellStyle name="SAPBEXinputData 5 3 2 4" xfId="58774" xr:uid="{00000000-0005-0000-0000-00005EE50000}"/>
    <cellStyle name="SAPBEXinputData 5 3 2 5" xfId="58775" xr:uid="{00000000-0005-0000-0000-00005FE50000}"/>
    <cellStyle name="SAPBEXinputData 5 3 2 6" xfId="58776" xr:uid="{00000000-0005-0000-0000-000060E50000}"/>
    <cellStyle name="SAPBEXinputData 5 3 2 7" xfId="58777" xr:uid="{00000000-0005-0000-0000-000061E50000}"/>
    <cellStyle name="SAPBEXinputData 5 3 2 8" xfId="58778" xr:uid="{00000000-0005-0000-0000-000062E50000}"/>
    <cellStyle name="SAPBEXinputData 5 3 3" xfId="58779" xr:uid="{00000000-0005-0000-0000-000063E50000}"/>
    <cellStyle name="SAPBEXinputData 5 3 3 2" xfId="58780" xr:uid="{00000000-0005-0000-0000-000064E50000}"/>
    <cellStyle name="SAPBEXinputData 5 3 3 2 2" xfId="58781" xr:uid="{00000000-0005-0000-0000-000065E50000}"/>
    <cellStyle name="SAPBEXinputData 5 3 3 2 3" xfId="58782" xr:uid="{00000000-0005-0000-0000-000066E50000}"/>
    <cellStyle name="SAPBEXinputData 5 3 3 3" xfId="58783" xr:uid="{00000000-0005-0000-0000-000067E50000}"/>
    <cellStyle name="SAPBEXinputData 5 3 3 3 2" xfId="58784" xr:uid="{00000000-0005-0000-0000-000068E50000}"/>
    <cellStyle name="SAPBEXinputData 5 3 3 4" xfId="58785" xr:uid="{00000000-0005-0000-0000-000069E50000}"/>
    <cellStyle name="SAPBEXinputData 5 3 4" xfId="58786" xr:uid="{00000000-0005-0000-0000-00006AE50000}"/>
    <cellStyle name="SAPBEXinputData 5 3 4 2" xfId="58787" xr:uid="{00000000-0005-0000-0000-00006BE50000}"/>
    <cellStyle name="SAPBEXinputData 5 3 4 3" xfId="58788" xr:uid="{00000000-0005-0000-0000-00006CE50000}"/>
    <cellStyle name="SAPBEXinputData 5 3 5" xfId="58789" xr:uid="{00000000-0005-0000-0000-00006DE50000}"/>
    <cellStyle name="SAPBEXinputData 5 3 5 2" xfId="58790" xr:uid="{00000000-0005-0000-0000-00006EE50000}"/>
    <cellStyle name="SAPBEXinputData 5 3 5 3" xfId="58791" xr:uid="{00000000-0005-0000-0000-00006FE50000}"/>
    <cellStyle name="SAPBEXinputData 5 3 6" xfId="58792" xr:uid="{00000000-0005-0000-0000-000070E50000}"/>
    <cellStyle name="SAPBEXinputData 5 3 7" xfId="58793" xr:uid="{00000000-0005-0000-0000-000071E50000}"/>
    <cellStyle name="SAPBEXinputData 5 3 8" xfId="58794" xr:uid="{00000000-0005-0000-0000-000072E50000}"/>
    <cellStyle name="SAPBEXinputData 5 3 9" xfId="58795" xr:uid="{00000000-0005-0000-0000-000073E50000}"/>
    <cellStyle name="SAPBEXinputData 5 4" xfId="58796" xr:uid="{00000000-0005-0000-0000-000074E50000}"/>
    <cellStyle name="SAPBEXinputData 5 4 2" xfId="58797" xr:uid="{00000000-0005-0000-0000-000075E50000}"/>
    <cellStyle name="SAPBEXinputData 5 4 2 2" xfId="58798" xr:uid="{00000000-0005-0000-0000-000076E50000}"/>
    <cellStyle name="SAPBEXinputData 5 4 2 3" xfId="58799" xr:uid="{00000000-0005-0000-0000-000077E50000}"/>
    <cellStyle name="SAPBEXinputData 5 4 2 4" xfId="58800" xr:uid="{00000000-0005-0000-0000-000078E50000}"/>
    <cellStyle name="SAPBEXinputData 5 4 3" xfId="58801" xr:uid="{00000000-0005-0000-0000-000079E50000}"/>
    <cellStyle name="SAPBEXinputData 5 4 3 2" xfId="58802" xr:uid="{00000000-0005-0000-0000-00007AE50000}"/>
    <cellStyle name="SAPBEXinputData 5 4 3 3" xfId="58803" xr:uid="{00000000-0005-0000-0000-00007BE50000}"/>
    <cellStyle name="SAPBEXinputData 5 4 4" xfId="58804" xr:uid="{00000000-0005-0000-0000-00007CE50000}"/>
    <cellStyle name="SAPBEXinputData 5 4 5" xfId="58805" xr:uid="{00000000-0005-0000-0000-00007DE50000}"/>
    <cellStyle name="SAPBEXinputData 5 4 6" xfId="58806" xr:uid="{00000000-0005-0000-0000-00007EE50000}"/>
    <cellStyle name="SAPBEXinputData 5 4 7" xfId="58807" xr:uid="{00000000-0005-0000-0000-00007FE50000}"/>
    <cellStyle name="SAPBEXinputData 5 4 8" xfId="58808" xr:uid="{00000000-0005-0000-0000-000080E50000}"/>
    <cellStyle name="SAPBEXinputData 5 5" xfId="58809" xr:uid="{00000000-0005-0000-0000-000081E50000}"/>
    <cellStyle name="SAPBEXinputData 5 5 2" xfId="58810" xr:uid="{00000000-0005-0000-0000-000082E50000}"/>
    <cellStyle name="SAPBEXinputData 5 5 2 2" xfId="58811" xr:uid="{00000000-0005-0000-0000-000083E50000}"/>
    <cellStyle name="SAPBEXinputData 5 5 2 3" xfId="58812" xr:uid="{00000000-0005-0000-0000-000084E50000}"/>
    <cellStyle name="SAPBEXinputData 5 5 3" xfId="58813" xr:uid="{00000000-0005-0000-0000-000085E50000}"/>
    <cellStyle name="SAPBEXinputData 5 5 4" xfId="58814" xr:uid="{00000000-0005-0000-0000-000086E50000}"/>
    <cellStyle name="SAPBEXinputData 5 5 5" xfId="58815" xr:uid="{00000000-0005-0000-0000-000087E50000}"/>
    <cellStyle name="SAPBEXinputData 5 5 6" xfId="58816" xr:uid="{00000000-0005-0000-0000-000088E50000}"/>
    <cellStyle name="SAPBEXinputData 5 6" xfId="58817" xr:uid="{00000000-0005-0000-0000-000089E50000}"/>
    <cellStyle name="SAPBEXinputData 5 6 2" xfId="58818" xr:uid="{00000000-0005-0000-0000-00008AE50000}"/>
    <cellStyle name="SAPBEXinputData 5 6 3" xfId="58819" xr:uid="{00000000-0005-0000-0000-00008BE50000}"/>
    <cellStyle name="SAPBEXinputData 5 7" xfId="58820" xr:uid="{00000000-0005-0000-0000-00008CE50000}"/>
    <cellStyle name="SAPBEXinputData 5 7 2" xfId="58821" xr:uid="{00000000-0005-0000-0000-00008DE50000}"/>
    <cellStyle name="SAPBEXinputData 5 7 3" xfId="58822" xr:uid="{00000000-0005-0000-0000-00008EE50000}"/>
    <cellStyle name="SAPBEXinputData 5 8" xfId="58823" xr:uid="{00000000-0005-0000-0000-00008FE50000}"/>
    <cellStyle name="SAPBEXinputData 5 9" xfId="58824" xr:uid="{00000000-0005-0000-0000-000090E50000}"/>
    <cellStyle name="SAPBEXinputData 6" xfId="58825" xr:uid="{00000000-0005-0000-0000-000091E50000}"/>
    <cellStyle name="SAPBEXinputData 6 10" xfId="58826" xr:uid="{00000000-0005-0000-0000-000092E50000}"/>
    <cellStyle name="SAPBEXinputData 6 11" xfId="58827" xr:uid="{00000000-0005-0000-0000-000093E50000}"/>
    <cellStyle name="SAPBEXinputData 6 2" xfId="58828" xr:uid="{00000000-0005-0000-0000-000094E50000}"/>
    <cellStyle name="SAPBEXinputData 6 2 2" xfId="58829" xr:uid="{00000000-0005-0000-0000-000095E50000}"/>
    <cellStyle name="SAPBEXinputData 6 2 2 2" xfId="58830" xr:uid="{00000000-0005-0000-0000-000096E50000}"/>
    <cellStyle name="SAPBEXinputData 6 2 2 2 2" xfId="58831" xr:uid="{00000000-0005-0000-0000-000097E50000}"/>
    <cellStyle name="SAPBEXinputData 6 2 2 2 3" xfId="58832" xr:uid="{00000000-0005-0000-0000-000098E50000}"/>
    <cellStyle name="SAPBEXinputData 6 2 2 3" xfId="58833" xr:uid="{00000000-0005-0000-0000-000099E50000}"/>
    <cellStyle name="SAPBEXinputData 6 2 2 3 2" xfId="58834" xr:uid="{00000000-0005-0000-0000-00009AE50000}"/>
    <cellStyle name="SAPBEXinputData 6 2 2 3 3" xfId="58835" xr:uid="{00000000-0005-0000-0000-00009BE50000}"/>
    <cellStyle name="SAPBEXinputData 6 2 2 4" xfId="58836" xr:uid="{00000000-0005-0000-0000-00009CE50000}"/>
    <cellStyle name="SAPBEXinputData 6 2 2 5" xfId="58837" xr:uid="{00000000-0005-0000-0000-00009DE50000}"/>
    <cellStyle name="SAPBEXinputData 6 2 2 6" xfId="58838" xr:uid="{00000000-0005-0000-0000-00009EE50000}"/>
    <cellStyle name="SAPBEXinputData 6 2 2 7" xfId="58839" xr:uid="{00000000-0005-0000-0000-00009FE50000}"/>
    <cellStyle name="SAPBEXinputData 6 2 2 8" xfId="58840" xr:uid="{00000000-0005-0000-0000-0000A0E50000}"/>
    <cellStyle name="SAPBEXinputData 6 2 3" xfId="58841" xr:uid="{00000000-0005-0000-0000-0000A1E50000}"/>
    <cellStyle name="SAPBEXinputData 6 2 3 2" xfId="58842" xr:uid="{00000000-0005-0000-0000-0000A2E50000}"/>
    <cellStyle name="SAPBEXinputData 6 2 3 2 2" xfId="58843" xr:uid="{00000000-0005-0000-0000-0000A3E50000}"/>
    <cellStyle name="SAPBEXinputData 6 2 3 2 3" xfId="58844" xr:uid="{00000000-0005-0000-0000-0000A4E50000}"/>
    <cellStyle name="SAPBEXinputData 6 2 3 3" xfId="58845" xr:uid="{00000000-0005-0000-0000-0000A5E50000}"/>
    <cellStyle name="SAPBEXinputData 6 2 3 3 2" xfId="58846" xr:uid="{00000000-0005-0000-0000-0000A6E50000}"/>
    <cellStyle name="SAPBEXinputData 6 2 3 4" xfId="58847" xr:uid="{00000000-0005-0000-0000-0000A7E50000}"/>
    <cellStyle name="SAPBEXinputData 6 2 4" xfId="58848" xr:uid="{00000000-0005-0000-0000-0000A8E50000}"/>
    <cellStyle name="SAPBEXinputData 6 2 4 2" xfId="58849" xr:uid="{00000000-0005-0000-0000-0000A9E50000}"/>
    <cellStyle name="SAPBEXinputData 6 2 4 3" xfId="58850" xr:uid="{00000000-0005-0000-0000-0000AAE50000}"/>
    <cellStyle name="SAPBEXinputData 6 2 5" xfId="58851" xr:uid="{00000000-0005-0000-0000-0000ABE50000}"/>
    <cellStyle name="SAPBEXinputData 6 2 6" xfId="58852" xr:uid="{00000000-0005-0000-0000-0000ACE50000}"/>
    <cellStyle name="SAPBEXinputData 6 2 7" xfId="58853" xr:uid="{00000000-0005-0000-0000-0000ADE50000}"/>
    <cellStyle name="SAPBEXinputData 6 2 8" xfId="58854" xr:uid="{00000000-0005-0000-0000-0000AEE50000}"/>
    <cellStyle name="SAPBEXinputData 6 2 9" xfId="58855" xr:uid="{00000000-0005-0000-0000-0000AFE50000}"/>
    <cellStyle name="SAPBEXinputData 6 3" xfId="58856" xr:uid="{00000000-0005-0000-0000-0000B0E50000}"/>
    <cellStyle name="SAPBEXinputData 6 3 2" xfId="58857" xr:uid="{00000000-0005-0000-0000-0000B1E50000}"/>
    <cellStyle name="SAPBEXinputData 6 3 2 2" xfId="58858" xr:uid="{00000000-0005-0000-0000-0000B2E50000}"/>
    <cellStyle name="SAPBEXinputData 6 3 2 3" xfId="58859" xr:uid="{00000000-0005-0000-0000-0000B3E50000}"/>
    <cellStyle name="SAPBEXinputData 6 3 3" xfId="58860" xr:uid="{00000000-0005-0000-0000-0000B4E50000}"/>
    <cellStyle name="SAPBEXinputData 6 3 3 2" xfId="58861" xr:uid="{00000000-0005-0000-0000-0000B5E50000}"/>
    <cellStyle name="SAPBEXinputData 6 3 3 3" xfId="58862" xr:uid="{00000000-0005-0000-0000-0000B6E50000}"/>
    <cellStyle name="SAPBEXinputData 6 3 4" xfId="58863" xr:uid="{00000000-0005-0000-0000-0000B7E50000}"/>
    <cellStyle name="SAPBEXinputData 6 3 5" xfId="58864" xr:uid="{00000000-0005-0000-0000-0000B8E50000}"/>
    <cellStyle name="SAPBEXinputData 6 3 6" xfId="58865" xr:uid="{00000000-0005-0000-0000-0000B9E50000}"/>
    <cellStyle name="SAPBEXinputData 6 3 7" xfId="58866" xr:uid="{00000000-0005-0000-0000-0000BAE50000}"/>
    <cellStyle name="SAPBEXinputData 6 3 8" xfId="58867" xr:uid="{00000000-0005-0000-0000-0000BBE50000}"/>
    <cellStyle name="SAPBEXinputData 6 4" xfId="58868" xr:uid="{00000000-0005-0000-0000-0000BCE50000}"/>
    <cellStyle name="SAPBEXinputData 6 4 2" xfId="58869" xr:uid="{00000000-0005-0000-0000-0000BDE50000}"/>
    <cellStyle name="SAPBEXinputData 6 4 2 2" xfId="58870" xr:uid="{00000000-0005-0000-0000-0000BEE50000}"/>
    <cellStyle name="SAPBEXinputData 6 4 2 3" xfId="58871" xr:uid="{00000000-0005-0000-0000-0000BFE50000}"/>
    <cellStyle name="SAPBEXinputData 6 4 3" xfId="58872" xr:uid="{00000000-0005-0000-0000-0000C0E50000}"/>
    <cellStyle name="SAPBEXinputData 6 4 3 2" xfId="58873" xr:uid="{00000000-0005-0000-0000-0000C1E50000}"/>
    <cellStyle name="SAPBEXinputData 6 4 4" xfId="58874" xr:uid="{00000000-0005-0000-0000-0000C2E50000}"/>
    <cellStyle name="SAPBEXinputData 6 5" xfId="58875" xr:uid="{00000000-0005-0000-0000-0000C3E50000}"/>
    <cellStyle name="SAPBEXinputData 6 5 2" xfId="58876" xr:uid="{00000000-0005-0000-0000-0000C4E50000}"/>
    <cellStyle name="SAPBEXinputData 6 5 3" xfId="58877" xr:uid="{00000000-0005-0000-0000-0000C5E50000}"/>
    <cellStyle name="SAPBEXinputData 6 6" xfId="58878" xr:uid="{00000000-0005-0000-0000-0000C6E50000}"/>
    <cellStyle name="SAPBEXinputData 6 6 2" xfId="58879" xr:uid="{00000000-0005-0000-0000-0000C7E50000}"/>
    <cellStyle name="SAPBEXinputData 6 6 3" xfId="58880" xr:uid="{00000000-0005-0000-0000-0000C8E50000}"/>
    <cellStyle name="SAPBEXinputData 6 7" xfId="58881" xr:uid="{00000000-0005-0000-0000-0000C9E50000}"/>
    <cellStyle name="SAPBEXinputData 6 8" xfId="58882" xr:uid="{00000000-0005-0000-0000-0000CAE50000}"/>
    <cellStyle name="SAPBEXinputData 6 9" xfId="58883" xr:uid="{00000000-0005-0000-0000-0000CBE50000}"/>
    <cellStyle name="SAPBEXinputData 7" xfId="58884" xr:uid="{00000000-0005-0000-0000-0000CCE50000}"/>
    <cellStyle name="SAPBEXinputData 7 10" xfId="58885" xr:uid="{00000000-0005-0000-0000-0000CDE50000}"/>
    <cellStyle name="SAPBEXinputData 7 2" xfId="58886" xr:uid="{00000000-0005-0000-0000-0000CEE50000}"/>
    <cellStyle name="SAPBEXinputData 7 2 2" xfId="58887" xr:uid="{00000000-0005-0000-0000-0000CFE50000}"/>
    <cellStyle name="SAPBEXinputData 7 2 2 2" xfId="58888" xr:uid="{00000000-0005-0000-0000-0000D0E50000}"/>
    <cellStyle name="SAPBEXinputData 7 2 2 3" xfId="58889" xr:uid="{00000000-0005-0000-0000-0000D1E50000}"/>
    <cellStyle name="SAPBEXinputData 7 2 2 4" xfId="58890" xr:uid="{00000000-0005-0000-0000-0000D2E50000}"/>
    <cellStyle name="SAPBEXinputData 7 2 3" xfId="58891" xr:uid="{00000000-0005-0000-0000-0000D3E50000}"/>
    <cellStyle name="SAPBEXinputData 7 2 3 2" xfId="58892" xr:uid="{00000000-0005-0000-0000-0000D4E50000}"/>
    <cellStyle name="SAPBEXinputData 7 2 3 3" xfId="58893" xr:uid="{00000000-0005-0000-0000-0000D5E50000}"/>
    <cellStyle name="SAPBEXinputData 7 2 4" xfId="58894" xr:uid="{00000000-0005-0000-0000-0000D6E50000}"/>
    <cellStyle name="SAPBEXinputData 7 2 5" xfId="58895" xr:uid="{00000000-0005-0000-0000-0000D7E50000}"/>
    <cellStyle name="SAPBEXinputData 7 2 6" xfId="58896" xr:uid="{00000000-0005-0000-0000-0000D8E50000}"/>
    <cellStyle name="SAPBEXinputData 7 2 7" xfId="58897" xr:uid="{00000000-0005-0000-0000-0000D9E50000}"/>
    <cellStyle name="SAPBEXinputData 7 2 8" xfId="58898" xr:uid="{00000000-0005-0000-0000-0000DAE50000}"/>
    <cellStyle name="SAPBEXinputData 7 3" xfId="58899" xr:uid="{00000000-0005-0000-0000-0000DBE50000}"/>
    <cellStyle name="SAPBEXinputData 7 3 2" xfId="58900" xr:uid="{00000000-0005-0000-0000-0000DCE50000}"/>
    <cellStyle name="SAPBEXinputData 7 3 2 2" xfId="58901" xr:uid="{00000000-0005-0000-0000-0000DDE50000}"/>
    <cellStyle name="SAPBEXinputData 7 3 2 3" xfId="58902" xr:uid="{00000000-0005-0000-0000-0000DEE50000}"/>
    <cellStyle name="SAPBEXinputData 7 3 3" xfId="58903" xr:uid="{00000000-0005-0000-0000-0000DFE50000}"/>
    <cellStyle name="SAPBEXinputData 7 3 4" xfId="58904" xr:uid="{00000000-0005-0000-0000-0000E0E50000}"/>
    <cellStyle name="SAPBEXinputData 7 3 5" xfId="58905" xr:uid="{00000000-0005-0000-0000-0000E1E50000}"/>
    <cellStyle name="SAPBEXinputData 7 3 6" xfId="58906" xr:uid="{00000000-0005-0000-0000-0000E2E50000}"/>
    <cellStyle name="SAPBEXinputData 7 4" xfId="58907" xr:uid="{00000000-0005-0000-0000-0000E3E50000}"/>
    <cellStyle name="SAPBEXinputData 7 4 2" xfId="58908" xr:uid="{00000000-0005-0000-0000-0000E4E50000}"/>
    <cellStyle name="SAPBEXinputData 7 4 3" xfId="58909" xr:uid="{00000000-0005-0000-0000-0000E5E50000}"/>
    <cellStyle name="SAPBEXinputData 7 5" xfId="58910" xr:uid="{00000000-0005-0000-0000-0000E6E50000}"/>
    <cellStyle name="SAPBEXinputData 7 5 2" xfId="58911" xr:uid="{00000000-0005-0000-0000-0000E7E50000}"/>
    <cellStyle name="SAPBEXinputData 7 5 3" xfId="58912" xr:uid="{00000000-0005-0000-0000-0000E8E50000}"/>
    <cellStyle name="SAPBEXinputData 7 6" xfId="58913" xr:uid="{00000000-0005-0000-0000-0000E9E50000}"/>
    <cellStyle name="SAPBEXinputData 7 7" xfId="58914" xr:uid="{00000000-0005-0000-0000-0000EAE50000}"/>
    <cellStyle name="SAPBEXinputData 7 8" xfId="58915" xr:uid="{00000000-0005-0000-0000-0000EBE50000}"/>
    <cellStyle name="SAPBEXinputData 7 9" xfId="58916" xr:uid="{00000000-0005-0000-0000-0000ECE50000}"/>
    <cellStyle name="SAPBEXinputData 8" xfId="58917" xr:uid="{00000000-0005-0000-0000-0000EDE50000}"/>
    <cellStyle name="SAPBEXinputData 8 2" xfId="58918" xr:uid="{00000000-0005-0000-0000-0000EEE50000}"/>
    <cellStyle name="SAPBEXinputData 8 2 2" xfId="58919" xr:uid="{00000000-0005-0000-0000-0000EFE50000}"/>
    <cellStyle name="SAPBEXinputData 8 3" xfId="58920" xr:uid="{00000000-0005-0000-0000-0000F0E50000}"/>
    <cellStyle name="SAPBEXinputData 8 4" xfId="58921" xr:uid="{00000000-0005-0000-0000-0000F1E50000}"/>
    <cellStyle name="SAPBEXinputData 8 5" xfId="58922" xr:uid="{00000000-0005-0000-0000-0000F2E50000}"/>
    <cellStyle name="SAPBEXinputData 8 6" xfId="58923" xr:uid="{00000000-0005-0000-0000-0000F3E50000}"/>
    <cellStyle name="SAPBEXinputData 9" xfId="58924" xr:uid="{00000000-0005-0000-0000-0000F4E50000}"/>
    <cellStyle name="SAPBEXinputData 9 2" xfId="58925" xr:uid="{00000000-0005-0000-0000-0000F5E50000}"/>
    <cellStyle name="SAPBEXinputData 9 2 2" xfId="58926" xr:uid="{00000000-0005-0000-0000-0000F6E50000}"/>
    <cellStyle name="SAPBEXinputData 9 2 3" xfId="58927" xr:uid="{00000000-0005-0000-0000-0000F7E50000}"/>
    <cellStyle name="SAPBEXinputData 9 3" xfId="58928" xr:uid="{00000000-0005-0000-0000-0000F8E50000}"/>
    <cellStyle name="SAPBEXinputData 9 3 2" xfId="58929" xr:uid="{00000000-0005-0000-0000-0000F9E50000}"/>
    <cellStyle name="SAPBEXinputData 9 3 3" xfId="58930" xr:uid="{00000000-0005-0000-0000-0000FAE50000}"/>
    <cellStyle name="SAPBEXinputData 9 4" xfId="58931" xr:uid="{00000000-0005-0000-0000-0000FBE50000}"/>
    <cellStyle name="SAPBEXinputData 9 5" xfId="58932" xr:uid="{00000000-0005-0000-0000-0000FCE50000}"/>
    <cellStyle name="SAPBEXinputData 9 6" xfId="58933" xr:uid="{00000000-0005-0000-0000-0000FDE50000}"/>
    <cellStyle name="SAPBEXinputData 9 7" xfId="58934" xr:uid="{00000000-0005-0000-0000-0000FEE50000}"/>
    <cellStyle name="SAPBEXinputData 9 8" xfId="58935" xr:uid="{00000000-0005-0000-0000-0000FFE50000}"/>
    <cellStyle name="SAPBEXinputData_2010-2012 Program Workbook_Incent_FS" xfId="58936" xr:uid="{00000000-0005-0000-0000-000000E60000}"/>
    <cellStyle name="SAPBEXItemHeader" xfId="58937" xr:uid="{00000000-0005-0000-0000-000001E60000}"/>
    <cellStyle name="SAPBEXItemHeader 10" xfId="58938" xr:uid="{00000000-0005-0000-0000-000002E60000}"/>
    <cellStyle name="SAPBEXItemHeader 2" xfId="58939" xr:uid="{00000000-0005-0000-0000-000003E60000}"/>
    <cellStyle name="SAPBEXItemHeader 2 2" xfId="58940" xr:uid="{00000000-0005-0000-0000-000004E60000}"/>
    <cellStyle name="SAPBEXItemHeader 2 2 2" xfId="58941" xr:uid="{00000000-0005-0000-0000-000005E60000}"/>
    <cellStyle name="SAPBEXItemHeader 2 2 3" xfId="58942" xr:uid="{00000000-0005-0000-0000-000006E60000}"/>
    <cellStyle name="SAPBEXItemHeader 2 2 4" xfId="58943" xr:uid="{00000000-0005-0000-0000-000007E60000}"/>
    <cellStyle name="SAPBEXItemHeader 2 3" xfId="58944" xr:uid="{00000000-0005-0000-0000-000008E60000}"/>
    <cellStyle name="SAPBEXItemHeader 2 3 2" xfId="58945" xr:uid="{00000000-0005-0000-0000-000009E60000}"/>
    <cellStyle name="SAPBEXItemHeader 2 4" xfId="58946" xr:uid="{00000000-0005-0000-0000-00000AE60000}"/>
    <cellStyle name="SAPBEXItemHeader 2 4 2" xfId="58947" xr:uid="{00000000-0005-0000-0000-00000BE60000}"/>
    <cellStyle name="SAPBEXItemHeader 2 5" xfId="58948" xr:uid="{00000000-0005-0000-0000-00000CE60000}"/>
    <cellStyle name="SAPBEXItemHeader 2 5 2" xfId="58949" xr:uid="{00000000-0005-0000-0000-00000DE60000}"/>
    <cellStyle name="SAPBEXItemHeader 2 6" xfId="58950" xr:uid="{00000000-0005-0000-0000-00000EE60000}"/>
    <cellStyle name="SAPBEXItemHeader 2 7" xfId="58951" xr:uid="{00000000-0005-0000-0000-00000FE60000}"/>
    <cellStyle name="SAPBEXItemHeader 2 8" xfId="58952" xr:uid="{00000000-0005-0000-0000-000010E60000}"/>
    <cellStyle name="SAPBEXItemHeader 3" xfId="58953" xr:uid="{00000000-0005-0000-0000-000011E60000}"/>
    <cellStyle name="SAPBEXItemHeader 3 2" xfId="58954" xr:uid="{00000000-0005-0000-0000-000012E60000}"/>
    <cellStyle name="SAPBEXItemHeader 3 2 2" xfId="58955" xr:uid="{00000000-0005-0000-0000-000013E60000}"/>
    <cellStyle name="SAPBEXItemHeader 3 3" xfId="58956" xr:uid="{00000000-0005-0000-0000-000014E60000}"/>
    <cellStyle name="SAPBEXItemHeader 3 3 2" xfId="58957" xr:uid="{00000000-0005-0000-0000-000015E60000}"/>
    <cellStyle name="SAPBEXItemHeader 3 4" xfId="58958" xr:uid="{00000000-0005-0000-0000-000016E60000}"/>
    <cellStyle name="SAPBEXItemHeader 3 4 2" xfId="58959" xr:uid="{00000000-0005-0000-0000-000017E60000}"/>
    <cellStyle name="SAPBEXItemHeader 3 5" xfId="58960" xr:uid="{00000000-0005-0000-0000-000018E60000}"/>
    <cellStyle name="SAPBEXItemHeader 3 6" xfId="58961" xr:uid="{00000000-0005-0000-0000-000019E60000}"/>
    <cellStyle name="SAPBEXItemHeader 3 7" xfId="58962" xr:uid="{00000000-0005-0000-0000-00001AE60000}"/>
    <cellStyle name="SAPBEXItemHeader 4" xfId="58963" xr:uid="{00000000-0005-0000-0000-00001BE60000}"/>
    <cellStyle name="SAPBEXItemHeader 4 2" xfId="58964" xr:uid="{00000000-0005-0000-0000-00001CE60000}"/>
    <cellStyle name="SAPBEXItemHeader 4 2 2" xfId="58965" xr:uid="{00000000-0005-0000-0000-00001DE60000}"/>
    <cellStyle name="SAPBEXItemHeader 4 3" xfId="58966" xr:uid="{00000000-0005-0000-0000-00001EE60000}"/>
    <cellStyle name="SAPBEXItemHeader 4 3 2" xfId="58967" xr:uid="{00000000-0005-0000-0000-00001FE60000}"/>
    <cellStyle name="SAPBEXItemHeader 4 4" xfId="58968" xr:uid="{00000000-0005-0000-0000-000020E60000}"/>
    <cellStyle name="SAPBEXItemHeader 4 4 2" xfId="58969" xr:uid="{00000000-0005-0000-0000-000021E60000}"/>
    <cellStyle name="SAPBEXItemHeader 4 5" xfId="58970" xr:uid="{00000000-0005-0000-0000-000022E60000}"/>
    <cellStyle name="SAPBEXItemHeader 5" xfId="58971" xr:uid="{00000000-0005-0000-0000-000023E60000}"/>
    <cellStyle name="SAPBEXItemHeader 5 2" xfId="58972" xr:uid="{00000000-0005-0000-0000-000024E60000}"/>
    <cellStyle name="SAPBEXItemHeader 6" xfId="58973" xr:uid="{00000000-0005-0000-0000-000025E60000}"/>
    <cellStyle name="SAPBEXItemHeader 6 2" xfId="58974" xr:uid="{00000000-0005-0000-0000-000026E60000}"/>
    <cellStyle name="SAPBEXItemHeader 7" xfId="58975" xr:uid="{00000000-0005-0000-0000-000027E60000}"/>
    <cellStyle name="SAPBEXItemHeader 7 2" xfId="58976" xr:uid="{00000000-0005-0000-0000-000028E60000}"/>
    <cellStyle name="SAPBEXItemHeader 8" xfId="58977" xr:uid="{00000000-0005-0000-0000-000029E60000}"/>
    <cellStyle name="SAPBEXItemHeader 8 2" xfId="58978" xr:uid="{00000000-0005-0000-0000-00002AE60000}"/>
    <cellStyle name="SAPBEXItemHeader 9" xfId="58979" xr:uid="{00000000-0005-0000-0000-00002BE60000}"/>
    <cellStyle name="SAPBEXresData" xfId="58980" xr:uid="{00000000-0005-0000-0000-00002CE60000}"/>
    <cellStyle name="SAPBEXresData 10" xfId="58981" xr:uid="{00000000-0005-0000-0000-00002DE60000}"/>
    <cellStyle name="SAPBEXresData 10 2" xfId="58982" xr:uid="{00000000-0005-0000-0000-00002EE60000}"/>
    <cellStyle name="SAPBEXresData 11" xfId="58983" xr:uid="{00000000-0005-0000-0000-00002FE60000}"/>
    <cellStyle name="SAPBEXresData 12" xfId="58984" xr:uid="{00000000-0005-0000-0000-000030E60000}"/>
    <cellStyle name="SAPBEXresData 2" xfId="58985" xr:uid="{00000000-0005-0000-0000-000031E60000}"/>
    <cellStyle name="SAPBEXresData 2 10" xfId="58986" xr:uid="{00000000-0005-0000-0000-000032E60000}"/>
    <cellStyle name="SAPBEXresData 2 11" xfId="58987" xr:uid="{00000000-0005-0000-0000-000033E60000}"/>
    <cellStyle name="SAPBEXresData 2 2" xfId="58988" xr:uid="{00000000-0005-0000-0000-000034E60000}"/>
    <cellStyle name="SAPBEXresData 2 2 2" xfId="58989" xr:uid="{00000000-0005-0000-0000-000035E60000}"/>
    <cellStyle name="SAPBEXresData 2 2 2 2" xfId="58990" xr:uid="{00000000-0005-0000-0000-000036E60000}"/>
    <cellStyle name="SAPBEXresData 2 2 2 2 2" xfId="58991" xr:uid="{00000000-0005-0000-0000-000037E60000}"/>
    <cellStyle name="SAPBEXresData 2 2 2 3" xfId="58992" xr:uid="{00000000-0005-0000-0000-000038E60000}"/>
    <cellStyle name="SAPBEXresData 2 2 2 3 2" xfId="58993" xr:uid="{00000000-0005-0000-0000-000039E60000}"/>
    <cellStyle name="SAPBEXresData 2 2 2 4" xfId="58994" xr:uid="{00000000-0005-0000-0000-00003AE60000}"/>
    <cellStyle name="SAPBEXresData 2 2 3" xfId="58995" xr:uid="{00000000-0005-0000-0000-00003BE60000}"/>
    <cellStyle name="SAPBEXresData 2 2 3 2" xfId="58996" xr:uid="{00000000-0005-0000-0000-00003CE60000}"/>
    <cellStyle name="SAPBEXresData 2 2 3 2 2" xfId="58997" xr:uid="{00000000-0005-0000-0000-00003DE60000}"/>
    <cellStyle name="SAPBEXresData 2 2 3 3" xfId="58998" xr:uid="{00000000-0005-0000-0000-00003EE60000}"/>
    <cellStyle name="SAPBEXresData 2 2 3 3 2" xfId="58999" xr:uid="{00000000-0005-0000-0000-00003FE60000}"/>
    <cellStyle name="SAPBEXresData 2 2 3 4" xfId="59000" xr:uid="{00000000-0005-0000-0000-000040E60000}"/>
    <cellStyle name="SAPBEXresData 2 2 4" xfId="59001" xr:uid="{00000000-0005-0000-0000-000041E60000}"/>
    <cellStyle name="SAPBEXresData 2 2 4 2" xfId="59002" xr:uid="{00000000-0005-0000-0000-000042E60000}"/>
    <cellStyle name="SAPBEXresData 2 2 4 2 2" xfId="59003" xr:uid="{00000000-0005-0000-0000-000043E60000}"/>
    <cellStyle name="SAPBEXresData 2 2 4 3" xfId="59004" xr:uid="{00000000-0005-0000-0000-000044E60000}"/>
    <cellStyle name="SAPBEXresData 2 2 4 3 2" xfId="59005" xr:uid="{00000000-0005-0000-0000-000045E60000}"/>
    <cellStyle name="SAPBEXresData 2 2 4 4" xfId="59006" xr:uid="{00000000-0005-0000-0000-000046E60000}"/>
    <cellStyle name="SAPBEXresData 2 2 5" xfId="59007" xr:uid="{00000000-0005-0000-0000-000047E60000}"/>
    <cellStyle name="SAPBEXresData 2 2 5 2" xfId="59008" xr:uid="{00000000-0005-0000-0000-000048E60000}"/>
    <cellStyle name="SAPBEXresData 2 2 6" xfId="59009" xr:uid="{00000000-0005-0000-0000-000049E60000}"/>
    <cellStyle name="SAPBEXresData 2 2 6 2" xfId="59010" xr:uid="{00000000-0005-0000-0000-00004AE60000}"/>
    <cellStyle name="SAPBEXresData 2 2 7" xfId="59011" xr:uid="{00000000-0005-0000-0000-00004BE60000}"/>
    <cellStyle name="SAPBEXresData 2 3" xfId="59012" xr:uid="{00000000-0005-0000-0000-00004CE60000}"/>
    <cellStyle name="SAPBEXresData 2 3 2" xfId="59013" xr:uid="{00000000-0005-0000-0000-00004DE60000}"/>
    <cellStyle name="SAPBEXresData 2 3 2 2" xfId="59014" xr:uid="{00000000-0005-0000-0000-00004EE60000}"/>
    <cellStyle name="SAPBEXresData 2 3 3" xfId="59015" xr:uid="{00000000-0005-0000-0000-00004FE60000}"/>
    <cellStyle name="SAPBEXresData 2 3 3 2" xfId="59016" xr:uid="{00000000-0005-0000-0000-000050E60000}"/>
    <cellStyle name="SAPBEXresData 2 3 4" xfId="59017" xr:uid="{00000000-0005-0000-0000-000051E60000}"/>
    <cellStyle name="SAPBEXresData 2 4" xfId="59018" xr:uid="{00000000-0005-0000-0000-000052E60000}"/>
    <cellStyle name="SAPBEXresData 2 4 2" xfId="59019" xr:uid="{00000000-0005-0000-0000-000053E60000}"/>
    <cellStyle name="SAPBEXresData 2 4 2 2" xfId="59020" xr:uid="{00000000-0005-0000-0000-000054E60000}"/>
    <cellStyle name="SAPBEXresData 2 4 3" xfId="59021" xr:uid="{00000000-0005-0000-0000-000055E60000}"/>
    <cellStyle name="SAPBEXresData 2 4 3 2" xfId="59022" xr:uid="{00000000-0005-0000-0000-000056E60000}"/>
    <cellStyle name="SAPBEXresData 2 4 4" xfId="59023" xr:uid="{00000000-0005-0000-0000-000057E60000}"/>
    <cellStyle name="SAPBEXresData 2 5" xfId="59024" xr:uid="{00000000-0005-0000-0000-000058E60000}"/>
    <cellStyle name="SAPBEXresData 2 5 2" xfId="59025" xr:uid="{00000000-0005-0000-0000-000059E60000}"/>
    <cellStyle name="SAPBEXresData 2 5 2 2" xfId="59026" xr:uid="{00000000-0005-0000-0000-00005AE60000}"/>
    <cellStyle name="SAPBEXresData 2 5 3" xfId="59027" xr:uid="{00000000-0005-0000-0000-00005BE60000}"/>
    <cellStyle name="SAPBEXresData 2 5 3 2" xfId="59028" xr:uid="{00000000-0005-0000-0000-00005CE60000}"/>
    <cellStyle name="SAPBEXresData 2 5 4" xfId="59029" xr:uid="{00000000-0005-0000-0000-00005DE60000}"/>
    <cellStyle name="SAPBEXresData 2 6" xfId="59030" xr:uid="{00000000-0005-0000-0000-00005EE60000}"/>
    <cellStyle name="SAPBEXresData 2 6 2" xfId="59031" xr:uid="{00000000-0005-0000-0000-00005FE60000}"/>
    <cellStyle name="SAPBEXresData 2 7" xfId="59032" xr:uid="{00000000-0005-0000-0000-000060E60000}"/>
    <cellStyle name="SAPBEXresData 2 7 2" xfId="59033" xr:uid="{00000000-0005-0000-0000-000061E60000}"/>
    <cellStyle name="SAPBEXresData 2 8" xfId="59034" xr:uid="{00000000-0005-0000-0000-000062E60000}"/>
    <cellStyle name="SAPBEXresData 2 8 2" xfId="59035" xr:uid="{00000000-0005-0000-0000-000063E60000}"/>
    <cellStyle name="SAPBEXresData 2 9" xfId="59036" xr:uid="{00000000-0005-0000-0000-000064E60000}"/>
    <cellStyle name="SAPBEXresData 3" xfId="59037" xr:uid="{00000000-0005-0000-0000-000065E60000}"/>
    <cellStyle name="SAPBEXresData 3 2" xfId="59038" xr:uid="{00000000-0005-0000-0000-000066E60000}"/>
    <cellStyle name="SAPBEXresData 3 2 2" xfId="59039" xr:uid="{00000000-0005-0000-0000-000067E60000}"/>
    <cellStyle name="SAPBEXresData 3 2 2 2" xfId="59040" xr:uid="{00000000-0005-0000-0000-000068E60000}"/>
    <cellStyle name="SAPBEXresData 3 2 2 2 2" xfId="59041" xr:uid="{00000000-0005-0000-0000-000069E60000}"/>
    <cellStyle name="SAPBEXresData 3 2 2 3" xfId="59042" xr:uid="{00000000-0005-0000-0000-00006AE60000}"/>
    <cellStyle name="SAPBEXresData 3 2 2 3 2" xfId="59043" xr:uid="{00000000-0005-0000-0000-00006BE60000}"/>
    <cellStyle name="SAPBEXresData 3 2 2 4" xfId="59044" xr:uid="{00000000-0005-0000-0000-00006CE60000}"/>
    <cellStyle name="SAPBEXresData 3 2 3" xfId="59045" xr:uid="{00000000-0005-0000-0000-00006DE60000}"/>
    <cellStyle name="SAPBEXresData 3 2 3 2" xfId="59046" xr:uid="{00000000-0005-0000-0000-00006EE60000}"/>
    <cellStyle name="SAPBEXresData 3 2 3 2 2" xfId="59047" xr:uid="{00000000-0005-0000-0000-00006FE60000}"/>
    <cellStyle name="SAPBEXresData 3 2 3 3" xfId="59048" xr:uid="{00000000-0005-0000-0000-000070E60000}"/>
    <cellStyle name="SAPBEXresData 3 2 3 3 2" xfId="59049" xr:uid="{00000000-0005-0000-0000-000071E60000}"/>
    <cellStyle name="SAPBEXresData 3 2 3 4" xfId="59050" xr:uid="{00000000-0005-0000-0000-000072E60000}"/>
    <cellStyle name="SAPBEXresData 3 2 4" xfId="59051" xr:uid="{00000000-0005-0000-0000-000073E60000}"/>
    <cellStyle name="SAPBEXresData 3 2 4 2" xfId="59052" xr:uid="{00000000-0005-0000-0000-000074E60000}"/>
    <cellStyle name="SAPBEXresData 3 2 5" xfId="59053" xr:uid="{00000000-0005-0000-0000-000075E60000}"/>
    <cellStyle name="SAPBEXresData 3 2 5 2" xfId="59054" xr:uid="{00000000-0005-0000-0000-000076E60000}"/>
    <cellStyle name="SAPBEXresData 3 2 6" xfId="59055" xr:uid="{00000000-0005-0000-0000-000077E60000}"/>
    <cellStyle name="SAPBEXresData 3 3" xfId="59056" xr:uid="{00000000-0005-0000-0000-000078E60000}"/>
    <cellStyle name="SAPBEXresData 3 3 2" xfId="59057" xr:uid="{00000000-0005-0000-0000-000079E60000}"/>
    <cellStyle name="SAPBEXresData 3 3 2 2" xfId="59058" xr:uid="{00000000-0005-0000-0000-00007AE60000}"/>
    <cellStyle name="SAPBEXresData 3 3 3" xfId="59059" xr:uid="{00000000-0005-0000-0000-00007BE60000}"/>
    <cellStyle name="SAPBEXresData 3 3 3 2" xfId="59060" xr:uid="{00000000-0005-0000-0000-00007CE60000}"/>
    <cellStyle name="SAPBEXresData 3 3 4" xfId="59061" xr:uid="{00000000-0005-0000-0000-00007DE60000}"/>
    <cellStyle name="SAPBEXresData 3 4" xfId="59062" xr:uid="{00000000-0005-0000-0000-00007EE60000}"/>
    <cellStyle name="SAPBEXresData 3 4 2" xfId="59063" xr:uid="{00000000-0005-0000-0000-00007FE60000}"/>
    <cellStyle name="SAPBEXresData 3 4 2 2" xfId="59064" xr:uid="{00000000-0005-0000-0000-000080E60000}"/>
    <cellStyle name="SAPBEXresData 3 4 3" xfId="59065" xr:uid="{00000000-0005-0000-0000-000081E60000}"/>
    <cellStyle name="SAPBEXresData 3 4 3 2" xfId="59066" xr:uid="{00000000-0005-0000-0000-000082E60000}"/>
    <cellStyle name="SAPBEXresData 3 4 4" xfId="59067" xr:uid="{00000000-0005-0000-0000-000083E60000}"/>
    <cellStyle name="SAPBEXresData 3 5" xfId="59068" xr:uid="{00000000-0005-0000-0000-000084E60000}"/>
    <cellStyle name="SAPBEXresData 3 5 2" xfId="59069" xr:uid="{00000000-0005-0000-0000-000085E60000}"/>
    <cellStyle name="SAPBEXresData 3 5 2 2" xfId="59070" xr:uid="{00000000-0005-0000-0000-000086E60000}"/>
    <cellStyle name="SAPBEXresData 3 5 3" xfId="59071" xr:uid="{00000000-0005-0000-0000-000087E60000}"/>
    <cellStyle name="SAPBEXresData 3 5 3 2" xfId="59072" xr:uid="{00000000-0005-0000-0000-000088E60000}"/>
    <cellStyle name="SAPBEXresData 3 5 4" xfId="59073" xr:uid="{00000000-0005-0000-0000-000089E60000}"/>
    <cellStyle name="SAPBEXresData 3 6" xfId="59074" xr:uid="{00000000-0005-0000-0000-00008AE60000}"/>
    <cellStyle name="SAPBEXresData 3 6 2" xfId="59075" xr:uid="{00000000-0005-0000-0000-00008BE60000}"/>
    <cellStyle name="SAPBEXresData 3 7" xfId="59076" xr:uid="{00000000-0005-0000-0000-00008CE60000}"/>
    <cellStyle name="SAPBEXresData 3 7 2" xfId="59077" xr:uid="{00000000-0005-0000-0000-00008DE60000}"/>
    <cellStyle name="SAPBEXresData 3 8" xfId="59078" xr:uid="{00000000-0005-0000-0000-00008EE60000}"/>
    <cellStyle name="SAPBEXresData 3 9" xfId="59079" xr:uid="{00000000-0005-0000-0000-00008FE60000}"/>
    <cellStyle name="SAPBEXresData 4" xfId="59080" xr:uid="{00000000-0005-0000-0000-000090E60000}"/>
    <cellStyle name="SAPBEXresData 4 2" xfId="59081" xr:uid="{00000000-0005-0000-0000-000091E60000}"/>
    <cellStyle name="SAPBEXresData 4 2 2" xfId="59082" xr:uid="{00000000-0005-0000-0000-000092E60000}"/>
    <cellStyle name="SAPBEXresData 4 2 2 2" xfId="59083" xr:uid="{00000000-0005-0000-0000-000093E60000}"/>
    <cellStyle name="SAPBEXresData 4 2 2 2 2" xfId="59084" xr:uid="{00000000-0005-0000-0000-000094E60000}"/>
    <cellStyle name="SAPBEXresData 4 2 2 3" xfId="59085" xr:uid="{00000000-0005-0000-0000-000095E60000}"/>
    <cellStyle name="SAPBEXresData 4 2 2 3 2" xfId="59086" xr:uid="{00000000-0005-0000-0000-000096E60000}"/>
    <cellStyle name="SAPBEXresData 4 2 2 4" xfId="59087" xr:uid="{00000000-0005-0000-0000-000097E60000}"/>
    <cellStyle name="SAPBEXresData 4 2 3" xfId="59088" xr:uid="{00000000-0005-0000-0000-000098E60000}"/>
    <cellStyle name="SAPBEXresData 4 2 3 2" xfId="59089" xr:uid="{00000000-0005-0000-0000-000099E60000}"/>
    <cellStyle name="SAPBEXresData 4 2 3 2 2" xfId="59090" xr:uid="{00000000-0005-0000-0000-00009AE60000}"/>
    <cellStyle name="SAPBEXresData 4 2 3 3" xfId="59091" xr:uid="{00000000-0005-0000-0000-00009BE60000}"/>
    <cellStyle name="SAPBEXresData 4 2 3 3 2" xfId="59092" xr:uid="{00000000-0005-0000-0000-00009CE60000}"/>
    <cellStyle name="SAPBEXresData 4 2 3 4" xfId="59093" xr:uid="{00000000-0005-0000-0000-00009DE60000}"/>
    <cellStyle name="SAPBEXresData 4 2 4" xfId="59094" xr:uid="{00000000-0005-0000-0000-00009EE60000}"/>
    <cellStyle name="SAPBEXresData 4 2 4 2" xfId="59095" xr:uid="{00000000-0005-0000-0000-00009FE60000}"/>
    <cellStyle name="SAPBEXresData 4 2 5" xfId="59096" xr:uid="{00000000-0005-0000-0000-0000A0E60000}"/>
    <cellStyle name="SAPBEXresData 4 2 5 2" xfId="59097" xr:uid="{00000000-0005-0000-0000-0000A1E60000}"/>
    <cellStyle name="SAPBEXresData 4 2 6" xfId="59098" xr:uid="{00000000-0005-0000-0000-0000A2E60000}"/>
    <cellStyle name="SAPBEXresData 4 3" xfId="59099" xr:uid="{00000000-0005-0000-0000-0000A3E60000}"/>
    <cellStyle name="SAPBEXresData 4 3 2" xfId="59100" xr:uid="{00000000-0005-0000-0000-0000A4E60000}"/>
    <cellStyle name="SAPBEXresData 4 3 2 2" xfId="59101" xr:uid="{00000000-0005-0000-0000-0000A5E60000}"/>
    <cellStyle name="SAPBEXresData 4 3 3" xfId="59102" xr:uid="{00000000-0005-0000-0000-0000A6E60000}"/>
    <cellStyle name="SAPBEXresData 4 3 3 2" xfId="59103" xr:uid="{00000000-0005-0000-0000-0000A7E60000}"/>
    <cellStyle name="SAPBEXresData 4 3 4" xfId="59104" xr:uid="{00000000-0005-0000-0000-0000A8E60000}"/>
    <cellStyle name="SAPBEXresData 4 4" xfId="59105" xr:uid="{00000000-0005-0000-0000-0000A9E60000}"/>
    <cellStyle name="SAPBEXresData 4 4 2" xfId="59106" xr:uid="{00000000-0005-0000-0000-0000AAE60000}"/>
    <cellStyle name="SAPBEXresData 4 4 2 2" xfId="59107" xr:uid="{00000000-0005-0000-0000-0000ABE60000}"/>
    <cellStyle name="SAPBEXresData 4 4 3" xfId="59108" xr:uid="{00000000-0005-0000-0000-0000ACE60000}"/>
    <cellStyle name="SAPBEXresData 4 4 3 2" xfId="59109" xr:uid="{00000000-0005-0000-0000-0000ADE60000}"/>
    <cellStyle name="SAPBEXresData 4 4 4" xfId="59110" xr:uid="{00000000-0005-0000-0000-0000AEE60000}"/>
    <cellStyle name="SAPBEXresData 4 5" xfId="59111" xr:uid="{00000000-0005-0000-0000-0000AFE60000}"/>
    <cellStyle name="SAPBEXresData 4 5 2" xfId="59112" xr:uid="{00000000-0005-0000-0000-0000B0E60000}"/>
    <cellStyle name="SAPBEXresData 4 6" xfId="59113" xr:uid="{00000000-0005-0000-0000-0000B1E60000}"/>
    <cellStyle name="SAPBEXresData 4 6 2" xfId="59114" xr:uid="{00000000-0005-0000-0000-0000B2E60000}"/>
    <cellStyle name="SAPBEXresData 4 7" xfId="59115" xr:uid="{00000000-0005-0000-0000-0000B3E60000}"/>
    <cellStyle name="SAPBEXresData 4 8" xfId="59116" xr:uid="{00000000-0005-0000-0000-0000B4E60000}"/>
    <cellStyle name="SAPBEXresData 5" xfId="59117" xr:uid="{00000000-0005-0000-0000-0000B5E60000}"/>
    <cellStyle name="SAPBEXresData 5 2" xfId="59118" xr:uid="{00000000-0005-0000-0000-0000B6E60000}"/>
    <cellStyle name="SAPBEXresData 5 2 2" xfId="59119" xr:uid="{00000000-0005-0000-0000-0000B7E60000}"/>
    <cellStyle name="SAPBEXresData 5 3" xfId="59120" xr:uid="{00000000-0005-0000-0000-0000B8E60000}"/>
    <cellStyle name="SAPBEXresData 5 3 2" xfId="59121" xr:uid="{00000000-0005-0000-0000-0000B9E60000}"/>
    <cellStyle name="SAPBEXresData 5 4" xfId="59122" xr:uid="{00000000-0005-0000-0000-0000BAE60000}"/>
    <cellStyle name="SAPBEXresData 6" xfId="59123" xr:uid="{00000000-0005-0000-0000-0000BBE60000}"/>
    <cellStyle name="SAPBEXresData 6 2" xfId="59124" xr:uid="{00000000-0005-0000-0000-0000BCE60000}"/>
    <cellStyle name="SAPBEXresData 6 2 2" xfId="59125" xr:uid="{00000000-0005-0000-0000-0000BDE60000}"/>
    <cellStyle name="SAPBEXresData 6 3" xfId="59126" xr:uid="{00000000-0005-0000-0000-0000BEE60000}"/>
    <cellStyle name="SAPBEXresData 6 3 2" xfId="59127" xr:uid="{00000000-0005-0000-0000-0000BFE60000}"/>
    <cellStyle name="SAPBEXresData 6 4" xfId="59128" xr:uid="{00000000-0005-0000-0000-0000C0E60000}"/>
    <cellStyle name="SAPBEXresData 7" xfId="59129" xr:uid="{00000000-0005-0000-0000-0000C1E60000}"/>
    <cellStyle name="SAPBEXresData 7 2" xfId="59130" xr:uid="{00000000-0005-0000-0000-0000C2E60000}"/>
    <cellStyle name="SAPBEXresData 7 2 2" xfId="59131" xr:uid="{00000000-0005-0000-0000-0000C3E60000}"/>
    <cellStyle name="SAPBEXresData 7 3" xfId="59132" xr:uid="{00000000-0005-0000-0000-0000C4E60000}"/>
    <cellStyle name="SAPBEXresData 7 3 2" xfId="59133" xr:uid="{00000000-0005-0000-0000-0000C5E60000}"/>
    <cellStyle name="SAPBEXresData 7 4" xfId="59134" xr:uid="{00000000-0005-0000-0000-0000C6E60000}"/>
    <cellStyle name="SAPBEXresData 8" xfId="59135" xr:uid="{00000000-0005-0000-0000-0000C7E60000}"/>
    <cellStyle name="SAPBEXresData 8 2" xfId="59136" xr:uid="{00000000-0005-0000-0000-0000C8E60000}"/>
    <cellStyle name="SAPBEXresData 9" xfId="59137" xr:uid="{00000000-0005-0000-0000-0000C9E60000}"/>
    <cellStyle name="SAPBEXresData 9 2" xfId="59138" xr:uid="{00000000-0005-0000-0000-0000CAE60000}"/>
    <cellStyle name="SAPBEXresDataEmph" xfId="59139" xr:uid="{00000000-0005-0000-0000-0000CBE60000}"/>
    <cellStyle name="SAPBEXresDataEmph 10" xfId="59140" xr:uid="{00000000-0005-0000-0000-0000CCE60000}"/>
    <cellStyle name="SAPBEXresDataEmph 11" xfId="59141" xr:uid="{00000000-0005-0000-0000-0000CDE60000}"/>
    <cellStyle name="SAPBEXresDataEmph 2" xfId="59142" xr:uid="{00000000-0005-0000-0000-0000CEE60000}"/>
    <cellStyle name="SAPBEXresDataEmph 2 2" xfId="59143" xr:uid="{00000000-0005-0000-0000-0000CFE60000}"/>
    <cellStyle name="SAPBEXresDataEmph 2 2 2" xfId="59144" xr:uid="{00000000-0005-0000-0000-0000D0E60000}"/>
    <cellStyle name="SAPBEXresDataEmph 2 3" xfId="59145" xr:uid="{00000000-0005-0000-0000-0000D1E60000}"/>
    <cellStyle name="SAPBEXresDataEmph 2 3 2" xfId="59146" xr:uid="{00000000-0005-0000-0000-0000D2E60000}"/>
    <cellStyle name="SAPBEXresDataEmph 2 3 2 2" xfId="59147" xr:uid="{00000000-0005-0000-0000-0000D3E60000}"/>
    <cellStyle name="SAPBEXresDataEmph 2 3 3" xfId="59148" xr:uid="{00000000-0005-0000-0000-0000D4E60000}"/>
    <cellStyle name="SAPBEXresDataEmph 2 3 3 2" xfId="59149" xr:uid="{00000000-0005-0000-0000-0000D5E60000}"/>
    <cellStyle name="SAPBEXresDataEmph 2 3 4" xfId="59150" xr:uid="{00000000-0005-0000-0000-0000D6E60000}"/>
    <cellStyle name="SAPBEXresDataEmph 2 4" xfId="59151" xr:uid="{00000000-0005-0000-0000-0000D7E60000}"/>
    <cellStyle name="SAPBEXresDataEmph 2 4 2" xfId="59152" xr:uid="{00000000-0005-0000-0000-0000D8E60000}"/>
    <cellStyle name="SAPBEXresDataEmph 2 4 3" xfId="59153" xr:uid="{00000000-0005-0000-0000-0000D9E60000}"/>
    <cellStyle name="SAPBEXresDataEmph 2 5" xfId="59154" xr:uid="{00000000-0005-0000-0000-0000DAE60000}"/>
    <cellStyle name="SAPBEXresDataEmph 2 6" xfId="59155" xr:uid="{00000000-0005-0000-0000-0000DBE60000}"/>
    <cellStyle name="SAPBEXresDataEmph 2 7" xfId="59156" xr:uid="{00000000-0005-0000-0000-0000DCE60000}"/>
    <cellStyle name="SAPBEXresDataEmph 3" xfId="59157" xr:uid="{00000000-0005-0000-0000-0000DDE60000}"/>
    <cellStyle name="SAPBEXresDataEmph 3 2" xfId="59158" xr:uid="{00000000-0005-0000-0000-0000DEE60000}"/>
    <cellStyle name="SAPBEXresDataEmph 3 2 2" xfId="59159" xr:uid="{00000000-0005-0000-0000-0000DFE60000}"/>
    <cellStyle name="SAPBEXresDataEmph 3 2 2 2" xfId="59160" xr:uid="{00000000-0005-0000-0000-0000E0E60000}"/>
    <cellStyle name="SAPBEXresDataEmph 3 2 2 2 2" xfId="59161" xr:uid="{00000000-0005-0000-0000-0000E1E60000}"/>
    <cellStyle name="SAPBEXresDataEmph 3 2 2 3" xfId="59162" xr:uid="{00000000-0005-0000-0000-0000E2E60000}"/>
    <cellStyle name="SAPBEXresDataEmph 3 2 2 3 2" xfId="59163" xr:uid="{00000000-0005-0000-0000-0000E3E60000}"/>
    <cellStyle name="SAPBEXresDataEmph 3 2 2 4" xfId="59164" xr:uid="{00000000-0005-0000-0000-0000E4E60000}"/>
    <cellStyle name="SAPBEXresDataEmph 3 2 3" xfId="59165" xr:uid="{00000000-0005-0000-0000-0000E5E60000}"/>
    <cellStyle name="SAPBEXresDataEmph 3 2 3 2" xfId="59166" xr:uid="{00000000-0005-0000-0000-0000E6E60000}"/>
    <cellStyle name="SAPBEXresDataEmph 3 2 3 2 2" xfId="59167" xr:uid="{00000000-0005-0000-0000-0000E7E60000}"/>
    <cellStyle name="SAPBEXresDataEmph 3 2 3 3" xfId="59168" xr:uid="{00000000-0005-0000-0000-0000E8E60000}"/>
    <cellStyle name="SAPBEXresDataEmph 3 2 3 3 2" xfId="59169" xr:uid="{00000000-0005-0000-0000-0000E9E60000}"/>
    <cellStyle name="SAPBEXresDataEmph 3 2 3 4" xfId="59170" xr:uid="{00000000-0005-0000-0000-0000EAE60000}"/>
    <cellStyle name="SAPBEXresDataEmph 3 2 4" xfId="59171" xr:uid="{00000000-0005-0000-0000-0000EBE60000}"/>
    <cellStyle name="SAPBEXresDataEmph 3 2 4 2" xfId="59172" xr:uid="{00000000-0005-0000-0000-0000ECE60000}"/>
    <cellStyle name="SAPBEXresDataEmph 3 2 5" xfId="59173" xr:uid="{00000000-0005-0000-0000-0000EDE60000}"/>
    <cellStyle name="SAPBEXresDataEmph 3 2 5 2" xfId="59174" xr:uid="{00000000-0005-0000-0000-0000EEE60000}"/>
    <cellStyle name="SAPBEXresDataEmph 3 2 6" xfId="59175" xr:uid="{00000000-0005-0000-0000-0000EFE60000}"/>
    <cellStyle name="SAPBEXresDataEmph 3 3" xfId="59176" xr:uid="{00000000-0005-0000-0000-0000F0E60000}"/>
    <cellStyle name="SAPBEXresDataEmph 3 3 2" xfId="59177" xr:uid="{00000000-0005-0000-0000-0000F1E60000}"/>
    <cellStyle name="SAPBEXresDataEmph 3 3 2 2" xfId="59178" xr:uid="{00000000-0005-0000-0000-0000F2E60000}"/>
    <cellStyle name="SAPBEXresDataEmph 3 3 3" xfId="59179" xr:uid="{00000000-0005-0000-0000-0000F3E60000}"/>
    <cellStyle name="SAPBEXresDataEmph 3 3 3 2" xfId="59180" xr:uid="{00000000-0005-0000-0000-0000F4E60000}"/>
    <cellStyle name="SAPBEXresDataEmph 3 3 4" xfId="59181" xr:uid="{00000000-0005-0000-0000-0000F5E60000}"/>
    <cellStyle name="SAPBEXresDataEmph 3 4" xfId="59182" xr:uid="{00000000-0005-0000-0000-0000F6E60000}"/>
    <cellStyle name="SAPBEXresDataEmph 3 4 2" xfId="59183" xr:uid="{00000000-0005-0000-0000-0000F7E60000}"/>
    <cellStyle name="SAPBEXresDataEmph 3 4 2 2" xfId="59184" xr:uid="{00000000-0005-0000-0000-0000F8E60000}"/>
    <cellStyle name="SAPBEXresDataEmph 3 4 3" xfId="59185" xr:uid="{00000000-0005-0000-0000-0000F9E60000}"/>
    <cellStyle name="SAPBEXresDataEmph 3 4 3 2" xfId="59186" xr:uid="{00000000-0005-0000-0000-0000FAE60000}"/>
    <cellStyle name="SAPBEXresDataEmph 3 4 4" xfId="59187" xr:uid="{00000000-0005-0000-0000-0000FBE60000}"/>
    <cellStyle name="SAPBEXresDataEmph 3 5" xfId="59188" xr:uid="{00000000-0005-0000-0000-0000FCE60000}"/>
    <cellStyle name="SAPBEXresDataEmph 3 5 2" xfId="59189" xr:uid="{00000000-0005-0000-0000-0000FDE60000}"/>
    <cellStyle name="SAPBEXresDataEmph 3 6" xfId="59190" xr:uid="{00000000-0005-0000-0000-0000FEE60000}"/>
    <cellStyle name="SAPBEXresDataEmph 3 6 2" xfId="59191" xr:uid="{00000000-0005-0000-0000-0000FFE60000}"/>
    <cellStyle name="SAPBEXresDataEmph 3 7" xfId="59192" xr:uid="{00000000-0005-0000-0000-000000E70000}"/>
    <cellStyle name="SAPBEXresDataEmph 3 8" xfId="59193" xr:uid="{00000000-0005-0000-0000-000001E70000}"/>
    <cellStyle name="SAPBEXresDataEmph 4" xfId="59194" xr:uid="{00000000-0005-0000-0000-000002E70000}"/>
    <cellStyle name="SAPBEXresDataEmph 4 2" xfId="59195" xr:uid="{00000000-0005-0000-0000-000003E70000}"/>
    <cellStyle name="SAPBEXresDataEmph 4 2 2" xfId="59196" xr:uid="{00000000-0005-0000-0000-000004E70000}"/>
    <cellStyle name="SAPBEXresDataEmph 4 3" xfId="59197" xr:uid="{00000000-0005-0000-0000-000005E70000}"/>
    <cellStyle name="SAPBEXresDataEmph 4 3 2" xfId="59198" xr:uid="{00000000-0005-0000-0000-000006E70000}"/>
    <cellStyle name="SAPBEXresDataEmph 4 4" xfId="59199" xr:uid="{00000000-0005-0000-0000-000007E70000}"/>
    <cellStyle name="SAPBEXresDataEmph 5" xfId="59200" xr:uid="{00000000-0005-0000-0000-000008E70000}"/>
    <cellStyle name="SAPBEXresDataEmph 5 2" xfId="59201" xr:uid="{00000000-0005-0000-0000-000009E70000}"/>
    <cellStyle name="SAPBEXresDataEmph 5 2 2" xfId="59202" xr:uid="{00000000-0005-0000-0000-00000AE70000}"/>
    <cellStyle name="SAPBEXresDataEmph 5 3" xfId="59203" xr:uid="{00000000-0005-0000-0000-00000BE70000}"/>
    <cellStyle name="SAPBEXresDataEmph 5 3 2" xfId="59204" xr:uid="{00000000-0005-0000-0000-00000CE70000}"/>
    <cellStyle name="SAPBEXresDataEmph 5 4" xfId="59205" xr:uid="{00000000-0005-0000-0000-00000DE70000}"/>
    <cellStyle name="SAPBEXresDataEmph 6" xfId="59206" xr:uid="{00000000-0005-0000-0000-00000EE70000}"/>
    <cellStyle name="SAPBEXresDataEmph 6 2" xfId="59207" xr:uid="{00000000-0005-0000-0000-00000FE70000}"/>
    <cellStyle name="SAPBEXresDataEmph 6 2 2" xfId="59208" xr:uid="{00000000-0005-0000-0000-000010E70000}"/>
    <cellStyle name="SAPBEXresDataEmph 6 3" xfId="59209" xr:uid="{00000000-0005-0000-0000-000011E70000}"/>
    <cellStyle name="SAPBEXresDataEmph 6 3 2" xfId="59210" xr:uid="{00000000-0005-0000-0000-000012E70000}"/>
    <cellStyle name="SAPBEXresDataEmph 6 4" xfId="59211" xr:uid="{00000000-0005-0000-0000-000013E70000}"/>
    <cellStyle name="SAPBEXresDataEmph 7" xfId="59212" xr:uid="{00000000-0005-0000-0000-000014E70000}"/>
    <cellStyle name="SAPBEXresDataEmph 7 2" xfId="59213" xr:uid="{00000000-0005-0000-0000-000015E70000}"/>
    <cellStyle name="SAPBEXresDataEmph 8" xfId="59214" xr:uid="{00000000-0005-0000-0000-000016E70000}"/>
    <cellStyle name="SAPBEXresDataEmph 8 2" xfId="59215" xr:uid="{00000000-0005-0000-0000-000017E70000}"/>
    <cellStyle name="SAPBEXresDataEmph 9" xfId="59216" xr:uid="{00000000-0005-0000-0000-000018E70000}"/>
    <cellStyle name="SAPBEXresDataEmph 9 2" xfId="59217" xr:uid="{00000000-0005-0000-0000-000019E70000}"/>
    <cellStyle name="SAPBEXresExc1" xfId="59218" xr:uid="{00000000-0005-0000-0000-00001AE70000}"/>
    <cellStyle name="SAPBEXresExc1 2" xfId="59219" xr:uid="{00000000-0005-0000-0000-00001BE70000}"/>
    <cellStyle name="SAPBEXresExc1 2 2" xfId="59220" xr:uid="{00000000-0005-0000-0000-00001CE70000}"/>
    <cellStyle name="SAPBEXresExc1 3" xfId="59221" xr:uid="{00000000-0005-0000-0000-00001DE70000}"/>
    <cellStyle name="SAPBEXresExc1Emph" xfId="59222" xr:uid="{00000000-0005-0000-0000-00001EE70000}"/>
    <cellStyle name="SAPBEXresExc1Emph 2" xfId="59223" xr:uid="{00000000-0005-0000-0000-00001FE70000}"/>
    <cellStyle name="SAPBEXresExc1Emph 2 2" xfId="59224" xr:uid="{00000000-0005-0000-0000-000020E70000}"/>
    <cellStyle name="SAPBEXresExc1Emph 3" xfId="59225" xr:uid="{00000000-0005-0000-0000-000021E70000}"/>
    <cellStyle name="SAPBEXresExc2" xfId="59226" xr:uid="{00000000-0005-0000-0000-000022E70000}"/>
    <cellStyle name="SAPBEXresExc2 2" xfId="59227" xr:uid="{00000000-0005-0000-0000-000023E70000}"/>
    <cellStyle name="SAPBEXresExc2 2 2" xfId="59228" xr:uid="{00000000-0005-0000-0000-000024E70000}"/>
    <cellStyle name="SAPBEXresExc2 3" xfId="59229" xr:uid="{00000000-0005-0000-0000-000025E70000}"/>
    <cellStyle name="SAPBEXresExc2Emph" xfId="59230" xr:uid="{00000000-0005-0000-0000-000026E70000}"/>
    <cellStyle name="SAPBEXresExc2Emph 2" xfId="59231" xr:uid="{00000000-0005-0000-0000-000027E70000}"/>
    <cellStyle name="SAPBEXresExc2Emph 2 2" xfId="59232" xr:uid="{00000000-0005-0000-0000-000028E70000}"/>
    <cellStyle name="SAPBEXresExc2Emph 3" xfId="59233" xr:uid="{00000000-0005-0000-0000-000029E70000}"/>
    <cellStyle name="SAPBEXresItem" xfId="59234" xr:uid="{00000000-0005-0000-0000-00002AE70000}"/>
    <cellStyle name="SAPBEXresItem 10" xfId="59235" xr:uid="{00000000-0005-0000-0000-00002BE70000}"/>
    <cellStyle name="SAPBEXresItem 10 2" xfId="59236" xr:uid="{00000000-0005-0000-0000-00002CE70000}"/>
    <cellStyle name="SAPBEXresItem 11" xfId="59237" xr:uid="{00000000-0005-0000-0000-00002DE70000}"/>
    <cellStyle name="SAPBEXresItem 12" xfId="59238" xr:uid="{00000000-0005-0000-0000-00002EE70000}"/>
    <cellStyle name="SAPBEXresItem 2" xfId="59239" xr:uid="{00000000-0005-0000-0000-00002FE70000}"/>
    <cellStyle name="SAPBEXresItem 2 10" xfId="59240" xr:uid="{00000000-0005-0000-0000-000030E70000}"/>
    <cellStyle name="SAPBEXresItem 2 11" xfId="59241" xr:uid="{00000000-0005-0000-0000-000031E70000}"/>
    <cellStyle name="SAPBEXresItem 2 2" xfId="59242" xr:uid="{00000000-0005-0000-0000-000032E70000}"/>
    <cellStyle name="SAPBEXresItem 2 2 2" xfId="59243" xr:uid="{00000000-0005-0000-0000-000033E70000}"/>
    <cellStyle name="SAPBEXresItem 2 2 2 2" xfId="59244" xr:uid="{00000000-0005-0000-0000-000034E70000}"/>
    <cellStyle name="SAPBEXresItem 2 2 2 2 2" xfId="59245" xr:uid="{00000000-0005-0000-0000-000035E70000}"/>
    <cellStyle name="SAPBEXresItem 2 2 2 3" xfId="59246" xr:uid="{00000000-0005-0000-0000-000036E70000}"/>
    <cellStyle name="SAPBEXresItem 2 2 2 3 2" xfId="59247" xr:uid="{00000000-0005-0000-0000-000037E70000}"/>
    <cellStyle name="SAPBEXresItem 2 2 2 4" xfId="59248" xr:uid="{00000000-0005-0000-0000-000038E70000}"/>
    <cellStyle name="SAPBEXresItem 2 2 3" xfId="59249" xr:uid="{00000000-0005-0000-0000-000039E70000}"/>
    <cellStyle name="SAPBEXresItem 2 2 3 2" xfId="59250" xr:uid="{00000000-0005-0000-0000-00003AE70000}"/>
    <cellStyle name="SAPBEXresItem 2 2 3 2 2" xfId="59251" xr:uid="{00000000-0005-0000-0000-00003BE70000}"/>
    <cellStyle name="SAPBEXresItem 2 2 3 3" xfId="59252" xr:uid="{00000000-0005-0000-0000-00003CE70000}"/>
    <cellStyle name="SAPBEXresItem 2 2 3 3 2" xfId="59253" xr:uid="{00000000-0005-0000-0000-00003DE70000}"/>
    <cellStyle name="SAPBEXresItem 2 2 3 4" xfId="59254" xr:uid="{00000000-0005-0000-0000-00003EE70000}"/>
    <cellStyle name="SAPBEXresItem 2 2 4" xfId="59255" xr:uid="{00000000-0005-0000-0000-00003FE70000}"/>
    <cellStyle name="SAPBEXresItem 2 2 4 2" xfId="59256" xr:uid="{00000000-0005-0000-0000-000040E70000}"/>
    <cellStyle name="SAPBEXresItem 2 2 4 2 2" xfId="59257" xr:uid="{00000000-0005-0000-0000-000041E70000}"/>
    <cellStyle name="SAPBEXresItem 2 2 4 3" xfId="59258" xr:uid="{00000000-0005-0000-0000-000042E70000}"/>
    <cellStyle name="SAPBEXresItem 2 2 4 3 2" xfId="59259" xr:uid="{00000000-0005-0000-0000-000043E70000}"/>
    <cellStyle name="SAPBEXresItem 2 2 4 4" xfId="59260" xr:uid="{00000000-0005-0000-0000-000044E70000}"/>
    <cellStyle name="SAPBEXresItem 2 2 5" xfId="59261" xr:uid="{00000000-0005-0000-0000-000045E70000}"/>
    <cellStyle name="SAPBEXresItem 2 2 5 2" xfId="59262" xr:uid="{00000000-0005-0000-0000-000046E70000}"/>
    <cellStyle name="SAPBEXresItem 2 2 6" xfId="59263" xr:uid="{00000000-0005-0000-0000-000047E70000}"/>
    <cellStyle name="SAPBEXresItem 2 2 6 2" xfId="59264" xr:uid="{00000000-0005-0000-0000-000048E70000}"/>
    <cellStyle name="SAPBEXresItem 2 2 7" xfId="59265" xr:uid="{00000000-0005-0000-0000-000049E70000}"/>
    <cellStyle name="SAPBEXresItem 2 3" xfId="59266" xr:uid="{00000000-0005-0000-0000-00004AE70000}"/>
    <cellStyle name="SAPBEXresItem 2 3 2" xfId="59267" xr:uid="{00000000-0005-0000-0000-00004BE70000}"/>
    <cellStyle name="SAPBEXresItem 2 3 2 2" xfId="59268" xr:uid="{00000000-0005-0000-0000-00004CE70000}"/>
    <cellStyle name="SAPBEXresItem 2 3 3" xfId="59269" xr:uid="{00000000-0005-0000-0000-00004DE70000}"/>
    <cellStyle name="SAPBEXresItem 2 3 3 2" xfId="59270" xr:uid="{00000000-0005-0000-0000-00004EE70000}"/>
    <cellStyle name="SAPBEXresItem 2 3 4" xfId="59271" xr:uid="{00000000-0005-0000-0000-00004FE70000}"/>
    <cellStyle name="SAPBEXresItem 2 4" xfId="59272" xr:uid="{00000000-0005-0000-0000-000050E70000}"/>
    <cellStyle name="SAPBEXresItem 2 4 2" xfId="59273" xr:uid="{00000000-0005-0000-0000-000051E70000}"/>
    <cellStyle name="SAPBEXresItem 2 4 2 2" xfId="59274" xr:uid="{00000000-0005-0000-0000-000052E70000}"/>
    <cellStyle name="SAPBEXresItem 2 4 3" xfId="59275" xr:uid="{00000000-0005-0000-0000-000053E70000}"/>
    <cellStyle name="SAPBEXresItem 2 4 3 2" xfId="59276" xr:uid="{00000000-0005-0000-0000-000054E70000}"/>
    <cellStyle name="SAPBEXresItem 2 4 4" xfId="59277" xr:uid="{00000000-0005-0000-0000-000055E70000}"/>
    <cellStyle name="SAPBEXresItem 2 5" xfId="59278" xr:uid="{00000000-0005-0000-0000-000056E70000}"/>
    <cellStyle name="SAPBEXresItem 2 5 2" xfId="59279" xr:uid="{00000000-0005-0000-0000-000057E70000}"/>
    <cellStyle name="SAPBEXresItem 2 5 2 2" xfId="59280" xr:uid="{00000000-0005-0000-0000-000058E70000}"/>
    <cellStyle name="SAPBEXresItem 2 5 3" xfId="59281" xr:uid="{00000000-0005-0000-0000-000059E70000}"/>
    <cellStyle name="SAPBEXresItem 2 5 3 2" xfId="59282" xr:uid="{00000000-0005-0000-0000-00005AE70000}"/>
    <cellStyle name="SAPBEXresItem 2 5 4" xfId="59283" xr:uid="{00000000-0005-0000-0000-00005BE70000}"/>
    <cellStyle name="SAPBEXresItem 2 6" xfId="59284" xr:uid="{00000000-0005-0000-0000-00005CE70000}"/>
    <cellStyle name="SAPBEXresItem 2 6 2" xfId="59285" xr:uid="{00000000-0005-0000-0000-00005DE70000}"/>
    <cellStyle name="SAPBEXresItem 2 7" xfId="59286" xr:uid="{00000000-0005-0000-0000-00005EE70000}"/>
    <cellStyle name="SAPBEXresItem 2 7 2" xfId="59287" xr:uid="{00000000-0005-0000-0000-00005FE70000}"/>
    <cellStyle name="SAPBEXresItem 2 8" xfId="59288" xr:uid="{00000000-0005-0000-0000-000060E70000}"/>
    <cellStyle name="SAPBEXresItem 2 8 2" xfId="59289" xr:uid="{00000000-0005-0000-0000-000061E70000}"/>
    <cellStyle name="SAPBEXresItem 2 9" xfId="59290" xr:uid="{00000000-0005-0000-0000-000062E70000}"/>
    <cellStyle name="SAPBEXresItem 3" xfId="59291" xr:uid="{00000000-0005-0000-0000-000063E70000}"/>
    <cellStyle name="SAPBEXresItem 3 2" xfId="59292" xr:uid="{00000000-0005-0000-0000-000064E70000}"/>
    <cellStyle name="SAPBEXresItem 3 2 2" xfId="59293" xr:uid="{00000000-0005-0000-0000-000065E70000}"/>
    <cellStyle name="SAPBEXresItem 3 2 2 2" xfId="59294" xr:uid="{00000000-0005-0000-0000-000066E70000}"/>
    <cellStyle name="SAPBEXresItem 3 2 2 2 2" xfId="59295" xr:uid="{00000000-0005-0000-0000-000067E70000}"/>
    <cellStyle name="SAPBEXresItem 3 2 2 3" xfId="59296" xr:uid="{00000000-0005-0000-0000-000068E70000}"/>
    <cellStyle name="SAPBEXresItem 3 2 2 3 2" xfId="59297" xr:uid="{00000000-0005-0000-0000-000069E70000}"/>
    <cellStyle name="SAPBEXresItem 3 2 2 4" xfId="59298" xr:uid="{00000000-0005-0000-0000-00006AE70000}"/>
    <cellStyle name="SAPBEXresItem 3 2 3" xfId="59299" xr:uid="{00000000-0005-0000-0000-00006BE70000}"/>
    <cellStyle name="SAPBEXresItem 3 2 3 2" xfId="59300" xr:uid="{00000000-0005-0000-0000-00006CE70000}"/>
    <cellStyle name="SAPBEXresItem 3 2 3 2 2" xfId="59301" xr:uid="{00000000-0005-0000-0000-00006DE70000}"/>
    <cellStyle name="SAPBEXresItem 3 2 3 3" xfId="59302" xr:uid="{00000000-0005-0000-0000-00006EE70000}"/>
    <cellStyle name="SAPBEXresItem 3 2 3 3 2" xfId="59303" xr:uid="{00000000-0005-0000-0000-00006FE70000}"/>
    <cellStyle name="SAPBEXresItem 3 2 3 4" xfId="59304" xr:uid="{00000000-0005-0000-0000-000070E70000}"/>
    <cellStyle name="SAPBEXresItem 3 2 4" xfId="59305" xr:uid="{00000000-0005-0000-0000-000071E70000}"/>
    <cellStyle name="SAPBEXresItem 3 2 4 2" xfId="59306" xr:uid="{00000000-0005-0000-0000-000072E70000}"/>
    <cellStyle name="SAPBEXresItem 3 2 5" xfId="59307" xr:uid="{00000000-0005-0000-0000-000073E70000}"/>
    <cellStyle name="SAPBEXresItem 3 2 5 2" xfId="59308" xr:uid="{00000000-0005-0000-0000-000074E70000}"/>
    <cellStyle name="SAPBEXresItem 3 2 6" xfId="59309" xr:uid="{00000000-0005-0000-0000-000075E70000}"/>
    <cellStyle name="SAPBEXresItem 3 3" xfId="59310" xr:uid="{00000000-0005-0000-0000-000076E70000}"/>
    <cellStyle name="SAPBEXresItem 3 3 2" xfId="59311" xr:uid="{00000000-0005-0000-0000-000077E70000}"/>
    <cellStyle name="SAPBEXresItem 3 3 2 2" xfId="59312" xr:uid="{00000000-0005-0000-0000-000078E70000}"/>
    <cellStyle name="SAPBEXresItem 3 3 3" xfId="59313" xr:uid="{00000000-0005-0000-0000-000079E70000}"/>
    <cellStyle name="SAPBEXresItem 3 3 3 2" xfId="59314" xr:uid="{00000000-0005-0000-0000-00007AE70000}"/>
    <cellStyle name="SAPBEXresItem 3 3 4" xfId="59315" xr:uid="{00000000-0005-0000-0000-00007BE70000}"/>
    <cellStyle name="SAPBEXresItem 3 4" xfId="59316" xr:uid="{00000000-0005-0000-0000-00007CE70000}"/>
    <cellStyle name="SAPBEXresItem 3 4 2" xfId="59317" xr:uid="{00000000-0005-0000-0000-00007DE70000}"/>
    <cellStyle name="SAPBEXresItem 3 4 2 2" xfId="59318" xr:uid="{00000000-0005-0000-0000-00007EE70000}"/>
    <cellStyle name="SAPBEXresItem 3 4 3" xfId="59319" xr:uid="{00000000-0005-0000-0000-00007FE70000}"/>
    <cellStyle name="SAPBEXresItem 3 4 3 2" xfId="59320" xr:uid="{00000000-0005-0000-0000-000080E70000}"/>
    <cellStyle name="SAPBEXresItem 3 4 4" xfId="59321" xr:uid="{00000000-0005-0000-0000-000081E70000}"/>
    <cellStyle name="SAPBEXresItem 3 5" xfId="59322" xr:uid="{00000000-0005-0000-0000-000082E70000}"/>
    <cellStyle name="SAPBEXresItem 3 5 2" xfId="59323" xr:uid="{00000000-0005-0000-0000-000083E70000}"/>
    <cellStyle name="SAPBEXresItem 3 5 2 2" xfId="59324" xr:uid="{00000000-0005-0000-0000-000084E70000}"/>
    <cellStyle name="SAPBEXresItem 3 5 3" xfId="59325" xr:uid="{00000000-0005-0000-0000-000085E70000}"/>
    <cellStyle name="SAPBEXresItem 3 5 3 2" xfId="59326" xr:uid="{00000000-0005-0000-0000-000086E70000}"/>
    <cellStyle name="SAPBEXresItem 3 5 4" xfId="59327" xr:uid="{00000000-0005-0000-0000-000087E70000}"/>
    <cellStyle name="SAPBEXresItem 3 6" xfId="59328" xr:uid="{00000000-0005-0000-0000-000088E70000}"/>
    <cellStyle name="SAPBEXresItem 3 6 2" xfId="59329" xr:uid="{00000000-0005-0000-0000-000089E70000}"/>
    <cellStyle name="SAPBEXresItem 3 7" xfId="59330" xr:uid="{00000000-0005-0000-0000-00008AE70000}"/>
    <cellStyle name="SAPBEXresItem 3 7 2" xfId="59331" xr:uid="{00000000-0005-0000-0000-00008BE70000}"/>
    <cellStyle name="SAPBEXresItem 3 8" xfId="59332" xr:uid="{00000000-0005-0000-0000-00008CE70000}"/>
    <cellStyle name="SAPBEXresItem 3 9" xfId="59333" xr:uid="{00000000-0005-0000-0000-00008DE70000}"/>
    <cellStyle name="SAPBEXresItem 4" xfId="59334" xr:uid="{00000000-0005-0000-0000-00008EE70000}"/>
    <cellStyle name="SAPBEXresItem 4 2" xfId="59335" xr:uid="{00000000-0005-0000-0000-00008FE70000}"/>
    <cellStyle name="SAPBEXresItem 4 2 2" xfId="59336" xr:uid="{00000000-0005-0000-0000-000090E70000}"/>
    <cellStyle name="SAPBEXresItem 4 2 2 2" xfId="59337" xr:uid="{00000000-0005-0000-0000-000091E70000}"/>
    <cellStyle name="SAPBEXresItem 4 2 2 2 2" xfId="59338" xr:uid="{00000000-0005-0000-0000-000092E70000}"/>
    <cellStyle name="SAPBEXresItem 4 2 2 3" xfId="59339" xr:uid="{00000000-0005-0000-0000-000093E70000}"/>
    <cellStyle name="SAPBEXresItem 4 2 2 3 2" xfId="59340" xr:uid="{00000000-0005-0000-0000-000094E70000}"/>
    <cellStyle name="SAPBEXresItem 4 2 2 4" xfId="59341" xr:uid="{00000000-0005-0000-0000-000095E70000}"/>
    <cellStyle name="SAPBEXresItem 4 2 3" xfId="59342" xr:uid="{00000000-0005-0000-0000-000096E70000}"/>
    <cellStyle name="SAPBEXresItem 4 2 3 2" xfId="59343" xr:uid="{00000000-0005-0000-0000-000097E70000}"/>
    <cellStyle name="SAPBEXresItem 4 2 3 2 2" xfId="59344" xr:uid="{00000000-0005-0000-0000-000098E70000}"/>
    <cellStyle name="SAPBEXresItem 4 2 3 3" xfId="59345" xr:uid="{00000000-0005-0000-0000-000099E70000}"/>
    <cellStyle name="SAPBEXresItem 4 2 3 3 2" xfId="59346" xr:uid="{00000000-0005-0000-0000-00009AE70000}"/>
    <cellStyle name="SAPBEXresItem 4 2 3 4" xfId="59347" xr:uid="{00000000-0005-0000-0000-00009BE70000}"/>
    <cellStyle name="SAPBEXresItem 4 2 4" xfId="59348" xr:uid="{00000000-0005-0000-0000-00009CE70000}"/>
    <cellStyle name="SAPBEXresItem 4 2 4 2" xfId="59349" xr:uid="{00000000-0005-0000-0000-00009DE70000}"/>
    <cellStyle name="SAPBEXresItem 4 2 5" xfId="59350" xr:uid="{00000000-0005-0000-0000-00009EE70000}"/>
    <cellStyle name="SAPBEXresItem 4 2 5 2" xfId="59351" xr:uid="{00000000-0005-0000-0000-00009FE70000}"/>
    <cellStyle name="SAPBEXresItem 4 2 6" xfId="59352" xr:uid="{00000000-0005-0000-0000-0000A0E70000}"/>
    <cellStyle name="SAPBEXresItem 4 3" xfId="59353" xr:uid="{00000000-0005-0000-0000-0000A1E70000}"/>
    <cellStyle name="SAPBEXresItem 4 3 2" xfId="59354" xr:uid="{00000000-0005-0000-0000-0000A2E70000}"/>
    <cellStyle name="SAPBEXresItem 4 3 2 2" xfId="59355" xr:uid="{00000000-0005-0000-0000-0000A3E70000}"/>
    <cellStyle name="SAPBEXresItem 4 3 3" xfId="59356" xr:uid="{00000000-0005-0000-0000-0000A4E70000}"/>
    <cellStyle name="SAPBEXresItem 4 3 3 2" xfId="59357" xr:uid="{00000000-0005-0000-0000-0000A5E70000}"/>
    <cellStyle name="SAPBEXresItem 4 3 4" xfId="59358" xr:uid="{00000000-0005-0000-0000-0000A6E70000}"/>
    <cellStyle name="SAPBEXresItem 4 4" xfId="59359" xr:uid="{00000000-0005-0000-0000-0000A7E70000}"/>
    <cellStyle name="SAPBEXresItem 4 4 2" xfId="59360" xr:uid="{00000000-0005-0000-0000-0000A8E70000}"/>
    <cellStyle name="SAPBEXresItem 4 4 2 2" xfId="59361" xr:uid="{00000000-0005-0000-0000-0000A9E70000}"/>
    <cellStyle name="SAPBEXresItem 4 4 3" xfId="59362" xr:uid="{00000000-0005-0000-0000-0000AAE70000}"/>
    <cellStyle name="SAPBEXresItem 4 4 3 2" xfId="59363" xr:uid="{00000000-0005-0000-0000-0000ABE70000}"/>
    <cellStyle name="SAPBEXresItem 4 4 4" xfId="59364" xr:uid="{00000000-0005-0000-0000-0000ACE70000}"/>
    <cellStyle name="SAPBEXresItem 4 5" xfId="59365" xr:uid="{00000000-0005-0000-0000-0000ADE70000}"/>
    <cellStyle name="SAPBEXresItem 4 5 2" xfId="59366" xr:uid="{00000000-0005-0000-0000-0000AEE70000}"/>
    <cellStyle name="SAPBEXresItem 4 6" xfId="59367" xr:uid="{00000000-0005-0000-0000-0000AFE70000}"/>
    <cellStyle name="SAPBEXresItem 4 6 2" xfId="59368" xr:uid="{00000000-0005-0000-0000-0000B0E70000}"/>
    <cellStyle name="SAPBEXresItem 4 7" xfId="59369" xr:uid="{00000000-0005-0000-0000-0000B1E70000}"/>
    <cellStyle name="SAPBEXresItem 4 8" xfId="59370" xr:uid="{00000000-0005-0000-0000-0000B2E70000}"/>
    <cellStyle name="SAPBEXresItem 5" xfId="59371" xr:uid="{00000000-0005-0000-0000-0000B3E70000}"/>
    <cellStyle name="SAPBEXresItem 5 2" xfId="59372" xr:uid="{00000000-0005-0000-0000-0000B4E70000}"/>
    <cellStyle name="SAPBEXresItem 5 2 2" xfId="59373" xr:uid="{00000000-0005-0000-0000-0000B5E70000}"/>
    <cellStyle name="SAPBEXresItem 5 3" xfId="59374" xr:uid="{00000000-0005-0000-0000-0000B6E70000}"/>
    <cellStyle name="SAPBEXresItem 5 3 2" xfId="59375" xr:uid="{00000000-0005-0000-0000-0000B7E70000}"/>
    <cellStyle name="SAPBEXresItem 5 4" xfId="59376" xr:uid="{00000000-0005-0000-0000-0000B8E70000}"/>
    <cellStyle name="SAPBEXresItem 6" xfId="59377" xr:uid="{00000000-0005-0000-0000-0000B9E70000}"/>
    <cellStyle name="SAPBEXresItem 6 2" xfId="59378" xr:uid="{00000000-0005-0000-0000-0000BAE70000}"/>
    <cellStyle name="SAPBEXresItem 6 2 2" xfId="59379" xr:uid="{00000000-0005-0000-0000-0000BBE70000}"/>
    <cellStyle name="SAPBEXresItem 6 3" xfId="59380" xr:uid="{00000000-0005-0000-0000-0000BCE70000}"/>
    <cellStyle name="SAPBEXresItem 6 3 2" xfId="59381" xr:uid="{00000000-0005-0000-0000-0000BDE70000}"/>
    <cellStyle name="SAPBEXresItem 6 4" xfId="59382" xr:uid="{00000000-0005-0000-0000-0000BEE70000}"/>
    <cellStyle name="SAPBEXresItem 7" xfId="59383" xr:uid="{00000000-0005-0000-0000-0000BFE70000}"/>
    <cellStyle name="SAPBEXresItem 7 2" xfId="59384" xr:uid="{00000000-0005-0000-0000-0000C0E70000}"/>
    <cellStyle name="SAPBEXresItem 7 2 2" xfId="59385" xr:uid="{00000000-0005-0000-0000-0000C1E70000}"/>
    <cellStyle name="SAPBEXresItem 7 3" xfId="59386" xr:uid="{00000000-0005-0000-0000-0000C2E70000}"/>
    <cellStyle name="SAPBEXresItem 7 3 2" xfId="59387" xr:uid="{00000000-0005-0000-0000-0000C3E70000}"/>
    <cellStyle name="SAPBEXresItem 7 4" xfId="59388" xr:uid="{00000000-0005-0000-0000-0000C4E70000}"/>
    <cellStyle name="SAPBEXresItem 8" xfId="59389" xr:uid="{00000000-0005-0000-0000-0000C5E70000}"/>
    <cellStyle name="SAPBEXresItem 8 2" xfId="59390" xr:uid="{00000000-0005-0000-0000-0000C6E70000}"/>
    <cellStyle name="SAPBEXresItem 9" xfId="59391" xr:uid="{00000000-0005-0000-0000-0000C7E70000}"/>
    <cellStyle name="SAPBEXresItem 9 2" xfId="59392" xr:uid="{00000000-0005-0000-0000-0000C8E70000}"/>
    <cellStyle name="SAPBEXresItemX" xfId="59393" xr:uid="{00000000-0005-0000-0000-0000C9E70000}"/>
    <cellStyle name="SAPBEXresItemX 10" xfId="59394" xr:uid="{00000000-0005-0000-0000-0000CAE70000}"/>
    <cellStyle name="SAPBEXresItemX 10 2" xfId="59395" xr:uid="{00000000-0005-0000-0000-0000CBE70000}"/>
    <cellStyle name="SAPBEXresItemX 11" xfId="59396" xr:uid="{00000000-0005-0000-0000-0000CCE70000}"/>
    <cellStyle name="SAPBEXresItemX 11 2" xfId="59397" xr:uid="{00000000-0005-0000-0000-0000CDE70000}"/>
    <cellStyle name="SAPBEXresItemX 12" xfId="59398" xr:uid="{00000000-0005-0000-0000-0000CEE70000}"/>
    <cellStyle name="SAPBEXresItemX 12 2" xfId="59399" xr:uid="{00000000-0005-0000-0000-0000CFE70000}"/>
    <cellStyle name="SAPBEXresItemX 13" xfId="59400" xr:uid="{00000000-0005-0000-0000-0000D0E70000}"/>
    <cellStyle name="SAPBEXresItemX 14" xfId="59401" xr:uid="{00000000-0005-0000-0000-0000D1E70000}"/>
    <cellStyle name="SAPBEXresItemX 15" xfId="59402" xr:uid="{00000000-0005-0000-0000-0000D2E70000}"/>
    <cellStyle name="SAPBEXresItemX 2" xfId="59403" xr:uid="{00000000-0005-0000-0000-0000D3E70000}"/>
    <cellStyle name="SAPBEXresItemX 2 10" xfId="59404" xr:uid="{00000000-0005-0000-0000-0000D4E70000}"/>
    <cellStyle name="SAPBEXresItemX 2 11" xfId="59405" xr:uid="{00000000-0005-0000-0000-0000D5E70000}"/>
    <cellStyle name="SAPBEXresItemX 2 12" xfId="59406" xr:uid="{00000000-0005-0000-0000-0000D6E70000}"/>
    <cellStyle name="SAPBEXresItemX 2 13" xfId="59407" xr:uid="{00000000-0005-0000-0000-0000D7E70000}"/>
    <cellStyle name="SAPBEXresItemX 2 2" xfId="59408" xr:uid="{00000000-0005-0000-0000-0000D8E70000}"/>
    <cellStyle name="SAPBEXresItemX 2 2 10" xfId="59409" xr:uid="{00000000-0005-0000-0000-0000D9E70000}"/>
    <cellStyle name="SAPBEXresItemX 2 2 2" xfId="59410" xr:uid="{00000000-0005-0000-0000-0000DAE70000}"/>
    <cellStyle name="SAPBEXresItemX 2 2 2 2" xfId="59411" xr:uid="{00000000-0005-0000-0000-0000DBE70000}"/>
    <cellStyle name="SAPBEXresItemX 2 2 2 2 2" xfId="59412" xr:uid="{00000000-0005-0000-0000-0000DCE70000}"/>
    <cellStyle name="SAPBEXresItemX 2 2 2 3" xfId="59413" xr:uid="{00000000-0005-0000-0000-0000DDE70000}"/>
    <cellStyle name="SAPBEXresItemX 2 2 2 3 2" xfId="59414" xr:uid="{00000000-0005-0000-0000-0000DEE70000}"/>
    <cellStyle name="SAPBEXresItemX 2 2 2 4" xfId="59415" xr:uid="{00000000-0005-0000-0000-0000DFE70000}"/>
    <cellStyle name="SAPBEXresItemX 2 2 2 4 2" xfId="59416" xr:uid="{00000000-0005-0000-0000-0000E0E70000}"/>
    <cellStyle name="SAPBEXresItemX 2 2 2 5" xfId="59417" xr:uid="{00000000-0005-0000-0000-0000E1E70000}"/>
    <cellStyle name="SAPBEXresItemX 2 2 2 6" xfId="59418" xr:uid="{00000000-0005-0000-0000-0000E2E70000}"/>
    <cellStyle name="SAPBEXresItemX 2 2 2 7" xfId="59419" xr:uid="{00000000-0005-0000-0000-0000E3E70000}"/>
    <cellStyle name="SAPBEXresItemX 2 2 3" xfId="59420" xr:uid="{00000000-0005-0000-0000-0000E4E70000}"/>
    <cellStyle name="SAPBEXresItemX 2 2 3 2" xfId="59421" xr:uid="{00000000-0005-0000-0000-0000E5E70000}"/>
    <cellStyle name="SAPBEXresItemX 2 2 3 2 2" xfId="59422" xr:uid="{00000000-0005-0000-0000-0000E6E70000}"/>
    <cellStyle name="SAPBEXresItemX 2 2 3 3" xfId="59423" xr:uid="{00000000-0005-0000-0000-0000E7E70000}"/>
    <cellStyle name="SAPBEXresItemX 2 2 3 3 2" xfId="59424" xr:uid="{00000000-0005-0000-0000-0000E8E70000}"/>
    <cellStyle name="SAPBEXresItemX 2 2 3 4" xfId="59425" xr:uid="{00000000-0005-0000-0000-0000E9E70000}"/>
    <cellStyle name="SAPBEXresItemX 2 2 4" xfId="59426" xr:uid="{00000000-0005-0000-0000-0000EAE70000}"/>
    <cellStyle name="SAPBEXresItemX 2 2 4 2" xfId="59427" xr:uid="{00000000-0005-0000-0000-0000EBE70000}"/>
    <cellStyle name="SAPBEXresItemX 2 2 4 2 2" xfId="59428" xr:uid="{00000000-0005-0000-0000-0000ECE70000}"/>
    <cellStyle name="SAPBEXresItemX 2 2 4 3" xfId="59429" xr:uid="{00000000-0005-0000-0000-0000EDE70000}"/>
    <cellStyle name="SAPBEXresItemX 2 2 4 3 2" xfId="59430" xr:uid="{00000000-0005-0000-0000-0000EEE70000}"/>
    <cellStyle name="SAPBEXresItemX 2 2 4 4" xfId="59431" xr:uid="{00000000-0005-0000-0000-0000EFE70000}"/>
    <cellStyle name="SAPBEXresItemX 2 2 5" xfId="59432" xr:uid="{00000000-0005-0000-0000-0000F0E70000}"/>
    <cellStyle name="SAPBEXresItemX 2 2 5 2" xfId="59433" xr:uid="{00000000-0005-0000-0000-0000F1E70000}"/>
    <cellStyle name="SAPBEXresItemX 2 2 6" xfId="59434" xr:uid="{00000000-0005-0000-0000-0000F2E70000}"/>
    <cellStyle name="SAPBEXresItemX 2 2 6 2" xfId="59435" xr:uid="{00000000-0005-0000-0000-0000F3E70000}"/>
    <cellStyle name="SAPBEXresItemX 2 2 7" xfId="59436" xr:uid="{00000000-0005-0000-0000-0000F4E70000}"/>
    <cellStyle name="SAPBEXresItemX 2 2 7 2" xfId="59437" xr:uid="{00000000-0005-0000-0000-0000F5E70000}"/>
    <cellStyle name="SAPBEXresItemX 2 2 8" xfId="59438" xr:uid="{00000000-0005-0000-0000-0000F6E70000}"/>
    <cellStyle name="SAPBEXresItemX 2 2 9" xfId="59439" xr:uid="{00000000-0005-0000-0000-0000F7E70000}"/>
    <cellStyle name="SAPBEXresItemX 2 3" xfId="59440" xr:uid="{00000000-0005-0000-0000-0000F8E70000}"/>
    <cellStyle name="SAPBEXresItemX 2 3 2" xfId="59441" xr:uid="{00000000-0005-0000-0000-0000F9E70000}"/>
    <cellStyle name="SAPBEXresItemX 2 3 2 2" xfId="59442" xr:uid="{00000000-0005-0000-0000-0000FAE70000}"/>
    <cellStyle name="SAPBEXresItemX 2 3 3" xfId="59443" xr:uid="{00000000-0005-0000-0000-0000FBE70000}"/>
    <cellStyle name="SAPBEXresItemX 2 3 3 2" xfId="59444" xr:uid="{00000000-0005-0000-0000-0000FCE70000}"/>
    <cellStyle name="SAPBEXresItemX 2 3 4" xfId="59445" xr:uid="{00000000-0005-0000-0000-0000FDE70000}"/>
    <cellStyle name="SAPBEXresItemX 2 3 4 2" xfId="59446" xr:uid="{00000000-0005-0000-0000-0000FEE70000}"/>
    <cellStyle name="SAPBEXresItemX 2 3 5" xfId="59447" xr:uid="{00000000-0005-0000-0000-0000FFE70000}"/>
    <cellStyle name="SAPBEXresItemX 2 3 6" xfId="59448" xr:uid="{00000000-0005-0000-0000-000000E80000}"/>
    <cellStyle name="SAPBEXresItemX 2 3 7" xfId="59449" xr:uid="{00000000-0005-0000-0000-000001E80000}"/>
    <cellStyle name="SAPBEXresItemX 2 4" xfId="59450" xr:uid="{00000000-0005-0000-0000-000002E80000}"/>
    <cellStyle name="SAPBEXresItemX 2 4 2" xfId="59451" xr:uid="{00000000-0005-0000-0000-000003E80000}"/>
    <cellStyle name="SAPBEXresItemX 2 4 2 2" xfId="59452" xr:uid="{00000000-0005-0000-0000-000004E80000}"/>
    <cellStyle name="SAPBEXresItemX 2 4 3" xfId="59453" xr:uid="{00000000-0005-0000-0000-000005E80000}"/>
    <cellStyle name="SAPBEXresItemX 2 4 3 2" xfId="59454" xr:uid="{00000000-0005-0000-0000-000006E80000}"/>
    <cellStyle name="SAPBEXresItemX 2 4 4" xfId="59455" xr:uid="{00000000-0005-0000-0000-000007E80000}"/>
    <cellStyle name="SAPBEXresItemX 2 4 4 2" xfId="59456" xr:uid="{00000000-0005-0000-0000-000008E80000}"/>
    <cellStyle name="SAPBEXresItemX 2 4 5" xfId="59457" xr:uid="{00000000-0005-0000-0000-000009E80000}"/>
    <cellStyle name="SAPBEXresItemX 2 5" xfId="59458" xr:uid="{00000000-0005-0000-0000-00000AE80000}"/>
    <cellStyle name="SAPBEXresItemX 2 5 2" xfId="59459" xr:uid="{00000000-0005-0000-0000-00000BE80000}"/>
    <cellStyle name="SAPBEXresItemX 2 5 2 2" xfId="59460" xr:uid="{00000000-0005-0000-0000-00000CE80000}"/>
    <cellStyle name="SAPBEXresItemX 2 5 3" xfId="59461" xr:uid="{00000000-0005-0000-0000-00000DE80000}"/>
    <cellStyle name="SAPBEXresItemX 2 5 3 2" xfId="59462" xr:uid="{00000000-0005-0000-0000-00000EE80000}"/>
    <cellStyle name="SAPBEXresItemX 2 5 4" xfId="59463" xr:uid="{00000000-0005-0000-0000-00000FE80000}"/>
    <cellStyle name="SAPBEXresItemX 2 6" xfId="59464" xr:uid="{00000000-0005-0000-0000-000010E80000}"/>
    <cellStyle name="SAPBEXresItemX 2 6 2" xfId="59465" xr:uid="{00000000-0005-0000-0000-000011E80000}"/>
    <cellStyle name="SAPBEXresItemX 2 7" xfId="59466" xr:uid="{00000000-0005-0000-0000-000012E80000}"/>
    <cellStyle name="SAPBEXresItemX 2 7 2" xfId="59467" xr:uid="{00000000-0005-0000-0000-000013E80000}"/>
    <cellStyle name="SAPBEXresItemX 2 8" xfId="59468" xr:uid="{00000000-0005-0000-0000-000014E80000}"/>
    <cellStyle name="SAPBEXresItemX 2 8 2" xfId="59469" xr:uid="{00000000-0005-0000-0000-000015E80000}"/>
    <cellStyle name="SAPBEXresItemX 2 9" xfId="59470" xr:uid="{00000000-0005-0000-0000-000016E80000}"/>
    <cellStyle name="SAPBEXresItemX 2 9 2" xfId="59471" xr:uid="{00000000-0005-0000-0000-000017E80000}"/>
    <cellStyle name="SAPBEXresItemX 3" xfId="59472" xr:uid="{00000000-0005-0000-0000-000018E80000}"/>
    <cellStyle name="SAPBEXresItemX 3 10" xfId="59473" xr:uid="{00000000-0005-0000-0000-000019E80000}"/>
    <cellStyle name="SAPBEXresItemX 3 2" xfId="59474" xr:uid="{00000000-0005-0000-0000-00001AE80000}"/>
    <cellStyle name="SAPBEXresItemX 3 2 2" xfId="59475" xr:uid="{00000000-0005-0000-0000-00001BE80000}"/>
    <cellStyle name="SAPBEXresItemX 3 2 2 2" xfId="59476" xr:uid="{00000000-0005-0000-0000-00001CE80000}"/>
    <cellStyle name="SAPBEXresItemX 3 2 2 2 2" xfId="59477" xr:uid="{00000000-0005-0000-0000-00001DE80000}"/>
    <cellStyle name="SAPBEXresItemX 3 2 2 3" xfId="59478" xr:uid="{00000000-0005-0000-0000-00001EE80000}"/>
    <cellStyle name="SAPBEXresItemX 3 2 2 3 2" xfId="59479" xr:uid="{00000000-0005-0000-0000-00001FE80000}"/>
    <cellStyle name="SAPBEXresItemX 3 2 2 4" xfId="59480" xr:uid="{00000000-0005-0000-0000-000020E80000}"/>
    <cellStyle name="SAPBEXresItemX 3 2 3" xfId="59481" xr:uid="{00000000-0005-0000-0000-000021E80000}"/>
    <cellStyle name="SAPBEXresItemX 3 2 3 2" xfId="59482" xr:uid="{00000000-0005-0000-0000-000022E80000}"/>
    <cellStyle name="SAPBEXresItemX 3 2 3 2 2" xfId="59483" xr:uid="{00000000-0005-0000-0000-000023E80000}"/>
    <cellStyle name="SAPBEXresItemX 3 2 3 3" xfId="59484" xr:uid="{00000000-0005-0000-0000-000024E80000}"/>
    <cellStyle name="SAPBEXresItemX 3 2 3 3 2" xfId="59485" xr:uid="{00000000-0005-0000-0000-000025E80000}"/>
    <cellStyle name="SAPBEXresItemX 3 2 3 4" xfId="59486" xr:uid="{00000000-0005-0000-0000-000026E80000}"/>
    <cellStyle name="SAPBEXresItemX 3 2 4" xfId="59487" xr:uid="{00000000-0005-0000-0000-000027E80000}"/>
    <cellStyle name="SAPBEXresItemX 3 2 4 2" xfId="59488" xr:uid="{00000000-0005-0000-0000-000028E80000}"/>
    <cellStyle name="SAPBEXresItemX 3 2 5" xfId="59489" xr:uid="{00000000-0005-0000-0000-000029E80000}"/>
    <cellStyle name="SAPBEXresItemX 3 2 5 2" xfId="59490" xr:uid="{00000000-0005-0000-0000-00002AE80000}"/>
    <cellStyle name="SAPBEXresItemX 3 2 6" xfId="59491" xr:uid="{00000000-0005-0000-0000-00002BE80000}"/>
    <cellStyle name="SAPBEXresItemX 3 2 6 2" xfId="59492" xr:uid="{00000000-0005-0000-0000-00002CE80000}"/>
    <cellStyle name="SAPBEXresItemX 3 2 7" xfId="59493" xr:uid="{00000000-0005-0000-0000-00002DE80000}"/>
    <cellStyle name="SAPBEXresItemX 3 2 8" xfId="59494" xr:uid="{00000000-0005-0000-0000-00002EE80000}"/>
    <cellStyle name="SAPBEXresItemX 3 2 9" xfId="59495" xr:uid="{00000000-0005-0000-0000-00002FE80000}"/>
    <cellStyle name="SAPBEXresItemX 3 3" xfId="59496" xr:uid="{00000000-0005-0000-0000-000030E80000}"/>
    <cellStyle name="SAPBEXresItemX 3 3 2" xfId="59497" xr:uid="{00000000-0005-0000-0000-000031E80000}"/>
    <cellStyle name="SAPBEXresItemX 3 3 2 2" xfId="59498" xr:uid="{00000000-0005-0000-0000-000032E80000}"/>
    <cellStyle name="SAPBEXresItemX 3 3 3" xfId="59499" xr:uid="{00000000-0005-0000-0000-000033E80000}"/>
    <cellStyle name="SAPBEXresItemX 3 3 3 2" xfId="59500" xr:uid="{00000000-0005-0000-0000-000034E80000}"/>
    <cellStyle name="SAPBEXresItemX 3 3 4" xfId="59501" xr:uid="{00000000-0005-0000-0000-000035E80000}"/>
    <cellStyle name="SAPBEXresItemX 3 4" xfId="59502" xr:uid="{00000000-0005-0000-0000-000036E80000}"/>
    <cellStyle name="SAPBEXresItemX 3 4 2" xfId="59503" xr:uid="{00000000-0005-0000-0000-000037E80000}"/>
    <cellStyle name="SAPBEXresItemX 3 4 2 2" xfId="59504" xr:uid="{00000000-0005-0000-0000-000038E80000}"/>
    <cellStyle name="SAPBEXresItemX 3 4 3" xfId="59505" xr:uid="{00000000-0005-0000-0000-000039E80000}"/>
    <cellStyle name="SAPBEXresItemX 3 4 3 2" xfId="59506" xr:uid="{00000000-0005-0000-0000-00003AE80000}"/>
    <cellStyle name="SAPBEXresItemX 3 4 4" xfId="59507" xr:uid="{00000000-0005-0000-0000-00003BE80000}"/>
    <cellStyle name="SAPBEXresItemX 3 5" xfId="59508" xr:uid="{00000000-0005-0000-0000-00003CE80000}"/>
    <cellStyle name="SAPBEXresItemX 3 5 2" xfId="59509" xr:uid="{00000000-0005-0000-0000-00003DE80000}"/>
    <cellStyle name="SAPBEXresItemX 3 5 2 2" xfId="59510" xr:uid="{00000000-0005-0000-0000-00003EE80000}"/>
    <cellStyle name="SAPBEXresItemX 3 5 3" xfId="59511" xr:uid="{00000000-0005-0000-0000-00003FE80000}"/>
    <cellStyle name="SAPBEXresItemX 3 5 3 2" xfId="59512" xr:uid="{00000000-0005-0000-0000-000040E80000}"/>
    <cellStyle name="SAPBEXresItemX 3 5 4" xfId="59513" xr:uid="{00000000-0005-0000-0000-000041E80000}"/>
    <cellStyle name="SAPBEXresItemX 3 6" xfId="59514" xr:uid="{00000000-0005-0000-0000-000042E80000}"/>
    <cellStyle name="SAPBEXresItemX 3 6 2" xfId="59515" xr:uid="{00000000-0005-0000-0000-000043E80000}"/>
    <cellStyle name="SAPBEXresItemX 3 7" xfId="59516" xr:uid="{00000000-0005-0000-0000-000044E80000}"/>
    <cellStyle name="SAPBEXresItemX 3 7 2" xfId="59517" xr:uid="{00000000-0005-0000-0000-000045E80000}"/>
    <cellStyle name="SAPBEXresItemX 3 8" xfId="59518" xr:uid="{00000000-0005-0000-0000-000046E80000}"/>
    <cellStyle name="SAPBEXresItemX 3 8 2" xfId="59519" xr:uid="{00000000-0005-0000-0000-000047E80000}"/>
    <cellStyle name="SAPBEXresItemX 3 9" xfId="59520" xr:uid="{00000000-0005-0000-0000-000048E80000}"/>
    <cellStyle name="SAPBEXresItemX 4" xfId="59521" xr:uid="{00000000-0005-0000-0000-000049E80000}"/>
    <cellStyle name="SAPBEXresItemX 4 10" xfId="59522" xr:uid="{00000000-0005-0000-0000-00004AE80000}"/>
    <cellStyle name="SAPBEXresItemX 4 2" xfId="59523" xr:uid="{00000000-0005-0000-0000-00004BE80000}"/>
    <cellStyle name="SAPBEXresItemX 4 2 2" xfId="59524" xr:uid="{00000000-0005-0000-0000-00004CE80000}"/>
    <cellStyle name="SAPBEXresItemX 4 2 2 2" xfId="59525" xr:uid="{00000000-0005-0000-0000-00004DE80000}"/>
    <cellStyle name="SAPBEXresItemX 4 2 2 2 2" xfId="59526" xr:uid="{00000000-0005-0000-0000-00004EE80000}"/>
    <cellStyle name="SAPBEXresItemX 4 2 2 3" xfId="59527" xr:uid="{00000000-0005-0000-0000-00004FE80000}"/>
    <cellStyle name="SAPBEXresItemX 4 2 2 3 2" xfId="59528" xr:uid="{00000000-0005-0000-0000-000050E80000}"/>
    <cellStyle name="SAPBEXresItemX 4 2 2 4" xfId="59529" xr:uid="{00000000-0005-0000-0000-000051E80000}"/>
    <cellStyle name="SAPBEXresItemX 4 2 3" xfId="59530" xr:uid="{00000000-0005-0000-0000-000052E80000}"/>
    <cellStyle name="SAPBEXresItemX 4 2 3 2" xfId="59531" xr:uid="{00000000-0005-0000-0000-000053E80000}"/>
    <cellStyle name="SAPBEXresItemX 4 2 3 2 2" xfId="59532" xr:uid="{00000000-0005-0000-0000-000054E80000}"/>
    <cellStyle name="SAPBEXresItemX 4 2 3 3" xfId="59533" xr:uid="{00000000-0005-0000-0000-000055E80000}"/>
    <cellStyle name="SAPBEXresItemX 4 2 3 3 2" xfId="59534" xr:uid="{00000000-0005-0000-0000-000056E80000}"/>
    <cellStyle name="SAPBEXresItemX 4 2 3 4" xfId="59535" xr:uid="{00000000-0005-0000-0000-000057E80000}"/>
    <cellStyle name="SAPBEXresItemX 4 2 4" xfId="59536" xr:uid="{00000000-0005-0000-0000-000058E80000}"/>
    <cellStyle name="SAPBEXresItemX 4 2 4 2" xfId="59537" xr:uid="{00000000-0005-0000-0000-000059E80000}"/>
    <cellStyle name="SAPBEXresItemX 4 2 5" xfId="59538" xr:uid="{00000000-0005-0000-0000-00005AE80000}"/>
    <cellStyle name="SAPBEXresItemX 4 2 5 2" xfId="59539" xr:uid="{00000000-0005-0000-0000-00005BE80000}"/>
    <cellStyle name="SAPBEXresItemX 4 2 6" xfId="59540" xr:uid="{00000000-0005-0000-0000-00005CE80000}"/>
    <cellStyle name="SAPBEXresItemX 4 2 6 2" xfId="59541" xr:uid="{00000000-0005-0000-0000-00005DE80000}"/>
    <cellStyle name="SAPBEXresItemX 4 2 7" xfId="59542" xr:uid="{00000000-0005-0000-0000-00005EE80000}"/>
    <cellStyle name="SAPBEXresItemX 4 3" xfId="59543" xr:uid="{00000000-0005-0000-0000-00005FE80000}"/>
    <cellStyle name="SAPBEXresItemX 4 3 2" xfId="59544" xr:uid="{00000000-0005-0000-0000-000060E80000}"/>
    <cellStyle name="SAPBEXresItemX 4 3 2 2" xfId="59545" xr:uid="{00000000-0005-0000-0000-000061E80000}"/>
    <cellStyle name="SAPBEXresItemX 4 3 3" xfId="59546" xr:uid="{00000000-0005-0000-0000-000062E80000}"/>
    <cellStyle name="SAPBEXresItemX 4 3 3 2" xfId="59547" xr:uid="{00000000-0005-0000-0000-000063E80000}"/>
    <cellStyle name="SAPBEXresItemX 4 3 4" xfId="59548" xr:uid="{00000000-0005-0000-0000-000064E80000}"/>
    <cellStyle name="SAPBEXresItemX 4 4" xfId="59549" xr:uid="{00000000-0005-0000-0000-000065E80000}"/>
    <cellStyle name="SAPBEXresItemX 4 4 2" xfId="59550" xr:uid="{00000000-0005-0000-0000-000066E80000}"/>
    <cellStyle name="SAPBEXresItemX 4 4 2 2" xfId="59551" xr:uid="{00000000-0005-0000-0000-000067E80000}"/>
    <cellStyle name="SAPBEXresItemX 4 4 3" xfId="59552" xr:uid="{00000000-0005-0000-0000-000068E80000}"/>
    <cellStyle name="SAPBEXresItemX 4 4 3 2" xfId="59553" xr:uid="{00000000-0005-0000-0000-000069E80000}"/>
    <cellStyle name="SAPBEXresItemX 4 4 4" xfId="59554" xr:uid="{00000000-0005-0000-0000-00006AE80000}"/>
    <cellStyle name="SAPBEXresItemX 4 5" xfId="59555" xr:uid="{00000000-0005-0000-0000-00006BE80000}"/>
    <cellStyle name="SAPBEXresItemX 4 5 2" xfId="59556" xr:uid="{00000000-0005-0000-0000-00006CE80000}"/>
    <cellStyle name="SAPBEXresItemX 4 6" xfId="59557" xr:uid="{00000000-0005-0000-0000-00006DE80000}"/>
    <cellStyle name="SAPBEXresItemX 4 6 2" xfId="59558" xr:uid="{00000000-0005-0000-0000-00006EE80000}"/>
    <cellStyle name="SAPBEXresItemX 4 7" xfId="59559" xr:uid="{00000000-0005-0000-0000-00006FE80000}"/>
    <cellStyle name="SAPBEXresItemX 4 7 2" xfId="59560" xr:uid="{00000000-0005-0000-0000-000070E80000}"/>
    <cellStyle name="SAPBEXresItemX 4 8" xfId="59561" xr:uid="{00000000-0005-0000-0000-000071E80000}"/>
    <cellStyle name="SAPBEXresItemX 4 9" xfId="59562" xr:uid="{00000000-0005-0000-0000-000072E80000}"/>
    <cellStyle name="SAPBEXresItemX 5" xfId="59563" xr:uid="{00000000-0005-0000-0000-000073E80000}"/>
    <cellStyle name="SAPBEXresItemX 5 2" xfId="59564" xr:uid="{00000000-0005-0000-0000-000074E80000}"/>
    <cellStyle name="SAPBEXresItemX 5 2 2" xfId="59565" xr:uid="{00000000-0005-0000-0000-000075E80000}"/>
    <cellStyle name="SAPBEXresItemX 5 3" xfId="59566" xr:uid="{00000000-0005-0000-0000-000076E80000}"/>
    <cellStyle name="SAPBEXresItemX 5 3 2" xfId="59567" xr:uid="{00000000-0005-0000-0000-000077E80000}"/>
    <cellStyle name="SAPBEXresItemX 5 4" xfId="59568" xr:uid="{00000000-0005-0000-0000-000078E80000}"/>
    <cellStyle name="SAPBEXresItemX 5 4 2" xfId="59569" xr:uid="{00000000-0005-0000-0000-000079E80000}"/>
    <cellStyle name="SAPBEXresItemX 5 5" xfId="59570" xr:uid="{00000000-0005-0000-0000-00007AE80000}"/>
    <cellStyle name="SAPBEXresItemX 5 6" xfId="59571" xr:uid="{00000000-0005-0000-0000-00007BE80000}"/>
    <cellStyle name="SAPBEXresItemX 5 7" xfId="59572" xr:uid="{00000000-0005-0000-0000-00007CE80000}"/>
    <cellStyle name="SAPBEXresItemX 6" xfId="59573" xr:uid="{00000000-0005-0000-0000-00007DE80000}"/>
    <cellStyle name="SAPBEXresItemX 6 2" xfId="59574" xr:uid="{00000000-0005-0000-0000-00007EE80000}"/>
    <cellStyle name="SAPBEXresItemX 6 2 2" xfId="59575" xr:uid="{00000000-0005-0000-0000-00007FE80000}"/>
    <cellStyle name="SAPBEXresItemX 6 3" xfId="59576" xr:uid="{00000000-0005-0000-0000-000080E80000}"/>
    <cellStyle name="SAPBEXresItemX 6 3 2" xfId="59577" xr:uid="{00000000-0005-0000-0000-000081E80000}"/>
    <cellStyle name="SAPBEXresItemX 6 4" xfId="59578" xr:uid="{00000000-0005-0000-0000-000082E80000}"/>
    <cellStyle name="SAPBEXresItemX 6 4 2" xfId="59579" xr:uid="{00000000-0005-0000-0000-000083E80000}"/>
    <cellStyle name="SAPBEXresItemX 6 5" xfId="59580" xr:uid="{00000000-0005-0000-0000-000084E80000}"/>
    <cellStyle name="SAPBEXresItemX 7" xfId="59581" xr:uid="{00000000-0005-0000-0000-000085E80000}"/>
    <cellStyle name="SAPBEXresItemX 7 2" xfId="59582" xr:uid="{00000000-0005-0000-0000-000086E80000}"/>
    <cellStyle name="SAPBEXresItemX 7 2 2" xfId="59583" xr:uid="{00000000-0005-0000-0000-000087E80000}"/>
    <cellStyle name="SAPBEXresItemX 7 3" xfId="59584" xr:uid="{00000000-0005-0000-0000-000088E80000}"/>
    <cellStyle name="SAPBEXresItemX 7 3 2" xfId="59585" xr:uid="{00000000-0005-0000-0000-000089E80000}"/>
    <cellStyle name="SAPBEXresItemX 7 4" xfId="59586" xr:uid="{00000000-0005-0000-0000-00008AE80000}"/>
    <cellStyle name="SAPBEXresItemX 7 4 2" xfId="59587" xr:uid="{00000000-0005-0000-0000-00008BE80000}"/>
    <cellStyle name="SAPBEXresItemX 7 5" xfId="59588" xr:uid="{00000000-0005-0000-0000-00008CE80000}"/>
    <cellStyle name="SAPBEXresItemX 8" xfId="59589" xr:uid="{00000000-0005-0000-0000-00008DE80000}"/>
    <cellStyle name="SAPBEXresItemX 8 2" xfId="59590" xr:uid="{00000000-0005-0000-0000-00008EE80000}"/>
    <cellStyle name="SAPBEXresItemX 9" xfId="59591" xr:uid="{00000000-0005-0000-0000-00008FE80000}"/>
    <cellStyle name="SAPBEXresItemX 9 2" xfId="59592" xr:uid="{00000000-0005-0000-0000-000090E80000}"/>
    <cellStyle name="SAPBEXRow_Headings_SA" xfId="59593" xr:uid="{00000000-0005-0000-0000-000091E80000}"/>
    <cellStyle name="SAPBEXRowResults_SA" xfId="59594" xr:uid="{00000000-0005-0000-0000-000092E80000}"/>
    <cellStyle name="SAPBEXstdData" xfId="370" xr:uid="{00000000-0005-0000-0000-000093E80000}"/>
    <cellStyle name="SAPBEXstdData 10" xfId="59595" xr:uid="{00000000-0005-0000-0000-000094E80000}"/>
    <cellStyle name="SAPBEXstdData 11" xfId="59596" xr:uid="{00000000-0005-0000-0000-000095E80000}"/>
    <cellStyle name="SAPBEXstdData 2" xfId="59597" xr:uid="{00000000-0005-0000-0000-000096E80000}"/>
    <cellStyle name="SAPBEXstdData 2 10" xfId="59598" xr:uid="{00000000-0005-0000-0000-000097E80000}"/>
    <cellStyle name="SAPBEXstdData 2 2" xfId="59599" xr:uid="{00000000-0005-0000-0000-000098E80000}"/>
    <cellStyle name="SAPBEXstdData 2 2 2" xfId="59600" xr:uid="{00000000-0005-0000-0000-000099E80000}"/>
    <cellStyle name="SAPBEXstdData 2 2 2 2" xfId="59601" xr:uid="{00000000-0005-0000-0000-00009AE80000}"/>
    <cellStyle name="SAPBEXstdData 2 2 2 2 2" xfId="59602" xr:uid="{00000000-0005-0000-0000-00009BE80000}"/>
    <cellStyle name="SAPBEXstdData 2 2 2 3" xfId="59603" xr:uid="{00000000-0005-0000-0000-00009CE80000}"/>
    <cellStyle name="SAPBEXstdData 2 2 2 3 2" xfId="59604" xr:uid="{00000000-0005-0000-0000-00009DE80000}"/>
    <cellStyle name="SAPBEXstdData 2 2 2 4" xfId="59605" xr:uid="{00000000-0005-0000-0000-00009EE80000}"/>
    <cellStyle name="SAPBEXstdData 2 2 2 5" xfId="59606" xr:uid="{00000000-0005-0000-0000-00009FE80000}"/>
    <cellStyle name="SAPBEXstdData 2 2 3" xfId="59607" xr:uid="{00000000-0005-0000-0000-0000A0E80000}"/>
    <cellStyle name="SAPBEXstdData 2 2 3 2" xfId="59608" xr:uid="{00000000-0005-0000-0000-0000A1E80000}"/>
    <cellStyle name="SAPBEXstdData 2 2 4" xfId="59609" xr:uid="{00000000-0005-0000-0000-0000A2E80000}"/>
    <cellStyle name="SAPBEXstdData 2 2 4 2" xfId="59610" xr:uid="{00000000-0005-0000-0000-0000A3E80000}"/>
    <cellStyle name="SAPBEXstdData 2 2 5" xfId="59611" xr:uid="{00000000-0005-0000-0000-0000A4E80000}"/>
    <cellStyle name="SAPBEXstdData 2 2 6" xfId="59612" xr:uid="{00000000-0005-0000-0000-0000A5E80000}"/>
    <cellStyle name="SAPBEXstdData 2 3" xfId="59613" xr:uid="{00000000-0005-0000-0000-0000A6E80000}"/>
    <cellStyle name="SAPBEXstdData 2 3 2" xfId="59614" xr:uid="{00000000-0005-0000-0000-0000A7E80000}"/>
    <cellStyle name="SAPBEXstdData 2 3 2 2" xfId="59615" xr:uid="{00000000-0005-0000-0000-0000A8E80000}"/>
    <cellStyle name="SAPBEXstdData 2 3 2 3" xfId="59616" xr:uid="{00000000-0005-0000-0000-0000A9E80000}"/>
    <cellStyle name="SAPBEXstdData 2 3 3" xfId="59617" xr:uid="{00000000-0005-0000-0000-0000AAE80000}"/>
    <cellStyle name="SAPBEXstdData 2 3 3 2" xfId="59618" xr:uid="{00000000-0005-0000-0000-0000ABE80000}"/>
    <cellStyle name="SAPBEXstdData 2 3 4" xfId="59619" xr:uid="{00000000-0005-0000-0000-0000ACE80000}"/>
    <cellStyle name="SAPBEXstdData 2 3 5" xfId="59620" xr:uid="{00000000-0005-0000-0000-0000ADE80000}"/>
    <cellStyle name="SAPBEXstdData 2 4" xfId="59621" xr:uid="{00000000-0005-0000-0000-0000AEE80000}"/>
    <cellStyle name="SAPBEXstdData 2 4 2" xfId="59622" xr:uid="{00000000-0005-0000-0000-0000AFE80000}"/>
    <cellStyle name="SAPBEXstdData 2 4 2 2" xfId="59623" xr:uid="{00000000-0005-0000-0000-0000B0E80000}"/>
    <cellStyle name="SAPBEXstdData 2 4 2 3" xfId="59624" xr:uid="{00000000-0005-0000-0000-0000B1E80000}"/>
    <cellStyle name="SAPBEXstdData 2 4 3" xfId="59625" xr:uid="{00000000-0005-0000-0000-0000B2E80000}"/>
    <cellStyle name="SAPBEXstdData 2 4 3 2" xfId="59626" xr:uid="{00000000-0005-0000-0000-0000B3E80000}"/>
    <cellStyle name="SAPBEXstdData 2 4 4" xfId="59627" xr:uid="{00000000-0005-0000-0000-0000B4E80000}"/>
    <cellStyle name="SAPBEXstdData 2 4 5" xfId="59628" xr:uid="{00000000-0005-0000-0000-0000B5E80000}"/>
    <cellStyle name="SAPBEXstdData 2 5" xfId="59629" xr:uid="{00000000-0005-0000-0000-0000B6E80000}"/>
    <cellStyle name="SAPBEXstdData 2 5 2" xfId="59630" xr:uid="{00000000-0005-0000-0000-0000B7E80000}"/>
    <cellStyle name="SAPBEXstdData 2 5 2 2" xfId="59631" xr:uid="{00000000-0005-0000-0000-0000B8E80000}"/>
    <cellStyle name="SAPBEXstdData 2 5 3" xfId="59632" xr:uid="{00000000-0005-0000-0000-0000B9E80000}"/>
    <cellStyle name="SAPBEXstdData 2 6" xfId="59633" xr:uid="{00000000-0005-0000-0000-0000BAE80000}"/>
    <cellStyle name="SAPBEXstdData 2 6 2" xfId="59634" xr:uid="{00000000-0005-0000-0000-0000BBE80000}"/>
    <cellStyle name="SAPBEXstdData 2 6 2 2" xfId="59635" xr:uid="{00000000-0005-0000-0000-0000BCE80000}"/>
    <cellStyle name="SAPBEXstdData 2 6 3" xfId="59636" xr:uid="{00000000-0005-0000-0000-0000BDE80000}"/>
    <cellStyle name="SAPBEXstdData 2 7" xfId="59637" xr:uid="{00000000-0005-0000-0000-0000BEE80000}"/>
    <cellStyle name="SAPBEXstdData 2 7 2" xfId="59638" xr:uid="{00000000-0005-0000-0000-0000BFE80000}"/>
    <cellStyle name="SAPBEXstdData 2 7 2 2" xfId="59639" xr:uid="{00000000-0005-0000-0000-0000C0E80000}"/>
    <cellStyle name="SAPBEXstdData 2 7 3" xfId="59640" xr:uid="{00000000-0005-0000-0000-0000C1E80000}"/>
    <cellStyle name="SAPBEXstdData 2 8" xfId="59641" xr:uid="{00000000-0005-0000-0000-0000C2E80000}"/>
    <cellStyle name="SAPBEXstdData 2 8 2" xfId="59642" xr:uid="{00000000-0005-0000-0000-0000C3E80000}"/>
    <cellStyle name="SAPBEXstdData 2 9" xfId="59643" xr:uid="{00000000-0005-0000-0000-0000C4E80000}"/>
    <cellStyle name="SAPBEXstdData 3" xfId="59644" xr:uid="{00000000-0005-0000-0000-0000C5E80000}"/>
    <cellStyle name="SAPBEXstdData 3 10" xfId="59645" xr:uid="{00000000-0005-0000-0000-0000C6E80000}"/>
    <cellStyle name="SAPBEXstdData 3 11" xfId="59646" xr:uid="{00000000-0005-0000-0000-0000C7E80000}"/>
    <cellStyle name="SAPBEXstdData 3 12" xfId="59647" xr:uid="{00000000-0005-0000-0000-0000C8E80000}"/>
    <cellStyle name="SAPBEXstdData 3 2" xfId="59648" xr:uid="{00000000-0005-0000-0000-0000C9E80000}"/>
    <cellStyle name="SAPBEXstdData 3 2 2" xfId="59649" xr:uid="{00000000-0005-0000-0000-0000CAE80000}"/>
    <cellStyle name="SAPBEXstdData 3 2 2 2" xfId="59650" xr:uid="{00000000-0005-0000-0000-0000CBE80000}"/>
    <cellStyle name="SAPBEXstdData 3 2 2 2 2" xfId="59651" xr:uid="{00000000-0005-0000-0000-0000CCE80000}"/>
    <cellStyle name="SAPBEXstdData 3 2 2 3" xfId="59652" xr:uid="{00000000-0005-0000-0000-0000CDE80000}"/>
    <cellStyle name="SAPBEXstdData 3 2 2 3 2" xfId="59653" xr:uid="{00000000-0005-0000-0000-0000CEE80000}"/>
    <cellStyle name="SAPBEXstdData 3 2 2 4" xfId="59654" xr:uid="{00000000-0005-0000-0000-0000CFE80000}"/>
    <cellStyle name="SAPBEXstdData 3 2 3" xfId="59655" xr:uid="{00000000-0005-0000-0000-0000D0E80000}"/>
    <cellStyle name="SAPBEXstdData 3 2 3 2" xfId="59656" xr:uid="{00000000-0005-0000-0000-0000D1E80000}"/>
    <cellStyle name="SAPBEXstdData 3 2 3 2 2" xfId="59657" xr:uid="{00000000-0005-0000-0000-0000D2E80000}"/>
    <cellStyle name="SAPBEXstdData 3 2 3 3" xfId="59658" xr:uid="{00000000-0005-0000-0000-0000D3E80000}"/>
    <cellStyle name="SAPBEXstdData 3 2 3 3 2" xfId="59659" xr:uid="{00000000-0005-0000-0000-0000D4E80000}"/>
    <cellStyle name="SAPBEXstdData 3 2 3 4" xfId="59660" xr:uid="{00000000-0005-0000-0000-0000D5E80000}"/>
    <cellStyle name="SAPBEXstdData 3 2 4" xfId="59661" xr:uid="{00000000-0005-0000-0000-0000D6E80000}"/>
    <cellStyle name="SAPBEXstdData 3 2 4 2" xfId="59662" xr:uid="{00000000-0005-0000-0000-0000D7E80000}"/>
    <cellStyle name="SAPBEXstdData 3 2 5" xfId="59663" xr:uid="{00000000-0005-0000-0000-0000D8E80000}"/>
    <cellStyle name="SAPBEXstdData 3 2 5 2" xfId="59664" xr:uid="{00000000-0005-0000-0000-0000D9E80000}"/>
    <cellStyle name="SAPBEXstdData 3 2 6" xfId="59665" xr:uid="{00000000-0005-0000-0000-0000DAE80000}"/>
    <cellStyle name="SAPBEXstdData 3 2 7" xfId="59666" xr:uid="{00000000-0005-0000-0000-0000DBE80000}"/>
    <cellStyle name="SAPBEXstdData 3 3" xfId="59667" xr:uid="{00000000-0005-0000-0000-0000DCE80000}"/>
    <cellStyle name="SAPBEXstdData 3 3 2" xfId="59668" xr:uid="{00000000-0005-0000-0000-0000DDE80000}"/>
    <cellStyle name="SAPBEXstdData 3 3 2 2" xfId="59669" xr:uid="{00000000-0005-0000-0000-0000DEE80000}"/>
    <cellStyle name="SAPBEXstdData 3 3 3" xfId="59670" xr:uid="{00000000-0005-0000-0000-0000DFE80000}"/>
    <cellStyle name="SAPBEXstdData 3 3 3 2" xfId="59671" xr:uid="{00000000-0005-0000-0000-0000E0E80000}"/>
    <cellStyle name="SAPBEXstdData 3 3 4" xfId="59672" xr:uid="{00000000-0005-0000-0000-0000E1E80000}"/>
    <cellStyle name="SAPBEXstdData 3 4" xfId="59673" xr:uid="{00000000-0005-0000-0000-0000E2E80000}"/>
    <cellStyle name="SAPBEXstdData 3 4 2" xfId="59674" xr:uid="{00000000-0005-0000-0000-0000E3E80000}"/>
    <cellStyle name="SAPBEXstdData 3 4 2 2" xfId="59675" xr:uid="{00000000-0005-0000-0000-0000E4E80000}"/>
    <cellStyle name="SAPBEXstdData 3 4 3" xfId="59676" xr:uid="{00000000-0005-0000-0000-0000E5E80000}"/>
    <cellStyle name="SAPBEXstdData 3 4 3 2" xfId="59677" xr:uid="{00000000-0005-0000-0000-0000E6E80000}"/>
    <cellStyle name="SAPBEXstdData 3 4 4" xfId="59678" xr:uid="{00000000-0005-0000-0000-0000E7E80000}"/>
    <cellStyle name="SAPBEXstdData 3 5" xfId="59679" xr:uid="{00000000-0005-0000-0000-0000E8E80000}"/>
    <cellStyle name="SAPBEXstdData 3 5 2" xfId="59680" xr:uid="{00000000-0005-0000-0000-0000E9E80000}"/>
    <cellStyle name="SAPBEXstdData 3 5 2 2" xfId="59681" xr:uid="{00000000-0005-0000-0000-0000EAE80000}"/>
    <cellStyle name="SAPBEXstdData 3 5 3" xfId="59682" xr:uid="{00000000-0005-0000-0000-0000EBE80000}"/>
    <cellStyle name="SAPBEXstdData 3 5 3 2" xfId="59683" xr:uid="{00000000-0005-0000-0000-0000ECE80000}"/>
    <cellStyle name="SAPBEXstdData 3 5 4" xfId="59684" xr:uid="{00000000-0005-0000-0000-0000EDE80000}"/>
    <cellStyle name="SAPBEXstdData 3 6" xfId="59685" xr:uid="{00000000-0005-0000-0000-0000EEE80000}"/>
    <cellStyle name="SAPBEXstdData 3 6 2" xfId="59686" xr:uid="{00000000-0005-0000-0000-0000EFE80000}"/>
    <cellStyle name="SAPBEXstdData 3 7" xfId="59687" xr:uid="{00000000-0005-0000-0000-0000F0E80000}"/>
    <cellStyle name="SAPBEXstdData 3 7 2" xfId="59688" xr:uid="{00000000-0005-0000-0000-0000F1E80000}"/>
    <cellStyle name="SAPBEXstdData 3 8" xfId="59689" xr:uid="{00000000-0005-0000-0000-0000F2E80000}"/>
    <cellStyle name="SAPBEXstdData 3 8 2" xfId="59690" xr:uid="{00000000-0005-0000-0000-0000F3E80000}"/>
    <cellStyle name="SAPBEXstdData 3 9" xfId="59691" xr:uid="{00000000-0005-0000-0000-0000F4E80000}"/>
    <cellStyle name="SAPBEXstdData 4" xfId="59692" xr:uid="{00000000-0005-0000-0000-0000F5E80000}"/>
    <cellStyle name="SAPBEXstdData 4 2" xfId="59693" xr:uid="{00000000-0005-0000-0000-0000F6E80000}"/>
    <cellStyle name="SAPBEXstdData 4 2 2" xfId="59694" xr:uid="{00000000-0005-0000-0000-0000F7E80000}"/>
    <cellStyle name="SAPBEXstdData 4 2 3" xfId="59695" xr:uid="{00000000-0005-0000-0000-0000F8E80000}"/>
    <cellStyle name="SAPBEXstdData 4 3" xfId="59696" xr:uid="{00000000-0005-0000-0000-0000F9E80000}"/>
    <cellStyle name="SAPBEXstdData 4 3 2" xfId="59697" xr:uid="{00000000-0005-0000-0000-0000FAE80000}"/>
    <cellStyle name="SAPBEXstdData 4 4" xfId="59698" xr:uid="{00000000-0005-0000-0000-0000FBE80000}"/>
    <cellStyle name="SAPBEXstdData 4 5" xfId="59699" xr:uid="{00000000-0005-0000-0000-0000FCE80000}"/>
    <cellStyle name="SAPBEXstdData 4 6" xfId="59700" xr:uid="{00000000-0005-0000-0000-0000FDE80000}"/>
    <cellStyle name="SAPBEXstdData 4 7" xfId="59701" xr:uid="{00000000-0005-0000-0000-0000FEE80000}"/>
    <cellStyle name="SAPBEXstdData 5" xfId="59702" xr:uid="{00000000-0005-0000-0000-0000FFE80000}"/>
    <cellStyle name="SAPBEXstdData 5 2" xfId="59703" xr:uid="{00000000-0005-0000-0000-000000E90000}"/>
    <cellStyle name="SAPBEXstdData 5 2 2" xfId="59704" xr:uid="{00000000-0005-0000-0000-000001E90000}"/>
    <cellStyle name="SAPBEXstdData 5 2 3" xfId="59705" xr:uid="{00000000-0005-0000-0000-000002E90000}"/>
    <cellStyle name="SAPBEXstdData 5 3" xfId="59706" xr:uid="{00000000-0005-0000-0000-000003E90000}"/>
    <cellStyle name="SAPBEXstdData 5 3 2" xfId="59707" xr:uid="{00000000-0005-0000-0000-000004E90000}"/>
    <cellStyle name="SAPBEXstdData 5 4" xfId="59708" xr:uid="{00000000-0005-0000-0000-000005E90000}"/>
    <cellStyle name="SAPBEXstdData 5 5" xfId="59709" xr:uid="{00000000-0005-0000-0000-000006E90000}"/>
    <cellStyle name="SAPBEXstdData 6" xfId="59710" xr:uid="{00000000-0005-0000-0000-000007E90000}"/>
    <cellStyle name="SAPBEXstdData 6 2" xfId="59711" xr:uid="{00000000-0005-0000-0000-000008E90000}"/>
    <cellStyle name="SAPBEXstdData 6 2 2" xfId="59712" xr:uid="{00000000-0005-0000-0000-000009E90000}"/>
    <cellStyle name="SAPBEXstdData 6 2 3" xfId="59713" xr:uid="{00000000-0005-0000-0000-00000AE90000}"/>
    <cellStyle name="SAPBEXstdData 6 3" xfId="59714" xr:uid="{00000000-0005-0000-0000-00000BE90000}"/>
    <cellStyle name="SAPBEXstdData 6 3 2" xfId="59715" xr:uid="{00000000-0005-0000-0000-00000CE90000}"/>
    <cellStyle name="SAPBEXstdData 6 4" xfId="59716" xr:uid="{00000000-0005-0000-0000-00000DE90000}"/>
    <cellStyle name="SAPBEXstdData 6 5" xfId="59717" xr:uid="{00000000-0005-0000-0000-00000EE90000}"/>
    <cellStyle name="SAPBEXstdData 6 6" xfId="59718" xr:uid="{00000000-0005-0000-0000-00000FE90000}"/>
    <cellStyle name="SAPBEXstdData 6 7" xfId="59719" xr:uid="{00000000-0005-0000-0000-000010E90000}"/>
    <cellStyle name="SAPBEXstdData 7" xfId="59720" xr:uid="{00000000-0005-0000-0000-000011E90000}"/>
    <cellStyle name="SAPBEXstdData 7 2" xfId="59721" xr:uid="{00000000-0005-0000-0000-000012E90000}"/>
    <cellStyle name="SAPBEXstdData 7 2 2" xfId="59722" xr:uid="{00000000-0005-0000-0000-000013E90000}"/>
    <cellStyle name="SAPBEXstdData 7 3" xfId="59723" xr:uid="{00000000-0005-0000-0000-000014E90000}"/>
    <cellStyle name="SAPBEXstdData 8" xfId="59724" xr:uid="{00000000-0005-0000-0000-000015E90000}"/>
    <cellStyle name="SAPBEXstdData 8 2" xfId="59725" xr:uid="{00000000-0005-0000-0000-000016E90000}"/>
    <cellStyle name="SAPBEXstdData 8 3" xfId="59726" xr:uid="{00000000-0005-0000-0000-000017E90000}"/>
    <cellStyle name="SAPBEXstdData 9" xfId="59727" xr:uid="{00000000-0005-0000-0000-000018E90000}"/>
    <cellStyle name="SAPBEXstdData 9 2" xfId="59728" xr:uid="{00000000-0005-0000-0000-000019E90000}"/>
    <cellStyle name="SAPBEXstdData_13737 3p Contracts v3" xfId="59729" xr:uid="{00000000-0005-0000-0000-00001AE90000}"/>
    <cellStyle name="SAPBEXstdDataEmph" xfId="59730" xr:uid="{00000000-0005-0000-0000-00001BE90000}"/>
    <cellStyle name="SAPBEXstdDataEmph 10" xfId="59731" xr:uid="{00000000-0005-0000-0000-00001CE90000}"/>
    <cellStyle name="SAPBEXstdDataEmph 11" xfId="59732" xr:uid="{00000000-0005-0000-0000-00001DE90000}"/>
    <cellStyle name="SAPBEXstdDataEmph 2" xfId="59733" xr:uid="{00000000-0005-0000-0000-00001EE90000}"/>
    <cellStyle name="SAPBEXstdDataEmph 2 10" xfId="59734" xr:uid="{00000000-0005-0000-0000-00001FE90000}"/>
    <cellStyle name="SAPBEXstdDataEmph 2 2" xfId="59735" xr:uid="{00000000-0005-0000-0000-000020E90000}"/>
    <cellStyle name="SAPBEXstdDataEmph 2 2 2" xfId="59736" xr:uid="{00000000-0005-0000-0000-000021E90000}"/>
    <cellStyle name="SAPBEXstdDataEmph 2 2 2 2" xfId="59737" xr:uid="{00000000-0005-0000-0000-000022E90000}"/>
    <cellStyle name="SAPBEXstdDataEmph 2 2 3" xfId="59738" xr:uid="{00000000-0005-0000-0000-000023E90000}"/>
    <cellStyle name="SAPBEXstdDataEmph 2 2 3 2" xfId="59739" xr:uid="{00000000-0005-0000-0000-000024E90000}"/>
    <cellStyle name="SAPBEXstdDataEmph 2 2 4" xfId="59740" xr:uid="{00000000-0005-0000-0000-000025E90000}"/>
    <cellStyle name="SAPBEXstdDataEmph 2 3" xfId="59741" xr:uid="{00000000-0005-0000-0000-000026E90000}"/>
    <cellStyle name="SAPBEXstdDataEmph 2 3 2" xfId="59742" xr:uid="{00000000-0005-0000-0000-000027E90000}"/>
    <cellStyle name="SAPBEXstdDataEmph 2 3 2 2" xfId="59743" xr:uid="{00000000-0005-0000-0000-000028E90000}"/>
    <cellStyle name="SAPBEXstdDataEmph 2 3 3" xfId="59744" xr:uid="{00000000-0005-0000-0000-000029E90000}"/>
    <cellStyle name="SAPBEXstdDataEmph 2 3 3 2" xfId="59745" xr:uid="{00000000-0005-0000-0000-00002AE90000}"/>
    <cellStyle name="SAPBEXstdDataEmph 2 3 4" xfId="59746" xr:uid="{00000000-0005-0000-0000-00002BE90000}"/>
    <cellStyle name="SAPBEXstdDataEmph 2 4" xfId="59747" xr:uid="{00000000-0005-0000-0000-00002CE90000}"/>
    <cellStyle name="SAPBEXstdDataEmph 2 4 2" xfId="59748" xr:uid="{00000000-0005-0000-0000-00002DE90000}"/>
    <cellStyle name="SAPBEXstdDataEmph 2 4 2 2" xfId="59749" xr:uid="{00000000-0005-0000-0000-00002EE90000}"/>
    <cellStyle name="SAPBEXstdDataEmph 2 4 3" xfId="59750" xr:uid="{00000000-0005-0000-0000-00002FE90000}"/>
    <cellStyle name="SAPBEXstdDataEmph 2 4 3 2" xfId="59751" xr:uid="{00000000-0005-0000-0000-000030E90000}"/>
    <cellStyle name="SAPBEXstdDataEmph 2 4 4" xfId="59752" xr:uid="{00000000-0005-0000-0000-000031E90000}"/>
    <cellStyle name="SAPBEXstdDataEmph 2 5" xfId="59753" xr:uid="{00000000-0005-0000-0000-000032E90000}"/>
    <cellStyle name="SAPBEXstdDataEmph 2 5 2" xfId="59754" xr:uid="{00000000-0005-0000-0000-000033E90000}"/>
    <cellStyle name="SAPBEXstdDataEmph 2 6" xfId="59755" xr:uid="{00000000-0005-0000-0000-000034E90000}"/>
    <cellStyle name="SAPBEXstdDataEmph 2 6 2" xfId="59756" xr:uid="{00000000-0005-0000-0000-000035E90000}"/>
    <cellStyle name="SAPBEXstdDataEmph 2 7" xfId="59757" xr:uid="{00000000-0005-0000-0000-000036E90000}"/>
    <cellStyle name="SAPBEXstdDataEmph 2 8" xfId="59758" xr:uid="{00000000-0005-0000-0000-000037E90000}"/>
    <cellStyle name="SAPBEXstdDataEmph 2 9" xfId="59759" xr:uid="{00000000-0005-0000-0000-000038E90000}"/>
    <cellStyle name="SAPBEXstdDataEmph 3" xfId="59760" xr:uid="{00000000-0005-0000-0000-000039E90000}"/>
    <cellStyle name="SAPBEXstdDataEmph 3 2" xfId="59761" xr:uid="{00000000-0005-0000-0000-00003AE90000}"/>
    <cellStyle name="SAPBEXstdDataEmph 3 2 2" xfId="59762" xr:uid="{00000000-0005-0000-0000-00003BE90000}"/>
    <cellStyle name="SAPBEXstdDataEmph 3 2 2 2" xfId="59763" xr:uid="{00000000-0005-0000-0000-00003CE90000}"/>
    <cellStyle name="SAPBEXstdDataEmph 3 2 2 2 2" xfId="59764" xr:uid="{00000000-0005-0000-0000-00003DE90000}"/>
    <cellStyle name="SAPBEXstdDataEmph 3 2 2 3" xfId="59765" xr:uid="{00000000-0005-0000-0000-00003EE90000}"/>
    <cellStyle name="SAPBEXstdDataEmph 3 2 2 3 2" xfId="59766" xr:uid="{00000000-0005-0000-0000-00003FE90000}"/>
    <cellStyle name="SAPBEXstdDataEmph 3 2 2 4" xfId="59767" xr:uid="{00000000-0005-0000-0000-000040E90000}"/>
    <cellStyle name="SAPBEXstdDataEmph 3 2 3" xfId="59768" xr:uid="{00000000-0005-0000-0000-000041E90000}"/>
    <cellStyle name="SAPBEXstdDataEmph 3 2 3 2" xfId="59769" xr:uid="{00000000-0005-0000-0000-000042E90000}"/>
    <cellStyle name="SAPBEXstdDataEmph 3 2 3 2 2" xfId="59770" xr:uid="{00000000-0005-0000-0000-000043E90000}"/>
    <cellStyle name="SAPBEXstdDataEmph 3 2 3 3" xfId="59771" xr:uid="{00000000-0005-0000-0000-000044E90000}"/>
    <cellStyle name="SAPBEXstdDataEmph 3 2 3 3 2" xfId="59772" xr:uid="{00000000-0005-0000-0000-000045E90000}"/>
    <cellStyle name="SAPBEXstdDataEmph 3 2 3 4" xfId="59773" xr:uid="{00000000-0005-0000-0000-000046E90000}"/>
    <cellStyle name="SAPBEXstdDataEmph 3 2 4" xfId="59774" xr:uid="{00000000-0005-0000-0000-000047E90000}"/>
    <cellStyle name="SAPBEXstdDataEmph 3 2 4 2" xfId="59775" xr:uid="{00000000-0005-0000-0000-000048E90000}"/>
    <cellStyle name="SAPBEXstdDataEmph 3 2 5" xfId="59776" xr:uid="{00000000-0005-0000-0000-000049E90000}"/>
    <cellStyle name="SAPBEXstdDataEmph 3 2 5 2" xfId="59777" xr:uid="{00000000-0005-0000-0000-00004AE90000}"/>
    <cellStyle name="SAPBEXstdDataEmph 3 2 6" xfId="59778" xr:uid="{00000000-0005-0000-0000-00004BE90000}"/>
    <cellStyle name="SAPBEXstdDataEmph 3 3" xfId="59779" xr:uid="{00000000-0005-0000-0000-00004CE90000}"/>
    <cellStyle name="SAPBEXstdDataEmph 3 3 2" xfId="59780" xr:uid="{00000000-0005-0000-0000-00004DE90000}"/>
    <cellStyle name="SAPBEXstdDataEmph 3 3 2 2" xfId="59781" xr:uid="{00000000-0005-0000-0000-00004EE90000}"/>
    <cellStyle name="SAPBEXstdDataEmph 3 3 3" xfId="59782" xr:uid="{00000000-0005-0000-0000-00004FE90000}"/>
    <cellStyle name="SAPBEXstdDataEmph 3 3 3 2" xfId="59783" xr:uid="{00000000-0005-0000-0000-000050E90000}"/>
    <cellStyle name="SAPBEXstdDataEmph 3 3 4" xfId="59784" xr:uid="{00000000-0005-0000-0000-000051E90000}"/>
    <cellStyle name="SAPBEXstdDataEmph 3 4" xfId="59785" xr:uid="{00000000-0005-0000-0000-000052E90000}"/>
    <cellStyle name="SAPBEXstdDataEmph 3 4 2" xfId="59786" xr:uid="{00000000-0005-0000-0000-000053E90000}"/>
    <cellStyle name="SAPBEXstdDataEmph 3 4 2 2" xfId="59787" xr:uid="{00000000-0005-0000-0000-000054E90000}"/>
    <cellStyle name="SAPBEXstdDataEmph 3 4 3" xfId="59788" xr:uid="{00000000-0005-0000-0000-000055E90000}"/>
    <cellStyle name="SAPBEXstdDataEmph 3 4 3 2" xfId="59789" xr:uid="{00000000-0005-0000-0000-000056E90000}"/>
    <cellStyle name="SAPBEXstdDataEmph 3 4 4" xfId="59790" xr:uid="{00000000-0005-0000-0000-000057E90000}"/>
    <cellStyle name="SAPBEXstdDataEmph 3 5" xfId="59791" xr:uid="{00000000-0005-0000-0000-000058E90000}"/>
    <cellStyle name="SAPBEXstdDataEmph 3 5 2" xfId="59792" xr:uid="{00000000-0005-0000-0000-000059E90000}"/>
    <cellStyle name="SAPBEXstdDataEmph 3 6" xfId="59793" xr:uid="{00000000-0005-0000-0000-00005AE90000}"/>
    <cellStyle name="SAPBEXstdDataEmph 3 6 2" xfId="59794" xr:uid="{00000000-0005-0000-0000-00005BE90000}"/>
    <cellStyle name="SAPBEXstdDataEmph 3 7" xfId="59795" xr:uid="{00000000-0005-0000-0000-00005CE90000}"/>
    <cellStyle name="SAPBEXstdDataEmph 3 8" xfId="59796" xr:uid="{00000000-0005-0000-0000-00005DE90000}"/>
    <cellStyle name="SAPBEXstdDataEmph 4" xfId="59797" xr:uid="{00000000-0005-0000-0000-00005EE90000}"/>
    <cellStyle name="SAPBEXstdDataEmph 4 2" xfId="59798" xr:uid="{00000000-0005-0000-0000-00005FE90000}"/>
    <cellStyle name="SAPBEXstdDataEmph 4 2 2" xfId="59799" xr:uid="{00000000-0005-0000-0000-000060E90000}"/>
    <cellStyle name="SAPBEXstdDataEmph 4 3" xfId="59800" xr:uid="{00000000-0005-0000-0000-000061E90000}"/>
    <cellStyle name="SAPBEXstdDataEmph 4 3 2" xfId="59801" xr:uid="{00000000-0005-0000-0000-000062E90000}"/>
    <cellStyle name="SAPBEXstdDataEmph 4 4" xfId="59802" xr:uid="{00000000-0005-0000-0000-000063E90000}"/>
    <cellStyle name="SAPBEXstdDataEmph 5" xfId="59803" xr:uid="{00000000-0005-0000-0000-000064E90000}"/>
    <cellStyle name="SAPBEXstdDataEmph 5 2" xfId="59804" xr:uid="{00000000-0005-0000-0000-000065E90000}"/>
    <cellStyle name="SAPBEXstdDataEmph 5 2 2" xfId="59805" xr:uid="{00000000-0005-0000-0000-000066E90000}"/>
    <cellStyle name="SAPBEXstdDataEmph 5 3" xfId="59806" xr:uid="{00000000-0005-0000-0000-000067E90000}"/>
    <cellStyle name="SAPBEXstdDataEmph 5 3 2" xfId="59807" xr:uid="{00000000-0005-0000-0000-000068E90000}"/>
    <cellStyle name="SAPBEXstdDataEmph 5 4" xfId="59808" xr:uid="{00000000-0005-0000-0000-000069E90000}"/>
    <cellStyle name="SAPBEXstdDataEmph 6" xfId="59809" xr:uid="{00000000-0005-0000-0000-00006AE90000}"/>
    <cellStyle name="SAPBEXstdDataEmph 6 2" xfId="59810" xr:uid="{00000000-0005-0000-0000-00006BE90000}"/>
    <cellStyle name="SAPBEXstdDataEmph 6 2 2" xfId="59811" xr:uid="{00000000-0005-0000-0000-00006CE90000}"/>
    <cellStyle name="SAPBEXstdDataEmph 6 3" xfId="59812" xr:uid="{00000000-0005-0000-0000-00006DE90000}"/>
    <cellStyle name="SAPBEXstdDataEmph 6 3 2" xfId="59813" xr:uid="{00000000-0005-0000-0000-00006EE90000}"/>
    <cellStyle name="SAPBEXstdDataEmph 6 4" xfId="59814" xr:uid="{00000000-0005-0000-0000-00006FE90000}"/>
    <cellStyle name="SAPBEXstdDataEmph 7" xfId="59815" xr:uid="{00000000-0005-0000-0000-000070E90000}"/>
    <cellStyle name="SAPBEXstdDataEmph 7 2" xfId="59816" xr:uid="{00000000-0005-0000-0000-000071E90000}"/>
    <cellStyle name="SAPBEXstdDataEmph 8" xfId="59817" xr:uid="{00000000-0005-0000-0000-000072E90000}"/>
    <cellStyle name="SAPBEXstdDataEmph 8 2" xfId="59818" xr:uid="{00000000-0005-0000-0000-000073E90000}"/>
    <cellStyle name="SAPBEXstdDataEmph 9" xfId="59819" xr:uid="{00000000-0005-0000-0000-000074E90000}"/>
    <cellStyle name="SAPBEXstdDataEmph 9 2" xfId="59820" xr:uid="{00000000-0005-0000-0000-000075E90000}"/>
    <cellStyle name="SAPBEXstdExc1" xfId="59821" xr:uid="{00000000-0005-0000-0000-000076E90000}"/>
    <cellStyle name="SAPBEXstdExc1 2" xfId="59822" xr:uid="{00000000-0005-0000-0000-000077E90000}"/>
    <cellStyle name="SAPBEXstdExc1 2 2" xfId="59823" xr:uid="{00000000-0005-0000-0000-000078E90000}"/>
    <cellStyle name="SAPBEXstdExc1 3" xfId="59824" xr:uid="{00000000-0005-0000-0000-000079E90000}"/>
    <cellStyle name="SAPBEXstdExc1Emph" xfId="59825" xr:uid="{00000000-0005-0000-0000-00007AE90000}"/>
    <cellStyle name="SAPBEXstdExc1Emph 2" xfId="59826" xr:uid="{00000000-0005-0000-0000-00007BE90000}"/>
    <cellStyle name="SAPBEXstdExc1Emph 2 2" xfId="59827" xr:uid="{00000000-0005-0000-0000-00007CE90000}"/>
    <cellStyle name="SAPBEXstdExc1Emph 3" xfId="59828" xr:uid="{00000000-0005-0000-0000-00007DE90000}"/>
    <cellStyle name="SAPBEXstdExc2" xfId="59829" xr:uid="{00000000-0005-0000-0000-00007EE90000}"/>
    <cellStyle name="SAPBEXstdExc2 2" xfId="59830" xr:uid="{00000000-0005-0000-0000-00007FE90000}"/>
    <cellStyle name="SAPBEXstdExc2 2 2" xfId="59831" xr:uid="{00000000-0005-0000-0000-000080E90000}"/>
    <cellStyle name="SAPBEXstdExc2 3" xfId="59832" xr:uid="{00000000-0005-0000-0000-000081E90000}"/>
    <cellStyle name="SAPBEXstdExc2Emph" xfId="59833" xr:uid="{00000000-0005-0000-0000-000082E90000}"/>
    <cellStyle name="SAPBEXstdExc2Emph 2" xfId="59834" xr:uid="{00000000-0005-0000-0000-000083E90000}"/>
    <cellStyle name="SAPBEXstdExc2Emph 2 2" xfId="59835" xr:uid="{00000000-0005-0000-0000-000084E90000}"/>
    <cellStyle name="SAPBEXstdExc2Emph 3" xfId="59836" xr:uid="{00000000-0005-0000-0000-000085E90000}"/>
    <cellStyle name="SAPBEXstdItem" xfId="59837" xr:uid="{00000000-0005-0000-0000-000086E90000}"/>
    <cellStyle name="SAPBEXstdItem 10" xfId="59838" xr:uid="{00000000-0005-0000-0000-000087E90000}"/>
    <cellStyle name="SAPBEXstdItem 11" xfId="59839" xr:uid="{00000000-0005-0000-0000-000088E90000}"/>
    <cellStyle name="SAPBEXstdItem 2" xfId="59840" xr:uid="{00000000-0005-0000-0000-000089E90000}"/>
    <cellStyle name="SAPBEXstdItem 2 10" xfId="59841" xr:uid="{00000000-0005-0000-0000-00008AE90000}"/>
    <cellStyle name="SAPBEXstdItem 2 2" xfId="59842" xr:uid="{00000000-0005-0000-0000-00008BE90000}"/>
    <cellStyle name="SAPBEXstdItem 2 2 2" xfId="59843" xr:uid="{00000000-0005-0000-0000-00008CE90000}"/>
    <cellStyle name="SAPBEXstdItem 2 2 2 2" xfId="59844" xr:uid="{00000000-0005-0000-0000-00008DE90000}"/>
    <cellStyle name="SAPBEXstdItem 2 2 2 2 2" xfId="59845" xr:uid="{00000000-0005-0000-0000-00008EE90000}"/>
    <cellStyle name="SAPBEXstdItem 2 2 2 3" xfId="59846" xr:uid="{00000000-0005-0000-0000-00008FE90000}"/>
    <cellStyle name="SAPBEXstdItem 2 2 2 3 2" xfId="59847" xr:uid="{00000000-0005-0000-0000-000090E90000}"/>
    <cellStyle name="SAPBEXstdItem 2 2 2 4" xfId="59848" xr:uid="{00000000-0005-0000-0000-000091E90000}"/>
    <cellStyle name="SAPBEXstdItem 2 2 2 5" xfId="59849" xr:uid="{00000000-0005-0000-0000-000092E90000}"/>
    <cellStyle name="SAPBEXstdItem 2 2 3" xfId="59850" xr:uid="{00000000-0005-0000-0000-000093E90000}"/>
    <cellStyle name="SAPBEXstdItem 2 2 3 2" xfId="59851" xr:uid="{00000000-0005-0000-0000-000094E90000}"/>
    <cellStyle name="SAPBEXstdItem 2 2 4" xfId="59852" xr:uid="{00000000-0005-0000-0000-000095E90000}"/>
    <cellStyle name="SAPBEXstdItem 2 2 4 2" xfId="59853" xr:uid="{00000000-0005-0000-0000-000096E90000}"/>
    <cellStyle name="SAPBEXstdItem 2 2 5" xfId="59854" xr:uid="{00000000-0005-0000-0000-000097E90000}"/>
    <cellStyle name="SAPBEXstdItem 2 2 6" xfId="59855" xr:uid="{00000000-0005-0000-0000-000098E90000}"/>
    <cellStyle name="SAPBEXstdItem 2 3" xfId="59856" xr:uid="{00000000-0005-0000-0000-000099E90000}"/>
    <cellStyle name="SAPBEXstdItem 2 3 2" xfId="59857" xr:uid="{00000000-0005-0000-0000-00009AE90000}"/>
    <cellStyle name="SAPBEXstdItem 2 3 2 2" xfId="59858" xr:uid="{00000000-0005-0000-0000-00009BE90000}"/>
    <cellStyle name="SAPBEXstdItem 2 3 2 3" xfId="59859" xr:uid="{00000000-0005-0000-0000-00009CE90000}"/>
    <cellStyle name="SAPBEXstdItem 2 3 3" xfId="59860" xr:uid="{00000000-0005-0000-0000-00009DE90000}"/>
    <cellStyle name="SAPBEXstdItem 2 3 3 2" xfId="59861" xr:uid="{00000000-0005-0000-0000-00009EE90000}"/>
    <cellStyle name="SAPBEXstdItem 2 3 4" xfId="59862" xr:uid="{00000000-0005-0000-0000-00009FE90000}"/>
    <cellStyle name="SAPBEXstdItem 2 3 5" xfId="59863" xr:uid="{00000000-0005-0000-0000-0000A0E90000}"/>
    <cellStyle name="SAPBEXstdItem 2 4" xfId="59864" xr:uid="{00000000-0005-0000-0000-0000A1E90000}"/>
    <cellStyle name="SAPBEXstdItem 2 4 2" xfId="59865" xr:uid="{00000000-0005-0000-0000-0000A2E90000}"/>
    <cellStyle name="SAPBEXstdItem 2 4 2 2" xfId="59866" xr:uid="{00000000-0005-0000-0000-0000A3E90000}"/>
    <cellStyle name="SAPBEXstdItem 2 4 2 3" xfId="59867" xr:uid="{00000000-0005-0000-0000-0000A4E90000}"/>
    <cellStyle name="SAPBEXstdItem 2 4 3" xfId="59868" xr:uid="{00000000-0005-0000-0000-0000A5E90000}"/>
    <cellStyle name="SAPBEXstdItem 2 4 3 2" xfId="59869" xr:uid="{00000000-0005-0000-0000-0000A6E90000}"/>
    <cellStyle name="SAPBEXstdItem 2 4 4" xfId="59870" xr:uid="{00000000-0005-0000-0000-0000A7E90000}"/>
    <cellStyle name="SAPBEXstdItem 2 4 5" xfId="59871" xr:uid="{00000000-0005-0000-0000-0000A8E90000}"/>
    <cellStyle name="SAPBEXstdItem 2 5" xfId="59872" xr:uid="{00000000-0005-0000-0000-0000A9E90000}"/>
    <cellStyle name="SAPBEXstdItem 2 5 2" xfId="59873" xr:uid="{00000000-0005-0000-0000-0000AAE90000}"/>
    <cellStyle name="SAPBEXstdItem 2 5 2 2" xfId="59874" xr:uid="{00000000-0005-0000-0000-0000ABE90000}"/>
    <cellStyle name="SAPBEXstdItem 2 5 3" xfId="59875" xr:uid="{00000000-0005-0000-0000-0000ACE90000}"/>
    <cellStyle name="SAPBEXstdItem 2 6" xfId="59876" xr:uid="{00000000-0005-0000-0000-0000ADE90000}"/>
    <cellStyle name="SAPBEXstdItem 2 6 2" xfId="59877" xr:uid="{00000000-0005-0000-0000-0000AEE90000}"/>
    <cellStyle name="SAPBEXstdItem 2 6 2 2" xfId="59878" xr:uid="{00000000-0005-0000-0000-0000AFE90000}"/>
    <cellStyle name="SAPBEXstdItem 2 6 3" xfId="59879" xr:uid="{00000000-0005-0000-0000-0000B0E90000}"/>
    <cellStyle name="SAPBEXstdItem 2 7" xfId="59880" xr:uid="{00000000-0005-0000-0000-0000B1E90000}"/>
    <cellStyle name="SAPBEXstdItem 2 7 2" xfId="59881" xr:uid="{00000000-0005-0000-0000-0000B2E90000}"/>
    <cellStyle name="SAPBEXstdItem 2 7 2 2" xfId="59882" xr:uid="{00000000-0005-0000-0000-0000B3E90000}"/>
    <cellStyle name="SAPBEXstdItem 2 7 3" xfId="59883" xr:uid="{00000000-0005-0000-0000-0000B4E90000}"/>
    <cellStyle name="SAPBEXstdItem 2 8" xfId="59884" xr:uid="{00000000-0005-0000-0000-0000B5E90000}"/>
    <cellStyle name="SAPBEXstdItem 2 8 2" xfId="59885" xr:uid="{00000000-0005-0000-0000-0000B6E90000}"/>
    <cellStyle name="SAPBEXstdItem 2 9" xfId="59886" xr:uid="{00000000-0005-0000-0000-0000B7E90000}"/>
    <cellStyle name="SAPBEXstdItem 3" xfId="59887" xr:uid="{00000000-0005-0000-0000-0000B8E90000}"/>
    <cellStyle name="SAPBEXstdItem 3 10" xfId="59888" xr:uid="{00000000-0005-0000-0000-0000B9E90000}"/>
    <cellStyle name="SAPBEXstdItem 3 11" xfId="59889" xr:uid="{00000000-0005-0000-0000-0000BAE90000}"/>
    <cellStyle name="SAPBEXstdItem 3 2" xfId="59890" xr:uid="{00000000-0005-0000-0000-0000BBE90000}"/>
    <cellStyle name="SAPBEXstdItem 3 2 2" xfId="59891" xr:uid="{00000000-0005-0000-0000-0000BCE90000}"/>
    <cellStyle name="SAPBEXstdItem 3 2 2 2" xfId="59892" xr:uid="{00000000-0005-0000-0000-0000BDE90000}"/>
    <cellStyle name="SAPBEXstdItem 3 2 2 2 2" xfId="59893" xr:uid="{00000000-0005-0000-0000-0000BEE90000}"/>
    <cellStyle name="SAPBEXstdItem 3 2 2 3" xfId="59894" xr:uid="{00000000-0005-0000-0000-0000BFE90000}"/>
    <cellStyle name="SAPBEXstdItem 3 2 2 3 2" xfId="59895" xr:uid="{00000000-0005-0000-0000-0000C0E90000}"/>
    <cellStyle name="SAPBEXstdItem 3 2 2 4" xfId="59896" xr:uid="{00000000-0005-0000-0000-0000C1E90000}"/>
    <cellStyle name="SAPBEXstdItem 3 2 3" xfId="59897" xr:uid="{00000000-0005-0000-0000-0000C2E90000}"/>
    <cellStyle name="SAPBEXstdItem 3 2 3 2" xfId="59898" xr:uid="{00000000-0005-0000-0000-0000C3E90000}"/>
    <cellStyle name="SAPBEXstdItem 3 2 3 2 2" xfId="59899" xr:uid="{00000000-0005-0000-0000-0000C4E90000}"/>
    <cellStyle name="SAPBEXstdItem 3 2 3 3" xfId="59900" xr:uid="{00000000-0005-0000-0000-0000C5E90000}"/>
    <cellStyle name="SAPBEXstdItem 3 2 3 3 2" xfId="59901" xr:uid="{00000000-0005-0000-0000-0000C6E90000}"/>
    <cellStyle name="SAPBEXstdItem 3 2 3 4" xfId="59902" xr:uid="{00000000-0005-0000-0000-0000C7E90000}"/>
    <cellStyle name="SAPBEXstdItem 3 2 4" xfId="59903" xr:uid="{00000000-0005-0000-0000-0000C8E90000}"/>
    <cellStyle name="SAPBEXstdItem 3 2 4 2" xfId="59904" xr:uid="{00000000-0005-0000-0000-0000C9E90000}"/>
    <cellStyle name="SAPBEXstdItem 3 2 5" xfId="59905" xr:uid="{00000000-0005-0000-0000-0000CAE90000}"/>
    <cellStyle name="SAPBEXstdItem 3 2 5 2" xfId="59906" xr:uid="{00000000-0005-0000-0000-0000CBE90000}"/>
    <cellStyle name="SAPBEXstdItem 3 2 6" xfId="59907" xr:uid="{00000000-0005-0000-0000-0000CCE90000}"/>
    <cellStyle name="SAPBEXstdItem 3 2 7" xfId="59908" xr:uid="{00000000-0005-0000-0000-0000CDE90000}"/>
    <cellStyle name="SAPBEXstdItem 3 2 8" xfId="59909" xr:uid="{00000000-0005-0000-0000-0000CEE90000}"/>
    <cellStyle name="SAPBEXstdItem 3 3" xfId="59910" xr:uid="{00000000-0005-0000-0000-0000CFE90000}"/>
    <cellStyle name="SAPBEXstdItem 3 3 2" xfId="59911" xr:uid="{00000000-0005-0000-0000-0000D0E90000}"/>
    <cellStyle name="SAPBEXstdItem 3 3 2 2" xfId="59912" xr:uid="{00000000-0005-0000-0000-0000D1E90000}"/>
    <cellStyle name="SAPBEXstdItem 3 3 3" xfId="59913" xr:uid="{00000000-0005-0000-0000-0000D2E90000}"/>
    <cellStyle name="SAPBEXstdItem 3 3 3 2" xfId="59914" xr:uid="{00000000-0005-0000-0000-0000D3E90000}"/>
    <cellStyle name="SAPBEXstdItem 3 3 4" xfId="59915" xr:uid="{00000000-0005-0000-0000-0000D4E90000}"/>
    <cellStyle name="SAPBEXstdItem 3 3 5" xfId="59916" xr:uid="{00000000-0005-0000-0000-0000D5E90000}"/>
    <cellStyle name="SAPBEXstdItem 3 4" xfId="59917" xr:uid="{00000000-0005-0000-0000-0000D6E90000}"/>
    <cellStyle name="SAPBEXstdItem 3 4 2" xfId="59918" xr:uid="{00000000-0005-0000-0000-0000D7E90000}"/>
    <cellStyle name="SAPBEXstdItem 3 4 2 2" xfId="59919" xr:uid="{00000000-0005-0000-0000-0000D8E90000}"/>
    <cellStyle name="SAPBEXstdItem 3 4 3" xfId="59920" xr:uid="{00000000-0005-0000-0000-0000D9E90000}"/>
    <cellStyle name="SAPBEXstdItem 3 4 3 2" xfId="59921" xr:uid="{00000000-0005-0000-0000-0000DAE90000}"/>
    <cellStyle name="SAPBEXstdItem 3 4 4" xfId="59922" xr:uid="{00000000-0005-0000-0000-0000DBE90000}"/>
    <cellStyle name="SAPBEXstdItem 3 5" xfId="59923" xr:uid="{00000000-0005-0000-0000-0000DCE90000}"/>
    <cellStyle name="SAPBEXstdItem 3 5 2" xfId="59924" xr:uid="{00000000-0005-0000-0000-0000DDE90000}"/>
    <cellStyle name="SAPBEXstdItem 3 5 2 2" xfId="59925" xr:uid="{00000000-0005-0000-0000-0000DEE90000}"/>
    <cellStyle name="SAPBEXstdItem 3 5 3" xfId="59926" xr:uid="{00000000-0005-0000-0000-0000DFE90000}"/>
    <cellStyle name="SAPBEXstdItem 3 5 3 2" xfId="59927" xr:uid="{00000000-0005-0000-0000-0000E0E90000}"/>
    <cellStyle name="SAPBEXstdItem 3 5 4" xfId="59928" xr:uid="{00000000-0005-0000-0000-0000E1E90000}"/>
    <cellStyle name="SAPBEXstdItem 3 6" xfId="59929" xr:uid="{00000000-0005-0000-0000-0000E2E90000}"/>
    <cellStyle name="SAPBEXstdItem 3 6 2" xfId="59930" xr:uid="{00000000-0005-0000-0000-0000E3E90000}"/>
    <cellStyle name="SAPBEXstdItem 3 7" xfId="59931" xr:uid="{00000000-0005-0000-0000-0000E4E90000}"/>
    <cellStyle name="SAPBEXstdItem 3 7 2" xfId="59932" xr:uid="{00000000-0005-0000-0000-0000E5E90000}"/>
    <cellStyle name="SAPBEXstdItem 3 8" xfId="59933" xr:uid="{00000000-0005-0000-0000-0000E6E90000}"/>
    <cellStyle name="SAPBEXstdItem 3 8 2" xfId="59934" xr:uid="{00000000-0005-0000-0000-0000E7E90000}"/>
    <cellStyle name="SAPBEXstdItem 3 9" xfId="59935" xr:uid="{00000000-0005-0000-0000-0000E8E90000}"/>
    <cellStyle name="SAPBEXstdItem 4" xfId="59936" xr:uid="{00000000-0005-0000-0000-0000E9E90000}"/>
    <cellStyle name="SAPBEXstdItem 4 2" xfId="59937" xr:uid="{00000000-0005-0000-0000-0000EAE90000}"/>
    <cellStyle name="SAPBEXstdItem 4 2 2" xfId="59938" xr:uid="{00000000-0005-0000-0000-0000EBE90000}"/>
    <cellStyle name="SAPBEXstdItem 4 2 3" xfId="59939" xr:uid="{00000000-0005-0000-0000-0000ECE90000}"/>
    <cellStyle name="SAPBEXstdItem 4 3" xfId="59940" xr:uid="{00000000-0005-0000-0000-0000EDE90000}"/>
    <cellStyle name="SAPBEXstdItem 4 3 2" xfId="59941" xr:uid="{00000000-0005-0000-0000-0000EEE90000}"/>
    <cellStyle name="SAPBEXstdItem 4 4" xfId="59942" xr:uid="{00000000-0005-0000-0000-0000EFE90000}"/>
    <cellStyle name="SAPBEXstdItem 4 5" xfId="59943" xr:uid="{00000000-0005-0000-0000-0000F0E90000}"/>
    <cellStyle name="SAPBEXstdItem 4 6" xfId="59944" xr:uid="{00000000-0005-0000-0000-0000F1E90000}"/>
    <cellStyle name="SAPBEXstdItem 4 7" xfId="59945" xr:uid="{00000000-0005-0000-0000-0000F2E90000}"/>
    <cellStyle name="SAPBEXstdItem 4 8" xfId="59946" xr:uid="{00000000-0005-0000-0000-0000F3E90000}"/>
    <cellStyle name="SAPBEXstdItem 4 9" xfId="59947" xr:uid="{00000000-0005-0000-0000-0000F4E90000}"/>
    <cellStyle name="SAPBEXstdItem 5" xfId="59948" xr:uid="{00000000-0005-0000-0000-0000F5E90000}"/>
    <cellStyle name="SAPBEXstdItem 5 2" xfId="59949" xr:uid="{00000000-0005-0000-0000-0000F6E90000}"/>
    <cellStyle name="SAPBEXstdItem 5 2 2" xfId="59950" xr:uid="{00000000-0005-0000-0000-0000F7E90000}"/>
    <cellStyle name="SAPBEXstdItem 5 2 3" xfId="59951" xr:uid="{00000000-0005-0000-0000-0000F8E90000}"/>
    <cellStyle name="SAPBEXstdItem 5 3" xfId="59952" xr:uid="{00000000-0005-0000-0000-0000F9E90000}"/>
    <cellStyle name="SAPBEXstdItem 5 3 2" xfId="59953" xr:uid="{00000000-0005-0000-0000-0000FAE90000}"/>
    <cellStyle name="SAPBEXstdItem 5 4" xfId="59954" xr:uid="{00000000-0005-0000-0000-0000FBE90000}"/>
    <cellStyle name="SAPBEXstdItem 5 5" xfId="59955" xr:uid="{00000000-0005-0000-0000-0000FCE90000}"/>
    <cellStyle name="SAPBEXstdItem 6" xfId="59956" xr:uid="{00000000-0005-0000-0000-0000FDE90000}"/>
    <cellStyle name="SAPBEXstdItem 6 2" xfId="59957" xr:uid="{00000000-0005-0000-0000-0000FEE90000}"/>
    <cellStyle name="SAPBEXstdItem 6 2 2" xfId="59958" xr:uid="{00000000-0005-0000-0000-0000FFE90000}"/>
    <cellStyle name="SAPBEXstdItem 6 2 3" xfId="59959" xr:uid="{00000000-0005-0000-0000-000000EA0000}"/>
    <cellStyle name="SAPBEXstdItem 6 3" xfId="59960" xr:uid="{00000000-0005-0000-0000-000001EA0000}"/>
    <cellStyle name="SAPBEXstdItem 6 3 2" xfId="59961" xr:uid="{00000000-0005-0000-0000-000002EA0000}"/>
    <cellStyle name="SAPBEXstdItem 6 4" xfId="59962" xr:uid="{00000000-0005-0000-0000-000003EA0000}"/>
    <cellStyle name="SAPBEXstdItem 6 5" xfId="59963" xr:uid="{00000000-0005-0000-0000-000004EA0000}"/>
    <cellStyle name="SAPBEXstdItem 6 6" xfId="59964" xr:uid="{00000000-0005-0000-0000-000005EA0000}"/>
    <cellStyle name="SAPBEXstdItem 6 7" xfId="59965" xr:uid="{00000000-0005-0000-0000-000006EA0000}"/>
    <cellStyle name="SAPBEXstdItem 7" xfId="59966" xr:uid="{00000000-0005-0000-0000-000007EA0000}"/>
    <cellStyle name="SAPBEXstdItem 7 2" xfId="59967" xr:uid="{00000000-0005-0000-0000-000008EA0000}"/>
    <cellStyle name="SAPBEXstdItem 7 2 2" xfId="59968" xr:uid="{00000000-0005-0000-0000-000009EA0000}"/>
    <cellStyle name="SAPBEXstdItem 7 3" xfId="59969" xr:uid="{00000000-0005-0000-0000-00000AEA0000}"/>
    <cellStyle name="SAPBEXstdItem 8" xfId="59970" xr:uid="{00000000-0005-0000-0000-00000BEA0000}"/>
    <cellStyle name="SAPBEXstdItem 8 2" xfId="59971" xr:uid="{00000000-0005-0000-0000-00000CEA0000}"/>
    <cellStyle name="SAPBEXstdItem 8 3" xfId="59972" xr:uid="{00000000-0005-0000-0000-00000DEA0000}"/>
    <cellStyle name="SAPBEXstdItem 9" xfId="59973" xr:uid="{00000000-0005-0000-0000-00000EEA0000}"/>
    <cellStyle name="SAPBEXstdItem 9 2" xfId="59974" xr:uid="{00000000-0005-0000-0000-00000FEA0000}"/>
    <cellStyle name="SAPBEXstdItem_13737 3p Contracts v3" xfId="59975" xr:uid="{00000000-0005-0000-0000-000010EA0000}"/>
    <cellStyle name="SAPBEXstdItemX" xfId="59976" xr:uid="{00000000-0005-0000-0000-000011EA0000}"/>
    <cellStyle name="SAPBEXstdItemX 10" xfId="59977" xr:uid="{00000000-0005-0000-0000-000012EA0000}"/>
    <cellStyle name="SAPBEXstdItemX 10 2" xfId="59978" xr:uid="{00000000-0005-0000-0000-000013EA0000}"/>
    <cellStyle name="SAPBEXstdItemX 11" xfId="59979" xr:uid="{00000000-0005-0000-0000-000014EA0000}"/>
    <cellStyle name="SAPBEXstdItemX 11 2" xfId="59980" xr:uid="{00000000-0005-0000-0000-000015EA0000}"/>
    <cellStyle name="SAPBEXstdItemX 12" xfId="59981" xr:uid="{00000000-0005-0000-0000-000016EA0000}"/>
    <cellStyle name="SAPBEXstdItemX 12 2" xfId="59982" xr:uid="{00000000-0005-0000-0000-000017EA0000}"/>
    <cellStyle name="SAPBEXstdItemX 13" xfId="59983" xr:uid="{00000000-0005-0000-0000-000018EA0000}"/>
    <cellStyle name="SAPBEXstdItemX 14" xfId="59984" xr:uid="{00000000-0005-0000-0000-000019EA0000}"/>
    <cellStyle name="SAPBEXstdItemX 15" xfId="59985" xr:uid="{00000000-0005-0000-0000-00001AEA0000}"/>
    <cellStyle name="SAPBEXstdItemX 2" xfId="59986" xr:uid="{00000000-0005-0000-0000-00001BEA0000}"/>
    <cellStyle name="SAPBEXstdItemX 2 10" xfId="59987" xr:uid="{00000000-0005-0000-0000-00001CEA0000}"/>
    <cellStyle name="SAPBEXstdItemX 2 11" xfId="59988" xr:uid="{00000000-0005-0000-0000-00001DEA0000}"/>
    <cellStyle name="SAPBEXstdItemX 2 12" xfId="59989" xr:uid="{00000000-0005-0000-0000-00001EEA0000}"/>
    <cellStyle name="SAPBEXstdItemX 2 13" xfId="59990" xr:uid="{00000000-0005-0000-0000-00001FEA0000}"/>
    <cellStyle name="SAPBEXstdItemX 2 2" xfId="59991" xr:uid="{00000000-0005-0000-0000-000020EA0000}"/>
    <cellStyle name="SAPBEXstdItemX 2 2 10" xfId="59992" xr:uid="{00000000-0005-0000-0000-000021EA0000}"/>
    <cellStyle name="SAPBEXstdItemX 2 2 2" xfId="59993" xr:uid="{00000000-0005-0000-0000-000022EA0000}"/>
    <cellStyle name="SAPBEXstdItemX 2 2 2 2" xfId="59994" xr:uid="{00000000-0005-0000-0000-000023EA0000}"/>
    <cellStyle name="SAPBEXstdItemX 2 2 2 2 2" xfId="59995" xr:uid="{00000000-0005-0000-0000-000024EA0000}"/>
    <cellStyle name="SAPBEXstdItemX 2 2 2 3" xfId="59996" xr:uid="{00000000-0005-0000-0000-000025EA0000}"/>
    <cellStyle name="SAPBEXstdItemX 2 2 2 3 2" xfId="59997" xr:uid="{00000000-0005-0000-0000-000026EA0000}"/>
    <cellStyle name="SAPBEXstdItemX 2 2 2 4" xfId="59998" xr:uid="{00000000-0005-0000-0000-000027EA0000}"/>
    <cellStyle name="SAPBEXstdItemX 2 2 2 4 2" xfId="59999" xr:uid="{00000000-0005-0000-0000-000028EA0000}"/>
    <cellStyle name="SAPBEXstdItemX 2 2 2 5" xfId="60000" xr:uid="{00000000-0005-0000-0000-000029EA0000}"/>
    <cellStyle name="SAPBEXstdItemX 2 2 2 6" xfId="60001" xr:uid="{00000000-0005-0000-0000-00002AEA0000}"/>
    <cellStyle name="SAPBEXstdItemX 2 2 2 7" xfId="60002" xr:uid="{00000000-0005-0000-0000-00002BEA0000}"/>
    <cellStyle name="SAPBEXstdItemX 2 2 3" xfId="60003" xr:uid="{00000000-0005-0000-0000-00002CEA0000}"/>
    <cellStyle name="SAPBEXstdItemX 2 2 3 2" xfId="60004" xr:uid="{00000000-0005-0000-0000-00002DEA0000}"/>
    <cellStyle name="SAPBEXstdItemX 2 2 3 2 2" xfId="60005" xr:uid="{00000000-0005-0000-0000-00002EEA0000}"/>
    <cellStyle name="SAPBEXstdItemX 2 2 3 3" xfId="60006" xr:uid="{00000000-0005-0000-0000-00002FEA0000}"/>
    <cellStyle name="SAPBEXstdItemX 2 2 3 3 2" xfId="60007" xr:uid="{00000000-0005-0000-0000-000030EA0000}"/>
    <cellStyle name="SAPBEXstdItemX 2 2 3 4" xfId="60008" xr:uid="{00000000-0005-0000-0000-000031EA0000}"/>
    <cellStyle name="SAPBEXstdItemX 2 2 4" xfId="60009" xr:uid="{00000000-0005-0000-0000-000032EA0000}"/>
    <cellStyle name="SAPBEXstdItemX 2 2 4 2" xfId="60010" xr:uid="{00000000-0005-0000-0000-000033EA0000}"/>
    <cellStyle name="SAPBEXstdItemX 2 2 4 2 2" xfId="60011" xr:uid="{00000000-0005-0000-0000-000034EA0000}"/>
    <cellStyle name="SAPBEXstdItemX 2 2 4 3" xfId="60012" xr:uid="{00000000-0005-0000-0000-000035EA0000}"/>
    <cellStyle name="SAPBEXstdItemX 2 2 4 3 2" xfId="60013" xr:uid="{00000000-0005-0000-0000-000036EA0000}"/>
    <cellStyle name="SAPBEXstdItemX 2 2 4 4" xfId="60014" xr:uid="{00000000-0005-0000-0000-000037EA0000}"/>
    <cellStyle name="SAPBEXstdItemX 2 2 5" xfId="60015" xr:uid="{00000000-0005-0000-0000-000038EA0000}"/>
    <cellStyle name="SAPBEXstdItemX 2 2 5 2" xfId="60016" xr:uid="{00000000-0005-0000-0000-000039EA0000}"/>
    <cellStyle name="SAPBEXstdItemX 2 2 6" xfId="60017" xr:uid="{00000000-0005-0000-0000-00003AEA0000}"/>
    <cellStyle name="SAPBEXstdItemX 2 2 6 2" xfId="60018" xr:uid="{00000000-0005-0000-0000-00003BEA0000}"/>
    <cellStyle name="SAPBEXstdItemX 2 2 7" xfId="60019" xr:uid="{00000000-0005-0000-0000-00003CEA0000}"/>
    <cellStyle name="SAPBEXstdItemX 2 2 7 2" xfId="60020" xr:uid="{00000000-0005-0000-0000-00003DEA0000}"/>
    <cellStyle name="SAPBEXstdItemX 2 2 8" xfId="60021" xr:uid="{00000000-0005-0000-0000-00003EEA0000}"/>
    <cellStyle name="SAPBEXstdItemX 2 2 9" xfId="60022" xr:uid="{00000000-0005-0000-0000-00003FEA0000}"/>
    <cellStyle name="SAPBEXstdItemX 2 3" xfId="60023" xr:uid="{00000000-0005-0000-0000-000040EA0000}"/>
    <cellStyle name="SAPBEXstdItemX 2 3 2" xfId="60024" xr:uid="{00000000-0005-0000-0000-000041EA0000}"/>
    <cellStyle name="SAPBEXstdItemX 2 3 2 2" xfId="60025" xr:uid="{00000000-0005-0000-0000-000042EA0000}"/>
    <cellStyle name="SAPBEXstdItemX 2 3 3" xfId="60026" xr:uid="{00000000-0005-0000-0000-000043EA0000}"/>
    <cellStyle name="SAPBEXstdItemX 2 3 3 2" xfId="60027" xr:uid="{00000000-0005-0000-0000-000044EA0000}"/>
    <cellStyle name="SAPBEXstdItemX 2 3 4" xfId="60028" xr:uid="{00000000-0005-0000-0000-000045EA0000}"/>
    <cellStyle name="SAPBEXstdItemX 2 3 4 2" xfId="60029" xr:uid="{00000000-0005-0000-0000-000046EA0000}"/>
    <cellStyle name="SAPBEXstdItemX 2 3 5" xfId="60030" xr:uid="{00000000-0005-0000-0000-000047EA0000}"/>
    <cellStyle name="SAPBEXstdItemX 2 3 6" xfId="60031" xr:uid="{00000000-0005-0000-0000-000048EA0000}"/>
    <cellStyle name="SAPBEXstdItemX 2 3 7" xfId="60032" xr:uid="{00000000-0005-0000-0000-000049EA0000}"/>
    <cellStyle name="SAPBEXstdItemX 2 4" xfId="60033" xr:uid="{00000000-0005-0000-0000-00004AEA0000}"/>
    <cellStyle name="SAPBEXstdItemX 2 4 2" xfId="60034" xr:uid="{00000000-0005-0000-0000-00004BEA0000}"/>
    <cellStyle name="SAPBEXstdItemX 2 4 2 2" xfId="60035" xr:uid="{00000000-0005-0000-0000-00004CEA0000}"/>
    <cellStyle name="SAPBEXstdItemX 2 4 3" xfId="60036" xr:uid="{00000000-0005-0000-0000-00004DEA0000}"/>
    <cellStyle name="SAPBEXstdItemX 2 4 3 2" xfId="60037" xr:uid="{00000000-0005-0000-0000-00004EEA0000}"/>
    <cellStyle name="SAPBEXstdItemX 2 4 4" xfId="60038" xr:uid="{00000000-0005-0000-0000-00004FEA0000}"/>
    <cellStyle name="SAPBEXstdItemX 2 4 4 2" xfId="60039" xr:uid="{00000000-0005-0000-0000-000050EA0000}"/>
    <cellStyle name="SAPBEXstdItemX 2 4 5" xfId="60040" xr:uid="{00000000-0005-0000-0000-000051EA0000}"/>
    <cellStyle name="SAPBEXstdItemX 2 5" xfId="60041" xr:uid="{00000000-0005-0000-0000-000052EA0000}"/>
    <cellStyle name="SAPBEXstdItemX 2 5 2" xfId="60042" xr:uid="{00000000-0005-0000-0000-000053EA0000}"/>
    <cellStyle name="SAPBEXstdItemX 2 5 2 2" xfId="60043" xr:uid="{00000000-0005-0000-0000-000054EA0000}"/>
    <cellStyle name="SAPBEXstdItemX 2 5 3" xfId="60044" xr:uid="{00000000-0005-0000-0000-000055EA0000}"/>
    <cellStyle name="SAPBEXstdItemX 2 5 3 2" xfId="60045" xr:uid="{00000000-0005-0000-0000-000056EA0000}"/>
    <cellStyle name="SAPBEXstdItemX 2 5 4" xfId="60046" xr:uid="{00000000-0005-0000-0000-000057EA0000}"/>
    <cellStyle name="SAPBEXstdItemX 2 6" xfId="60047" xr:uid="{00000000-0005-0000-0000-000058EA0000}"/>
    <cellStyle name="SAPBEXstdItemX 2 6 2" xfId="60048" xr:uid="{00000000-0005-0000-0000-000059EA0000}"/>
    <cellStyle name="SAPBEXstdItemX 2 7" xfId="60049" xr:uid="{00000000-0005-0000-0000-00005AEA0000}"/>
    <cellStyle name="SAPBEXstdItemX 2 7 2" xfId="60050" xr:uid="{00000000-0005-0000-0000-00005BEA0000}"/>
    <cellStyle name="SAPBEXstdItemX 2 8" xfId="60051" xr:uid="{00000000-0005-0000-0000-00005CEA0000}"/>
    <cellStyle name="SAPBEXstdItemX 2 8 2" xfId="60052" xr:uid="{00000000-0005-0000-0000-00005DEA0000}"/>
    <cellStyle name="SAPBEXstdItemX 2 9" xfId="60053" xr:uid="{00000000-0005-0000-0000-00005EEA0000}"/>
    <cellStyle name="SAPBEXstdItemX 2 9 2" xfId="60054" xr:uid="{00000000-0005-0000-0000-00005FEA0000}"/>
    <cellStyle name="SAPBEXstdItemX 3" xfId="60055" xr:uid="{00000000-0005-0000-0000-000060EA0000}"/>
    <cellStyle name="SAPBEXstdItemX 3 10" xfId="60056" xr:uid="{00000000-0005-0000-0000-000061EA0000}"/>
    <cellStyle name="SAPBEXstdItemX 3 2" xfId="60057" xr:uid="{00000000-0005-0000-0000-000062EA0000}"/>
    <cellStyle name="SAPBEXstdItemX 3 2 2" xfId="60058" xr:uid="{00000000-0005-0000-0000-000063EA0000}"/>
    <cellStyle name="SAPBEXstdItemX 3 2 2 2" xfId="60059" xr:uid="{00000000-0005-0000-0000-000064EA0000}"/>
    <cellStyle name="SAPBEXstdItemX 3 2 2 2 2" xfId="60060" xr:uid="{00000000-0005-0000-0000-000065EA0000}"/>
    <cellStyle name="SAPBEXstdItemX 3 2 2 3" xfId="60061" xr:uid="{00000000-0005-0000-0000-000066EA0000}"/>
    <cellStyle name="SAPBEXstdItemX 3 2 2 3 2" xfId="60062" xr:uid="{00000000-0005-0000-0000-000067EA0000}"/>
    <cellStyle name="SAPBEXstdItemX 3 2 2 4" xfId="60063" xr:uid="{00000000-0005-0000-0000-000068EA0000}"/>
    <cellStyle name="SAPBEXstdItemX 3 2 3" xfId="60064" xr:uid="{00000000-0005-0000-0000-000069EA0000}"/>
    <cellStyle name="SAPBEXstdItemX 3 2 3 2" xfId="60065" xr:uid="{00000000-0005-0000-0000-00006AEA0000}"/>
    <cellStyle name="SAPBEXstdItemX 3 2 3 2 2" xfId="60066" xr:uid="{00000000-0005-0000-0000-00006BEA0000}"/>
    <cellStyle name="SAPBEXstdItemX 3 2 3 3" xfId="60067" xr:uid="{00000000-0005-0000-0000-00006CEA0000}"/>
    <cellStyle name="SAPBEXstdItemX 3 2 3 3 2" xfId="60068" xr:uid="{00000000-0005-0000-0000-00006DEA0000}"/>
    <cellStyle name="SAPBEXstdItemX 3 2 3 4" xfId="60069" xr:uid="{00000000-0005-0000-0000-00006EEA0000}"/>
    <cellStyle name="SAPBEXstdItemX 3 2 4" xfId="60070" xr:uid="{00000000-0005-0000-0000-00006FEA0000}"/>
    <cellStyle name="SAPBEXstdItemX 3 2 4 2" xfId="60071" xr:uid="{00000000-0005-0000-0000-000070EA0000}"/>
    <cellStyle name="SAPBEXstdItemX 3 2 5" xfId="60072" xr:uid="{00000000-0005-0000-0000-000071EA0000}"/>
    <cellStyle name="SAPBEXstdItemX 3 2 5 2" xfId="60073" xr:uid="{00000000-0005-0000-0000-000072EA0000}"/>
    <cellStyle name="SAPBEXstdItemX 3 2 6" xfId="60074" xr:uid="{00000000-0005-0000-0000-000073EA0000}"/>
    <cellStyle name="SAPBEXstdItemX 3 2 6 2" xfId="60075" xr:uid="{00000000-0005-0000-0000-000074EA0000}"/>
    <cellStyle name="SAPBEXstdItemX 3 2 7" xfId="60076" xr:uid="{00000000-0005-0000-0000-000075EA0000}"/>
    <cellStyle name="SAPBEXstdItemX 3 2 8" xfId="60077" xr:uid="{00000000-0005-0000-0000-000076EA0000}"/>
    <cellStyle name="SAPBEXstdItemX 3 2 9" xfId="60078" xr:uid="{00000000-0005-0000-0000-000077EA0000}"/>
    <cellStyle name="SAPBEXstdItemX 3 3" xfId="60079" xr:uid="{00000000-0005-0000-0000-000078EA0000}"/>
    <cellStyle name="SAPBEXstdItemX 3 3 2" xfId="60080" xr:uid="{00000000-0005-0000-0000-000079EA0000}"/>
    <cellStyle name="SAPBEXstdItemX 3 3 2 2" xfId="60081" xr:uid="{00000000-0005-0000-0000-00007AEA0000}"/>
    <cellStyle name="SAPBEXstdItemX 3 3 3" xfId="60082" xr:uid="{00000000-0005-0000-0000-00007BEA0000}"/>
    <cellStyle name="SAPBEXstdItemX 3 3 3 2" xfId="60083" xr:uid="{00000000-0005-0000-0000-00007CEA0000}"/>
    <cellStyle name="SAPBEXstdItemX 3 3 4" xfId="60084" xr:uid="{00000000-0005-0000-0000-00007DEA0000}"/>
    <cellStyle name="SAPBEXstdItemX 3 4" xfId="60085" xr:uid="{00000000-0005-0000-0000-00007EEA0000}"/>
    <cellStyle name="SAPBEXstdItemX 3 4 2" xfId="60086" xr:uid="{00000000-0005-0000-0000-00007FEA0000}"/>
    <cellStyle name="SAPBEXstdItemX 3 4 2 2" xfId="60087" xr:uid="{00000000-0005-0000-0000-000080EA0000}"/>
    <cellStyle name="SAPBEXstdItemX 3 4 3" xfId="60088" xr:uid="{00000000-0005-0000-0000-000081EA0000}"/>
    <cellStyle name="SAPBEXstdItemX 3 4 3 2" xfId="60089" xr:uid="{00000000-0005-0000-0000-000082EA0000}"/>
    <cellStyle name="SAPBEXstdItemX 3 4 4" xfId="60090" xr:uid="{00000000-0005-0000-0000-000083EA0000}"/>
    <cellStyle name="SAPBEXstdItemX 3 5" xfId="60091" xr:uid="{00000000-0005-0000-0000-000084EA0000}"/>
    <cellStyle name="SAPBEXstdItemX 3 5 2" xfId="60092" xr:uid="{00000000-0005-0000-0000-000085EA0000}"/>
    <cellStyle name="SAPBEXstdItemX 3 5 2 2" xfId="60093" xr:uid="{00000000-0005-0000-0000-000086EA0000}"/>
    <cellStyle name="SAPBEXstdItemX 3 5 3" xfId="60094" xr:uid="{00000000-0005-0000-0000-000087EA0000}"/>
    <cellStyle name="SAPBEXstdItemX 3 5 3 2" xfId="60095" xr:uid="{00000000-0005-0000-0000-000088EA0000}"/>
    <cellStyle name="SAPBEXstdItemX 3 5 4" xfId="60096" xr:uid="{00000000-0005-0000-0000-000089EA0000}"/>
    <cellStyle name="SAPBEXstdItemX 3 6" xfId="60097" xr:uid="{00000000-0005-0000-0000-00008AEA0000}"/>
    <cellStyle name="SAPBEXstdItemX 3 6 2" xfId="60098" xr:uid="{00000000-0005-0000-0000-00008BEA0000}"/>
    <cellStyle name="SAPBEXstdItemX 3 7" xfId="60099" xr:uid="{00000000-0005-0000-0000-00008CEA0000}"/>
    <cellStyle name="SAPBEXstdItemX 3 7 2" xfId="60100" xr:uid="{00000000-0005-0000-0000-00008DEA0000}"/>
    <cellStyle name="SAPBEXstdItemX 3 8" xfId="60101" xr:uid="{00000000-0005-0000-0000-00008EEA0000}"/>
    <cellStyle name="SAPBEXstdItemX 3 8 2" xfId="60102" xr:uid="{00000000-0005-0000-0000-00008FEA0000}"/>
    <cellStyle name="SAPBEXstdItemX 3 9" xfId="60103" xr:uid="{00000000-0005-0000-0000-000090EA0000}"/>
    <cellStyle name="SAPBEXstdItemX 4" xfId="60104" xr:uid="{00000000-0005-0000-0000-000091EA0000}"/>
    <cellStyle name="SAPBEXstdItemX 4 10" xfId="60105" xr:uid="{00000000-0005-0000-0000-000092EA0000}"/>
    <cellStyle name="SAPBEXstdItemX 4 2" xfId="60106" xr:uid="{00000000-0005-0000-0000-000093EA0000}"/>
    <cellStyle name="SAPBEXstdItemX 4 2 2" xfId="60107" xr:uid="{00000000-0005-0000-0000-000094EA0000}"/>
    <cellStyle name="SAPBEXstdItemX 4 2 2 2" xfId="60108" xr:uid="{00000000-0005-0000-0000-000095EA0000}"/>
    <cellStyle name="SAPBEXstdItemX 4 2 2 2 2" xfId="60109" xr:uid="{00000000-0005-0000-0000-000096EA0000}"/>
    <cellStyle name="SAPBEXstdItemX 4 2 2 3" xfId="60110" xr:uid="{00000000-0005-0000-0000-000097EA0000}"/>
    <cellStyle name="SAPBEXstdItemX 4 2 2 3 2" xfId="60111" xr:uid="{00000000-0005-0000-0000-000098EA0000}"/>
    <cellStyle name="SAPBEXstdItemX 4 2 2 4" xfId="60112" xr:uid="{00000000-0005-0000-0000-000099EA0000}"/>
    <cellStyle name="SAPBEXstdItemX 4 2 3" xfId="60113" xr:uid="{00000000-0005-0000-0000-00009AEA0000}"/>
    <cellStyle name="SAPBEXstdItemX 4 2 3 2" xfId="60114" xr:uid="{00000000-0005-0000-0000-00009BEA0000}"/>
    <cellStyle name="SAPBEXstdItemX 4 2 3 2 2" xfId="60115" xr:uid="{00000000-0005-0000-0000-00009CEA0000}"/>
    <cellStyle name="SAPBEXstdItemX 4 2 3 3" xfId="60116" xr:uid="{00000000-0005-0000-0000-00009DEA0000}"/>
    <cellStyle name="SAPBEXstdItemX 4 2 3 3 2" xfId="60117" xr:uid="{00000000-0005-0000-0000-00009EEA0000}"/>
    <cellStyle name="SAPBEXstdItemX 4 2 3 4" xfId="60118" xr:uid="{00000000-0005-0000-0000-00009FEA0000}"/>
    <cellStyle name="SAPBEXstdItemX 4 2 4" xfId="60119" xr:uid="{00000000-0005-0000-0000-0000A0EA0000}"/>
    <cellStyle name="SAPBEXstdItemX 4 2 4 2" xfId="60120" xr:uid="{00000000-0005-0000-0000-0000A1EA0000}"/>
    <cellStyle name="SAPBEXstdItemX 4 2 5" xfId="60121" xr:uid="{00000000-0005-0000-0000-0000A2EA0000}"/>
    <cellStyle name="SAPBEXstdItemX 4 2 5 2" xfId="60122" xr:uid="{00000000-0005-0000-0000-0000A3EA0000}"/>
    <cellStyle name="SAPBEXstdItemX 4 2 6" xfId="60123" xr:uid="{00000000-0005-0000-0000-0000A4EA0000}"/>
    <cellStyle name="SAPBEXstdItemX 4 2 6 2" xfId="60124" xr:uid="{00000000-0005-0000-0000-0000A5EA0000}"/>
    <cellStyle name="SAPBEXstdItemX 4 2 7" xfId="60125" xr:uid="{00000000-0005-0000-0000-0000A6EA0000}"/>
    <cellStyle name="SAPBEXstdItemX 4 3" xfId="60126" xr:uid="{00000000-0005-0000-0000-0000A7EA0000}"/>
    <cellStyle name="SAPBEXstdItemX 4 3 2" xfId="60127" xr:uid="{00000000-0005-0000-0000-0000A8EA0000}"/>
    <cellStyle name="SAPBEXstdItemX 4 3 2 2" xfId="60128" xr:uid="{00000000-0005-0000-0000-0000A9EA0000}"/>
    <cellStyle name="SAPBEXstdItemX 4 3 3" xfId="60129" xr:uid="{00000000-0005-0000-0000-0000AAEA0000}"/>
    <cellStyle name="SAPBEXstdItemX 4 3 3 2" xfId="60130" xr:uid="{00000000-0005-0000-0000-0000ABEA0000}"/>
    <cellStyle name="SAPBEXstdItemX 4 3 4" xfId="60131" xr:uid="{00000000-0005-0000-0000-0000ACEA0000}"/>
    <cellStyle name="SAPBEXstdItemX 4 4" xfId="60132" xr:uid="{00000000-0005-0000-0000-0000ADEA0000}"/>
    <cellStyle name="SAPBEXstdItemX 4 4 2" xfId="60133" xr:uid="{00000000-0005-0000-0000-0000AEEA0000}"/>
    <cellStyle name="SAPBEXstdItemX 4 4 2 2" xfId="60134" xr:uid="{00000000-0005-0000-0000-0000AFEA0000}"/>
    <cellStyle name="SAPBEXstdItemX 4 4 3" xfId="60135" xr:uid="{00000000-0005-0000-0000-0000B0EA0000}"/>
    <cellStyle name="SAPBEXstdItemX 4 4 3 2" xfId="60136" xr:uid="{00000000-0005-0000-0000-0000B1EA0000}"/>
    <cellStyle name="SAPBEXstdItemX 4 4 4" xfId="60137" xr:uid="{00000000-0005-0000-0000-0000B2EA0000}"/>
    <cellStyle name="SAPBEXstdItemX 4 5" xfId="60138" xr:uid="{00000000-0005-0000-0000-0000B3EA0000}"/>
    <cellStyle name="SAPBEXstdItemX 4 5 2" xfId="60139" xr:uid="{00000000-0005-0000-0000-0000B4EA0000}"/>
    <cellStyle name="SAPBEXstdItemX 4 6" xfId="60140" xr:uid="{00000000-0005-0000-0000-0000B5EA0000}"/>
    <cellStyle name="SAPBEXstdItemX 4 6 2" xfId="60141" xr:uid="{00000000-0005-0000-0000-0000B6EA0000}"/>
    <cellStyle name="SAPBEXstdItemX 4 7" xfId="60142" xr:uid="{00000000-0005-0000-0000-0000B7EA0000}"/>
    <cellStyle name="SAPBEXstdItemX 4 7 2" xfId="60143" xr:uid="{00000000-0005-0000-0000-0000B8EA0000}"/>
    <cellStyle name="SAPBEXstdItemX 4 8" xfId="60144" xr:uid="{00000000-0005-0000-0000-0000B9EA0000}"/>
    <cellStyle name="SAPBEXstdItemX 4 9" xfId="60145" xr:uid="{00000000-0005-0000-0000-0000BAEA0000}"/>
    <cellStyle name="SAPBEXstdItemX 5" xfId="60146" xr:uid="{00000000-0005-0000-0000-0000BBEA0000}"/>
    <cellStyle name="SAPBEXstdItemX 5 2" xfId="60147" xr:uid="{00000000-0005-0000-0000-0000BCEA0000}"/>
    <cellStyle name="SAPBEXstdItemX 5 2 2" xfId="60148" xr:uid="{00000000-0005-0000-0000-0000BDEA0000}"/>
    <cellStyle name="SAPBEXstdItemX 5 3" xfId="60149" xr:uid="{00000000-0005-0000-0000-0000BEEA0000}"/>
    <cellStyle name="SAPBEXstdItemX 5 3 2" xfId="60150" xr:uid="{00000000-0005-0000-0000-0000BFEA0000}"/>
    <cellStyle name="SAPBEXstdItemX 5 4" xfId="60151" xr:uid="{00000000-0005-0000-0000-0000C0EA0000}"/>
    <cellStyle name="SAPBEXstdItemX 5 4 2" xfId="60152" xr:uid="{00000000-0005-0000-0000-0000C1EA0000}"/>
    <cellStyle name="SAPBEXstdItemX 5 5" xfId="60153" xr:uid="{00000000-0005-0000-0000-0000C2EA0000}"/>
    <cellStyle name="SAPBEXstdItemX 5 6" xfId="60154" xr:uid="{00000000-0005-0000-0000-0000C3EA0000}"/>
    <cellStyle name="SAPBEXstdItemX 5 7" xfId="60155" xr:uid="{00000000-0005-0000-0000-0000C4EA0000}"/>
    <cellStyle name="SAPBEXstdItemX 6" xfId="60156" xr:uid="{00000000-0005-0000-0000-0000C5EA0000}"/>
    <cellStyle name="SAPBEXstdItemX 6 2" xfId="60157" xr:uid="{00000000-0005-0000-0000-0000C6EA0000}"/>
    <cellStyle name="SAPBEXstdItemX 6 2 2" xfId="60158" xr:uid="{00000000-0005-0000-0000-0000C7EA0000}"/>
    <cellStyle name="SAPBEXstdItemX 6 3" xfId="60159" xr:uid="{00000000-0005-0000-0000-0000C8EA0000}"/>
    <cellStyle name="SAPBEXstdItemX 6 3 2" xfId="60160" xr:uid="{00000000-0005-0000-0000-0000C9EA0000}"/>
    <cellStyle name="SAPBEXstdItemX 6 4" xfId="60161" xr:uid="{00000000-0005-0000-0000-0000CAEA0000}"/>
    <cellStyle name="SAPBEXstdItemX 6 4 2" xfId="60162" xr:uid="{00000000-0005-0000-0000-0000CBEA0000}"/>
    <cellStyle name="SAPBEXstdItemX 6 5" xfId="60163" xr:uid="{00000000-0005-0000-0000-0000CCEA0000}"/>
    <cellStyle name="SAPBEXstdItemX 7" xfId="60164" xr:uid="{00000000-0005-0000-0000-0000CDEA0000}"/>
    <cellStyle name="SAPBEXstdItemX 7 2" xfId="60165" xr:uid="{00000000-0005-0000-0000-0000CEEA0000}"/>
    <cellStyle name="SAPBEXstdItemX 7 2 2" xfId="60166" xr:uid="{00000000-0005-0000-0000-0000CFEA0000}"/>
    <cellStyle name="SAPBEXstdItemX 7 3" xfId="60167" xr:uid="{00000000-0005-0000-0000-0000D0EA0000}"/>
    <cellStyle name="SAPBEXstdItemX 7 3 2" xfId="60168" xr:uid="{00000000-0005-0000-0000-0000D1EA0000}"/>
    <cellStyle name="SAPBEXstdItemX 7 4" xfId="60169" xr:uid="{00000000-0005-0000-0000-0000D2EA0000}"/>
    <cellStyle name="SAPBEXstdItemX 7 4 2" xfId="60170" xr:uid="{00000000-0005-0000-0000-0000D3EA0000}"/>
    <cellStyle name="SAPBEXstdItemX 7 5" xfId="60171" xr:uid="{00000000-0005-0000-0000-0000D4EA0000}"/>
    <cellStyle name="SAPBEXstdItemX 8" xfId="60172" xr:uid="{00000000-0005-0000-0000-0000D5EA0000}"/>
    <cellStyle name="SAPBEXstdItemX 8 2" xfId="60173" xr:uid="{00000000-0005-0000-0000-0000D6EA0000}"/>
    <cellStyle name="SAPBEXstdItemX 9" xfId="60174" xr:uid="{00000000-0005-0000-0000-0000D7EA0000}"/>
    <cellStyle name="SAPBEXstdItemX 9 2" xfId="60175" xr:uid="{00000000-0005-0000-0000-0000D8EA0000}"/>
    <cellStyle name="SAPBEXstdItemX_Budget Consolidation by Balancing Acct v1" xfId="60176" xr:uid="{00000000-0005-0000-0000-0000D9EA0000}"/>
    <cellStyle name="SAPBEXsubData" xfId="60177" xr:uid="{00000000-0005-0000-0000-0000DAEA0000}"/>
    <cellStyle name="SAPBEXsubData 2" xfId="60178" xr:uid="{00000000-0005-0000-0000-0000DBEA0000}"/>
    <cellStyle name="SAPBEXsubData 2 2" xfId="60179" xr:uid="{00000000-0005-0000-0000-0000DCEA0000}"/>
    <cellStyle name="SAPBEXsubData 3" xfId="60180" xr:uid="{00000000-0005-0000-0000-0000DDEA0000}"/>
    <cellStyle name="SAPBEXsubDataEmph" xfId="60181" xr:uid="{00000000-0005-0000-0000-0000DEEA0000}"/>
    <cellStyle name="SAPBEXsubDataEmph 2" xfId="60182" xr:uid="{00000000-0005-0000-0000-0000DFEA0000}"/>
    <cellStyle name="SAPBEXsubDataEmph 2 2" xfId="60183" xr:uid="{00000000-0005-0000-0000-0000E0EA0000}"/>
    <cellStyle name="SAPBEXsubDataEmph 3" xfId="60184" xr:uid="{00000000-0005-0000-0000-0000E1EA0000}"/>
    <cellStyle name="SAPBEXsubExc1" xfId="60185" xr:uid="{00000000-0005-0000-0000-0000E2EA0000}"/>
    <cellStyle name="SAPBEXsubExc1 2" xfId="60186" xr:uid="{00000000-0005-0000-0000-0000E3EA0000}"/>
    <cellStyle name="SAPBEXsubExc1 2 2" xfId="60187" xr:uid="{00000000-0005-0000-0000-0000E4EA0000}"/>
    <cellStyle name="SAPBEXsubExc1 3" xfId="60188" xr:uid="{00000000-0005-0000-0000-0000E5EA0000}"/>
    <cellStyle name="SAPBEXsubExc1Emph" xfId="60189" xr:uid="{00000000-0005-0000-0000-0000E6EA0000}"/>
    <cellStyle name="SAPBEXsubExc1Emph 2" xfId="60190" xr:uid="{00000000-0005-0000-0000-0000E7EA0000}"/>
    <cellStyle name="SAPBEXsubExc1Emph 2 2" xfId="60191" xr:uid="{00000000-0005-0000-0000-0000E8EA0000}"/>
    <cellStyle name="SAPBEXsubExc1Emph 3" xfId="60192" xr:uid="{00000000-0005-0000-0000-0000E9EA0000}"/>
    <cellStyle name="SAPBEXsubExc2" xfId="60193" xr:uid="{00000000-0005-0000-0000-0000EAEA0000}"/>
    <cellStyle name="SAPBEXsubExc2 2" xfId="60194" xr:uid="{00000000-0005-0000-0000-0000EBEA0000}"/>
    <cellStyle name="SAPBEXsubExc2 2 2" xfId="60195" xr:uid="{00000000-0005-0000-0000-0000ECEA0000}"/>
    <cellStyle name="SAPBEXsubExc2 3" xfId="60196" xr:uid="{00000000-0005-0000-0000-0000EDEA0000}"/>
    <cellStyle name="SAPBEXsubExc2Emph" xfId="60197" xr:uid="{00000000-0005-0000-0000-0000EEEA0000}"/>
    <cellStyle name="SAPBEXsubExc2Emph 2" xfId="60198" xr:uid="{00000000-0005-0000-0000-0000EFEA0000}"/>
    <cellStyle name="SAPBEXsubExc2Emph 2 2" xfId="60199" xr:uid="{00000000-0005-0000-0000-0000F0EA0000}"/>
    <cellStyle name="SAPBEXsubExc2Emph 3" xfId="60200" xr:uid="{00000000-0005-0000-0000-0000F1EA0000}"/>
    <cellStyle name="SAPBEXsubItem" xfId="60201" xr:uid="{00000000-0005-0000-0000-0000F2EA0000}"/>
    <cellStyle name="SAPBEXsubItem 2" xfId="60202" xr:uid="{00000000-0005-0000-0000-0000F3EA0000}"/>
    <cellStyle name="SAPBEXsubItem 2 2" xfId="60203" xr:uid="{00000000-0005-0000-0000-0000F4EA0000}"/>
    <cellStyle name="SAPBEXsubItem 3" xfId="60204" xr:uid="{00000000-0005-0000-0000-0000F5EA0000}"/>
    <cellStyle name="SAPBEXtitle" xfId="60205" xr:uid="{00000000-0005-0000-0000-0000F6EA0000}"/>
    <cellStyle name="SAPBEXtitle 2" xfId="60206" xr:uid="{00000000-0005-0000-0000-0000F7EA0000}"/>
    <cellStyle name="SAPBEXtitle 2 2" xfId="60207" xr:uid="{00000000-0005-0000-0000-0000F8EA0000}"/>
    <cellStyle name="SAPBEXtitle 2 2 2" xfId="60208" xr:uid="{00000000-0005-0000-0000-0000F9EA0000}"/>
    <cellStyle name="SAPBEXtitle 2 2 2 2" xfId="60209" xr:uid="{00000000-0005-0000-0000-0000FAEA0000}"/>
    <cellStyle name="SAPBEXtitle 2 2 3" xfId="60210" xr:uid="{00000000-0005-0000-0000-0000FBEA0000}"/>
    <cellStyle name="SAPBEXtitle 2 2 3 2" xfId="60211" xr:uid="{00000000-0005-0000-0000-0000FCEA0000}"/>
    <cellStyle name="SAPBEXtitle 2 2 4" xfId="60212" xr:uid="{00000000-0005-0000-0000-0000FDEA0000}"/>
    <cellStyle name="SAPBEXtitle 2 2 4 2" xfId="60213" xr:uid="{00000000-0005-0000-0000-0000FEEA0000}"/>
    <cellStyle name="SAPBEXtitle 2 3" xfId="60214" xr:uid="{00000000-0005-0000-0000-0000FFEA0000}"/>
    <cellStyle name="SAPBEXtitle 2 3 2" xfId="60215" xr:uid="{00000000-0005-0000-0000-000000EB0000}"/>
    <cellStyle name="SAPBEXtitle 2 3 2 2" xfId="60216" xr:uid="{00000000-0005-0000-0000-000001EB0000}"/>
    <cellStyle name="SAPBEXtitle 2 3 3" xfId="60217" xr:uid="{00000000-0005-0000-0000-000002EB0000}"/>
    <cellStyle name="SAPBEXtitle 2 3 3 2" xfId="60218" xr:uid="{00000000-0005-0000-0000-000003EB0000}"/>
    <cellStyle name="SAPBEXtitle 2 3 4" xfId="60219" xr:uid="{00000000-0005-0000-0000-000004EB0000}"/>
    <cellStyle name="SAPBEXtitle 2 3 5" xfId="60220" xr:uid="{00000000-0005-0000-0000-000005EB0000}"/>
    <cellStyle name="SAPBEXtitle 2 4" xfId="60221" xr:uid="{00000000-0005-0000-0000-000006EB0000}"/>
    <cellStyle name="SAPBEXtitle 2 4 2" xfId="60222" xr:uid="{00000000-0005-0000-0000-000007EB0000}"/>
    <cellStyle name="SAPBEXtitle 2 5" xfId="60223" xr:uid="{00000000-0005-0000-0000-000008EB0000}"/>
    <cellStyle name="SAPBEXtitle 2 5 2" xfId="60224" xr:uid="{00000000-0005-0000-0000-000009EB0000}"/>
    <cellStyle name="SAPBEXtitle 2 6" xfId="60225" xr:uid="{00000000-0005-0000-0000-00000AEB0000}"/>
    <cellStyle name="SAPBEXtitle 2 6 2" xfId="60226" xr:uid="{00000000-0005-0000-0000-00000BEB0000}"/>
    <cellStyle name="SAPBEXtitle 2 7" xfId="60227" xr:uid="{00000000-0005-0000-0000-00000CEB0000}"/>
    <cellStyle name="SAPBEXtitle 2 7 2" xfId="60228" xr:uid="{00000000-0005-0000-0000-00000DEB0000}"/>
    <cellStyle name="SAPBEXtitle 2 8" xfId="60229" xr:uid="{00000000-0005-0000-0000-00000EEB0000}"/>
    <cellStyle name="SAPBEXtitle 3" xfId="60230" xr:uid="{00000000-0005-0000-0000-00000FEB0000}"/>
    <cellStyle name="SAPBEXtitle 3 2" xfId="60231" xr:uid="{00000000-0005-0000-0000-000010EB0000}"/>
    <cellStyle name="SAPBEXtitle 3 3" xfId="60232" xr:uid="{00000000-0005-0000-0000-000011EB0000}"/>
    <cellStyle name="SAPBEXtitle 3 4" xfId="60233" xr:uid="{00000000-0005-0000-0000-000012EB0000}"/>
    <cellStyle name="SAPBEXtitle 3 5" xfId="60234" xr:uid="{00000000-0005-0000-0000-000013EB0000}"/>
    <cellStyle name="SAPBEXtitle 4" xfId="60235" xr:uid="{00000000-0005-0000-0000-000014EB0000}"/>
    <cellStyle name="SAPBEXtitle 4 2" xfId="60236" xr:uid="{00000000-0005-0000-0000-000015EB0000}"/>
    <cellStyle name="SAPBEXtitle 4 3" xfId="60237" xr:uid="{00000000-0005-0000-0000-000016EB0000}"/>
    <cellStyle name="SAPBEXtitle 5" xfId="60238" xr:uid="{00000000-0005-0000-0000-000017EB0000}"/>
    <cellStyle name="SAPBEXtitle 6" xfId="60239" xr:uid="{00000000-0005-0000-0000-000018EB0000}"/>
    <cellStyle name="SAPBEXunassignedItem" xfId="60240" xr:uid="{00000000-0005-0000-0000-000019EB0000}"/>
    <cellStyle name="SAPBEXunassignedItem 2" xfId="60241" xr:uid="{00000000-0005-0000-0000-00001AEB0000}"/>
    <cellStyle name="SAPBEXunassignedItem 2 2" xfId="60242" xr:uid="{00000000-0005-0000-0000-00001BEB0000}"/>
    <cellStyle name="SAPBEXunassignedItem 2 2 2" xfId="60243" xr:uid="{00000000-0005-0000-0000-00001CEB0000}"/>
    <cellStyle name="SAPBEXunassignedItem 2 2 3" xfId="60244" xr:uid="{00000000-0005-0000-0000-00001DEB0000}"/>
    <cellStyle name="SAPBEXunassignedItem 2 3" xfId="60245" xr:uid="{00000000-0005-0000-0000-00001EEB0000}"/>
    <cellStyle name="SAPBEXunassignedItem 2 3 2" xfId="60246" xr:uid="{00000000-0005-0000-0000-00001FEB0000}"/>
    <cellStyle name="SAPBEXunassignedItem 2 4" xfId="60247" xr:uid="{00000000-0005-0000-0000-000020EB0000}"/>
    <cellStyle name="SAPBEXunassignedItem 2 5" xfId="60248" xr:uid="{00000000-0005-0000-0000-000021EB0000}"/>
    <cellStyle name="SAPBEXunassignedItem 3" xfId="60249" xr:uid="{00000000-0005-0000-0000-000022EB0000}"/>
    <cellStyle name="SAPBEXunassignedItem 3 2" xfId="60250" xr:uid="{00000000-0005-0000-0000-000023EB0000}"/>
    <cellStyle name="SAPBEXunassignedItem 3 3" xfId="60251" xr:uid="{00000000-0005-0000-0000-000024EB0000}"/>
    <cellStyle name="SAPBEXunassignedItem 3 4" xfId="60252" xr:uid="{00000000-0005-0000-0000-000025EB0000}"/>
    <cellStyle name="SAPBEXunassignedItem 4" xfId="60253" xr:uid="{00000000-0005-0000-0000-000026EB0000}"/>
    <cellStyle name="SAPBEXunassignedItem 4 2" xfId="60254" xr:uid="{00000000-0005-0000-0000-000027EB0000}"/>
    <cellStyle name="SAPBEXunassignedItem 5" xfId="60255" xr:uid="{00000000-0005-0000-0000-000028EB0000}"/>
    <cellStyle name="SAPBEXunassignedItem 6" xfId="60256" xr:uid="{00000000-0005-0000-0000-000029EB0000}"/>
    <cellStyle name="SAPBEXundefined" xfId="60257" xr:uid="{00000000-0005-0000-0000-00002AEB0000}"/>
    <cellStyle name="SAPBEXundefined 10" xfId="60258" xr:uid="{00000000-0005-0000-0000-00002BEB0000}"/>
    <cellStyle name="SAPBEXundefined 11" xfId="60259" xr:uid="{00000000-0005-0000-0000-00002CEB0000}"/>
    <cellStyle name="SAPBEXundefined 2" xfId="60260" xr:uid="{00000000-0005-0000-0000-00002DEB0000}"/>
    <cellStyle name="SAPBEXundefined 2 10" xfId="60261" xr:uid="{00000000-0005-0000-0000-00002EEB0000}"/>
    <cellStyle name="SAPBEXundefined 2 2" xfId="60262" xr:uid="{00000000-0005-0000-0000-00002FEB0000}"/>
    <cellStyle name="SAPBEXundefined 2 2 2" xfId="60263" xr:uid="{00000000-0005-0000-0000-000030EB0000}"/>
    <cellStyle name="SAPBEXundefined 2 2 2 2" xfId="60264" xr:uid="{00000000-0005-0000-0000-000031EB0000}"/>
    <cellStyle name="SAPBEXundefined 2 2 2 2 2" xfId="60265" xr:uid="{00000000-0005-0000-0000-000032EB0000}"/>
    <cellStyle name="SAPBEXundefined 2 2 2 3" xfId="60266" xr:uid="{00000000-0005-0000-0000-000033EB0000}"/>
    <cellStyle name="SAPBEXundefined 2 2 2 3 2" xfId="60267" xr:uid="{00000000-0005-0000-0000-000034EB0000}"/>
    <cellStyle name="SAPBEXundefined 2 2 2 4" xfId="60268" xr:uid="{00000000-0005-0000-0000-000035EB0000}"/>
    <cellStyle name="SAPBEXundefined 2 2 3" xfId="60269" xr:uid="{00000000-0005-0000-0000-000036EB0000}"/>
    <cellStyle name="SAPBEXundefined 2 2 3 2" xfId="60270" xr:uid="{00000000-0005-0000-0000-000037EB0000}"/>
    <cellStyle name="SAPBEXundefined 2 2 4" xfId="60271" xr:uid="{00000000-0005-0000-0000-000038EB0000}"/>
    <cellStyle name="SAPBEXundefined 2 2 4 2" xfId="60272" xr:uid="{00000000-0005-0000-0000-000039EB0000}"/>
    <cellStyle name="SAPBEXundefined 2 2 5" xfId="60273" xr:uid="{00000000-0005-0000-0000-00003AEB0000}"/>
    <cellStyle name="SAPBEXundefined 2 3" xfId="60274" xr:uid="{00000000-0005-0000-0000-00003BEB0000}"/>
    <cellStyle name="SAPBEXundefined 2 3 2" xfId="60275" xr:uid="{00000000-0005-0000-0000-00003CEB0000}"/>
    <cellStyle name="SAPBEXundefined 2 3 2 2" xfId="60276" xr:uid="{00000000-0005-0000-0000-00003DEB0000}"/>
    <cellStyle name="SAPBEXundefined 2 3 3" xfId="60277" xr:uid="{00000000-0005-0000-0000-00003EEB0000}"/>
    <cellStyle name="SAPBEXundefined 2 3 3 2" xfId="60278" xr:uid="{00000000-0005-0000-0000-00003FEB0000}"/>
    <cellStyle name="SAPBEXundefined 2 3 4" xfId="60279" xr:uid="{00000000-0005-0000-0000-000040EB0000}"/>
    <cellStyle name="SAPBEXundefined 2 4" xfId="60280" xr:uid="{00000000-0005-0000-0000-000041EB0000}"/>
    <cellStyle name="SAPBEXundefined 2 4 2" xfId="60281" xr:uid="{00000000-0005-0000-0000-000042EB0000}"/>
    <cellStyle name="SAPBEXundefined 2 4 2 2" xfId="60282" xr:uid="{00000000-0005-0000-0000-000043EB0000}"/>
    <cellStyle name="SAPBEXundefined 2 4 3" xfId="60283" xr:uid="{00000000-0005-0000-0000-000044EB0000}"/>
    <cellStyle name="SAPBEXundefined 2 4 3 2" xfId="60284" xr:uid="{00000000-0005-0000-0000-000045EB0000}"/>
    <cellStyle name="SAPBEXundefined 2 4 4" xfId="60285" xr:uid="{00000000-0005-0000-0000-000046EB0000}"/>
    <cellStyle name="SAPBEXundefined 2 5" xfId="60286" xr:uid="{00000000-0005-0000-0000-000047EB0000}"/>
    <cellStyle name="SAPBEXundefined 2 5 2" xfId="60287" xr:uid="{00000000-0005-0000-0000-000048EB0000}"/>
    <cellStyle name="SAPBEXundefined 2 6" xfId="60288" xr:uid="{00000000-0005-0000-0000-000049EB0000}"/>
    <cellStyle name="SAPBEXundefined 2 6 2" xfId="60289" xr:uid="{00000000-0005-0000-0000-00004AEB0000}"/>
    <cellStyle name="SAPBEXundefined 2 7" xfId="60290" xr:uid="{00000000-0005-0000-0000-00004BEB0000}"/>
    <cellStyle name="SAPBEXundefined 2 8" xfId="60291" xr:uid="{00000000-0005-0000-0000-00004CEB0000}"/>
    <cellStyle name="SAPBEXundefined 2 9" xfId="60292" xr:uid="{00000000-0005-0000-0000-00004DEB0000}"/>
    <cellStyle name="SAPBEXundefined 3" xfId="60293" xr:uid="{00000000-0005-0000-0000-00004EEB0000}"/>
    <cellStyle name="SAPBEXundefined 3 2" xfId="60294" xr:uid="{00000000-0005-0000-0000-00004FEB0000}"/>
    <cellStyle name="SAPBEXundefined 3 2 2" xfId="60295" xr:uid="{00000000-0005-0000-0000-000050EB0000}"/>
    <cellStyle name="SAPBEXundefined 3 2 2 2" xfId="60296" xr:uid="{00000000-0005-0000-0000-000051EB0000}"/>
    <cellStyle name="SAPBEXundefined 3 2 2 2 2" xfId="60297" xr:uid="{00000000-0005-0000-0000-000052EB0000}"/>
    <cellStyle name="SAPBEXundefined 3 2 2 3" xfId="60298" xr:uid="{00000000-0005-0000-0000-000053EB0000}"/>
    <cellStyle name="SAPBEXundefined 3 2 2 3 2" xfId="60299" xr:uid="{00000000-0005-0000-0000-000054EB0000}"/>
    <cellStyle name="SAPBEXundefined 3 2 2 4" xfId="60300" xr:uid="{00000000-0005-0000-0000-000055EB0000}"/>
    <cellStyle name="SAPBEXundefined 3 2 3" xfId="60301" xr:uid="{00000000-0005-0000-0000-000056EB0000}"/>
    <cellStyle name="SAPBEXundefined 3 2 3 2" xfId="60302" xr:uid="{00000000-0005-0000-0000-000057EB0000}"/>
    <cellStyle name="SAPBEXundefined 3 2 3 2 2" xfId="60303" xr:uid="{00000000-0005-0000-0000-000058EB0000}"/>
    <cellStyle name="SAPBEXundefined 3 2 3 3" xfId="60304" xr:uid="{00000000-0005-0000-0000-000059EB0000}"/>
    <cellStyle name="SAPBEXundefined 3 2 3 3 2" xfId="60305" xr:uid="{00000000-0005-0000-0000-00005AEB0000}"/>
    <cellStyle name="SAPBEXundefined 3 2 3 4" xfId="60306" xr:uid="{00000000-0005-0000-0000-00005BEB0000}"/>
    <cellStyle name="SAPBEXundefined 3 2 4" xfId="60307" xr:uid="{00000000-0005-0000-0000-00005CEB0000}"/>
    <cellStyle name="SAPBEXundefined 3 2 4 2" xfId="60308" xr:uid="{00000000-0005-0000-0000-00005DEB0000}"/>
    <cellStyle name="SAPBEXundefined 3 2 5" xfId="60309" xr:uid="{00000000-0005-0000-0000-00005EEB0000}"/>
    <cellStyle name="SAPBEXundefined 3 2 5 2" xfId="60310" xr:uid="{00000000-0005-0000-0000-00005FEB0000}"/>
    <cellStyle name="SAPBEXundefined 3 2 6" xfId="60311" xr:uid="{00000000-0005-0000-0000-000060EB0000}"/>
    <cellStyle name="SAPBEXundefined 3 3" xfId="60312" xr:uid="{00000000-0005-0000-0000-000061EB0000}"/>
    <cellStyle name="SAPBEXundefined 3 3 2" xfId="60313" xr:uid="{00000000-0005-0000-0000-000062EB0000}"/>
    <cellStyle name="SAPBEXundefined 3 3 2 2" xfId="60314" xr:uid="{00000000-0005-0000-0000-000063EB0000}"/>
    <cellStyle name="SAPBEXundefined 3 3 3" xfId="60315" xr:uid="{00000000-0005-0000-0000-000064EB0000}"/>
    <cellStyle name="SAPBEXundefined 3 3 3 2" xfId="60316" xr:uid="{00000000-0005-0000-0000-000065EB0000}"/>
    <cellStyle name="SAPBEXundefined 3 3 4" xfId="60317" xr:uid="{00000000-0005-0000-0000-000066EB0000}"/>
    <cellStyle name="SAPBEXundefined 3 4" xfId="60318" xr:uid="{00000000-0005-0000-0000-000067EB0000}"/>
    <cellStyle name="SAPBEXundefined 3 4 2" xfId="60319" xr:uid="{00000000-0005-0000-0000-000068EB0000}"/>
    <cellStyle name="SAPBEXundefined 3 4 2 2" xfId="60320" xr:uid="{00000000-0005-0000-0000-000069EB0000}"/>
    <cellStyle name="SAPBEXundefined 3 4 3" xfId="60321" xr:uid="{00000000-0005-0000-0000-00006AEB0000}"/>
    <cellStyle name="SAPBEXundefined 3 4 3 2" xfId="60322" xr:uid="{00000000-0005-0000-0000-00006BEB0000}"/>
    <cellStyle name="SAPBEXundefined 3 4 4" xfId="60323" xr:uid="{00000000-0005-0000-0000-00006CEB0000}"/>
    <cellStyle name="SAPBEXundefined 3 5" xfId="60324" xr:uid="{00000000-0005-0000-0000-00006DEB0000}"/>
    <cellStyle name="SAPBEXundefined 3 5 2" xfId="60325" xr:uid="{00000000-0005-0000-0000-00006EEB0000}"/>
    <cellStyle name="SAPBEXundefined 3 5 2 2" xfId="60326" xr:uid="{00000000-0005-0000-0000-00006FEB0000}"/>
    <cellStyle name="SAPBEXundefined 3 5 3" xfId="60327" xr:uid="{00000000-0005-0000-0000-000070EB0000}"/>
    <cellStyle name="SAPBEXundefined 3 5 3 2" xfId="60328" xr:uid="{00000000-0005-0000-0000-000071EB0000}"/>
    <cellStyle name="SAPBEXundefined 3 5 4" xfId="60329" xr:uid="{00000000-0005-0000-0000-000072EB0000}"/>
    <cellStyle name="SAPBEXundefined 3 6" xfId="60330" xr:uid="{00000000-0005-0000-0000-000073EB0000}"/>
    <cellStyle name="SAPBEXundefined 3 6 2" xfId="60331" xr:uid="{00000000-0005-0000-0000-000074EB0000}"/>
    <cellStyle name="SAPBEXundefined 3 7" xfId="60332" xr:uid="{00000000-0005-0000-0000-000075EB0000}"/>
    <cellStyle name="SAPBEXundefined 3 7 2" xfId="60333" xr:uid="{00000000-0005-0000-0000-000076EB0000}"/>
    <cellStyle name="SAPBEXundefined 3 8" xfId="60334" xr:uid="{00000000-0005-0000-0000-000077EB0000}"/>
    <cellStyle name="SAPBEXundefined 3 9" xfId="60335" xr:uid="{00000000-0005-0000-0000-000078EB0000}"/>
    <cellStyle name="SAPBEXundefined 4" xfId="60336" xr:uid="{00000000-0005-0000-0000-000079EB0000}"/>
    <cellStyle name="SAPBEXundefined 4 2" xfId="60337" xr:uid="{00000000-0005-0000-0000-00007AEB0000}"/>
    <cellStyle name="SAPBEXundefined 4 2 2" xfId="60338" xr:uid="{00000000-0005-0000-0000-00007BEB0000}"/>
    <cellStyle name="SAPBEXundefined 4 3" xfId="60339" xr:uid="{00000000-0005-0000-0000-00007CEB0000}"/>
    <cellStyle name="SAPBEXundefined 4 3 2" xfId="60340" xr:uid="{00000000-0005-0000-0000-00007DEB0000}"/>
    <cellStyle name="SAPBEXundefined 4 4" xfId="60341" xr:uid="{00000000-0005-0000-0000-00007EEB0000}"/>
    <cellStyle name="SAPBEXundefined 5" xfId="60342" xr:uid="{00000000-0005-0000-0000-00007FEB0000}"/>
    <cellStyle name="SAPBEXundefined 5 2" xfId="60343" xr:uid="{00000000-0005-0000-0000-000080EB0000}"/>
    <cellStyle name="SAPBEXundefined 5 2 2" xfId="60344" xr:uid="{00000000-0005-0000-0000-000081EB0000}"/>
    <cellStyle name="SAPBEXundefined 5 3" xfId="60345" xr:uid="{00000000-0005-0000-0000-000082EB0000}"/>
    <cellStyle name="SAPBEXundefined 5 3 2" xfId="60346" xr:uid="{00000000-0005-0000-0000-000083EB0000}"/>
    <cellStyle name="SAPBEXundefined 5 4" xfId="60347" xr:uid="{00000000-0005-0000-0000-000084EB0000}"/>
    <cellStyle name="SAPBEXundefined 6" xfId="60348" xr:uid="{00000000-0005-0000-0000-000085EB0000}"/>
    <cellStyle name="SAPBEXundefined 6 2" xfId="60349" xr:uid="{00000000-0005-0000-0000-000086EB0000}"/>
    <cellStyle name="SAPBEXundefined 6 2 2" xfId="60350" xr:uid="{00000000-0005-0000-0000-000087EB0000}"/>
    <cellStyle name="SAPBEXundefined 6 3" xfId="60351" xr:uid="{00000000-0005-0000-0000-000088EB0000}"/>
    <cellStyle name="SAPBEXundefined 6 3 2" xfId="60352" xr:uid="{00000000-0005-0000-0000-000089EB0000}"/>
    <cellStyle name="SAPBEXundefined 6 4" xfId="60353" xr:uid="{00000000-0005-0000-0000-00008AEB0000}"/>
    <cellStyle name="SAPBEXundefined 7" xfId="60354" xr:uid="{00000000-0005-0000-0000-00008BEB0000}"/>
    <cellStyle name="SAPBEXundefined 7 2" xfId="60355" xr:uid="{00000000-0005-0000-0000-00008CEB0000}"/>
    <cellStyle name="SAPBEXundefined 8" xfId="60356" xr:uid="{00000000-0005-0000-0000-00008DEB0000}"/>
    <cellStyle name="SAPBEXundefined 8 2" xfId="60357" xr:uid="{00000000-0005-0000-0000-00008EEB0000}"/>
    <cellStyle name="SAPBEXundefined 9" xfId="60358" xr:uid="{00000000-0005-0000-0000-00008FEB0000}"/>
    <cellStyle name="SAPBEXundefined 9 2" xfId="60359" xr:uid="{00000000-0005-0000-0000-000090EB0000}"/>
    <cellStyle name="SAPBorder" xfId="60360" xr:uid="{00000000-0005-0000-0000-000091EB0000}"/>
    <cellStyle name="SAPDataCell" xfId="60361" xr:uid="{00000000-0005-0000-0000-000092EB0000}"/>
    <cellStyle name="SAPDataTotalCell" xfId="60362" xr:uid="{00000000-0005-0000-0000-000093EB0000}"/>
    <cellStyle name="SAPDimensionCell" xfId="60363" xr:uid="{00000000-0005-0000-0000-000094EB0000}"/>
    <cellStyle name="SAPEditableDataCell" xfId="60364" xr:uid="{00000000-0005-0000-0000-000095EB0000}"/>
    <cellStyle name="SAPEditableDataTotalCell" xfId="60365" xr:uid="{00000000-0005-0000-0000-000096EB0000}"/>
    <cellStyle name="SAPEmphasized" xfId="60366" xr:uid="{00000000-0005-0000-0000-000097EB0000}"/>
    <cellStyle name="SAPEmphasizedEditableDataCell" xfId="60367" xr:uid="{00000000-0005-0000-0000-000098EB0000}"/>
    <cellStyle name="SAPEmphasizedEditableDataTotalCell" xfId="60368" xr:uid="{00000000-0005-0000-0000-000099EB0000}"/>
    <cellStyle name="SAPEmphasizedLockedDataCell" xfId="60369" xr:uid="{00000000-0005-0000-0000-00009AEB0000}"/>
    <cellStyle name="SAPEmphasizedLockedDataTotalCell" xfId="60370" xr:uid="{00000000-0005-0000-0000-00009BEB0000}"/>
    <cellStyle name="SAPEmphasizedReadonlyDataCell" xfId="60371" xr:uid="{00000000-0005-0000-0000-00009CEB0000}"/>
    <cellStyle name="SAPEmphasizedReadonlyDataTotalCell" xfId="60372" xr:uid="{00000000-0005-0000-0000-00009DEB0000}"/>
    <cellStyle name="SAPEmphasizedTotal" xfId="60373" xr:uid="{00000000-0005-0000-0000-00009EEB0000}"/>
    <cellStyle name="SAPExceptionLevel1" xfId="60374" xr:uid="{00000000-0005-0000-0000-00009FEB0000}"/>
    <cellStyle name="SAPExceptionLevel2" xfId="60375" xr:uid="{00000000-0005-0000-0000-0000A0EB0000}"/>
    <cellStyle name="SAPExceptionLevel3" xfId="60376" xr:uid="{00000000-0005-0000-0000-0000A1EB0000}"/>
    <cellStyle name="SAPExceptionLevel4" xfId="60377" xr:uid="{00000000-0005-0000-0000-0000A2EB0000}"/>
    <cellStyle name="SAPExceptionLevel5" xfId="60378" xr:uid="{00000000-0005-0000-0000-0000A3EB0000}"/>
    <cellStyle name="SAPExceptionLevel6" xfId="60379" xr:uid="{00000000-0005-0000-0000-0000A4EB0000}"/>
    <cellStyle name="SAPExceptionLevel7" xfId="60380" xr:uid="{00000000-0005-0000-0000-0000A5EB0000}"/>
    <cellStyle name="SAPExceptionLevel8" xfId="60381" xr:uid="{00000000-0005-0000-0000-0000A6EB0000}"/>
    <cellStyle name="SAPExceptionLevel9" xfId="60382" xr:uid="{00000000-0005-0000-0000-0000A7EB0000}"/>
    <cellStyle name="SAPHierarchyCell0" xfId="60383" xr:uid="{00000000-0005-0000-0000-0000A8EB0000}"/>
    <cellStyle name="SAPHierarchyCell1" xfId="60384" xr:uid="{00000000-0005-0000-0000-0000A9EB0000}"/>
    <cellStyle name="SAPHierarchyCell2" xfId="60385" xr:uid="{00000000-0005-0000-0000-0000AAEB0000}"/>
    <cellStyle name="SAPHierarchyCell3" xfId="60386" xr:uid="{00000000-0005-0000-0000-0000ABEB0000}"/>
    <cellStyle name="SAPHierarchyCell4" xfId="60387" xr:uid="{00000000-0005-0000-0000-0000ACEB0000}"/>
    <cellStyle name="SAPLockedDataCell" xfId="60388" xr:uid="{00000000-0005-0000-0000-0000ADEB0000}"/>
    <cellStyle name="SAPLockedDataTotalCell" xfId="60389" xr:uid="{00000000-0005-0000-0000-0000AEEB0000}"/>
    <cellStyle name="SAPMemberCell" xfId="60390" xr:uid="{00000000-0005-0000-0000-0000AFEB0000}"/>
    <cellStyle name="SAPMemberTotalCell" xfId="60391" xr:uid="{00000000-0005-0000-0000-0000B0EB0000}"/>
    <cellStyle name="SAPReadonlyDataCell" xfId="60392" xr:uid="{00000000-0005-0000-0000-0000B1EB0000}"/>
    <cellStyle name="SAPReadonlyDataTotalCell" xfId="60393" xr:uid="{00000000-0005-0000-0000-0000B2EB0000}"/>
    <cellStyle name="Sched" xfId="60394" xr:uid="{00000000-0005-0000-0000-0000B3EB0000}"/>
    <cellStyle name="Sched 2" xfId="60395" xr:uid="{00000000-0005-0000-0000-0000B4EB0000}"/>
    <cellStyle name="Sched 2 2" xfId="60396" xr:uid="{00000000-0005-0000-0000-0000B5EB0000}"/>
    <cellStyle name="Sched 3" xfId="60397" xr:uid="{00000000-0005-0000-0000-0000B6EB0000}"/>
    <cellStyle name="SEM-BPS-data" xfId="60398" xr:uid="{00000000-0005-0000-0000-0000B7EB0000}"/>
    <cellStyle name="SEM-BPS-data 2" xfId="60399" xr:uid="{00000000-0005-0000-0000-0000B8EB0000}"/>
    <cellStyle name="SEM-BPS-data 2 2" xfId="60400" xr:uid="{00000000-0005-0000-0000-0000B9EB0000}"/>
    <cellStyle name="SEM-BPS-data 3" xfId="60401" xr:uid="{00000000-0005-0000-0000-0000BAEB0000}"/>
    <cellStyle name="SEM-BPS-head" xfId="60402" xr:uid="{00000000-0005-0000-0000-0000BBEB0000}"/>
    <cellStyle name="SEM-BPS-head 2" xfId="60403" xr:uid="{00000000-0005-0000-0000-0000BCEB0000}"/>
    <cellStyle name="SEM-BPS-head 2 2" xfId="60404" xr:uid="{00000000-0005-0000-0000-0000BDEB0000}"/>
    <cellStyle name="SEM-BPS-head 3" xfId="60405" xr:uid="{00000000-0005-0000-0000-0000BEEB0000}"/>
    <cellStyle name="SEM-BPS-headdata" xfId="60406" xr:uid="{00000000-0005-0000-0000-0000BFEB0000}"/>
    <cellStyle name="SEM-BPS-headdata 2" xfId="60407" xr:uid="{00000000-0005-0000-0000-0000C0EB0000}"/>
    <cellStyle name="SEM-BPS-headdata 2 2" xfId="60408" xr:uid="{00000000-0005-0000-0000-0000C1EB0000}"/>
    <cellStyle name="SEM-BPS-headdata 3" xfId="60409" xr:uid="{00000000-0005-0000-0000-0000C2EB0000}"/>
    <cellStyle name="SEM-BPS-headkey" xfId="60410" xr:uid="{00000000-0005-0000-0000-0000C3EB0000}"/>
    <cellStyle name="SEM-BPS-headkey 2" xfId="60411" xr:uid="{00000000-0005-0000-0000-0000C4EB0000}"/>
    <cellStyle name="SEM-BPS-headkey 2 2" xfId="60412" xr:uid="{00000000-0005-0000-0000-0000C5EB0000}"/>
    <cellStyle name="SEM-BPS-headkey 3" xfId="60413" xr:uid="{00000000-0005-0000-0000-0000C6EB0000}"/>
    <cellStyle name="SEM-BPS-input-on" xfId="60414" xr:uid="{00000000-0005-0000-0000-0000C7EB0000}"/>
    <cellStyle name="SEM-BPS-input-on 2" xfId="60415" xr:uid="{00000000-0005-0000-0000-0000C8EB0000}"/>
    <cellStyle name="SEM-BPS-input-on 2 2" xfId="60416" xr:uid="{00000000-0005-0000-0000-0000C9EB0000}"/>
    <cellStyle name="SEM-BPS-input-on 3" xfId="60417" xr:uid="{00000000-0005-0000-0000-0000CAEB0000}"/>
    <cellStyle name="SEM-BPS-key" xfId="60418" xr:uid="{00000000-0005-0000-0000-0000CBEB0000}"/>
    <cellStyle name="SEM-BPS-key 2" xfId="60419" xr:uid="{00000000-0005-0000-0000-0000CCEB0000}"/>
    <cellStyle name="SEM-BPS-key 2 2" xfId="60420" xr:uid="{00000000-0005-0000-0000-0000CDEB0000}"/>
    <cellStyle name="SEM-BPS-key 3" xfId="60421" xr:uid="{00000000-0005-0000-0000-0000CEEB0000}"/>
    <cellStyle name="SEM-BPS-sub1" xfId="60422" xr:uid="{00000000-0005-0000-0000-0000CFEB0000}"/>
    <cellStyle name="SEM-BPS-sub1 2" xfId="60423" xr:uid="{00000000-0005-0000-0000-0000D0EB0000}"/>
    <cellStyle name="SEM-BPS-sub1 2 2" xfId="60424" xr:uid="{00000000-0005-0000-0000-0000D1EB0000}"/>
    <cellStyle name="SEM-BPS-sub1 3" xfId="60425" xr:uid="{00000000-0005-0000-0000-0000D2EB0000}"/>
    <cellStyle name="SEM-BPS-sub2" xfId="60426" xr:uid="{00000000-0005-0000-0000-0000D3EB0000}"/>
    <cellStyle name="SEM-BPS-sub2 2" xfId="60427" xr:uid="{00000000-0005-0000-0000-0000D4EB0000}"/>
    <cellStyle name="SEM-BPS-sub2 2 2" xfId="60428" xr:uid="{00000000-0005-0000-0000-0000D5EB0000}"/>
    <cellStyle name="SEM-BPS-sub2 3" xfId="60429" xr:uid="{00000000-0005-0000-0000-0000D6EB0000}"/>
    <cellStyle name="SEM-BPS-total" xfId="60430" xr:uid="{00000000-0005-0000-0000-0000D7EB0000}"/>
    <cellStyle name="SEM-BPS-total 2" xfId="60431" xr:uid="{00000000-0005-0000-0000-0000D8EB0000}"/>
    <cellStyle name="SEM-BPS-total 2 2" xfId="60432" xr:uid="{00000000-0005-0000-0000-0000D9EB0000}"/>
    <cellStyle name="SEM-BPS-total 3" xfId="60433" xr:uid="{00000000-0005-0000-0000-0000DAEB0000}"/>
    <cellStyle name="Sheet Title" xfId="60434" xr:uid="{00000000-0005-0000-0000-0000DBEB0000}"/>
    <cellStyle name="Sheet Title 2" xfId="60435" xr:uid="{00000000-0005-0000-0000-0000DCEB0000}"/>
    <cellStyle name="Sheet Title 2 2" xfId="60436" xr:uid="{00000000-0005-0000-0000-0000DDEB0000}"/>
    <cellStyle name="Sheet Title 2 2 2" xfId="60437" xr:uid="{00000000-0005-0000-0000-0000DEEB0000}"/>
    <cellStyle name="Sheet Title 2 3" xfId="60438" xr:uid="{00000000-0005-0000-0000-0000DFEB0000}"/>
    <cellStyle name="Sheet Title 2 4" xfId="60439" xr:uid="{00000000-0005-0000-0000-0000E0EB0000}"/>
    <cellStyle name="Sheet Title 3" xfId="60440" xr:uid="{00000000-0005-0000-0000-0000E1EB0000}"/>
    <cellStyle name="Sheet Title 3 2" xfId="60441" xr:uid="{00000000-0005-0000-0000-0000E2EB0000}"/>
    <cellStyle name="Sheet Title 3 3" xfId="60442" xr:uid="{00000000-0005-0000-0000-0000E3EB0000}"/>
    <cellStyle name="Sheet Title 4" xfId="60443" xr:uid="{00000000-0005-0000-0000-0000E4EB0000}"/>
    <cellStyle name="Sheet Title 5" xfId="60444" xr:uid="{00000000-0005-0000-0000-0000E5EB0000}"/>
    <cellStyle name="Sheet Title 6" xfId="60445" xr:uid="{00000000-0005-0000-0000-0000E6EB0000}"/>
    <cellStyle name="Sheet Title 7" xfId="60446" xr:uid="{00000000-0005-0000-0000-0000E7EB0000}"/>
    <cellStyle name="Sheet Title 8" xfId="60447" xr:uid="{00000000-0005-0000-0000-0000E8EB0000}"/>
    <cellStyle name="Sheet Title 9" xfId="60448" xr:uid="{00000000-0005-0000-0000-0000E9EB0000}"/>
    <cellStyle name="small" xfId="60449" xr:uid="{00000000-0005-0000-0000-0000EAEB0000}"/>
    <cellStyle name="small 2" xfId="60450" xr:uid="{00000000-0005-0000-0000-0000EBEB0000}"/>
    <cellStyle name="small 2 2" xfId="60451" xr:uid="{00000000-0005-0000-0000-0000ECEB0000}"/>
    <cellStyle name="small 3" xfId="60452" xr:uid="{00000000-0005-0000-0000-0000EDEB0000}"/>
    <cellStyle name="Sort_Name" xfId="71" xr:uid="{00000000-0005-0000-0000-0000EEEB0000}"/>
    <cellStyle name="State" xfId="72" xr:uid="{00000000-0005-0000-0000-0000EFEB0000}"/>
    <cellStyle name="State 2" xfId="371" xr:uid="{00000000-0005-0000-0000-0000F0EB0000}"/>
    <cellStyle name="State 3" xfId="60453" xr:uid="{00000000-0005-0000-0000-0000F1EB0000}"/>
    <cellStyle name="Step" xfId="73" xr:uid="{00000000-0005-0000-0000-0000F2EB0000}"/>
    <cellStyle name="Style 1" xfId="60454" xr:uid="{00000000-0005-0000-0000-0000F3EB0000}"/>
    <cellStyle name="Style 1 2" xfId="60455" xr:uid="{00000000-0005-0000-0000-0000F4EB0000}"/>
    <cellStyle name="Style 1 2 2" xfId="60456" xr:uid="{00000000-0005-0000-0000-0000F5EB0000}"/>
    <cellStyle name="Style 1 3" xfId="60457" xr:uid="{00000000-0005-0000-0000-0000F6EB0000}"/>
    <cellStyle name="Style 2" xfId="60458" xr:uid="{00000000-0005-0000-0000-0000F7EB0000}"/>
    <cellStyle name="Style 2 2" xfId="60459" xr:uid="{00000000-0005-0000-0000-0000F8EB0000}"/>
    <cellStyle name="Style 2 3" xfId="60460" xr:uid="{00000000-0005-0000-0000-0000F9EB0000}"/>
    <cellStyle name="Style 21" xfId="60461" xr:uid="{00000000-0005-0000-0000-0000FAEB0000}"/>
    <cellStyle name="Style 21 2" xfId="60462" xr:uid="{00000000-0005-0000-0000-0000FBEB0000}"/>
    <cellStyle name="Style 21 2 2" xfId="60463" xr:uid="{00000000-0005-0000-0000-0000FCEB0000}"/>
    <cellStyle name="Style 21 2 2 2" xfId="60464" xr:uid="{00000000-0005-0000-0000-0000FDEB0000}"/>
    <cellStyle name="Style 21 2 3" xfId="60465" xr:uid="{00000000-0005-0000-0000-0000FEEB0000}"/>
    <cellStyle name="Style 21 3" xfId="60466" xr:uid="{00000000-0005-0000-0000-0000FFEB0000}"/>
    <cellStyle name="Style 21 3 2" xfId="60467" xr:uid="{00000000-0005-0000-0000-000000EC0000}"/>
    <cellStyle name="Style 21 4" xfId="60468" xr:uid="{00000000-0005-0000-0000-000001EC0000}"/>
    <cellStyle name="Style 21_Desert Cities Q1-Q4 2009 Data" xfId="60469" xr:uid="{00000000-0005-0000-0000-000002EC0000}"/>
    <cellStyle name="Style 22" xfId="60470" xr:uid="{00000000-0005-0000-0000-000003EC0000}"/>
    <cellStyle name="Style 22 2" xfId="60471" xr:uid="{00000000-0005-0000-0000-000004EC0000}"/>
    <cellStyle name="Style 22 2 2" xfId="60472" xr:uid="{00000000-0005-0000-0000-000005EC0000}"/>
    <cellStyle name="Style 22 2 2 2" xfId="60473" xr:uid="{00000000-0005-0000-0000-000006EC0000}"/>
    <cellStyle name="Style 22 2 2 3" xfId="60474" xr:uid="{00000000-0005-0000-0000-000007EC0000}"/>
    <cellStyle name="Style 22 2 3" xfId="60475" xr:uid="{00000000-0005-0000-0000-000008EC0000}"/>
    <cellStyle name="Style 22 2 4" xfId="60476" xr:uid="{00000000-0005-0000-0000-000009EC0000}"/>
    <cellStyle name="Style 22 3" xfId="60477" xr:uid="{00000000-0005-0000-0000-00000AEC0000}"/>
    <cellStyle name="Style 22 3 2" xfId="60478" xr:uid="{00000000-0005-0000-0000-00000BEC0000}"/>
    <cellStyle name="Style 22 3 3" xfId="60479" xr:uid="{00000000-0005-0000-0000-00000CEC0000}"/>
    <cellStyle name="Style 22 4" xfId="60480" xr:uid="{00000000-0005-0000-0000-00000DEC0000}"/>
    <cellStyle name="Style 22 5" xfId="60481" xr:uid="{00000000-0005-0000-0000-00000EEC0000}"/>
    <cellStyle name="Style 23" xfId="60482" xr:uid="{00000000-0005-0000-0000-00000FEC0000}"/>
    <cellStyle name="Style 23 2" xfId="60483" xr:uid="{00000000-0005-0000-0000-000010EC0000}"/>
    <cellStyle name="Style 23 2 2" xfId="60484" xr:uid="{00000000-0005-0000-0000-000011EC0000}"/>
    <cellStyle name="Style 23 2 2 2" xfId="60485" xr:uid="{00000000-0005-0000-0000-000012EC0000}"/>
    <cellStyle name="Style 23 2 2 3" xfId="60486" xr:uid="{00000000-0005-0000-0000-000013EC0000}"/>
    <cellStyle name="Style 23 2 3" xfId="60487" xr:uid="{00000000-0005-0000-0000-000014EC0000}"/>
    <cellStyle name="Style 23 2 4" xfId="60488" xr:uid="{00000000-0005-0000-0000-000015EC0000}"/>
    <cellStyle name="Style 23 3" xfId="60489" xr:uid="{00000000-0005-0000-0000-000016EC0000}"/>
    <cellStyle name="Style 23 3 2" xfId="60490" xr:uid="{00000000-0005-0000-0000-000017EC0000}"/>
    <cellStyle name="Style 23 3 3" xfId="60491" xr:uid="{00000000-0005-0000-0000-000018EC0000}"/>
    <cellStyle name="Style 23 4" xfId="60492" xr:uid="{00000000-0005-0000-0000-000019EC0000}"/>
    <cellStyle name="Style 23 5" xfId="60493" xr:uid="{00000000-0005-0000-0000-00001AEC0000}"/>
    <cellStyle name="Style 23_Desert Cities Data" xfId="60494" xr:uid="{00000000-0005-0000-0000-00001BEC0000}"/>
    <cellStyle name="Style 24" xfId="60495" xr:uid="{00000000-0005-0000-0000-00001CEC0000}"/>
    <cellStyle name="Style 24 2" xfId="60496" xr:uid="{00000000-0005-0000-0000-00001DEC0000}"/>
    <cellStyle name="Style 24 2 2" xfId="60497" xr:uid="{00000000-0005-0000-0000-00001EEC0000}"/>
    <cellStyle name="Style 24 2 2 2" xfId="60498" xr:uid="{00000000-0005-0000-0000-00001FEC0000}"/>
    <cellStyle name="Style 24 2 3" xfId="60499" xr:uid="{00000000-0005-0000-0000-000020EC0000}"/>
    <cellStyle name="Style 24 2 4" xfId="60500" xr:uid="{00000000-0005-0000-0000-000021EC0000}"/>
    <cellStyle name="Style 24 3" xfId="60501" xr:uid="{00000000-0005-0000-0000-000022EC0000}"/>
    <cellStyle name="Style 24 3 2" xfId="60502" xr:uid="{00000000-0005-0000-0000-000023EC0000}"/>
    <cellStyle name="Style 24 3 3" xfId="60503" xr:uid="{00000000-0005-0000-0000-000024EC0000}"/>
    <cellStyle name="Style 24 4" xfId="60504" xr:uid="{00000000-0005-0000-0000-000025EC0000}"/>
    <cellStyle name="Style 24 5" xfId="60505" xr:uid="{00000000-0005-0000-0000-000026EC0000}"/>
    <cellStyle name="Style 24_Desert Cities Data" xfId="60506" xr:uid="{00000000-0005-0000-0000-000027EC0000}"/>
    <cellStyle name="Style 25" xfId="60507" xr:uid="{00000000-0005-0000-0000-000028EC0000}"/>
    <cellStyle name="Style 25 2" xfId="60508" xr:uid="{00000000-0005-0000-0000-000029EC0000}"/>
    <cellStyle name="Style 25 2 2" xfId="60509" xr:uid="{00000000-0005-0000-0000-00002AEC0000}"/>
    <cellStyle name="Style 25 2 2 2" xfId="60510" xr:uid="{00000000-0005-0000-0000-00002BEC0000}"/>
    <cellStyle name="Style 25 2 2 3" xfId="60511" xr:uid="{00000000-0005-0000-0000-00002CEC0000}"/>
    <cellStyle name="Style 25 2 3" xfId="60512" xr:uid="{00000000-0005-0000-0000-00002DEC0000}"/>
    <cellStyle name="Style 25 2 4" xfId="60513" xr:uid="{00000000-0005-0000-0000-00002EEC0000}"/>
    <cellStyle name="Style 25 3" xfId="60514" xr:uid="{00000000-0005-0000-0000-00002FEC0000}"/>
    <cellStyle name="Style 25 3 2" xfId="60515" xr:uid="{00000000-0005-0000-0000-000030EC0000}"/>
    <cellStyle name="Style 25 3 3" xfId="60516" xr:uid="{00000000-0005-0000-0000-000031EC0000}"/>
    <cellStyle name="Style 25 4" xfId="60517" xr:uid="{00000000-0005-0000-0000-000032EC0000}"/>
    <cellStyle name="Style 25 5" xfId="60518" xr:uid="{00000000-0005-0000-0000-000033EC0000}"/>
    <cellStyle name="Style 25_Desert Cities Data" xfId="60519" xr:uid="{00000000-0005-0000-0000-000034EC0000}"/>
    <cellStyle name="Style 26" xfId="60520" xr:uid="{00000000-0005-0000-0000-000035EC0000}"/>
    <cellStyle name="Style 26 2" xfId="60521" xr:uid="{00000000-0005-0000-0000-000036EC0000}"/>
    <cellStyle name="Style 26 2 2" xfId="60522" xr:uid="{00000000-0005-0000-0000-000037EC0000}"/>
    <cellStyle name="Style 26 2 2 2" xfId="60523" xr:uid="{00000000-0005-0000-0000-000038EC0000}"/>
    <cellStyle name="Style 26 2 2 2 2" xfId="60524" xr:uid="{00000000-0005-0000-0000-000039EC0000}"/>
    <cellStyle name="Style 26 2 2 3" xfId="60525" xr:uid="{00000000-0005-0000-0000-00003AEC0000}"/>
    <cellStyle name="Style 26 2 2 4" xfId="60526" xr:uid="{00000000-0005-0000-0000-00003BEC0000}"/>
    <cellStyle name="Style 26 2 3" xfId="60527" xr:uid="{00000000-0005-0000-0000-00003CEC0000}"/>
    <cellStyle name="Style 26 2 3 2" xfId="60528" xr:uid="{00000000-0005-0000-0000-00003DEC0000}"/>
    <cellStyle name="Style 26 2 3 3" xfId="60529" xr:uid="{00000000-0005-0000-0000-00003EEC0000}"/>
    <cellStyle name="Style 26 2 4" xfId="60530" xr:uid="{00000000-0005-0000-0000-00003FEC0000}"/>
    <cellStyle name="Style 26 2 5" xfId="60531" xr:uid="{00000000-0005-0000-0000-000040EC0000}"/>
    <cellStyle name="Style 26 3" xfId="60532" xr:uid="{00000000-0005-0000-0000-000041EC0000}"/>
    <cellStyle name="Style 26 3 2" xfId="60533" xr:uid="{00000000-0005-0000-0000-000042EC0000}"/>
    <cellStyle name="Style 26 3 2 2" xfId="60534" xr:uid="{00000000-0005-0000-0000-000043EC0000}"/>
    <cellStyle name="Style 26 3 3" xfId="60535" xr:uid="{00000000-0005-0000-0000-000044EC0000}"/>
    <cellStyle name="Style 26 3 4" xfId="60536" xr:uid="{00000000-0005-0000-0000-000045EC0000}"/>
    <cellStyle name="Style 26 4" xfId="60537" xr:uid="{00000000-0005-0000-0000-000046EC0000}"/>
    <cellStyle name="Style 26 4 2" xfId="60538" xr:uid="{00000000-0005-0000-0000-000047EC0000}"/>
    <cellStyle name="Style 26 4 3" xfId="60539" xr:uid="{00000000-0005-0000-0000-000048EC0000}"/>
    <cellStyle name="Style 26 5" xfId="60540" xr:uid="{00000000-0005-0000-0000-000049EC0000}"/>
    <cellStyle name="Style 26 5 2" xfId="60541" xr:uid="{00000000-0005-0000-0000-00004AEC0000}"/>
    <cellStyle name="Style 26 6" xfId="60542" xr:uid="{00000000-0005-0000-0000-00004BEC0000}"/>
    <cellStyle name="Style 26_Desert Cities Data" xfId="60543" xr:uid="{00000000-0005-0000-0000-00004CEC0000}"/>
    <cellStyle name="Style 27" xfId="60544" xr:uid="{00000000-0005-0000-0000-00004DEC0000}"/>
    <cellStyle name="Style 27 2" xfId="60545" xr:uid="{00000000-0005-0000-0000-00004EEC0000}"/>
    <cellStyle name="Style 27 2 2" xfId="60546" xr:uid="{00000000-0005-0000-0000-00004FEC0000}"/>
    <cellStyle name="Style 27 2 3" xfId="60547" xr:uid="{00000000-0005-0000-0000-000050EC0000}"/>
    <cellStyle name="Style 27 3" xfId="60548" xr:uid="{00000000-0005-0000-0000-000051EC0000}"/>
    <cellStyle name="Style 27 4" xfId="60549" xr:uid="{00000000-0005-0000-0000-000052EC0000}"/>
    <cellStyle name="Style 27_Desert Cities Data" xfId="60550" xr:uid="{00000000-0005-0000-0000-000053EC0000}"/>
    <cellStyle name="Style 28" xfId="60551" xr:uid="{00000000-0005-0000-0000-000054EC0000}"/>
    <cellStyle name="Style 28 2" xfId="60552" xr:uid="{00000000-0005-0000-0000-000055EC0000}"/>
    <cellStyle name="Style 28 2 2" xfId="60553" xr:uid="{00000000-0005-0000-0000-000056EC0000}"/>
    <cellStyle name="Style 28 3" xfId="60554" xr:uid="{00000000-0005-0000-0000-000057EC0000}"/>
    <cellStyle name="Style 28 4" xfId="60555" xr:uid="{00000000-0005-0000-0000-000058EC0000}"/>
    <cellStyle name="Style 28 5" xfId="60556" xr:uid="{00000000-0005-0000-0000-000059EC0000}"/>
    <cellStyle name="Style 28 6" xfId="60557" xr:uid="{00000000-0005-0000-0000-00005AEC0000}"/>
    <cellStyle name="Style 28_Desert Cities Data" xfId="60558" xr:uid="{00000000-0005-0000-0000-00005BEC0000}"/>
    <cellStyle name="Style 29" xfId="60559" xr:uid="{00000000-0005-0000-0000-00005CEC0000}"/>
    <cellStyle name="Style 29 2" xfId="60560" xr:uid="{00000000-0005-0000-0000-00005DEC0000}"/>
    <cellStyle name="Style 29 2 2" xfId="60561" xr:uid="{00000000-0005-0000-0000-00005EEC0000}"/>
    <cellStyle name="Style 29 3" xfId="60562" xr:uid="{00000000-0005-0000-0000-00005FEC0000}"/>
    <cellStyle name="Style 29 4" xfId="60563" xr:uid="{00000000-0005-0000-0000-000060EC0000}"/>
    <cellStyle name="Style 29_Desert Cities Data" xfId="60564" xr:uid="{00000000-0005-0000-0000-000061EC0000}"/>
    <cellStyle name="Style 3" xfId="60565" xr:uid="{00000000-0005-0000-0000-000062EC0000}"/>
    <cellStyle name="Style 3 2" xfId="60566" xr:uid="{00000000-0005-0000-0000-000063EC0000}"/>
    <cellStyle name="Style 3 2 2" xfId="60567" xr:uid="{00000000-0005-0000-0000-000064EC0000}"/>
    <cellStyle name="Style 3 3" xfId="60568" xr:uid="{00000000-0005-0000-0000-000065EC0000}"/>
    <cellStyle name="Style 30" xfId="60569" xr:uid="{00000000-0005-0000-0000-000066EC0000}"/>
    <cellStyle name="Style 30 2" xfId="60570" xr:uid="{00000000-0005-0000-0000-000067EC0000}"/>
    <cellStyle name="Style 30 2 2" xfId="60571" xr:uid="{00000000-0005-0000-0000-000068EC0000}"/>
    <cellStyle name="Style 30 3" xfId="60572" xr:uid="{00000000-0005-0000-0000-000069EC0000}"/>
    <cellStyle name="Style 30 4" xfId="60573" xr:uid="{00000000-0005-0000-0000-00006AEC0000}"/>
    <cellStyle name="Style 30_Desert Cities Data" xfId="60574" xr:uid="{00000000-0005-0000-0000-00006BEC0000}"/>
    <cellStyle name="Style 31" xfId="60575" xr:uid="{00000000-0005-0000-0000-00006CEC0000}"/>
    <cellStyle name="Style 31 2" xfId="60576" xr:uid="{00000000-0005-0000-0000-00006DEC0000}"/>
    <cellStyle name="Style 31 2 2" xfId="60577" xr:uid="{00000000-0005-0000-0000-00006EEC0000}"/>
    <cellStyle name="Style 31 2 2 2" xfId="60578" xr:uid="{00000000-0005-0000-0000-00006FEC0000}"/>
    <cellStyle name="Style 31 2 3" xfId="60579" xr:uid="{00000000-0005-0000-0000-000070EC0000}"/>
    <cellStyle name="Style 31 2 4" xfId="60580" xr:uid="{00000000-0005-0000-0000-000071EC0000}"/>
    <cellStyle name="Style 31 3" xfId="60581" xr:uid="{00000000-0005-0000-0000-000072EC0000}"/>
    <cellStyle name="Style 31 3 2" xfId="60582" xr:uid="{00000000-0005-0000-0000-000073EC0000}"/>
    <cellStyle name="Style 31 3 3" xfId="60583" xr:uid="{00000000-0005-0000-0000-000074EC0000}"/>
    <cellStyle name="Style 31 4" xfId="60584" xr:uid="{00000000-0005-0000-0000-000075EC0000}"/>
    <cellStyle name="Style 31 5" xfId="60585" xr:uid="{00000000-0005-0000-0000-000076EC0000}"/>
    <cellStyle name="Style 31_Desert Cities Q1-Q4 2009 Data" xfId="60586" xr:uid="{00000000-0005-0000-0000-000077EC0000}"/>
    <cellStyle name="Style 32" xfId="60587" xr:uid="{00000000-0005-0000-0000-000078EC0000}"/>
    <cellStyle name="Style 32 2" xfId="60588" xr:uid="{00000000-0005-0000-0000-000079EC0000}"/>
    <cellStyle name="Style 32 2 2" xfId="60589" xr:uid="{00000000-0005-0000-0000-00007AEC0000}"/>
    <cellStyle name="Style 32 2 2 2" xfId="60590" xr:uid="{00000000-0005-0000-0000-00007BEC0000}"/>
    <cellStyle name="Style 32 2 3" xfId="60591" xr:uid="{00000000-0005-0000-0000-00007CEC0000}"/>
    <cellStyle name="Style 32 2 4" xfId="60592" xr:uid="{00000000-0005-0000-0000-00007DEC0000}"/>
    <cellStyle name="Style 32 3" xfId="60593" xr:uid="{00000000-0005-0000-0000-00007EEC0000}"/>
    <cellStyle name="Style 32 3 2" xfId="60594" xr:uid="{00000000-0005-0000-0000-00007FEC0000}"/>
    <cellStyle name="Style 32 3 3" xfId="60595" xr:uid="{00000000-0005-0000-0000-000080EC0000}"/>
    <cellStyle name="Style 32 4" xfId="60596" xr:uid="{00000000-0005-0000-0000-000081EC0000}"/>
    <cellStyle name="Style 32 5" xfId="60597" xr:uid="{00000000-0005-0000-0000-000082EC0000}"/>
    <cellStyle name="Style 32_Desert Cities Q1-Q4 2009 Data" xfId="60598" xr:uid="{00000000-0005-0000-0000-000083EC0000}"/>
    <cellStyle name="Style 33" xfId="60599" xr:uid="{00000000-0005-0000-0000-000084EC0000}"/>
    <cellStyle name="Style 33 2" xfId="60600" xr:uid="{00000000-0005-0000-0000-000085EC0000}"/>
    <cellStyle name="Style 33 2 2" xfId="60601" xr:uid="{00000000-0005-0000-0000-000086EC0000}"/>
    <cellStyle name="Style 33 2 2 2" xfId="60602" xr:uid="{00000000-0005-0000-0000-000087EC0000}"/>
    <cellStyle name="Style 33 2 2 3" xfId="60603" xr:uid="{00000000-0005-0000-0000-000088EC0000}"/>
    <cellStyle name="Style 33 2 3" xfId="60604" xr:uid="{00000000-0005-0000-0000-000089EC0000}"/>
    <cellStyle name="Style 33 2 4" xfId="60605" xr:uid="{00000000-0005-0000-0000-00008AEC0000}"/>
    <cellStyle name="Style 33 3" xfId="60606" xr:uid="{00000000-0005-0000-0000-00008BEC0000}"/>
    <cellStyle name="Style 33 3 2" xfId="60607" xr:uid="{00000000-0005-0000-0000-00008CEC0000}"/>
    <cellStyle name="Style 33 3 3" xfId="60608" xr:uid="{00000000-0005-0000-0000-00008DEC0000}"/>
    <cellStyle name="Style 33 4" xfId="60609" xr:uid="{00000000-0005-0000-0000-00008EEC0000}"/>
    <cellStyle name="Style 33 5" xfId="60610" xr:uid="{00000000-0005-0000-0000-00008FEC0000}"/>
    <cellStyle name="Style 33_Desert Cities Data" xfId="60611" xr:uid="{00000000-0005-0000-0000-000090EC0000}"/>
    <cellStyle name="Style 34" xfId="60612" xr:uid="{00000000-0005-0000-0000-000091EC0000}"/>
    <cellStyle name="Style 34 2" xfId="60613" xr:uid="{00000000-0005-0000-0000-000092EC0000}"/>
    <cellStyle name="Style 34 2 2" xfId="60614" xr:uid="{00000000-0005-0000-0000-000093EC0000}"/>
    <cellStyle name="Style 34 2 2 2" xfId="60615" xr:uid="{00000000-0005-0000-0000-000094EC0000}"/>
    <cellStyle name="Style 34 2 2 2 2" xfId="60616" xr:uid="{00000000-0005-0000-0000-000095EC0000}"/>
    <cellStyle name="Style 34 2 2 3" xfId="60617" xr:uid="{00000000-0005-0000-0000-000096EC0000}"/>
    <cellStyle name="Style 34 2 2 4" xfId="60618" xr:uid="{00000000-0005-0000-0000-000097EC0000}"/>
    <cellStyle name="Style 34 2 3" xfId="60619" xr:uid="{00000000-0005-0000-0000-000098EC0000}"/>
    <cellStyle name="Style 34 2 3 2" xfId="60620" xr:uid="{00000000-0005-0000-0000-000099EC0000}"/>
    <cellStyle name="Style 34 2 4" xfId="60621" xr:uid="{00000000-0005-0000-0000-00009AEC0000}"/>
    <cellStyle name="Style 34 2 5" xfId="60622" xr:uid="{00000000-0005-0000-0000-00009BEC0000}"/>
    <cellStyle name="Style 34 3" xfId="60623" xr:uid="{00000000-0005-0000-0000-00009CEC0000}"/>
    <cellStyle name="Style 34 3 2" xfId="60624" xr:uid="{00000000-0005-0000-0000-00009DEC0000}"/>
    <cellStyle name="Style 34 3 2 2" xfId="60625" xr:uid="{00000000-0005-0000-0000-00009EEC0000}"/>
    <cellStyle name="Style 34 3 3" xfId="60626" xr:uid="{00000000-0005-0000-0000-00009FEC0000}"/>
    <cellStyle name="Style 34 3 4" xfId="60627" xr:uid="{00000000-0005-0000-0000-0000A0EC0000}"/>
    <cellStyle name="Style 34 4" xfId="60628" xr:uid="{00000000-0005-0000-0000-0000A1EC0000}"/>
    <cellStyle name="Style 34 4 2" xfId="60629" xr:uid="{00000000-0005-0000-0000-0000A2EC0000}"/>
    <cellStyle name="Style 34 5" xfId="60630" xr:uid="{00000000-0005-0000-0000-0000A3EC0000}"/>
    <cellStyle name="Style 34 6" xfId="60631" xr:uid="{00000000-0005-0000-0000-0000A4EC0000}"/>
    <cellStyle name="Style 34_Desert Cities Q1-Q4 2009 Data" xfId="60632" xr:uid="{00000000-0005-0000-0000-0000A5EC0000}"/>
    <cellStyle name="Style 35" xfId="60633" xr:uid="{00000000-0005-0000-0000-0000A6EC0000}"/>
    <cellStyle name="Style 35 2" xfId="60634" xr:uid="{00000000-0005-0000-0000-0000A7EC0000}"/>
    <cellStyle name="Style 35 2 2" xfId="60635" xr:uid="{00000000-0005-0000-0000-0000A8EC0000}"/>
    <cellStyle name="Style 35 2 2 2" xfId="60636" xr:uid="{00000000-0005-0000-0000-0000A9EC0000}"/>
    <cellStyle name="Style 35 2 2 3" xfId="60637" xr:uid="{00000000-0005-0000-0000-0000AAEC0000}"/>
    <cellStyle name="Style 35 2 3" xfId="60638" xr:uid="{00000000-0005-0000-0000-0000ABEC0000}"/>
    <cellStyle name="Style 35 2 4" xfId="60639" xr:uid="{00000000-0005-0000-0000-0000ACEC0000}"/>
    <cellStyle name="Style 35 3" xfId="60640" xr:uid="{00000000-0005-0000-0000-0000ADEC0000}"/>
    <cellStyle name="Style 35 3 2" xfId="60641" xr:uid="{00000000-0005-0000-0000-0000AEEC0000}"/>
    <cellStyle name="Style 35 3 3" xfId="60642" xr:uid="{00000000-0005-0000-0000-0000AFEC0000}"/>
    <cellStyle name="Style 35 4" xfId="60643" xr:uid="{00000000-0005-0000-0000-0000B0EC0000}"/>
    <cellStyle name="Style 35 5" xfId="60644" xr:uid="{00000000-0005-0000-0000-0000B1EC0000}"/>
    <cellStyle name="Style 35 6" xfId="60645" xr:uid="{00000000-0005-0000-0000-0000B2EC0000}"/>
    <cellStyle name="Style 35 7" xfId="60646" xr:uid="{00000000-0005-0000-0000-0000B3EC0000}"/>
    <cellStyle name="Style 35_Desert Cities Q1-Q4 2009 Data" xfId="60647" xr:uid="{00000000-0005-0000-0000-0000B4EC0000}"/>
    <cellStyle name="Style 36" xfId="60648" xr:uid="{00000000-0005-0000-0000-0000B5EC0000}"/>
    <cellStyle name="Style 36 2" xfId="60649" xr:uid="{00000000-0005-0000-0000-0000B6EC0000}"/>
    <cellStyle name="Style 36 2 2" xfId="60650" xr:uid="{00000000-0005-0000-0000-0000B7EC0000}"/>
    <cellStyle name="Style 36 2 2 2" xfId="60651" xr:uid="{00000000-0005-0000-0000-0000B8EC0000}"/>
    <cellStyle name="Style 36 2 3" xfId="60652" xr:uid="{00000000-0005-0000-0000-0000B9EC0000}"/>
    <cellStyle name="Style 36 2 4" xfId="60653" xr:uid="{00000000-0005-0000-0000-0000BAEC0000}"/>
    <cellStyle name="Style 36 3" xfId="60654" xr:uid="{00000000-0005-0000-0000-0000BBEC0000}"/>
    <cellStyle name="Style 36 3 2" xfId="60655" xr:uid="{00000000-0005-0000-0000-0000BCEC0000}"/>
    <cellStyle name="Style 36 3 3" xfId="60656" xr:uid="{00000000-0005-0000-0000-0000BDEC0000}"/>
    <cellStyle name="Style 36 4" xfId="60657" xr:uid="{00000000-0005-0000-0000-0000BEEC0000}"/>
    <cellStyle name="Style 36 5" xfId="60658" xr:uid="{00000000-0005-0000-0000-0000BFEC0000}"/>
    <cellStyle name="Style 36 6" xfId="60659" xr:uid="{00000000-0005-0000-0000-0000C0EC0000}"/>
    <cellStyle name="Style 36 7" xfId="60660" xr:uid="{00000000-0005-0000-0000-0000C1EC0000}"/>
    <cellStyle name="Style 36_Desert Cities Q1-Q4 2009 Data" xfId="60661" xr:uid="{00000000-0005-0000-0000-0000C2EC0000}"/>
    <cellStyle name="Style 37" xfId="60662" xr:uid="{00000000-0005-0000-0000-0000C3EC0000}"/>
    <cellStyle name="Style 37 2" xfId="60663" xr:uid="{00000000-0005-0000-0000-0000C4EC0000}"/>
    <cellStyle name="Style 37 2 2" xfId="60664" xr:uid="{00000000-0005-0000-0000-0000C5EC0000}"/>
    <cellStyle name="Style 37 2 2 2" xfId="60665" xr:uid="{00000000-0005-0000-0000-0000C6EC0000}"/>
    <cellStyle name="Style 37 2 3" xfId="60666" xr:uid="{00000000-0005-0000-0000-0000C7EC0000}"/>
    <cellStyle name="Style 37 2 4" xfId="60667" xr:uid="{00000000-0005-0000-0000-0000C8EC0000}"/>
    <cellStyle name="Style 37 3" xfId="60668" xr:uid="{00000000-0005-0000-0000-0000C9EC0000}"/>
    <cellStyle name="Style 37 3 2" xfId="60669" xr:uid="{00000000-0005-0000-0000-0000CAEC0000}"/>
    <cellStyle name="Style 37 3 3" xfId="60670" xr:uid="{00000000-0005-0000-0000-0000CBEC0000}"/>
    <cellStyle name="Style 37 4" xfId="60671" xr:uid="{00000000-0005-0000-0000-0000CCEC0000}"/>
    <cellStyle name="Style 37 5" xfId="60672" xr:uid="{00000000-0005-0000-0000-0000CDEC0000}"/>
    <cellStyle name="Style 37_Desert Cities Q1-Q4 2009 Data" xfId="60673" xr:uid="{00000000-0005-0000-0000-0000CEEC0000}"/>
    <cellStyle name="Style 38" xfId="60674" xr:uid="{00000000-0005-0000-0000-0000CFEC0000}"/>
    <cellStyle name="Style 38 2" xfId="60675" xr:uid="{00000000-0005-0000-0000-0000D0EC0000}"/>
    <cellStyle name="Style 38 2 2" xfId="60676" xr:uid="{00000000-0005-0000-0000-0000D1EC0000}"/>
    <cellStyle name="Style 38 2 2 2" xfId="60677" xr:uid="{00000000-0005-0000-0000-0000D2EC0000}"/>
    <cellStyle name="Style 38 2 2 3" xfId="60678" xr:uid="{00000000-0005-0000-0000-0000D3EC0000}"/>
    <cellStyle name="Style 38 2 3" xfId="60679" xr:uid="{00000000-0005-0000-0000-0000D4EC0000}"/>
    <cellStyle name="Style 38 2 4" xfId="60680" xr:uid="{00000000-0005-0000-0000-0000D5EC0000}"/>
    <cellStyle name="Style 38 3" xfId="60681" xr:uid="{00000000-0005-0000-0000-0000D6EC0000}"/>
    <cellStyle name="Style 38 3 2" xfId="60682" xr:uid="{00000000-0005-0000-0000-0000D7EC0000}"/>
    <cellStyle name="Style 38 3 3" xfId="60683" xr:uid="{00000000-0005-0000-0000-0000D8EC0000}"/>
    <cellStyle name="Style 38 4" xfId="60684" xr:uid="{00000000-0005-0000-0000-0000D9EC0000}"/>
    <cellStyle name="Style 38 5" xfId="60685" xr:uid="{00000000-0005-0000-0000-0000DAEC0000}"/>
    <cellStyle name="Style 38_Desert Cities Q1-Q4 2009 Data" xfId="60686" xr:uid="{00000000-0005-0000-0000-0000DBEC0000}"/>
    <cellStyle name="Style 39" xfId="60687" xr:uid="{00000000-0005-0000-0000-0000DCEC0000}"/>
    <cellStyle name="Style 39 2" xfId="60688" xr:uid="{00000000-0005-0000-0000-0000DDEC0000}"/>
    <cellStyle name="Style 39 2 2" xfId="60689" xr:uid="{00000000-0005-0000-0000-0000DEEC0000}"/>
    <cellStyle name="Style 39 2 2 2" xfId="60690" xr:uid="{00000000-0005-0000-0000-0000DFEC0000}"/>
    <cellStyle name="Style 39 2 2 3" xfId="60691" xr:uid="{00000000-0005-0000-0000-0000E0EC0000}"/>
    <cellStyle name="Style 39 2 3" xfId="60692" xr:uid="{00000000-0005-0000-0000-0000E1EC0000}"/>
    <cellStyle name="Style 39 2 4" xfId="60693" xr:uid="{00000000-0005-0000-0000-0000E2EC0000}"/>
    <cellStyle name="Style 39 3" xfId="60694" xr:uid="{00000000-0005-0000-0000-0000E3EC0000}"/>
    <cellStyle name="Style 39 3 2" xfId="60695" xr:uid="{00000000-0005-0000-0000-0000E4EC0000}"/>
    <cellStyle name="Style 39 3 3" xfId="60696" xr:uid="{00000000-0005-0000-0000-0000E5EC0000}"/>
    <cellStyle name="Style 39 4" xfId="60697" xr:uid="{00000000-0005-0000-0000-0000E6EC0000}"/>
    <cellStyle name="Style 39 5" xfId="60698" xr:uid="{00000000-0005-0000-0000-0000E7EC0000}"/>
    <cellStyle name="Style 39_Desert Cities Q1-Q4 2009 Data" xfId="60699" xr:uid="{00000000-0005-0000-0000-0000E8EC0000}"/>
    <cellStyle name="Style 40" xfId="60700" xr:uid="{00000000-0005-0000-0000-0000E9EC0000}"/>
    <cellStyle name="Style 40 2" xfId="60701" xr:uid="{00000000-0005-0000-0000-0000EAEC0000}"/>
    <cellStyle name="Style 40 2 2" xfId="60702" xr:uid="{00000000-0005-0000-0000-0000EBEC0000}"/>
    <cellStyle name="Style 40 2 2 2" xfId="60703" xr:uid="{00000000-0005-0000-0000-0000ECEC0000}"/>
    <cellStyle name="Style 40 2 2 2 2" xfId="60704" xr:uid="{00000000-0005-0000-0000-0000EDEC0000}"/>
    <cellStyle name="Style 40 2 2 3" xfId="60705" xr:uid="{00000000-0005-0000-0000-0000EEEC0000}"/>
    <cellStyle name="Style 40 2 2 4" xfId="60706" xr:uid="{00000000-0005-0000-0000-0000EFEC0000}"/>
    <cellStyle name="Style 40 2 3" xfId="60707" xr:uid="{00000000-0005-0000-0000-0000F0EC0000}"/>
    <cellStyle name="Style 40 2 3 2" xfId="60708" xr:uid="{00000000-0005-0000-0000-0000F1EC0000}"/>
    <cellStyle name="Style 40 2 4" xfId="60709" xr:uid="{00000000-0005-0000-0000-0000F2EC0000}"/>
    <cellStyle name="Style 40 2 5" xfId="60710" xr:uid="{00000000-0005-0000-0000-0000F3EC0000}"/>
    <cellStyle name="Style 40 3" xfId="60711" xr:uid="{00000000-0005-0000-0000-0000F4EC0000}"/>
    <cellStyle name="Style 40 3 2" xfId="60712" xr:uid="{00000000-0005-0000-0000-0000F5EC0000}"/>
    <cellStyle name="Style 40 3 2 2" xfId="60713" xr:uid="{00000000-0005-0000-0000-0000F6EC0000}"/>
    <cellStyle name="Style 40 3 3" xfId="60714" xr:uid="{00000000-0005-0000-0000-0000F7EC0000}"/>
    <cellStyle name="Style 40 3 4" xfId="60715" xr:uid="{00000000-0005-0000-0000-0000F8EC0000}"/>
    <cellStyle name="Style 40 4" xfId="60716" xr:uid="{00000000-0005-0000-0000-0000F9EC0000}"/>
    <cellStyle name="Style 40 4 2" xfId="60717" xr:uid="{00000000-0005-0000-0000-0000FAEC0000}"/>
    <cellStyle name="Style 40 5" xfId="60718" xr:uid="{00000000-0005-0000-0000-0000FBEC0000}"/>
    <cellStyle name="Style 40 6" xfId="60719" xr:uid="{00000000-0005-0000-0000-0000FCEC0000}"/>
    <cellStyle name="Style 40_Desert Cities Q1-Q4 2009 Data" xfId="60720" xr:uid="{00000000-0005-0000-0000-0000FDEC0000}"/>
    <cellStyle name="Style 41" xfId="60721" xr:uid="{00000000-0005-0000-0000-0000FEEC0000}"/>
    <cellStyle name="Style 41 2" xfId="60722" xr:uid="{00000000-0005-0000-0000-0000FFEC0000}"/>
    <cellStyle name="Style 41 2 2" xfId="60723" xr:uid="{00000000-0005-0000-0000-000000ED0000}"/>
    <cellStyle name="Style 41 2 2 2" xfId="60724" xr:uid="{00000000-0005-0000-0000-000001ED0000}"/>
    <cellStyle name="Style 41 2 2 2 2" xfId="60725" xr:uid="{00000000-0005-0000-0000-000002ED0000}"/>
    <cellStyle name="Style 41 2 2 3" xfId="60726" xr:uid="{00000000-0005-0000-0000-000003ED0000}"/>
    <cellStyle name="Style 41 2 3" xfId="60727" xr:uid="{00000000-0005-0000-0000-000004ED0000}"/>
    <cellStyle name="Style 41 2 3 2" xfId="60728" xr:uid="{00000000-0005-0000-0000-000005ED0000}"/>
    <cellStyle name="Style 41 2 4" xfId="60729" xr:uid="{00000000-0005-0000-0000-000006ED0000}"/>
    <cellStyle name="Style 41 3" xfId="60730" xr:uid="{00000000-0005-0000-0000-000007ED0000}"/>
    <cellStyle name="Style 41 3 2" xfId="60731" xr:uid="{00000000-0005-0000-0000-000008ED0000}"/>
    <cellStyle name="Style 41 3 2 2" xfId="60732" xr:uid="{00000000-0005-0000-0000-000009ED0000}"/>
    <cellStyle name="Style 41 3 3" xfId="60733" xr:uid="{00000000-0005-0000-0000-00000AED0000}"/>
    <cellStyle name="Style 41 4" xfId="60734" xr:uid="{00000000-0005-0000-0000-00000BED0000}"/>
    <cellStyle name="Style 41 4 2" xfId="60735" xr:uid="{00000000-0005-0000-0000-00000CED0000}"/>
    <cellStyle name="Style 41 5" xfId="60736" xr:uid="{00000000-0005-0000-0000-00000DED0000}"/>
    <cellStyle name="Subtotal" xfId="74" xr:uid="{00000000-0005-0000-0000-00000EED0000}"/>
    <cellStyle name="test a style" xfId="75" xr:uid="{00000000-0005-0000-0000-00000FED0000}"/>
    <cellStyle name="Text" xfId="60737" xr:uid="{00000000-0005-0000-0000-000010ED0000}"/>
    <cellStyle name="Text 2" xfId="60738" xr:uid="{00000000-0005-0000-0000-000011ED0000}"/>
    <cellStyle name="Text 2 2" xfId="60739" xr:uid="{00000000-0005-0000-0000-000012ED0000}"/>
    <cellStyle name="Text 3" xfId="60740" xr:uid="{00000000-0005-0000-0000-000013ED0000}"/>
    <cellStyle name="Thousand" xfId="60741" xr:uid="{00000000-0005-0000-0000-000014ED0000}"/>
    <cellStyle name="Thousand 2" xfId="60742" xr:uid="{00000000-0005-0000-0000-000015ED0000}"/>
    <cellStyle name="Thousand 2 2" xfId="60743" xr:uid="{00000000-0005-0000-0000-000016ED0000}"/>
    <cellStyle name="Thousand 3" xfId="60744" xr:uid="{00000000-0005-0000-0000-000017ED0000}"/>
    <cellStyle name="Thousands" xfId="60745" xr:uid="{00000000-0005-0000-0000-000018ED0000}"/>
    <cellStyle name="Thousands 2" xfId="60746" xr:uid="{00000000-0005-0000-0000-000019ED0000}"/>
    <cellStyle name="Thousands 2 2" xfId="60747" xr:uid="{00000000-0005-0000-0000-00001AED0000}"/>
    <cellStyle name="Thousands 3" xfId="60748" xr:uid="{00000000-0005-0000-0000-00001BED0000}"/>
    <cellStyle name="Title 10" xfId="60749" xr:uid="{00000000-0005-0000-0000-00001CED0000}"/>
    <cellStyle name="Title 11" xfId="60750" xr:uid="{00000000-0005-0000-0000-00001DED0000}"/>
    <cellStyle name="Title 12" xfId="60751" xr:uid="{00000000-0005-0000-0000-00001EED0000}"/>
    <cellStyle name="Title 2" xfId="60752" xr:uid="{00000000-0005-0000-0000-00001FED0000}"/>
    <cellStyle name="Title 2 10" xfId="60753" xr:uid="{00000000-0005-0000-0000-000020ED0000}"/>
    <cellStyle name="Title 2 11" xfId="60754" xr:uid="{00000000-0005-0000-0000-000021ED0000}"/>
    <cellStyle name="Title 2 2" xfId="60755" xr:uid="{00000000-0005-0000-0000-000022ED0000}"/>
    <cellStyle name="Title 2 2 2" xfId="60756" xr:uid="{00000000-0005-0000-0000-000023ED0000}"/>
    <cellStyle name="Title 2 2 2 2" xfId="60757" xr:uid="{00000000-0005-0000-0000-000024ED0000}"/>
    <cellStyle name="Title 2 2 2 3" xfId="60758" xr:uid="{00000000-0005-0000-0000-000025ED0000}"/>
    <cellStyle name="Title 2 2 3" xfId="60759" xr:uid="{00000000-0005-0000-0000-000026ED0000}"/>
    <cellStyle name="Title 2 2 4" xfId="60760" xr:uid="{00000000-0005-0000-0000-000027ED0000}"/>
    <cellStyle name="Title 2 2 5" xfId="60761" xr:uid="{00000000-0005-0000-0000-000028ED0000}"/>
    <cellStyle name="Title 2 3" xfId="60762" xr:uid="{00000000-0005-0000-0000-000029ED0000}"/>
    <cellStyle name="Title 2 3 2" xfId="60763" xr:uid="{00000000-0005-0000-0000-00002AED0000}"/>
    <cellStyle name="Title 2 3 3" xfId="60764" xr:uid="{00000000-0005-0000-0000-00002BED0000}"/>
    <cellStyle name="Title 2 3 4" xfId="60765" xr:uid="{00000000-0005-0000-0000-00002CED0000}"/>
    <cellStyle name="Title 2 3 5" xfId="60766" xr:uid="{00000000-0005-0000-0000-00002DED0000}"/>
    <cellStyle name="Title 2 4" xfId="60767" xr:uid="{00000000-0005-0000-0000-00002EED0000}"/>
    <cellStyle name="Title 2 4 2" xfId="60768" xr:uid="{00000000-0005-0000-0000-00002FED0000}"/>
    <cellStyle name="Title 2 4 3" xfId="60769" xr:uid="{00000000-0005-0000-0000-000030ED0000}"/>
    <cellStyle name="Title 2 5" xfId="60770" xr:uid="{00000000-0005-0000-0000-000031ED0000}"/>
    <cellStyle name="Title 2 5 2" xfId="60771" xr:uid="{00000000-0005-0000-0000-000032ED0000}"/>
    <cellStyle name="Title 2 5 3" xfId="60772" xr:uid="{00000000-0005-0000-0000-000033ED0000}"/>
    <cellStyle name="Title 2 6" xfId="60773" xr:uid="{00000000-0005-0000-0000-000034ED0000}"/>
    <cellStyle name="Title 2 6 2" xfId="60774" xr:uid="{00000000-0005-0000-0000-000035ED0000}"/>
    <cellStyle name="Title 2 7" xfId="60775" xr:uid="{00000000-0005-0000-0000-000036ED0000}"/>
    <cellStyle name="Title 2 7 2" xfId="60776" xr:uid="{00000000-0005-0000-0000-000037ED0000}"/>
    <cellStyle name="Title 2 8" xfId="60777" xr:uid="{00000000-0005-0000-0000-000038ED0000}"/>
    <cellStyle name="Title 2 9" xfId="60778" xr:uid="{00000000-0005-0000-0000-000039ED0000}"/>
    <cellStyle name="Title 3" xfId="60779" xr:uid="{00000000-0005-0000-0000-00003AED0000}"/>
    <cellStyle name="Title 3 2" xfId="60780" xr:uid="{00000000-0005-0000-0000-00003BED0000}"/>
    <cellStyle name="Title 3 2 2" xfId="60781" xr:uid="{00000000-0005-0000-0000-00003CED0000}"/>
    <cellStyle name="Title 3 2 2 2" xfId="60782" xr:uid="{00000000-0005-0000-0000-00003DED0000}"/>
    <cellStyle name="Title 3 2 3" xfId="60783" xr:uid="{00000000-0005-0000-0000-00003EED0000}"/>
    <cellStyle name="Title 3 3" xfId="60784" xr:uid="{00000000-0005-0000-0000-00003FED0000}"/>
    <cellStyle name="Title 3 3 2" xfId="60785" xr:uid="{00000000-0005-0000-0000-000040ED0000}"/>
    <cellStyle name="Title 3 4" xfId="60786" xr:uid="{00000000-0005-0000-0000-000041ED0000}"/>
    <cellStyle name="Title 3 5" xfId="60787" xr:uid="{00000000-0005-0000-0000-000042ED0000}"/>
    <cellStyle name="Title 4" xfId="60788" xr:uid="{00000000-0005-0000-0000-000043ED0000}"/>
    <cellStyle name="Title 4 2" xfId="60789" xr:uid="{00000000-0005-0000-0000-000044ED0000}"/>
    <cellStyle name="Title 4 2 2" xfId="60790" xr:uid="{00000000-0005-0000-0000-000045ED0000}"/>
    <cellStyle name="Title 4 3" xfId="60791" xr:uid="{00000000-0005-0000-0000-000046ED0000}"/>
    <cellStyle name="Title 4 4" xfId="60792" xr:uid="{00000000-0005-0000-0000-000047ED0000}"/>
    <cellStyle name="Title 4 5" xfId="60793" xr:uid="{00000000-0005-0000-0000-000048ED0000}"/>
    <cellStyle name="Title 5" xfId="60794" xr:uid="{00000000-0005-0000-0000-000049ED0000}"/>
    <cellStyle name="Title 5 2" xfId="60795" xr:uid="{00000000-0005-0000-0000-00004AED0000}"/>
    <cellStyle name="Title 5 2 2" xfId="60796" xr:uid="{00000000-0005-0000-0000-00004BED0000}"/>
    <cellStyle name="Title 5 3" xfId="60797" xr:uid="{00000000-0005-0000-0000-00004CED0000}"/>
    <cellStyle name="Title 5 4" xfId="60798" xr:uid="{00000000-0005-0000-0000-00004DED0000}"/>
    <cellStyle name="Title 5 5" xfId="60799" xr:uid="{00000000-0005-0000-0000-00004EED0000}"/>
    <cellStyle name="Title 6" xfId="60800" xr:uid="{00000000-0005-0000-0000-00004FED0000}"/>
    <cellStyle name="Title 6 2" xfId="60801" xr:uid="{00000000-0005-0000-0000-000050ED0000}"/>
    <cellStyle name="Title 6 2 2" xfId="60802" xr:uid="{00000000-0005-0000-0000-000051ED0000}"/>
    <cellStyle name="Title 6 3" xfId="60803" xr:uid="{00000000-0005-0000-0000-000052ED0000}"/>
    <cellStyle name="Title 7" xfId="60804" xr:uid="{00000000-0005-0000-0000-000053ED0000}"/>
    <cellStyle name="Title 7 2" xfId="60805" xr:uid="{00000000-0005-0000-0000-000054ED0000}"/>
    <cellStyle name="Title 7 2 2" xfId="60806" xr:uid="{00000000-0005-0000-0000-000055ED0000}"/>
    <cellStyle name="Title 7 3" xfId="60807" xr:uid="{00000000-0005-0000-0000-000056ED0000}"/>
    <cellStyle name="Title 8" xfId="60808" xr:uid="{00000000-0005-0000-0000-000057ED0000}"/>
    <cellStyle name="Title 8 2" xfId="60809" xr:uid="{00000000-0005-0000-0000-000058ED0000}"/>
    <cellStyle name="Title 8 3" xfId="60810" xr:uid="{00000000-0005-0000-0000-000059ED0000}"/>
    <cellStyle name="Title 9" xfId="60811" xr:uid="{00000000-0005-0000-0000-00005AED0000}"/>
    <cellStyle name="Title 9 2" xfId="60812" xr:uid="{00000000-0005-0000-0000-00005BED0000}"/>
    <cellStyle name="Total" xfId="76" builtinId="25" customBuiltin="1"/>
    <cellStyle name="Total 10" xfId="60813" xr:uid="{00000000-0005-0000-0000-00005DED0000}"/>
    <cellStyle name="Total 11" xfId="60814" xr:uid="{00000000-0005-0000-0000-00005EED0000}"/>
    <cellStyle name="Total 12" xfId="60815" xr:uid="{00000000-0005-0000-0000-00005FED0000}"/>
    <cellStyle name="Total 2" xfId="372" xr:uid="{00000000-0005-0000-0000-000060ED0000}"/>
    <cellStyle name="Total 2 10" xfId="60816" xr:uid="{00000000-0005-0000-0000-000061ED0000}"/>
    <cellStyle name="Total 2 10 2" xfId="60817" xr:uid="{00000000-0005-0000-0000-000062ED0000}"/>
    <cellStyle name="Total 2 11" xfId="60818" xr:uid="{00000000-0005-0000-0000-000063ED0000}"/>
    <cellStyle name="Total 2 11 2" xfId="60819" xr:uid="{00000000-0005-0000-0000-000064ED0000}"/>
    <cellStyle name="Total 2 12" xfId="60820" xr:uid="{00000000-0005-0000-0000-000065ED0000}"/>
    <cellStyle name="Total 2 12 2" xfId="60821" xr:uid="{00000000-0005-0000-0000-000066ED0000}"/>
    <cellStyle name="Total 2 13" xfId="60822" xr:uid="{00000000-0005-0000-0000-000067ED0000}"/>
    <cellStyle name="Total 2 13 2" xfId="60823" xr:uid="{00000000-0005-0000-0000-000068ED0000}"/>
    <cellStyle name="Total 2 14" xfId="60824" xr:uid="{00000000-0005-0000-0000-000069ED0000}"/>
    <cellStyle name="Total 2 15" xfId="60825" xr:uid="{00000000-0005-0000-0000-00006AED0000}"/>
    <cellStyle name="Total 2 2" xfId="373" xr:uid="{00000000-0005-0000-0000-00006BED0000}"/>
    <cellStyle name="Total 2 2 10" xfId="60826" xr:uid="{00000000-0005-0000-0000-00006CED0000}"/>
    <cellStyle name="Total 2 2 11" xfId="60827" xr:uid="{00000000-0005-0000-0000-00006DED0000}"/>
    <cellStyle name="Total 2 2 2" xfId="60828" xr:uid="{00000000-0005-0000-0000-00006EED0000}"/>
    <cellStyle name="Total 2 2 2 2" xfId="60829" xr:uid="{00000000-0005-0000-0000-00006FED0000}"/>
    <cellStyle name="Total 2 2 2 2 2" xfId="60830" xr:uid="{00000000-0005-0000-0000-000070ED0000}"/>
    <cellStyle name="Total 2 2 2 2 2 2" xfId="60831" xr:uid="{00000000-0005-0000-0000-000071ED0000}"/>
    <cellStyle name="Total 2 2 2 2 3" xfId="60832" xr:uid="{00000000-0005-0000-0000-000072ED0000}"/>
    <cellStyle name="Total 2 2 2 2 3 2" xfId="60833" xr:uid="{00000000-0005-0000-0000-000073ED0000}"/>
    <cellStyle name="Total 2 2 2 2 4" xfId="60834" xr:uid="{00000000-0005-0000-0000-000074ED0000}"/>
    <cellStyle name="Total 2 2 2 2 4 2" xfId="60835" xr:uid="{00000000-0005-0000-0000-000075ED0000}"/>
    <cellStyle name="Total 2 2 2 2 5" xfId="60836" xr:uid="{00000000-0005-0000-0000-000076ED0000}"/>
    <cellStyle name="Total 2 2 2 3" xfId="60837" xr:uid="{00000000-0005-0000-0000-000077ED0000}"/>
    <cellStyle name="Total 2 2 2 3 2" xfId="60838" xr:uid="{00000000-0005-0000-0000-000078ED0000}"/>
    <cellStyle name="Total 2 2 2 3 2 2" xfId="60839" xr:uid="{00000000-0005-0000-0000-000079ED0000}"/>
    <cellStyle name="Total 2 2 2 3 3" xfId="60840" xr:uid="{00000000-0005-0000-0000-00007AED0000}"/>
    <cellStyle name="Total 2 2 2 3 3 2" xfId="60841" xr:uid="{00000000-0005-0000-0000-00007BED0000}"/>
    <cellStyle name="Total 2 2 2 3 4" xfId="60842" xr:uid="{00000000-0005-0000-0000-00007CED0000}"/>
    <cellStyle name="Total 2 2 2 4" xfId="60843" xr:uid="{00000000-0005-0000-0000-00007DED0000}"/>
    <cellStyle name="Total 2 2 2 4 2" xfId="60844" xr:uid="{00000000-0005-0000-0000-00007EED0000}"/>
    <cellStyle name="Total 2 2 2 5" xfId="60845" xr:uid="{00000000-0005-0000-0000-00007FED0000}"/>
    <cellStyle name="Total 2 2 2 5 2" xfId="60846" xr:uid="{00000000-0005-0000-0000-000080ED0000}"/>
    <cellStyle name="Total 2 2 2 6" xfId="60847" xr:uid="{00000000-0005-0000-0000-000081ED0000}"/>
    <cellStyle name="Total 2 2 2 6 2" xfId="60848" xr:uid="{00000000-0005-0000-0000-000082ED0000}"/>
    <cellStyle name="Total 2 2 2 7" xfId="60849" xr:uid="{00000000-0005-0000-0000-000083ED0000}"/>
    <cellStyle name="Total 2 2 2 8" xfId="60850" xr:uid="{00000000-0005-0000-0000-000084ED0000}"/>
    <cellStyle name="Total 2 2 2 9" xfId="60851" xr:uid="{00000000-0005-0000-0000-000085ED0000}"/>
    <cellStyle name="Total 2 2 3" xfId="60852" xr:uid="{00000000-0005-0000-0000-000086ED0000}"/>
    <cellStyle name="Total 2 2 3 2" xfId="60853" xr:uid="{00000000-0005-0000-0000-000087ED0000}"/>
    <cellStyle name="Total 2 2 3 2 2" xfId="60854" xr:uid="{00000000-0005-0000-0000-000088ED0000}"/>
    <cellStyle name="Total 2 2 3 3" xfId="60855" xr:uid="{00000000-0005-0000-0000-000089ED0000}"/>
    <cellStyle name="Total 2 2 3 3 2" xfId="60856" xr:uid="{00000000-0005-0000-0000-00008AED0000}"/>
    <cellStyle name="Total 2 2 3 4" xfId="60857" xr:uid="{00000000-0005-0000-0000-00008BED0000}"/>
    <cellStyle name="Total 2 2 3 4 2" xfId="60858" xr:uid="{00000000-0005-0000-0000-00008CED0000}"/>
    <cellStyle name="Total 2 2 4" xfId="60859" xr:uid="{00000000-0005-0000-0000-00008DED0000}"/>
    <cellStyle name="Total 2 2 4 2" xfId="60860" xr:uid="{00000000-0005-0000-0000-00008EED0000}"/>
    <cellStyle name="Total 2 2 4 2 2" xfId="60861" xr:uid="{00000000-0005-0000-0000-00008FED0000}"/>
    <cellStyle name="Total 2 2 4 3" xfId="60862" xr:uid="{00000000-0005-0000-0000-000090ED0000}"/>
    <cellStyle name="Total 2 2 4 3 2" xfId="60863" xr:uid="{00000000-0005-0000-0000-000091ED0000}"/>
    <cellStyle name="Total 2 2 4 4" xfId="60864" xr:uid="{00000000-0005-0000-0000-000092ED0000}"/>
    <cellStyle name="Total 2 2 4 4 2" xfId="60865" xr:uid="{00000000-0005-0000-0000-000093ED0000}"/>
    <cellStyle name="Total 2 2 4 5" xfId="60866" xr:uid="{00000000-0005-0000-0000-000094ED0000}"/>
    <cellStyle name="Total 2 2 5" xfId="60867" xr:uid="{00000000-0005-0000-0000-000095ED0000}"/>
    <cellStyle name="Total 2 2 6" xfId="60868" xr:uid="{00000000-0005-0000-0000-000096ED0000}"/>
    <cellStyle name="Total 2 2 6 2" xfId="60869" xr:uid="{00000000-0005-0000-0000-000097ED0000}"/>
    <cellStyle name="Total 2 2 7" xfId="60870" xr:uid="{00000000-0005-0000-0000-000098ED0000}"/>
    <cellStyle name="Total 2 2 7 2" xfId="60871" xr:uid="{00000000-0005-0000-0000-000099ED0000}"/>
    <cellStyle name="Total 2 2 8" xfId="60872" xr:uid="{00000000-0005-0000-0000-00009AED0000}"/>
    <cellStyle name="Total 2 2 8 2" xfId="60873" xr:uid="{00000000-0005-0000-0000-00009BED0000}"/>
    <cellStyle name="Total 2 2 9" xfId="60874" xr:uid="{00000000-0005-0000-0000-00009CED0000}"/>
    <cellStyle name="Total 2 2 9 2" xfId="60875" xr:uid="{00000000-0005-0000-0000-00009DED0000}"/>
    <cellStyle name="Total 2 3" xfId="60876" xr:uid="{00000000-0005-0000-0000-00009EED0000}"/>
    <cellStyle name="Total 2 3 2" xfId="60877" xr:uid="{00000000-0005-0000-0000-00009FED0000}"/>
    <cellStyle name="Total 2 3 2 2" xfId="60878" xr:uid="{00000000-0005-0000-0000-0000A0ED0000}"/>
    <cellStyle name="Total 2 3 3" xfId="60879" xr:uid="{00000000-0005-0000-0000-0000A1ED0000}"/>
    <cellStyle name="Total 2 3 4" xfId="60880" xr:uid="{00000000-0005-0000-0000-0000A2ED0000}"/>
    <cellStyle name="Total 2 3 4 2" xfId="60881" xr:uid="{00000000-0005-0000-0000-0000A3ED0000}"/>
    <cellStyle name="Total 2 3 5" xfId="60882" xr:uid="{00000000-0005-0000-0000-0000A4ED0000}"/>
    <cellStyle name="Total 2 3 5 2" xfId="60883" xr:uid="{00000000-0005-0000-0000-0000A5ED0000}"/>
    <cellStyle name="Total 2 3 6" xfId="60884" xr:uid="{00000000-0005-0000-0000-0000A6ED0000}"/>
    <cellStyle name="Total 2 3 6 2" xfId="60885" xr:uid="{00000000-0005-0000-0000-0000A7ED0000}"/>
    <cellStyle name="Total 2 3 7" xfId="60886" xr:uid="{00000000-0005-0000-0000-0000A8ED0000}"/>
    <cellStyle name="Total 2 3 8" xfId="60887" xr:uid="{00000000-0005-0000-0000-0000A9ED0000}"/>
    <cellStyle name="Total 2 3 9" xfId="60888" xr:uid="{00000000-0005-0000-0000-0000AAED0000}"/>
    <cellStyle name="Total 2 4" xfId="60889" xr:uid="{00000000-0005-0000-0000-0000ABED0000}"/>
    <cellStyle name="Total 2 4 2" xfId="60890" xr:uid="{00000000-0005-0000-0000-0000ACED0000}"/>
    <cellStyle name="Total 2 4 3" xfId="60891" xr:uid="{00000000-0005-0000-0000-0000ADED0000}"/>
    <cellStyle name="Total 2 4 3 2" xfId="60892" xr:uid="{00000000-0005-0000-0000-0000AEED0000}"/>
    <cellStyle name="Total 2 4 4" xfId="60893" xr:uid="{00000000-0005-0000-0000-0000AFED0000}"/>
    <cellStyle name="Total 2 4 4 2" xfId="60894" xr:uid="{00000000-0005-0000-0000-0000B0ED0000}"/>
    <cellStyle name="Total 2 4 5" xfId="60895" xr:uid="{00000000-0005-0000-0000-0000B1ED0000}"/>
    <cellStyle name="Total 2 4 5 2" xfId="60896" xr:uid="{00000000-0005-0000-0000-0000B2ED0000}"/>
    <cellStyle name="Total 2 4 6" xfId="60897" xr:uid="{00000000-0005-0000-0000-0000B3ED0000}"/>
    <cellStyle name="Total 2 4 7" xfId="60898" xr:uid="{00000000-0005-0000-0000-0000B4ED0000}"/>
    <cellStyle name="Total 2 5" xfId="60899" xr:uid="{00000000-0005-0000-0000-0000B5ED0000}"/>
    <cellStyle name="Total 2 5 2" xfId="60900" xr:uid="{00000000-0005-0000-0000-0000B6ED0000}"/>
    <cellStyle name="Total 2 5 2 2" xfId="60901" xr:uid="{00000000-0005-0000-0000-0000B7ED0000}"/>
    <cellStyle name="Total 2 5 3" xfId="60902" xr:uid="{00000000-0005-0000-0000-0000B8ED0000}"/>
    <cellStyle name="Total 2 5 3 2" xfId="60903" xr:uid="{00000000-0005-0000-0000-0000B9ED0000}"/>
    <cellStyle name="Total 2 5 4" xfId="60904" xr:uid="{00000000-0005-0000-0000-0000BAED0000}"/>
    <cellStyle name="Total 2 5 4 2" xfId="60905" xr:uid="{00000000-0005-0000-0000-0000BBED0000}"/>
    <cellStyle name="Total 2 5 5" xfId="60906" xr:uid="{00000000-0005-0000-0000-0000BCED0000}"/>
    <cellStyle name="Total 2 5 5 2" xfId="60907" xr:uid="{00000000-0005-0000-0000-0000BDED0000}"/>
    <cellStyle name="Total 2 5 6" xfId="60908" xr:uid="{00000000-0005-0000-0000-0000BEED0000}"/>
    <cellStyle name="Total 2 6" xfId="60909" xr:uid="{00000000-0005-0000-0000-0000BFED0000}"/>
    <cellStyle name="Total 2 6 2" xfId="60910" xr:uid="{00000000-0005-0000-0000-0000C0ED0000}"/>
    <cellStyle name="Total 2 7" xfId="60911" xr:uid="{00000000-0005-0000-0000-0000C1ED0000}"/>
    <cellStyle name="Total 2 7 2" xfId="60912" xr:uid="{00000000-0005-0000-0000-0000C2ED0000}"/>
    <cellStyle name="Total 2 7 2 2" xfId="60913" xr:uid="{00000000-0005-0000-0000-0000C3ED0000}"/>
    <cellStyle name="Total 2 8" xfId="60914" xr:uid="{00000000-0005-0000-0000-0000C4ED0000}"/>
    <cellStyle name="Total 2 8 2" xfId="60915" xr:uid="{00000000-0005-0000-0000-0000C5ED0000}"/>
    <cellStyle name="Total 2 9" xfId="60916" xr:uid="{00000000-0005-0000-0000-0000C6ED0000}"/>
    <cellStyle name="Total 2 9 2" xfId="60917" xr:uid="{00000000-0005-0000-0000-0000C7ED0000}"/>
    <cellStyle name="Total 2_2015 Annual Rpt" xfId="60918" xr:uid="{00000000-0005-0000-0000-0000C8ED0000}"/>
    <cellStyle name="Total 3" xfId="374" xr:uid="{00000000-0005-0000-0000-0000C9ED0000}"/>
    <cellStyle name="Total 3 10" xfId="60919" xr:uid="{00000000-0005-0000-0000-0000CAED0000}"/>
    <cellStyle name="Total 3 2" xfId="60920" xr:uid="{00000000-0005-0000-0000-0000CBED0000}"/>
    <cellStyle name="Total 3 2 2" xfId="60921" xr:uid="{00000000-0005-0000-0000-0000CCED0000}"/>
    <cellStyle name="Total 3 2 2 2" xfId="60922" xr:uid="{00000000-0005-0000-0000-0000CDED0000}"/>
    <cellStyle name="Total 3 2 2 2 2" xfId="60923" xr:uid="{00000000-0005-0000-0000-0000CEED0000}"/>
    <cellStyle name="Total 3 2 2 3" xfId="60924" xr:uid="{00000000-0005-0000-0000-0000CFED0000}"/>
    <cellStyle name="Total 3 2 2 3 2" xfId="60925" xr:uid="{00000000-0005-0000-0000-0000D0ED0000}"/>
    <cellStyle name="Total 3 2 2 4" xfId="60926" xr:uid="{00000000-0005-0000-0000-0000D1ED0000}"/>
    <cellStyle name="Total 3 2 2 4 2" xfId="60927" xr:uid="{00000000-0005-0000-0000-0000D2ED0000}"/>
    <cellStyle name="Total 3 2 2 5" xfId="60928" xr:uid="{00000000-0005-0000-0000-0000D3ED0000}"/>
    <cellStyle name="Total 3 2 3" xfId="60929" xr:uid="{00000000-0005-0000-0000-0000D4ED0000}"/>
    <cellStyle name="Total 3 2 3 2" xfId="60930" xr:uid="{00000000-0005-0000-0000-0000D5ED0000}"/>
    <cellStyle name="Total 3 2 3 2 2" xfId="60931" xr:uid="{00000000-0005-0000-0000-0000D6ED0000}"/>
    <cellStyle name="Total 3 2 3 3" xfId="60932" xr:uid="{00000000-0005-0000-0000-0000D7ED0000}"/>
    <cellStyle name="Total 3 2 3 3 2" xfId="60933" xr:uid="{00000000-0005-0000-0000-0000D8ED0000}"/>
    <cellStyle name="Total 3 2 3 4" xfId="60934" xr:uid="{00000000-0005-0000-0000-0000D9ED0000}"/>
    <cellStyle name="Total 3 2 3 4 2" xfId="60935" xr:uid="{00000000-0005-0000-0000-0000DAED0000}"/>
    <cellStyle name="Total 3 2 3 5" xfId="60936" xr:uid="{00000000-0005-0000-0000-0000DBED0000}"/>
    <cellStyle name="Total 3 2 3 6" xfId="60937" xr:uid="{00000000-0005-0000-0000-0000DCED0000}"/>
    <cellStyle name="Total 3 2 4" xfId="60938" xr:uid="{00000000-0005-0000-0000-0000DDED0000}"/>
    <cellStyle name="Total 3 2 5" xfId="60939" xr:uid="{00000000-0005-0000-0000-0000DEED0000}"/>
    <cellStyle name="Total 3 2 5 2" xfId="60940" xr:uid="{00000000-0005-0000-0000-0000DFED0000}"/>
    <cellStyle name="Total 3 2 6" xfId="60941" xr:uid="{00000000-0005-0000-0000-0000E0ED0000}"/>
    <cellStyle name="Total 3 2 6 2" xfId="60942" xr:uid="{00000000-0005-0000-0000-0000E1ED0000}"/>
    <cellStyle name="Total 3 2 7" xfId="60943" xr:uid="{00000000-0005-0000-0000-0000E2ED0000}"/>
    <cellStyle name="Total 3 2 7 2" xfId="60944" xr:uid="{00000000-0005-0000-0000-0000E3ED0000}"/>
    <cellStyle name="Total 3 2 8" xfId="60945" xr:uid="{00000000-0005-0000-0000-0000E4ED0000}"/>
    <cellStyle name="Total 3 2 8 2" xfId="60946" xr:uid="{00000000-0005-0000-0000-0000E5ED0000}"/>
    <cellStyle name="Total 3 3" xfId="60947" xr:uid="{00000000-0005-0000-0000-0000E6ED0000}"/>
    <cellStyle name="Total 3 3 2" xfId="60948" xr:uid="{00000000-0005-0000-0000-0000E7ED0000}"/>
    <cellStyle name="Total 3 3 2 2" xfId="60949" xr:uid="{00000000-0005-0000-0000-0000E8ED0000}"/>
    <cellStyle name="Total 3 3 3" xfId="60950" xr:uid="{00000000-0005-0000-0000-0000E9ED0000}"/>
    <cellStyle name="Total 3 3 3 2" xfId="60951" xr:uid="{00000000-0005-0000-0000-0000EAED0000}"/>
    <cellStyle name="Total 3 3 4" xfId="60952" xr:uid="{00000000-0005-0000-0000-0000EBED0000}"/>
    <cellStyle name="Total 3 3 4 2" xfId="60953" xr:uid="{00000000-0005-0000-0000-0000ECED0000}"/>
    <cellStyle name="Total 3 3 5" xfId="60954" xr:uid="{00000000-0005-0000-0000-0000EDED0000}"/>
    <cellStyle name="Total 3 3 5 2" xfId="60955" xr:uid="{00000000-0005-0000-0000-0000EEED0000}"/>
    <cellStyle name="Total 3 3 6" xfId="60956" xr:uid="{00000000-0005-0000-0000-0000EFED0000}"/>
    <cellStyle name="Total 3 3 7" xfId="60957" xr:uid="{00000000-0005-0000-0000-0000F0ED0000}"/>
    <cellStyle name="Total 3 4" xfId="60958" xr:uid="{00000000-0005-0000-0000-0000F1ED0000}"/>
    <cellStyle name="Total 3 4 2" xfId="60959" xr:uid="{00000000-0005-0000-0000-0000F2ED0000}"/>
    <cellStyle name="Total 3 4 2 2" xfId="60960" xr:uid="{00000000-0005-0000-0000-0000F3ED0000}"/>
    <cellStyle name="Total 3 4 3" xfId="60961" xr:uid="{00000000-0005-0000-0000-0000F4ED0000}"/>
    <cellStyle name="Total 3 4 3 2" xfId="60962" xr:uid="{00000000-0005-0000-0000-0000F5ED0000}"/>
    <cellStyle name="Total 3 4 4" xfId="60963" xr:uid="{00000000-0005-0000-0000-0000F6ED0000}"/>
    <cellStyle name="Total 3 4 4 2" xfId="60964" xr:uid="{00000000-0005-0000-0000-0000F7ED0000}"/>
    <cellStyle name="Total 3 4 5" xfId="60965" xr:uid="{00000000-0005-0000-0000-0000F8ED0000}"/>
    <cellStyle name="Total 3 4 6" xfId="60966" xr:uid="{00000000-0005-0000-0000-0000F9ED0000}"/>
    <cellStyle name="Total 3 5" xfId="60967" xr:uid="{00000000-0005-0000-0000-0000FAED0000}"/>
    <cellStyle name="Total 3 5 2" xfId="60968" xr:uid="{00000000-0005-0000-0000-0000FBED0000}"/>
    <cellStyle name="Total 3 5 2 2" xfId="60969" xr:uid="{00000000-0005-0000-0000-0000FCED0000}"/>
    <cellStyle name="Total 3 5 3" xfId="60970" xr:uid="{00000000-0005-0000-0000-0000FDED0000}"/>
    <cellStyle name="Total 3 5 3 2" xfId="60971" xr:uid="{00000000-0005-0000-0000-0000FEED0000}"/>
    <cellStyle name="Total 3 5 4" xfId="60972" xr:uid="{00000000-0005-0000-0000-0000FFED0000}"/>
    <cellStyle name="Total 3 5 4 2" xfId="60973" xr:uid="{00000000-0005-0000-0000-000000EE0000}"/>
    <cellStyle name="Total 3 5 5" xfId="60974" xr:uid="{00000000-0005-0000-0000-000001EE0000}"/>
    <cellStyle name="Total 3 6" xfId="60975" xr:uid="{00000000-0005-0000-0000-000002EE0000}"/>
    <cellStyle name="Total 3 6 2" xfId="60976" xr:uid="{00000000-0005-0000-0000-000003EE0000}"/>
    <cellStyle name="Total 3 7" xfId="60977" xr:uid="{00000000-0005-0000-0000-000004EE0000}"/>
    <cellStyle name="Total 3 7 2" xfId="60978" xr:uid="{00000000-0005-0000-0000-000005EE0000}"/>
    <cellStyle name="Total 3 8" xfId="60979" xr:uid="{00000000-0005-0000-0000-000006EE0000}"/>
    <cellStyle name="Total 3 8 2" xfId="60980" xr:uid="{00000000-0005-0000-0000-000007EE0000}"/>
    <cellStyle name="Total 3 9" xfId="60981" xr:uid="{00000000-0005-0000-0000-000008EE0000}"/>
    <cellStyle name="Total 4" xfId="60982" xr:uid="{00000000-0005-0000-0000-000009EE0000}"/>
    <cellStyle name="Total 4 2" xfId="60983" xr:uid="{00000000-0005-0000-0000-00000AEE0000}"/>
    <cellStyle name="Total 4 2 2" xfId="60984" xr:uid="{00000000-0005-0000-0000-00000BEE0000}"/>
    <cellStyle name="Total 4 2 2 2" xfId="60985" xr:uid="{00000000-0005-0000-0000-00000CEE0000}"/>
    <cellStyle name="Total 4 2 3" xfId="60986" xr:uid="{00000000-0005-0000-0000-00000DEE0000}"/>
    <cellStyle name="Total 4 3" xfId="60987" xr:uid="{00000000-0005-0000-0000-00000EEE0000}"/>
    <cellStyle name="Total 4 3 2" xfId="60988" xr:uid="{00000000-0005-0000-0000-00000FEE0000}"/>
    <cellStyle name="Total 4 3 3" xfId="60989" xr:uid="{00000000-0005-0000-0000-000010EE0000}"/>
    <cellStyle name="Total 4 4" xfId="60990" xr:uid="{00000000-0005-0000-0000-000011EE0000}"/>
    <cellStyle name="Total 4 4 2" xfId="60991" xr:uid="{00000000-0005-0000-0000-000012EE0000}"/>
    <cellStyle name="Total 4 5" xfId="60992" xr:uid="{00000000-0005-0000-0000-000013EE0000}"/>
    <cellStyle name="Total 4 5 2" xfId="60993" xr:uid="{00000000-0005-0000-0000-000014EE0000}"/>
    <cellStyle name="Total 4 6" xfId="60994" xr:uid="{00000000-0005-0000-0000-000015EE0000}"/>
    <cellStyle name="Total 4 6 2" xfId="60995" xr:uid="{00000000-0005-0000-0000-000016EE0000}"/>
    <cellStyle name="Total 4 7" xfId="60996" xr:uid="{00000000-0005-0000-0000-000017EE0000}"/>
    <cellStyle name="Total 4 7 2" xfId="60997" xr:uid="{00000000-0005-0000-0000-000018EE0000}"/>
    <cellStyle name="Total 4 8" xfId="60998" xr:uid="{00000000-0005-0000-0000-000019EE0000}"/>
    <cellStyle name="Total 4 9" xfId="60999" xr:uid="{00000000-0005-0000-0000-00001AEE0000}"/>
    <cellStyle name="Total 5" xfId="61000" xr:uid="{00000000-0005-0000-0000-00001BEE0000}"/>
    <cellStyle name="Total 5 2" xfId="61001" xr:uid="{00000000-0005-0000-0000-00001CEE0000}"/>
    <cellStyle name="Total 5 2 2" xfId="61002" xr:uid="{00000000-0005-0000-0000-00001DEE0000}"/>
    <cellStyle name="Total 5 2 3" xfId="61003" xr:uid="{00000000-0005-0000-0000-00001EEE0000}"/>
    <cellStyle name="Total 5 3" xfId="61004" xr:uid="{00000000-0005-0000-0000-00001FEE0000}"/>
    <cellStyle name="Total 5 3 2" xfId="61005" xr:uid="{00000000-0005-0000-0000-000020EE0000}"/>
    <cellStyle name="Total 5 4" xfId="61006" xr:uid="{00000000-0005-0000-0000-000021EE0000}"/>
    <cellStyle name="Total 5 4 2" xfId="61007" xr:uid="{00000000-0005-0000-0000-000022EE0000}"/>
    <cellStyle name="Total 5 5" xfId="61008" xr:uid="{00000000-0005-0000-0000-000023EE0000}"/>
    <cellStyle name="Total 5 6" xfId="61009" xr:uid="{00000000-0005-0000-0000-000024EE0000}"/>
    <cellStyle name="Total 6" xfId="61010" xr:uid="{00000000-0005-0000-0000-000025EE0000}"/>
    <cellStyle name="Total 6 2" xfId="61011" xr:uid="{00000000-0005-0000-0000-000026EE0000}"/>
    <cellStyle name="Total 6 2 2" xfId="61012" xr:uid="{00000000-0005-0000-0000-000027EE0000}"/>
    <cellStyle name="Total 6 2 2 2" xfId="61013" xr:uid="{00000000-0005-0000-0000-000028EE0000}"/>
    <cellStyle name="Total 6 2 3" xfId="61014" xr:uid="{00000000-0005-0000-0000-000029EE0000}"/>
    <cellStyle name="Total 6 3" xfId="61015" xr:uid="{00000000-0005-0000-0000-00002AEE0000}"/>
    <cellStyle name="Total 6 3 2" xfId="61016" xr:uid="{00000000-0005-0000-0000-00002BEE0000}"/>
    <cellStyle name="Total 6 3 3" xfId="61017" xr:uid="{00000000-0005-0000-0000-00002CEE0000}"/>
    <cellStyle name="Total 6 4" xfId="61018" xr:uid="{00000000-0005-0000-0000-00002DEE0000}"/>
    <cellStyle name="Total 6 4 2" xfId="61019" xr:uid="{00000000-0005-0000-0000-00002EEE0000}"/>
    <cellStyle name="Total 6 4 3" xfId="61020" xr:uid="{00000000-0005-0000-0000-00002FEE0000}"/>
    <cellStyle name="Total 6 5" xfId="61021" xr:uid="{00000000-0005-0000-0000-000030EE0000}"/>
    <cellStyle name="Total 6 5 2" xfId="61022" xr:uid="{00000000-0005-0000-0000-000031EE0000}"/>
    <cellStyle name="Total 6 6" xfId="61023" xr:uid="{00000000-0005-0000-0000-000032EE0000}"/>
    <cellStyle name="Total 7" xfId="61024" xr:uid="{00000000-0005-0000-0000-000033EE0000}"/>
    <cellStyle name="Total 7 2" xfId="61025" xr:uid="{00000000-0005-0000-0000-000034EE0000}"/>
    <cellStyle name="Total 7 2 2" xfId="61026" xr:uid="{00000000-0005-0000-0000-000035EE0000}"/>
    <cellStyle name="Total 7 3" xfId="61027" xr:uid="{00000000-0005-0000-0000-000036EE0000}"/>
    <cellStyle name="Total 7 4" xfId="61028" xr:uid="{00000000-0005-0000-0000-000037EE0000}"/>
    <cellStyle name="Total 8" xfId="61029" xr:uid="{00000000-0005-0000-0000-000038EE0000}"/>
    <cellStyle name="Total 8 2" xfId="61030" xr:uid="{00000000-0005-0000-0000-000039EE0000}"/>
    <cellStyle name="Total 8 3" xfId="61031" xr:uid="{00000000-0005-0000-0000-00003AEE0000}"/>
    <cellStyle name="Total 9" xfId="61032" xr:uid="{00000000-0005-0000-0000-00003BEE0000}"/>
    <cellStyle name="Total 9 2" xfId="61033" xr:uid="{00000000-0005-0000-0000-00003CEE0000}"/>
    <cellStyle name="Unprot" xfId="77" xr:uid="{00000000-0005-0000-0000-00003DEE0000}"/>
    <cellStyle name="Unprot 2" xfId="61034" xr:uid="{00000000-0005-0000-0000-00003EEE0000}"/>
    <cellStyle name="Unprot 2 2" xfId="61035" xr:uid="{00000000-0005-0000-0000-00003FEE0000}"/>
    <cellStyle name="Unprot 2 2 2" xfId="61036" xr:uid="{00000000-0005-0000-0000-000040EE0000}"/>
    <cellStyle name="Unprot 2 3" xfId="61037" xr:uid="{00000000-0005-0000-0000-000041EE0000}"/>
    <cellStyle name="Unprot 3" xfId="61038" xr:uid="{00000000-0005-0000-0000-000042EE0000}"/>
    <cellStyle name="Unprot 4" xfId="61039" xr:uid="{00000000-0005-0000-0000-000043EE0000}"/>
    <cellStyle name="Unprot 5" xfId="61040" xr:uid="{00000000-0005-0000-0000-000044EE0000}"/>
    <cellStyle name="Unprot$" xfId="78" xr:uid="{00000000-0005-0000-0000-000045EE0000}"/>
    <cellStyle name="Unprot$ 2" xfId="375" xr:uid="{00000000-0005-0000-0000-000046EE0000}"/>
    <cellStyle name="Unprot$ 2 2" xfId="61041" xr:uid="{00000000-0005-0000-0000-000047EE0000}"/>
    <cellStyle name="Unprot$ 3" xfId="61042" xr:uid="{00000000-0005-0000-0000-000048EE0000}"/>
    <cellStyle name="Unprot$ 4" xfId="61043" xr:uid="{00000000-0005-0000-0000-000049EE0000}"/>
    <cellStyle name="Unprot$ 5" xfId="61044" xr:uid="{00000000-0005-0000-0000-00004AEE0000}"/>
    <cellStyle name="Unprot_01 05 Reports" xfId="61045" xr:uid="{00000000-0005-0000-0000-00004BEE0000}"/>
    <cellStyle name="Unprotect" xfId="79" xr:uid="{00000000-0005-0000-0000-00004CEE0000}"/>
    <cellStyle name="Unprotect 2" xfId="61046" xr:uid="{00000000-0005-0000-0000-00004DEE0000}"/>
    <cellStyle name="Unprotect 3" xfId="61047" xr:uid="{00000000-0005-0000-0000-00004EEE0000}"/>
    <cellStyle name="Unprotect 4" xfId="61048" xr:uid="{00000000-0005-0000-0000-00004FEE0000}"/>
    <cellStyle name="USD" xfId="61049" xr:uid="{00000000-0005-0000-0000-000050EE0000}"/>
    <cellStyle name="USD 2" xfId="61050" xr:uid="{00000000-0005-0000-0000-000051EE0000}"/>
    <cellStyle name="USD 2 2" xfId="61051" xr:uid="{00000000-0005-0000-0000-000052EE0000}"/>
    <cellStyle name="USD 3" xfId="61052" xr:uid="{00000000-0005-0000-0000-000053EE0000}"/>
    <cellStyle name="USD billion" xfId="61053" xr:uid="{00000000-0005-0000-0000-000054EE0000}"/>
    <cellStyle name="USD billion 2" xfId="61054" xr:uid="{00000000-0005-0000-0000-000055EE0000}"/>
    <cellStyle name="USD billion 2 2" xfId="61055" xr:uid="{00000000-0005-0000-0000-000056EE0000}"/>
    <cellStyle name="USD billion 3" xfId="61056" xr:uid="{00000000-0005-0000-0000-000057EE0000}"/>
    <cellStyle name="USD million" xfId="61057" xr:uid="{00000000-0005-0000-0000-000058EE0000}"/>
    <cellStyle name="USD million 2" xfId="61058" xr:uid="{00000000-0005-0000-0000-000059EE0000}"/>
    <cellStyle name="USD million 2 2" xfId="61059" xr:uid="{00000000-0005-0000-0000-00005AEE0000}"/>
    <cellStyle name="USD million 3" xfId="61060" xr:uid="{00000000-0005-0000-0000-00005BEE0000}"/>
    <cellStyle name="USD thousand" xfId="61061" xr:uid="{00000000-0005-0000-0000-00005CEE0000}"/>
    <cellStyle name="USD thousand 2" xfId="61062" xr:uid="{00000000-0005-0000-0000-00005DEE0000}"/>
    <cellStyle name="USD thousand 2 2" xfId="61063" xr:uid="{00000000-0005-0000-0000-00005EEE0000}"/>
    <cellStyle name="USD thousand 3" xfId="61064" xr:uid="{00000000-0005-0000-0000-00005FEE0000}"/>
    <cellStyle name="Value" xfId="80" xr:uid="{00000000-0005-0000-0000-000060EE0000}"/>
    <cellStyle name="Warning Text 10" xfId="61065" xr:uid="{00000000-0005-0000-0000-000061EE0000}"/>
    <cellStyle name="Warning Text 11" xfId="61066" xr:uid="{00000000-0005-0000-0000-000062EE0000}"/>
    <cellStyle name="Warning Text 12" xfId="61067" xr:uid="{00000000-0005-0000-0000-000063EE0000}"/>
    <cellStyle name="Warning Text 2" xfId="61068" xr:uid="{00000000-0005-0000-0000-000064EE0000}"/>
    <cellStyle name="Warning Text 2 10" xfId="61069" xr:uid="{00000000-0005-0000-0000-000065EE0000}"/>
    <cellStyle name="Warning Text 2 11" xfId="61070" xr:uid="{00000000-0005-0000-0000-000066EE0000}"/>
    <cellStyle name="Warning Text 2 2" xfId="61071" xr:uid="{00000000-0005-0000-0000-000067EE0000}"/>
    <cellStyle name="Warning Text 2 2 2" xfId="61072" xr:uid="{00000000-0005-0000-0000-000068EE0000}"/>
    <cellStyle name="Warning Text 2 2 2 2" xfId="61073" xr:uid="{00000000-0005-0000-0000-000069EE0000}"/>
    <cellStyle name="Warning Text 2 2 2 3" xfId="61074" xr:uid="{00000000-0005-0000-0000-00006AEE0000}"/>
    <cellStyle name="Warning Text 2 2 3" xfId="61075" xr:uid="{00000000-0005-0000-0000-00006BEE0000}"/>
    <cellStyle name="Warning Text 2 2 4" xfId="61076" xr:uid="{00000000-0005-0000-0000-00006CEE0000}"/>
    <cellStyle name="Warning Text 2 2 5" xfId="61077" xr:uid="{00000000-0005-0000-0000-00006DEE0000}"/>
    <cellStyle name="Warning Text 2 2 6" xfId="61078" xr:uid="{00000000-0005-0000-0000-00006EEE0000}"/>
    <cellStyle name="Warning Text 2 3" xfId="61079" xr:uid="{00000000-0005-0000-0000-00006FEE0000}"/>
    <cellStyle name="Warning Text 2 3 2" xfId="61080" xr:uid="{00000000-0005-0000-0000-000070EE0000}"/>
    <cellStyle name="Warning Text 2 3 3" xfId="61081" xr:uid="{00000000-0005-0000-0000-000071EE0000}"/>
    <cellStyle name="Warning Text 2 3 4" xfId="61082" xr:uid="{00000000-0005-0000-0000-000072EE0000}"/>
    <cellStyle name="Warning Text 2 4" xfId="61083" xr:uid="{00000000-0005-0000-0000-000073EE0000}"/>
    <cellStyle name="Warning Text 2 4 2" xfId="61084" xr:uid="{00000000-0005-0000-0000-000074EE0000}"/>
    <cellStyle name="Warning Text 2 4 3" xfId="61085" xr:uid="{00000000-0005-0000-0000-000075EE0000}"/>
    <cellStyle name="Warning Text 2 5" xfId="61086" xr:uid="{00000000-0005-0000-0000-000076EE0000}"/>
    <cellStyle name="Warning Text 2 5 2" xfId="61087" xr:uid="{00000000-0005-0000-0000-000077EE0000}"/>
    <cellStyle name="Warning Text 2 6" xfId="61088" xr:uid="{00000000-0005-0000-0000-000078EE0000}"/>
    <cellStyle name="Warning Text 2 6 2" xfId="61089" xr:uid="{00000000-0005-0000-0000-000079EE0000}"/>
    <cellStyle name="Warning Text 2 7" xfId="61090" xr:uid="{00000000-0005-0000-0000-00007AEE0000}"/>
    <cellStyle name="Warning Text 2 7 2" xfId="61091" xr:uid="{00000000-0005-0000-0000-00007BEE0000}"/>
    <cellStyle name="Warning Text 2 8" xfId="61092" xr:uid="{00000000-0005-0000-0000-00007CEE0000}"/>
    <cellStyle name="Warning Text 2 9" xfId="61093" xr:uid="{00000000-0005-0000-0000-00007DEE0000}"/>
    <cellStyle name="Warning Text 3" xfId="61094" xr:uid="{00000000-0005-0000-0000-00007EEE0000}"/>
    <cellStyle name="Warning Text 3 2" xfId="61095" xr:uid="{00000000-0005-0000-0000-00007FEE0000}"/>
    <cellStyle name="Warning Text 3 2 2" xfId="61096" xr:uid="{00000000-0005-0000-0000-000080EE0000}"/>
    <cellStyle name="Warning Text 3 2 3" xfId="61097" xr:uid="{00000000-0005-0000-0000-000081EE0000}"/>
    <cellStyle name="Warning Text 3 2 4" xfId="61098" xr:uid="{00000000-0005-0000-0000-000082EE0000}"/>
    <cellStyle name="Warning Text 3 2 5" xfId="61099" xr:uid="{00000000-0005-0000-0000-000083EE0000}"/>
    <cellStyle name="Warning Text 3 3" xfId="61100" xr:uid="{00000000-0005-0000-0000-000084EE0000}"/>
    <cellStyle name="Warning Text 3 3 2" xfId="61101" xr:uid="{00000000-0005-0000-0000-000085EE0000}"/>
    <cellStyle name="Warning Text 3 3 3" xfId="61102" xr:uid="{00000000-0005-0000-0000-000086EE0000}"/>
    <cellStyle name="Warning Text 3 4" xfId="61103" xr:uid="{00000000-0005-0000-0000-000087EE0000}"/>
    <cellStyle name="Warning Text 3 5" xfId="61104" xr:uid="{00000000-0005-0000-0000-000088EE0000}"/>
    <cellStyle name="Warning Text 3 6" xfId="61105" xr:uid="{00000000-0005-0000-0000-000089EE0000}"/>
    <cellStyle name="Warning Text 3 7" xfId="61106" xr:uid="{00000000-0005-0000-0000-00008AEE0000}"/>
    <cellStyle name="Warning Text 4" xfId="61107" xr:uid="{00000000-0005-0000-0000-00008BEE0000}"/>
    <cellStyle name="Warning Text 4 2" xfId="61108" xr:uid="{00000000-0005-0000-0000-00008CEE0000}"/>
    <cellStyle name="Warning Text 4 2 2" xfId="61109" xr:uid="{00000000-0005-0000-0000-00008DEE0000}"/>
    <cellStyle name="Warning Text 4 3" xfId="61110" xr:uid="{00000000-0005-0000-0000-00008EEE0000}"/>
    <cellStyle name="Warning Text 4 4" xfId="61111" xr:uid="{00000000-0005-0000-0000-00008FEE0000}"/>
    <cellStyle name="Warning Text 4 5" xfId="61112" xr:uid="{00000000-0005-0000-0000-000090EE0000}"/>
    <cellStyle name="Warning Text 5" xfId="61113" xr:uid="{00000000-0005-0000-0000-000091EE0000}"/>
    <cellStyle name="Warning Text 5 2" xfId="61114" xr:uid="{00000000-0005-0000-0000-000092EE0000}"/>
    <cellStyle name="Warning Text 5 2 2" xfId="61115" xr:uid="{00000000-0005-0000-0000-000093EE0000}"/>
    <cellStyle name="Warning Text 5 3" xfId="61116" xr:uid="{00000000-0005-0000-0000-000094EE0000}"/>
    <cellStyle name="Warning Text 5 4" xfId="61117" xr:uid="{00000000-0005-0000-0000-000095EE0000}"/>
    <cellStyle name="Warning Text 6" xfId="61118" xr:uid="{00000000-0005-0000-0000-000096EE0000}"/>
    <cellStyle name="Warning Text 6 2" xfId="61119" xr:uid="{00000000-0005-0000-0000-000097EE0000}"/>
    <cellStyle name="Warning Text 6 2 2" xfId="61120" xr:uid="{00000000-0005-0000-0000-000098EE0000}"/>
    <cellStyle name="Warning Text 6 3" xfId="61121" xr:uid="{00000000-0005-0000-0000-000099EE0000}"/>
    <cellStyle name="Warning Text 7" xfId="61122" xr:uid="{00000000-0005-0000-0000-00009AEE0000}"/>
    <cellStyle name="Warning Text 7 2" xfId="61123" xr:uid="{00000000-0005-0000-0000-00009BEE0000}"/>
    <cellStyle name="Warning Text 7 2 2" xfId="61124" xr:uid="{00000000-0005-0000-0000-00009CEE0000}"/>
    <cellStyle name="Warning Text 7 3" xfId="61125" xr:uid="{00000000-0005-0000-0000-00009DEE0000}"/>
    <cellStyle name="Warning Text 8" xfId="61126" xr:uid="{00000000-0005-0000-0000-00009EEE0000}"/>
    <cellStyle name="Warning Text 8 2" xfId="61127" xr:uid="{00000000-0005-0000-0000-00009FEE0000}"/>
    <cellStyle name="Warning Text 8 3" xfId="61128" xr:uid="{00000000-0005-0000-0000-0000A0EE0000}"/>
    <cellStyle name="Warning Text 9" xfId="61129" xr:uid="{00000000-0005-0000-0000-0000A1EE0000}"/>
    <cellStyle name="Warning Text 9 2" xfId="61130" xr:uid="{00000000-0005-0000-0000-0000A2EE0000}"/>
    <cellStyle name="XBodyBottom" xfId="81" xr:uid="{00000000-0005-0000-0000-0000A3EE0000}"/>
    <cellStyle name="XBodyBottom 2" xfId="376" xr:uid="{00000000-0005-0000-0000-0000A4EE0000}"/>
    <cellStyle name="XBodyCenter" xfId="82" xr:uid="{00000000-0005-0000-0000-0000A5EE0000}"/>
    <cellStyle name="XBodyCenter 2" xfId="377" xr:uid="{00000000-0005-0000-0000-0000A6EE0000}"/>
    <cellStyle name="XBodyCenter 3" xfId="61131" xr:uid="{00000000-0005-0000-0000-0000A7EE0000}"/>
    <cellStyle name="XBodyTop" xfId="83" xr:uid="{00000000-0005-0000-0000-0000A8EE0000}"/>
    <cellStyle name="XBodyTop 2" xfId="378" xr:uid="{00000000-0005-0000-0000-0000A9EE0000}"/>
    <cellStyle name="XBodyTop 2 2" xfId="61132" xr:uid="{00000000-0005-0000-0000-0000AAEE0000}"/>
    <cellStyle name="XBodyTop 3" xfId="61133" xr:uid="{00000000-0005-0000-0000-0000ABEE0000}"/>
    <cellStyle name="XPivot1" xfId="84" xr:uid="{00000000-0005-0000-0000-0000ACEE0000}"/>
    <cellStyle name="XPivot10" xfId="85" xr:uid="{00000000-0005-0000-0000-0000ADEE0000}"/>
    <cellStyle name="XPivot10 2" xfId="379" xr:uid="{00000000-0005-0000-0000-0000AEEE0000}"/>
    <cellStyle name="XPivot11" xfId="86" xr:uid="{00000000-0005-0000-0000-0000AFEE0000}"/>
    <cellStyle name="XPivot11 2" xfId="380" xr:uid="{00000000-0005-0000-0000-0000B0EE0000}"/>
    <cellStyle name="XPivot12" xfId="87" xr:uid="{00000000-0005-0000-0000-0000B1EE0000}"/>
    <cellStyle name="XPivot13" xfId="88" xr:uid="{00000000-0005-0000-0000-0000B2EE0000}"/>
    <cellStyle name="XPivot13 2" xfId="381" xr:uid="{00000000-0005-0000-0000-0000B3EE0000}"/>
    <cellStyle name="XPivot14" xfId="89" xr:uid="{00000000-0005-0000-0000-0000B4EE0000}"/>
    <cellStyle name="XPivot14 2" xfId="382" xr:uid="{00000000-0005-0000-0000-0000B5EE0000}"/>
    <cellStyle name="XPivot15" xfId="90" xr:uid="{00000000-0005-0000-0000-0000B6EE0000}"/>
    <cellStyle name="XPivot15 2" xfId="383" xr:uid="{00000000-0005-0000-0000-0000B7EE0000}"/>
    <cellStyle name="XPivot2" xfId="91" xr:uid="{00000000-0005-0000-0000-0000B8EE0000}"/>
    <cellStyle name="XPivot3" xfId="92" xr:uid="{00000000-0005-0000-0000-0000B9EE0000}"/>
    <cellStyle name="XPivot4" xfId="93" xr:uid="{00000000-0005-0000-0000-0000BAEE0000}"/>
    <cellStyle name="XPivot4 2" xfId="384" xr:uid="{00000000-0005-0000-0000-0000BBEE0000}"/>
    <cellStyle name="XPivot5" xfId="94" xr:uid="{00000000-0005-0000-0000-0000BCEE0000}"/>
    <cellStyle name="XPivot5 2" xfId="385" xr:uid="{00000000-0005-0000-0000-0000BDEE0000}"/>
    <cellStyle name="XPivot6" xfId="95" xr:uid="{00000000-0005-0000-0000-0000BEEE0000}"/>
    <cellStyle name="XPivot6 2" xfId="386" xr:uid="{00000000-0005-0000-0000-0000BFEE0000}"/>
    <cellStyle name="XPivot7" xfId="96" xr:uid="{00000000-0005-0000-0000-0000C0EE0000}"/>
    <cellStyle name="XPivot7 2" xfId="387" xr:uid="{00000000-0005-0000-0000-0000C1EE0000}"/>
    <cellStyle name="XPivot9" xfId="97" xr:uid="{00000000-0005-0000-0000-0000C2EE0000}"/>
    <cellStyle name="XSubtotalLine0" xfId="98" xr:uid="{00000000-0005-0000-0000-0000C3EE0000}"/>
    <cellStyle name="XSubTotalLine1" xfId="99" xr:uid="{00000000-0005-0000-0000-0000C4EE0000}"/>
    <cellStyle name="XSubTotalLine2" xfId="100" xr:uid="{00000000-0005-0000-0000-0000C5EE0000}"/>
    <cellStyle name="XSubTotalLine3" xfId="101" xr:uid="{00000000-0005-0000-0000-0000C6EE0000}"/>
    <cellStyle name="XSubTotalLine4" xfId="102" xr:uid="{00000000-0005-0000-0000-0000C7EE0000}"/>
    <cellStyle name="XSubTotalLine5" xfId="103" xr:uid="{00000000-0005-0000-0000-0000C8EE0000}"/>
    <cellStyle name="XSubTotalLine6" xfId="104" xr:uid="{00000000-0005-0000-0000-0000C9EE0000}"/>
    <cellStyle name="XTitlesHidden" xfId="105" xr:uid="{00000000-0005-0000-0000-0000CAEE0000}"/>
    <cellStyle name="XTitlesHidden 2" xfId="61134" xr:uid="{00000000-0005-0000-0000-0000CBEE0000}"/>
    <cellStyle name="XTitlesHidden 2 2" xfId="61135" xr:uid="{00000000-0005-0000-0000-0000CCEE0000}"/>
    <cellStyle name="XTitlesHidden 2 2 2" xfId="61136" xr:uid="{00000000-0005-0000-0000-0000CDEE0000}"/>
    <cellStyle name="XTitlesHidden 2 2 3" xfId="61137" xr:uid="{00000000-0005-0000-0000-0000CEEE0000}"/>
    <cellStyle name="XTitlesHidden 2 3" xfId="61138" xr:uid="{00000000-0005-0000-0000-0000CFEE0000}"/>
    <cellStyle name="XTitlesHidden 3" xfId="61139" xr:uid="{00000000-0005-0000-0000-0000D0EE0000}"/>
    <cellStyle name="XTitlesHidden 3 2" xfId="61140" xr:uid="{00000000-0005-0000-0000-0000D1EE0000}"/>
    <cellStyle name="XTitlesHidden 3 3" xfId="61141" xr:uid="{00000000-0005-0000-0000-0000D2EE0000}"/>
    <cellStyle name="XTitlesHidden 4" xfId="61142" xr:uid="{00000000-0005-0000-0000-0000D3EE0000}"/>
    <cellStyle name="XTitlesHidden 5" xfId="61143" xr:uid="{00000000-0005-0000-0000-0000D4EE0000}"/>
    <cellStyle name="XTitlesHidden_App b.3 Unspent_" xfId="61144" xr:uid="{00000000-0005-0000-0000-0000D5EE0000}"/>
    <cellStyle name="XTitlesUnhidden" xfId="106" xr:uid="{00000000-0005-0000-0000-0000D6EE0000}"/>
    <cellStyle name="XTitlesUnhidden 2" xfId="61145" xr:uid="{00000000-0005-0000-0000-0000D7EE0000}"/>
    <cellStyle name="XTitlesUnhidden 2 2" xfId="61146" xr:uid="{00000000-0005-0000-0000-0000D8EE0000}"/>
    <cellStyle name="XTitlesUnhidden 2 2 2" xfId="61147" xr:uid="{00000000-0005-0000-0000-0000D9EE0000}"/>
    <cellStyle name="XTitlesUnhidden 2 2 3" xfId="61148" xr:uid="{00000000-0005-0000-0000-0000DAEE0000}"/>
    <cellStyle name="XTitlesUnhidden 2 3" xfId="61149" xr:uid="{00000000-0005-0000-0000-0000DBEE0000}"/>
    <cellStyle name="XTitlesUnhidden 3" xfId="61150" xr:uid="{00000000-0005-0000-0000-0000DCEE0000}"/>
    <cellStyle name="XTitlesUnhidden 3 2" xfId="61151" xr:uid="{00000000-0005-0000-0000-0000DDEE0000}"/>
    <cellStyle name="XTitlesUnhidden 3 3" xfId="61152" xr:uid="{00000000-0005-0000-0000-0000DEEE0000}"/>
    <cellStyle name="XTitlesUnhidden 4" xfId="61153" xr:uid="{00000000-0005-0000-0000-0000DFEE0000}"/>
    <cellStyle name="XTitlesUnhidden 5" xfId="61154" xr:uid="{00000000-0005-0000-0000-0000E0EE0000}"/>
    <cellStyle name="XTitlesUnhidden_App b.3 Unspent_" xfId="61155" xr:uid="{00000000-0005-0000-0000-0000E1EE0000}"/>
    <cellStyle name="XTotals" xfId="107" xr:uid="{00000000-0005-0000-0000-0000E2EE0000}"/>
    <cellStyle name="XTotals 2" xfId="61156" xr:uid="{00000000-0005-0000-0000-0000E3EE0000}"/>
    <cellStyle name="XTotals 2 2" xfId="61157" xr:uid="{00000000-0005-0000-0000-0000E4EE0000}"/>
    <cellStyle name="XTotals 2 2 2" xfId="61158" xr:uid="{00000000-0005-0000-0000-0000E5EE0000}"/>
    <cellStyle name="XTotals 2 2 3" xfId="61159" xr:uid="{00000000-0005-0000-0000-0000E6EE0000}"/>
    <cellStyle name="XTotals 2 3" xfId="61160" xr:uid="{00000000-0005-0000-0000-0000E7EE0000}"/>
    <cellStyle name="XTotals 3" xfId="61161" xr:uid="{00000000-0005-0000-0000-0000E8EE0000}"/>
    <cellStyle name="XTotals 3 2" xfId="61162" xr:uid="{00000000-0005-0000-0000-0000E9EE0000}"/>
    <cellStyle name="XTotals 3 3" xfId="61163" xr:uid="{00000000-0005-0000-0000-0000EAEE0000}"/>
    <cellStyle name="XTotals 4" xfId="61164" xr:uid="{00000000-0005-0000-0000-0000EBEE0000}"/>
    <cellStyle name="XTotals 5" xfId="61165" xr:uid="{00000000-0005-0000-0000-0000ECEE0000}"/>
    <cellStyle name="XTotals_App b.3 Unspent_" xfId="61166" xr:uid="{00000000-0005-0000-0000-0000EDEE0000}"/>
    <cellStyle name="Year" xfId="61167" xr:uid="{00000000-0005-0000-0000-0000EEEE0000}"/>
    <cellStyle name="Year 2" xfId="61168" xr:uid="{00000000-0005-0000-0000-0000EFEE0000}"/>
    <cellStyle name="Year 2 2" xfId="61169" xr:uid="{00000000-0005-0000-0000-0000F0EE0000}"/>
    <cellStyle name="Year 3" xfId="61170" xr:uid="{00000000-0005-0000-0000-0000F1EE0000}"/>
    <cellStyle name="Year_Mth" xfId="108" xr:uid="{00000000-0005-0000-0000-0000F2EE0000}"/>
    <cellStyle name="YrHeader" xfId="61171" xr:uid="{00000000-0005-0000-0000-0000F3EE0000}"/>
    <cellStyle name="YrHeader 2" xfId="61172" xr:uid="{00000000-0005-0000-0000-0000F4EE0000}"/>
    <cellStyle name="YrHeader 2 2" xfId="61173" xr:uid="{00000000-0005-0000-0000-0000F5EE0000}"/>
    <cellStyle name="YrHeader 3" xfId="61174" xr:uid="{00000000-0005-0000-0000-0000F6EE0000}"/>
    <cellStyle name="Zip_Code" xfId="109" xr:uid="{00000000-0005-0000-0000-0000F7EE0000}"/>
    <cellStyle name="敨瑥1渀欀" xfId="61175" xr:uid="{00000000-0005-0000-0000-0000F8EE0000}"/>
    <cellStyle name="敨瑥1渀欀 2" xfId="61176" xr:uid="{00000000-0005-0000-0000-0000F9EE0000}"/>
    <cellStyle name="敨瑥1渀欀 2 2" xfId="61177" xr:uid="{00000000-0005-0000-0000-0000FAEE0000}"/>
    <cellStyle name="敨瑥1渀欀 2 2 2" xfId="61178" xr:uid="{00000000-0005-0000-0000-0000FBEE0000}"/>
    <cellStyle name="敨瑥1渀欀 2 3" xfId="61179" xr:uid="{00000000-0005-0000-0000-0000FCEE0000}"/>
    <cellStyle name="敨瑥1渀欀 3" xfId="61180" xr:uid="{00000000-0005-0000-0000-0000FDEE0000}"/>
    <cellStyle name="敨瑥1渀欀 3 2" xfId="61181" xr:uid="{00000000-0005-0000-0000-0000FEEE0000}"/>
    <cellStyle name="敨瑥1渀欀 4" xfId="61182" xr:uid="{00000000-0005-0000-0000-0000FFEE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ce.com/Documents%20and%20Settings/weberts/My%20Documents/TSWMISC/2006%20-%202008%20Plan/December%209%20Compliance%20Filing/HMG%20revised%20Total%20C&amp;S%20Savings%20HMG%20-%20Posted%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2019%20ABAL%202nd%20Supp%20-%20Placemat%20-%2001-18-19%202PM.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ANNUAL_REPORT__ESPI_2019_COST_D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ESA%20AR%202019_04-03-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Annual%20Report_2019_Annual_Report_Guidance_Docu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Jeorge/My%20Documents/Work/-%20action%20items%20-/2006_EOYreview/util_12month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ge.sharepoint.com/Documents%20and%20Settings/Jeorge/My%20Documents/Work/-%20action%20items%20-/2006_EOYreview/util_12month_2006.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pge.sharepoint.com/DOCUME~1/deandaem/LOCALS~1/Temp/c.lotus.notes.data/AlexandriaMy%20Documents/D%20Drive%20Data/TSWMISC/2000%20AEAP/May%201%20Filing/2000%20Annual%20Energy%20Efficiency%20Report/2000%20AEER%20Tables/2000%20AEER%20Cost%20&amp;%20Cost%20Eff%20Tables%20(X.1s).xls?A397F4B5" TargetMode="External"/><Relationship Id="rId1" Type="http://schemas.openxmlformats.org/officeDocument/2006/relationships/externalLinkPath" Target="file:///\\A397F4B5\2000%20AEER%20Cost%20&amp;%20Cost%20Eff%20Tables%20(X.1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1/deandaem/LOCALS~1/Temp/c.lotus.notes.data/AlexandriaMy%20Documents/D%20Drive%20Data/TSWMISC/2000%20AEAP/May%201%20Filing/2000%20Annual%20Energy%20Efficiency%20Report/2000%20AEER%20Tables/2000%20AEER%20Cost%20&amp;%20Cost%20Eff%20Tables%20(X.1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Saddam%20Hussain/Local%20Settings/Temp/Temporary%20Directory%201%20for%20March17.zip/CEE%20Tool%20Com%201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ge.sharepoint.com/Documents%20and%20Settings/Saddam%20Hussain/Local%20Settings/Temp/Temporary%20Directory%201%20for%20March17.zip/CEE%20Tool%20Com%201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ge-my.sharepoint.com/personal/jlbd_pge_com/Documents/Active%20Projects/Business%20Plan%20Metrics/2018%20Filing/BP%20Metrics%20-%202017%20-%20MASTER%20Template_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carolyin2015\Documents\&#8226;&#8226;%20CA%20IOUs\-%20-%20Strategy%20and%20Compliance\Business%20Plans\BP%20Metrics\60%20Day%20Metrics%20Filing\Draft%20Deliverables\ET%20&amp;%20WET%20MetricsTemplateD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s-Goals"/>
      <sheetName val="Totals - by IOU"/>
      <sheetName val="Inputs"/>
      <sheetName val="Energy Summary"/>
      <sheetName val="Demand Summary"/>
      <sheetName val="Gas Summary"/>
      <sheetName val="Totals"/>
      <sheetName val="Energy Net Savings"/>
      <sheetName val="Demand Net Savings"/>
      <sheetName val="Gas Net Savings"/>
      <sheetName val="Begin"/>
      <sheetName val="Std 1"/>
      <sheetName val="Std 2"/>
      <sheetName val="Std 3"/>
      <sheetName val="Std 4"/>
      <sheetName val="Std 5"/>
      <sheetName val="Std 6"/>
      <sheetName val="Std 7"/>
      <sheetName val="Std 8"/>
      <sheetName val="Std 9"/>
      <sheetName val="Std 10"/>
      <sheetName val="Std 11"/>
      <sheetName val="Std 12"/>
      <sheetName val="Std 13"/>
      <sheetName val="Std 14"/>
      <sheetName val="Std 15"/>
      <sheetName val="Std 16"/>
      <sheetName val="Std 17"/>
      <sheetName val="Std 18"/>
      <sheetName val="Std 19"/>
      <sheetName val="Std 20"/>
      <sheetName val="Std 21"/>
      <sheetName val="Std B1"/>
      <sheetName val="Std B2"/>
      <sheetName val="Std B3"/>
      <sheetName val="Std B4"/>
      <sheetName val="Std B5"/>
      <sheetName val="Std B6"/>
      <sheetName val="Std B7"/>
      <sheetName val="Std B8"/>
      <sheetName val="Std B9"/>
      <sheetName val="Std B10"/>
      <sheetName val="Std B11"/>
      <sheetName val="Std B12"/>
      <sheetName val="Std B13"/>
      <sheetName val="Std B14"/>
      <sheetName val="End"/>
      <sheetName val="Lookups"/>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ABAL - 2nd Supp"/>
      <sheetName val="AR"/>
      <sheetName val="Sector Pivot Summary"/>
    </sheetNames>
    <sheetDataSet>
      <sheetData sheetId="0"/>
      <sheetData sheetId="1">
        <row r="5">
          <cell r="C5" t="str">
            <v>PGE_21001</v>
          </cell>
          <cell r="D5" t="str">
            <v>Residential Energy Advisor</v>
          </cell>
          <cell r="E5">
            <v>703261.0868181953</v>
          </cell>
          <cell r="F5">
            <v>1280985.5390712309</v>
          </cell>
          <cell r="G5">
            <v>2715781.8699609269</v>
          </cell>
          <cell r="H5">
            <v>7164423</v>
          </cell>
          <cell r="I5">
            <v>11864451.495850353</v>
          </cell>
        </row>
        <row r="6">
          <cell r="C6" t="str">
            <v>PGE_210010</v>
          </cell>
          <cell r="D6" t="str">
            <v>Pay for Performance Pilot</v>
          </cell>
          <cell r="E6">
            <v>652061.42543891305</v>
          </cell>
          <cell r="F6">
            <v>40439.911364905398</v>
          </cell>
          <cell r="G6">
            <v>932642.57211870595</v>
          </cell>
          <cell r="H6">
            <v>5888562.6764268298</v>
          </cell>
          <cell r="I6">
            <v>7513706.585349354</v>
          </cell>
        </row>
        <row r="7">
          <cell r="C7" t="str">
            <v>PGE_210011</v>
          </cell>
          <cell r="D7" t="str">
            <v>Residential Energy Fitness Program</v>
          </cell>
          <cell r="E7">
            <v>1796368.4944698131</v>
          </cell>
          <cell r="F7">
            <v>587107.94955347036</v>
          </cell>
          <cell r="G7">
            <v>1154604.0584573257</v>
          </cell>
          <cell r="H7">
            <v>11352456.91</v>
          </cell>
          <cell r="I7">
            <v>14890537.412480609</v>
          </cell>
        </row>
        <row r="8">
          <cell r="C8" t="str">
            <v>PGE_21002</v>
          </cell>
          <cell r="D8" t="str">
            <v>Plug Load and Appliances</v>
          </cell>
          <cell r="E8">
            <v>455134.1357943741</v>
          </cell>
          <cell r="F8">
            <v>852998.92313593847</v>
          </cell>
          <cell r="G8">
            <v>2492397.8584791892</v>
          </cell>
          <cell r="H8">
            <v>4080125</v>
          </cell>
          <cell r="I8">
            <v>7880655.917409502</v>
          </cell>
        </row>
        <row r="9">
          <cell r="C9" t="str">
            <v>PGE_21003</v>
          </cell>
          <cell r="D9" t="str">
            <v>Multifamily Energy Efficiency</v>
          </cell>
          <cell r="E9">
            <v>487759.48076029849</v>
          </cell>
          <cell r="F9">
            <v>35281.019719239528</v>
          </cell>
          <cell r="G9">
            <v>2205486.4936692896</v>
          </cell>
          <cell r="H9">
            <v>3604499.56</v>
          </cell>
          <cell r="I9">
            <v>6333026.5541488277</v>
          </cell>
        </row>
        <row r="10">
          <cell r="C10" t="str">
            <v>PGE_21004</v>
          </cell>
          <cell r="D10" t="str">
            <v>Energy Upgrade California</v>
          </cell>
          <cell r="E10">
            <v>605920.91396616166</v>
          </cell>
          <cell r="F10">
            <v>453866.86298311385</v>
          </cell>
          <cell r="G10">
            <v>3165674.4396363236</v>
          </cell>
          <cell r="H10">
            <v>4465549.7000999991</v>
          </cell>
          <cell r="I10">
            <v>8691011.916685598</v>
          </cell>
        </row>
        <row r="11">
          <cell r="C11" t="str">
            <v>PGE_21005</v>
          </cell>
          <cell r="D11" t="str">
            <v>Residential New Construction</v>
          </cell>
          <cell r="E11">
            <v>515723.30976512737</v>
          </cell>
          <cell r="F11">
            <v>116789.72238615018</v>
          </cell>
          <cell r="G11">
            <v>1425583.2778311137</v>
          </cell>
          <cell r="H11">
            <v>4768570</v>
          </cell>
          <cell r="I11">
            <v>6826666.3099823911</v>
          </cell>
        </row>
        <row r="12">
          <cell r="C12" t="str">
            <v>PGE_21006</v>
          </cell>
          <cell r="D12" t="str">
            <v>Residential HVAC</v>
          </cell>
          <cell r="E12">
            <v>255508.29194636524</v>
          </cell>
          <cell r="F12">
            <v>291327.06484029116</v>
          </cell>
          <cell r="G12">
            <v>1513670.6803755558</v>
          </cell>
          <cell r="H12">
            <v>1852514.9999990009</v>
          </cell>
          <cell r="I12">
            <v>3913021.0371612133</v>
          </cell>
        </row>
        <row r="13">
          <cell r="C13" t="str">
            <v>PGE_21007</v>
          </cell>
          <cell r="D13" t="str">
            <v>California New Homes Multifamily</v>
          </cell>
          <cell r="E13">
            <v>178341.24947535971</v>
          </cell>
          <cell r="F13">
            <v>120163.93813144197</v>
          </cell>
          <cell r="G13">
            <v>559238.61684755597</v>
          </cell>
          <cell r="H13">
            <v>1178320</v>
          </cell>
          <cell r="I13">
            <v>2036063.8044543576</v>
          </cell>
        </row>
        <row r="14">
          <cell r="C14" t="str">
            <v>PGE_21008</v>
          </cell>
          <cell r="D14" t="str">
            <v>Enhance Time Delay Relay</v>
          </cell>
          <cell r="E14">
            <v>697558.97962377593</v>
          </cell>
          <cell r="F14">
            <v>157702.94494982922</v>
          </cell>
          <cell r="G14">
            <v>1500418.8837869393</v>
          </cell>
          <cell r="H14">
            <v>5940114.8286744291</v>
          </cell>
          <cell r="I14">
            <v>8295795.6370349731</v>
          </cell>
        </row>
        <row r="15">
          <cell r="C15" t="str">
            <v>PGE_21009</v>
          </cell>
          <cell r="D15" t="str">
            <v>Direct Install for Manufactured and Mobile Homes</v>
          </cell>
          <cell r="E15">
            <v>1149148.0742990547</v>
          </cell>
          <cell r="F15">
            <v>683710.53730564297</v>
          </cell>
          <cell r="G15">
            <v>1087906.4954287987</v>
          </cell>
          <cell r="H15">
            <v>3645299.1999999993</v>
          </cell>
          <cell r="I15">
            <v>6566064.307033496</v>
          </cell>
        </row>
        <row r="16">
          <cell r="C16" t="str">
            <v>PGE_21041</v>
          </cell>
          <cell r="D16" t="str">
            <v>Primary Lighting</v>
          </cell>
          <cell r="E16">
            <v>1234102.2680619012</v>
          </cell>
          <cell r="F16">
            <v>89266.099732559349</v>
          </cell>
          <cell r="G16">
            <v>935514.24207026197</v>
          </cell>
          <cell r="H16">
            <v>13887500</v>
          </cell>
          <cell r="I16">
            <v>16146382.609864723</v>
          </cell>
        </row>
        <row r="17">
          <cell r="C17" t="str">
            <v>PGE_21011</v>
          </cell>
          <cell r="D17" t="str">
            <v>Commercial Calculated Incentives</v>
          </cell>
          <cell r="E17">
            <v>296649.55794940126</v>
          </cell>
          <cell r="F17">
            <v>1054685.6204275277</v>
          </cell>
          <cell r="G17">
            <v>2327522.7801066064</v>
          </cell>
          <cell r="H17">
            <v>4822989.6134744184</v>
          </cell>
          <cell r="I17">
            <v>8501847.5719579533</v>
          </cell>
        </row>
        <row r="18">
          <cell r="C18" t="str">
            <v>PGE_211025</v>
          </cell>
          <cell r="D18" t="str">
            <v>Savings by Design (SBD)</v>
          </cell>
          <cell r="E18">
            <v>194004.73221490686</v>
          </cell>
          <cell r="F18">
            <v>30439.713304282479</v>
          </cell>
          <cell r="G18">
            <v>977952.17423517769</v>
          </cell>
          <cell r="H18">
            <v>1977459.47</v>
          </cell>
          <cell r="I18">
            <v>3179856.0897543672</v>
          </cell>
        </row>
        <row r="19">
          <cell r="C19" t="str">
            <v>PGE_210112</v>
          </cell>
          <cell r="D19" t="str">
            <v>School Energy Efficiency</v>
          </cell>
          <cell r="E19">
            <v>206908.14017085623</v>
          </cell>
          <cell r="F19">
            <v>84090.340729791264</v>
          </cell>
          <cell r="G19">
            <v>1543963.5179583263</v>
          </cell>
          <cell r="H19">
            <v>942939.99499999988</v>
          </cell>
          <cell r="I19">
            <v>2777901.9938589735</v>
          </cell>
        </row>
        <row r="20">
          <cell r="C20" t="str">
            <v>PGE_210119</v>
          </cell>
          <cell r="D20" t="str">
            <v>LED Accelerator</v>
          </cell>
          <cell r="E20">
            <v>0</v>
          </cell>
          <cell r="F20">
            <v>0</v>
          </cell>
          <cell r="G20">
            <v>0</v>
          </cell>
          <cell r="H20">
            <v>0</v>
          </cell>
          <cell r="I20">
            <v>0</v>
          </cell>
        </row>
        <row r="21">
          <cell r="C21" t="str">
            <v>PGE_21012</v>
          </cell>
          <cell r="D21" t="str">
            <v>Commercial Deemed Incentives</v>
          </cell>
          <cell r="E21">
            <v>714500.02698578849</v>
          </cell>
          <cell r="F21">
            <v>1574989.5394129434</v>
          </cell>
          <cell r="G21">
            <v>4235647.4670966119</v>
          </cell>
          <cell r="H21">
            <v>7497143.9675016701</v>
          </cell>
          <cell r="I21">
            <v>14022281.000997014</v>
          </cell>
        </row>
        <row r="22">
          <cell r="C22" t="str">
            <v>PGE_210123</v>
          </cell>
          <cell r="D22" t="str">
            <v>Healthcare Energy Efficiency Program</v>
          </cell>
          <cell r="E22">
            <v>198014.34333366153</v>
          </cell>
          <cell r="F22">
            <v>127349.58690529173</v>
          </cell>
          <cell r="G22">
            <v>1391549.4838869493</v>
          </cell>
          <cell r="H22">
            <v>602659.46630434785</v>
          </cell>
          <cell r="I22">
            <v>2319572.8804302504</v>
          </cell>
        </row>
        <row r="23">
          <cell r="C23" t="str">
            <v>PGE_21014</v>
          </cell>
          <cell r="D23" t="str">
            <v>Commercial Energy Advisor</v>
          </cell>
          <cell r="E23">
            <v>19581.229068553872</v>
          </cell>
          <cell r="F23">
            <v>228131.27372783114</v>
          </cell>
          <cell r="G23">
            <v>322529.60490280093</v>
          </cell>
          <cell r="H23">
            <v>0</v>
          </cell>
          <cell r="I23">
            <v>570242.10769918596</v>
          </cell>
        </row>
        <row r="24">
          <cell r="C24" t="str">
            <v>PGE_210143</v>
          </cell>
          <cell r="D24" t="str">
            <v>Hospitality Program</v>
          </cell>
          <cell r="E24">
            <v>2536722.7934365505</v>
          </cell>
          <cell r="F24">
            <v>1081481.2580765928</v>
          </cell>
          <cell r="G24">
            <v>8802945.0964250434</v>
          </cell>
          <cell r="H24">
            <v>3523795.5884118159</v>
          </cell>
          <cell r="I24">
            <v>15944944.736350002</v>
          </cell>
        </row>
        <row r="25">
          <cell r="C25" t="str">
            <v>PGE_21015</v>
          </cell>
          <cell r="D25" t="str">
            <v>Commercial HVAC</v>
          </cell>
          <cell r="E25">
            <v>768004.80267103377</v>
          </cell>
          <cell r="F25">
            <v>345560.36295947793</v>
          </cell>
          <cell r="G25">
            <v>5676267.8584911264</v>
          </cell>
          <cell r="H25">
            <v>6172448.4445975414</v>
          </cell>
          <cell r="I25">
            <v>12962281.468719181</v>
          </cell>
        </row>
        <row r="26">
          <cell r="C26" t="str">
            <v>PGE_21018</v>
          </cell>
          <cell r="D26" t="str">
            <v>EnergySmart Grocer</v>
          </cell>
          <cell r="E26">
            <v>594519.0195735062</v>
          </cell>
          <cell r="F26">
            <v>254381.32833268514</v>
          </cell>
          <cell r="G26">
            <v>5027481.4579552915</v>
          </cell>
          <cell r="H26">
            <v>1955962.075</v>
          </cell>
          <cell r="I26">
            <v>7832343.8808614826</v>
          </cell>
        </row>
        <row r="27">
          <cell r="C27" t="str">
            <v>PGE_210135</v>
          </cell>
          <cell r="D27" t="str">
            <v>Lincus WISE</v>
          </cell>
          <cell r="E27">
            <v>181533.38991120903</v>
          </cell>
          <cell r="F27">
            <v>30514.197506646742</v>
          </cell>
          <cell r="G27">
            <v>1614440.6384233595</v>
          </cell>
          <cell r="H27">
            <v>560828.78818396747</v>
          </cell>
          <cell r="I27">
            <v>2387317.0140251829</v>
          </cell>
        </row>
        <row r="28">
          <cell r="C28" t="str">
            <v>PGE_21021</v>
          </cell>
          <cell r="D28" t="str">
            <v>Industrial Calculated Incentives</v>
          </cell>
          <cell r="E28">
            <v>254212.107548247</v>
          </cell>
          <cell r="F28">
            <v>277423.66521311598</v>
          </cell>
          <cell r="G28">
            <v>1587333.4747898197</v>
          </cell>
          <cell r="H28">
            <v>3252845.5360942092</v>
          </cell>
          <cell r="I28">
            <v>5371814.7836453915</v>
          </cell>
        </row>
        <row r="29">
          <cell r="C29" t="str">
            <v>PGE_210210</v>
          </cell>
          <cell r="D29" t="str">
            <v>Industrial Recommissioning Program</v>
          </cell>
          <cell r="E29">
            <v>269415.95604505826</v>
          </cell>
          <cell r="F29">
            <v>194473.09382850069</v>
          </cell>
          <cell r="G29">
            <v>1347440.4577505896</v>
          </cell>
          <cell r="H29">
            <v>1063218</v>
          </cell>
          <cell r="I29">
            <v>2874547.5076241484</v>
          </cell>
        </row>
        <row r="30">
          <cell r="C30" t="str">
            <v>PGE_210211</v>
          </cell>
          <cell r="D30" t="str">
            <v>Light Industrial Energy Efficiency</v>
          </cell>
          <cell r="E30">
            <v>0</v>
          </cell>
          <cell r="F30">
            <v>0</v>
          </cell>
          <cell r="G30">
            <v>0</v>
          </cell>
          <cell r="H30">
            <v>0</v>
          </cell>
          <cell r="I30">
            <v>0</v>
          </cell>
        </row>
        <row r="31">
          <cell r="C31" t="str">
            <v>PGE_210212</v>
          </cell>
          <cell r="D31" t="str">
            <v>Industrial Compressed Air System Efficiency</v>
          </cell>
          <cell r="E31">
            <v>47122.241820846801</v>
          </cell>
          <cell r="F31">
            <v>24189.404333728107</v>
          </cell>
          <cell r="G31">
            <v>305639.03502311587</v>
          </cell>
          <cell r="H31">
            <v>144000</v>
          </cell>
          <cell r="I31">
            <v>520950.68117769074</v>
          </cell>
        </row>
        <row r="32">
          <cell r="C32" t="str">
            <v>PGE_210213</v>
          </cell>
          <cell r="D32" t="str">
            <v>Small Petrochemical Energy Efficiency</v>
          </cell>
          <cell r="E32">
            <v>0</v>
          </cell>
          <cell r="F32">
            <v>0</v>
          </cell>
          <cell r="G32">
            <v>0</v>
          </cell>
          <cell r="H32">
            <v>0</v>
          </cell>
          <cell r="I32">
            <v>0</v>
          </cell>
        </row>
        <row r="33">
          <cell r="C33" t="str">
            <v>PGE_21022</v>
          </cell>
          <cell r="D33" t="str">
            <v>Industrial Deemed Incentives</v>
          </cell>
          <cell r="E33">
            <v>9643.5186216897255</v>
          </cell>
          <cell r="F33">
            <v>1986.4521541003569</v>
          </cell>
          <cell r="G33">
            <v>124131.2505269979</v>
          </cell>
          <cell r="H33">
            <v>108982</v>
          </cell>
          <cell r="I33">
            <v>244743.22130278798</v>
          </cell>
        </row>
        <row r="34">
          <cell r="C34" t="str">
            <v>PGE_21024</v>
          </cell>
          <cell r="D34" t="str">
            <v>Industrial Energy Advisor</v>
          </cell>
          <cell r="E34">
            <v>3263.5384730498481</v>
          </cell>
          <cell r="F34">
            <v>672.25079186328571</v>
          </cell>
          <cell r="G34">
            <v>63402.553211094077</v>
          </cell>
          <cell r="H34">
            <v>0</v>
          </cell>
          <cell r="I34">
            <v>67338.342476007208</v>
          </cell>
        </row>
        <row r="35">
          <cell r="C35" t="str">
            <v>PGE_21025</v>
          </cell>
          <cell r="D35" t="str">
            <v>California Wastewater Process Optimization</v>
          </cell>
          <cell r="E35">
            <v>0</v>
          </cell>
          <cell r="F35">
            <v>0</v>
          </cell>
          <cell r="G35">
            <v>0</v>
          </cell>
          <cell r="H35">
            <v>0</v>
          </cell>
          <cell r="I35">
            <v>0</v>
          </cell>
        </row>
        <row r="36">
          <cell r="C36" t="str">
            <v>PGE_21026</v>
          </cell>
          <cell r="D36" t="str">
            <v>Energy Efficiency Services for Oil Production</v>
          </cell>
          <cell r="E36">
            <v>185925.641021894</v>
          </cell>
          <cell r="F36">
            <v>173162.62035385109</v>
          </cell>
          <cell r="G36">
            <v>1012496.0899249032</v>
          </cell>
          <cell r="H36">
            <v>499858.36000000004</v>
          </cell>
          <cell r="I36">
            <v>1871442.7113006485</v>
          </cell>
        </row>
        <row r="37">
          <cell r="C37" t="str">
            <v>PGE_21027</v>
          </cell>
          <cell r="D37" t="str">
            <v>Heavy Industry Energy Efficiency Program</v>
          </cell>
          <cell r="E37">
            <v>716627.67316437885</v>
          </cell>
          <cell r="F37">
            <v>387509.70702454477</v>
          </cell>
          <cell r="G37">
            <v>4431010.1276756646</v>
          </cell>
          <cell r="H37">
            <v>3191046.5186312124</v>
          </cell>
          <cell r="I37">
            <v>8726194.0264957994</v>
          </cell>
        </row>
        <row r="38">
          <cell r="C38" t="str">
            <v>PGE_21029</v>
          </cell>
          <cell r="D38" t="str">
            <v>Refinery Energy Efficiency Program (REEP)</v>
          </cell>
          <cell r="E38">
            <v>0</v>
          </cell>
          <cell r="F38">
            <v>0</v>
          </cell>
          <cell r="G38">
            <v>0</v>
          </cell>
          <cell r="H38">
            <v>0</v>
          </cell>
          <cell r="I38">
            <v>0</v>
          </cell>
        </row>
        <row r="39">
          <cell r="C39" t="str">
            <v>PGE_21030</v>
          </cell>
          <cell r="D39" t="str">
            <v>Industrial Strategic Energy Management</v>
          </cell>
          <cell r="E39">
            <v>218039.63620415563</v>
          </cell>
          <cell r="F39">
            <v>82304.250253151753</v>
          </cell>
          <cell r="G39">
            <v>1289398.5013316895</v>
          </cell>
          <cell r="H39">
            <v>636513.54164000042</v>
          </cell>
          <cell r="I39">
            <v>2226255.9294289974</v>
          </cell>
        </row>
        <row r="40">
          <cell r="C40" t="str">
            <v>PGE_21031</v>
          </cell>
          <cell r="D40" t="str">
            <v>Agricultural Calculated Incentives</v>
          </cell>
          <cell r="E40">
            <v>50365.117864101514</v>
          </cell>
          <cell r="F40">
            <v>686330.86500987189</v>
          </cell>
          <cell r="G40">
            <v>444778.34313884936</v>
          </cell>
          <cell r="H40">
            <v>1158980.3458372587</v>
          </cell>
          <cell r="I40">
            <v>2340454.6718500815</v>
          </cell>
        </row>
        <row r="41">
          <cell r="C41" t="str">
            <v>PGE_210311</v>
          </cell>
          <cell r="D41" t="str">
            <v>Process Wastewater Treatment EM Pgm for Ag Food Processing</v>
          </cell>
          <cell r="E41">
            <v>34520.551748837497</v>
          </cell>
          <cell r="F41">
            <v>54354.862849852703</v>
          </cell>
          <cell r="G41">
            <v>270823.736889266</v>
          </cell>
          <cell r="H41">
            <v>61457.74</v>
          </cell>
          <cell r="I41">
            <v>421156.89148795616</v>
          </cell>
        </row>
        <row r="42">
          <cell r="C42" t="str">
            <v>PGE_210312</v>
          </cell>
          <cell r="D42" t="str">
            <v>Dairy and Winery Industry Efficiency Solutions</v>
          </cell>
          <cell r="E42">
            <v>218476.53579588869</v>
          </cell>
          <cell r="F42">
            <v>85264.609180885775</v>
          </cell>
          <cell r="G42">
            <v>1339778.1451450584</v>
          </cell>
          <cell r="H42">
            <v>645850.07999999996</v>
          </cell>
          <cell r="I42">
            <v>2289369.3701218329</v>
          </cell>
        </row>
        <row r="43">
          <cell r="C43" t="str">
            <v>PGE_21032</v>
          </cell>
          <cell r="D43" t="str">
            <v>Agricultural Deemed Incentives</v>
          </cell>
          <cell r="E43">
            <v>189640.14498995259</v>
          </cell>
          <cell r="F43">
            <v>47802.610062689913</v>
          </cell>
          <cell r="G43">
            <v>903591.22170983942</v>
          </cell>
          <cell r="H43">
            <v>2143135</v>
          </cell>
          <cell r="I43">
            <v>3284168.976762482</v>
          </cell>
        </row>
        <row r="44">
          <cell r="C44" t="str">
            <v>PGE_21034</v>
          </cell>
          <cell r="D44" t="str">
            <v>Agricultural Energy Advisor</v>
          </cell>
          <cell r="E44">
            <v>261604.77575146034</v>
          </cell>
          <cell r="F44">
            <v>101763.88511415567</v>
          </cell>
          <cell r="G44">
            <v>1467233.4195583779</v>
          </cell>
          <cell r="H44">
            <v>1020000</v>
          </cell>
          <cell r="I44">
            <v>2850602.080423994</v>
          </cell>
        </row>
        <row r="45">
          <cell r="C45" t="str">
            <v>PGE_21036</v>
          </cell>
          <cell r="D45" t="str">
            <v>Industrial Refrigeration Performance Plus</v>
          </cell>
          <cell r="E45">
            <v>0</v>
          </cell>
          <cell r="F45">
            <v>0</v>
          </cell>
          <cell r="G45">
            <v>0</v>
          </cell>
          <cell r="H45">
            <v>164732.91999999998</v>
          </cell>
          <cell r="I45">
            <v>164732.91999999998</v>
          </cell>
        </row>
        <row r="46">
          <cell r="C46" t="str">
            <v>PGE_21039</v>
          </cell>
          <cell r="D46" t="str">
            <v>Comprehensive Food Process Audit &amp; Resource Efficiency  Pgm</v>
          </cell>
          <cell r="E46">
            <v>329433.64139104896</v>
          </cell>
          <cell r="F46">
            <v>254860.49256201473</v>
          </cell>
          <cell r="G46">
            <v>1615145.7705437525</v>
          </cell>
          <cell r="H46">
            <v>1046582.6241890662</v>
          </cell>
          <cell r="I46">
            <v>3246022.5286858822</v>
          </cell>
        </row>
        <row r="47">
          <cell r="C47" t="str">
            <v>PGE_21091</v>
          </cell>
          <cell r="D47" t="str">
            <v>On-Bill Financing (non-Loan Pool)</v>
          </cell>
          <cell r="E47">
            <v>58401.591917153455</v>
          </cell>
          <cell r="F47">
            <v>1247860.2646351242</v>
          </cell>
          <cell r="G47">
            <v>4496069.321721809</v>
          </cell>
          <cell r="H47">
            <v>0</v>
          </cell>
          <cell r="I47">
            <v>5802331.1782740867</v>
          </cell>
        </row>
        <row r="48">
          <cell r="C48" t="str">
            <v>PGE_210911</v>
          </cell>
          <cell r="D48" t="str">
            <v>On Bill Financing Alternative Pathway</v>
          </cell>
          <cell r="E48">
            <v>339819.26721624087</v>
          </cell>
          <cell r="F48">
            <v>0</v>
          </cell>
          <cell r="G48">
            <v>289434.05375579005</v>
          </cell>
          <cell r="H48">
            <v>0</v>
          </cell>
          <cell r="I48">
            <v>629253.32097203098</v>
          </cell>
        </row>
        <row r="49">
          <cell r="C49" t="str">
            <v>PGE_21092</v>
          </cell>
          <cell r="D49" t="str">
            <v>Third-Party Financing</v>
          </cell>
          <cell r="E49">
            <v>0</v>
          </cell>
          <cell r="F49">
            <v>0</v>
          </cell>
          <cell r="G49">
            <v>64982.467199999992</v>
          </cell>
          <cell r="H49">
            <v>0</v>
          </cell>
          <cell r="I49">
            <v>64982.467199999992</v>
          </cell>
        </row>
        <row r="50">
          <cell r="C50" t="str">
            <v>PGE_21093</v>
          </cell>
          <cell r="D50" t="str">
            <v>New Financing Offerings</v>
          </cell>
          <cell r="E50">
            <v>0</v>
          </cell>
          <cell r="F50">
            <v>0</v>
          </cell>
          <cell r="G50">
            <v>0</v>
          </cell>
          <cell r="H50">
            <v>0</v>
          </cell>
          <cell r="I50">
            <v>0</v>
          </cell>
        </row>
        <row r="51">
          <cell r="C51" t="str">
            <v>PGE_21091LP</v>
          </cell>
          <cell r="D51" t="str">
            <v>On-Bill Financing LOAN POOL</v>
          </cell>
          <cell r="E51">
            <v>0</v>
          </cell>
          <cell r="F51">
            <v>0</v>
          </cell>
          <cell r="G51">
            <v>0</v>
          </cell>
          <cell r="H51">
            <v>13500000</v>
          </cell>
          <cell r="I51">
            <v>13500000</v>
          </cell>
        </row>
        <row r="52">
          <cell r="C52" t="str">
            <v>PGE_2110011</v>
          </cell>
          <cell r="D52" t="str">
            <v>California Community Colleges</v>
          </cell>
          <cell r="E52">
            <v>76891.15984726719</v>
          </cell>
          <cell r="F52">
            <v>12482.286422096302</v>
          </cell>
          <cell r="G52">
            <v>612640.26485408598</v>
          </cell>
          <cell r="H52">
            <v>405606.27999999991</v>
          </cell>
          <cell r="I52">
            <v>1107619.9911234495</v>
          </cell>
        </row>
        <row r="53">
          <cell r="C53" t="str">
            <v>PGE_2110012</v>
          </cell>
          <cell r="D53" t="str">
            <v>University of California/California State University</v>
          </cell>
          <cell r="E53">
            <v>64733.461099833774</v>
          </cell>
          <cell r="F53">
            <v>10508.6410992729</v>
          </cell>
          <cell r="G53">
            <v>483237.22044303227</v>
          </cell>
          <cell r="H53">
            <v>374008.57</v>
          </cell>
          <cell r="I53">
            <v>932487.89264213899</v>
          </cell>
        </row>
        <row r="54">
          <cell r="C54" t="str">
            <v>PGE_2110013</v>
          </cell>
          <cell r="D54" t="str">
            <v>State of California</v>
          </cell>
          <cell r="E54">
            <v>64345.196255860981</v>
          </cell>
          <cell r="F54">
            <v>10445.611317959605</v>
          </cell>
          <cell r="G54">
            <v>457564.5056829048</v>
          </cell>
          <cell r="H54">
            <v>394539.61</v>
          </cell>
          <cell r="I54">
            <v>926894.92325672542</v>
          </cell>
        </row>
        <row r="55">
          <cell r="C55" t="str">
            <v>PGE_2110014</v>
          </cell>
          <cell r="D55" t="str">
            <v>Department of Corrections and Rehabilitation</v>
          </cell>
          <cell r="E55">
            <v>75057.522411226513</v>
          </cell>
          <cell r="F55">
            <v>12184.619073646863</v>
          </cell>
          <cell r="G55">
            <v>437378.87480085972</v>
          </cell>
          <cell r="H55">
            <v>556585.36</v>
          </cell>
          <cell r="I55">
            <v>1081206.3762857332</v>
          </cell>
        </row>
        <row r="56">
          <cell r="C56" t="str">
            <v>PGE_2110051</v>
          </cell>
          <cell r="D56" t="str">
            <v>LGEAR</v>
          </cell>
          <cell r="E56">
            <v>0</v>
          </cell>
          <cell r="F56">
            <v>0</v>
          </cell>
          <cell r="G56">
            <v>0</v>
          </cell>
          <cell r="H56">
            <v>0</v>
          </cell>
          <cell r="I56">
            <v>0</v>
          </cell>
        </row>
        <row r="57">
          <cell r="C57" t="str">
            <v>PGE_211007</v>
          </cell>
          <cell r="D57" t="str">
            <v>Association of Monterey Bay Area Governments (AMBAG)</v>
          </cell>
          <cell r="E57">
            <v>440031.74873419502</v>
          </cell>
          <cell r="F57">
            <v>283837.27417818643</v>
          </cell>
          <cell r="G57">
            <v>1883184.3273284377</v>
          </cell>
          <cell r="H57">
            <v>950240.46298612782</v>
          </cell>
          <cell r="I57">
            <v>3557293.8132269471</v>
          </cell>
        </row>
        <row r="58">
          <cell r="C58" t="str">
            <v>PGE_211009</v>
          </cell>
          <cell r="D58" t="str">
            <v>East Bay</v>
          </cell>
          <cell r="E58">
            <v>502013.48725712881</v>
          </cell>
          <cell r="F58">
            <v>126010.47595609735</v>
          </cell>
          <cell r="G58">
            <v>1526817.9336078132</v>
          </cell>
          <cell r="H58">
            <v>1017270.629445104</v>
          </cell>
          <cell r="I58">
            <v>3172112.5262661432</v>
          </cell>
        </row>
        <row r="59">
          <cell r="C59" t="str">
            <v>PGE_211010</v>
          </cell>
          <cell r="D59" t="str">
            <v>Fresno</v>
          </cell>
          <cell r="E59">
            <v>416625.01522740797</v>
          </cell>
          <cell r="F59">
            <v>211189.79849792953</v>
          </cell>
          <cell r="G59">
            <v>1194105.8238671997</v>
          </cell>
          <cell r="H59">
            <v>922897.33294610342</v>
          </cell>
          <cell r="I59">
            <v>2744817.9705386409</v>
          </cell>
        </row>
        <row r="60">
          <cell r="C60" t="str">
            <v>PGE_211011</v>
          </cell>
          <cell r="D60" t="str">
            <v>Kern</v>
          </cell>
          <cell r="E60">
            <v>254445.91706140549</v>
          </cell>
          <cell r="F60">
            <v>122474.69090649819</v>
          </cell>
          <cell r="G60">
            <v>997714.35106481111</v>
          </cell>
          <cell r="H60">
            <v>937658.22546671994</v>
          </cell>
          <cell r="I60">
            <v>2312293.1844994347</v>
          </cell>
        </row>
        <row r="61">
          <cell r="C61" t="str">
            <v>PGE_211012</v>
          </cell>
          <cell r="D61" t="str">
            <v>Madera</v>
          </cell>
          <cell r="E61">
            <v>34939.320891546835</v>
          </cell>
          <cell r="F61">
            <v>17608.10439663877</v>
          </cell>
          <cell r="G61">
            <v>113454.82314183528</v>
          </cell>
          <cell r="H61">
            <v>132037.46006683234</v>
          </cell>
          <cell r="I61">
            <v>298039.70849685324</v>
          </cell>
        </row>
        <row r="62">
          <cell r="C62" t="str">
            <v>PGE_211013</v>
          </cell>
          <cell r="D62" t="str">
            <v>Marin County</v>
          </cell>
          <cell r="E62">
            <v>116465.56071170428</v>
          </cell>
          <cell r="F62">
            <v>50881.12108038475</v>
          </cell>
          <cell r="G62">
            <v>467994.23396723991</v>
          </cell>
          <cell r="H62">
            <v>228508.41119999997</v>
          </cell>
          <cell r="I62">
            <v>863849.32695932896</v>
          </cell>
        </row>
        <row r="63">
          <cell r="C63" t="str">
            <v>PGE_211014</v>
          </cell>
          <cell r="D63" t="str">
            <v>Mendocino/Lake County</v>
          </cell>
          <cell r="E63">
            <v>60481.541056101298</v>
          </cell>
          <cell r="F63">
            <v>23535.17667048359</v>
          </cell>
          <cell r="G63">
            <v>227260.51918758918</v>
          </cell>
          <cell r="H63">
            <v>223309.905</v>
          </cell>
          <cell r="I63">
            <v>534587.14191417408</v>
          </cell>
        </row>
        <row r="64">
          <cell r="C64" t="str">
            <v>PGE_211015</v>
          </cell>
          <cell r="D64" t="str">
            <v>Napa County</v>
          </cell>
          <cell r="E64">
            <v>42455.709117601546</v>
          </cell>
          <cell r="F64">
            <v>27721.310193374495</v>
          </cell>
          <cell r="G64">
            <v>177491.06865902682</v>
          </cell>
          <cell r="H64">
            <v>107107.5295</v>
          </cell>
          <cell r="I64">
            <v>354775.61747000285</v>
          </cell>
        </row>
        <row r="65">
          <cell r="C65" t="str">
            <v>PGE_211016</v>
          </cell>
          <cell r="D65" t="str">
            <v>Redwood Coast</v>
          </cell>
          <cell r="E65">
            <v>143959.81994172183</v>
          </cell>
          <cell r="F65">
            <v>57273.580712617768</v>
          </cell>
          <cell r="G65">
            <v>618195.72315071151</v>
          </cell>
          <cell r="H65">
            <v>401028</v>
          </cell>
          <cell r="I65">
            <v>1220457.1238050512</v>
          </cell>
        </row>
        <row r="66">
          <cell r="C66" t="str">
            <v>PGE_211018</v>
          </cell>
          <cell r="D66" t="str">
            <v>San Luis Obispo County</v>
          </cell>
          <cell r="E66">
            <v>125746.63347846802</v>
          </cell>
          <cell r="F66">
            <v>52857.56816739621</v>
          </cell>
          <cell r="G66">
            <v>518251.47564170626</v>
          </cell>
          <cell r="H66">
            <v>288069.16827977612</v>
          </cell>
          <cell r="I66">
            <v>984924.84556734655</v>
          </cell>
        </row>
        <row r="67">
          <cell r="C67" t="str">
            <v>PGE_211019</v>
          </cell>
          <cell r="D67" t="str">
            <v>San Mateo County</v>
          </cell>
          <cell r="E67">
            <v>131212.20957405801</v>
          </cell>
          <cell r="F67">
            <v>68396.386899041827</v>
          </cell>
          <cell r="G67">
            <v>595040.75941491209</v>
          </cell>
          <cell r="H67">
            <v>273068.42155939003</v>
          </cell>
          <cell r="I67">
            <v>1067717.777447402</v>
          </cell>
        </row>
        <row r="68">
          <cell r="C68" t="str">
            <v>PGE_211020</v>
          </cell>
          <cell r="D68" t="str">
            <v>Santa Barbara</v>
          </cell>
          <cell r="E68">
            <v>66427.823340290939</v>
          </cell>
          <cell r="F68">
            <v>36710.989085138135</v>
          </cell>
          <cell r="G68">
            <v>293432.63213141874</v>
          </cell>
          <cell r="H68">
            <v>207150.20710719997</v>
          </cell>
          <cell r="I68">
            <v>603721.65166404773</v>
          </cell>
        </row>
        <row r="69">
          <cell r="C69" t="str">
            <v>PGE_211021</v>
          </cell>
          <cell r="D69" t="str">
            <v>Sierra Nevada</v>
          </cell>
          <cell r="E69">
            <v>148365.12260827498</v>
          </cell>
          <cell r="F69">
            <v>66381.695440327632</v>
          </cell>
          <cell r="G69">
            <v>549058.80081866367</v>
          </cell>
          <cell r="H69">
            <v>175535.72576147638</v>
          </cell>
          <cell r="I69">
            <v>939341.34462874266</v>
          </cell>
        </row>
        <row r="70">
          <cell r="C70" t="str">
            <v>PGE_211022</v>
          </cell>
          <cell r="D70" t="str">
            <v>Sonoma County</v>
          </cell>
          <cell r="E70">
            <v>178302.78037678485</v>
          </cell>
          <cell r="F70">
            <v>66128.798735641074</v>
          </cell>
          <cell r="G70">
            <v>706501.1156592546</v>
          </cell>
          <cell r="H70">
            <v>673327.0355</v>
          </cell>
          <cell r="I70">
            <v>1624259.7302716805</v>
          </cell>
        </row>
        <row r="71">
          <cell r="C71" t="str">
            <v>PGE_211023</v>
          </cell>
          <cell r="D71" t="str">
            <v>Silicon Valley</v>
          </cell>
          <cell r="E71">
            <v>365663.62368026003</v>
          </cell>
          <cell r="F71">
            <v>161461.17577782087</v>
          </cell>
          <cell r="G71">
            <v>1667068.7552021884</v>
          </cell>
          <cell r="H71">
            <v>897173.30494193849</v>
          </cell>
          <cell r="I71">
            <v>3091366.8596022073</v>
          </cell>
        </row>
        <row r="72">
          <cell r="C72" t="str">
            <v>PGE_211024</v>
          </cell>
          <cell r="D72" t="str">
            <v>San Francisco</v>
          </cell>
          <cell r="E72">
            <v>423671.75001758226</v>
          </cell>
          <cell r="F72">
            <v>274414.09317013592</v>
          </cell>
          <cell r="G72">
            <v>2314575.1480706441</v>
          </cell>
          <cell r="H72">
            <v>750968.19589542935</v>
          </cell>
          <cell r="I72">
            <v>3763629.1871537915</v>
          </cell>
        </row>
        <row r="73">
          <cell r="C73" t="str">
            <v>PGE_211026</v>
          </cell>
          <cell r="D73" t="str">
            <v>North Valley</v>
          </cell>
          <cell r="E73">
            <v>52929.191636909673</v>
          </cell>
          <cell r="F73">
            <v>22388.46059787149</v>
          </cell>
          <cell r="G73">
            <v>201577.67634057318</v>
          </cell>
          <cell r="H73">
            <v>187101.37102031949</v>
          </cell>
          <cell r="I73">
            <v>463996.69959567382</v>
          </cell>
        </row>
        <row r="74">
          <cell r="C74" t="str">
            <v>PGE_211027</v>
          </cell>
          <cell r="D74" t="str">
            <v>Sutter Buttes</v>
          </cell>
          <cell r="E74">
            <v>20603.537954567717</v>
          </cell>
          <cell r="F74">
            <v>14931.067713873592</v>
          </cell>
          <cell r="G74">
            <v>81728.932559162655</v>
          </cell>
          <cell r="H74">
            <v>37033.329266887107</v>
          </cell>
          <cell r="I74">
            <v>154296.86749449107</v>
          </cell>
        </row>
        <row r="75">
          <cell r="C75" t="str">
            <v>PGE_211028</v>
          </cell>
          <cell r="D75" t="str">
            <v>Yolo</v>
          </cell>
          <cell r="E75">
            <v>49796.876482061511</v>
          </cell>
          <cell r="F75">
            <v>22099.438267255016</v>
          </cell>
          <cell r="G75">
            <v>160168.41036239659</v>
          </cell>
          <cell r="H75">
            <v>226441.1919825064</v>
          </cell>
          <cell r="I75">
            <v>458505.91709421948</v>
          </cell>
        </row>
        <row r="76">
          <cell r="C76" t="str">
            <v>PGE_211029</v>
          </cell>
          <cell r="D76" t="str">
            <v>Solano</v>
          </cell>
          <cell r="E76">
            <v>113716.69108286274</v>
          </cell>
          <cell r="F76">
            <v>45849.575068605918</v>
          </cell>
          <cell r="G76">
            <v>486854.59547301702</v>
          </cell>
          <cell r="H76">
            <v>483892.86399999994</v>
          </cell>
          <cell r="I76">
            <v>1130313.7256244856</v>
          </cell>
        </row>
        <row r="77">
          <cell r="C77" t="str">
            <v>PGE_211030</v>
          </cell>
          <cell r="D77" t="str">
            <v>Northern San Joaquin Valley</v>
          </cell>
          <cell r="E77">
            <v>121152.60304746081</v>
          </cell>
          <cell r="F77">
            <v>64343.455125685599</v>
          </cell>
          <cell r="G77">
            <v>405968.24475172372</v>
          </cell>
          <cell r="H77">
            <v>385465.49836951436</v>
          </cell>
          <cell r="I77">
            <v>976929.80129438452</v>
          </cell>
        </row>
        <row r="78">
          <cell r="C78" t="str">
            <v>PGE_211031</v>
          </cell>
          <cell r="D78" t="str">
            <v>Valley Innovative Energy Watch (VIEW)</v>
          </cell>
          <cell r="E78">
            <v>62943.304073301493</v>
          </cell>
          <cell r="F78">
            <v>36717.430850310768</v>
          </cell>
          <cell r="G78">
            <v>331152.18062423664</v>
          </cell>
          <cell r="H78">
            <v>132775.75076394397</v>
          </cell>
          <cell r="I78">
            <v>563588.66631179291</v>
          </cell>
        </row>
        <row r="79">
          <cell r="C79" t="str">
            <v>PGE_211032</v>
          </cell>
          <cell r="D79" t="str">
            <v>California Youth Energy Services</v>
          </cell>
          <cell r="E79"/>
          <cell r="F79"/>
          <cell r="G79"/>
          <cell r="H79"/>
          <cell r="I79">
            <v>0</v>
          </cell>
        </row>
        <row r="80">
          <cell r="C80" t="str">
            <v>PGE_21013</v>
          </cell>
          <cell r="D80" t="str">
            <v>Commercial Continuous Energy Improvement</v>
          </cell>
          <cell r="E80">
            <v>0</v>
          </cell>
          <cell r="F80">
            <v>0</v>
          </cell>
          <cell r="G80">
            <v>0</v>
          </cell>
          <cell r="H80">
            <v>0</v>
          </cell>
          <cell r="I80">
            <v>0</v>
          </cell>
        </row>
        <row r="81">
          <cell r="C81" t="str">
            <v>PGE_210139</v>
          </cell>
          <cell r="D81" t="str">
            <v>SEI Energize Schools Program</v>
          </cell>
          <cell r="E81">
            <v>0</v>
          </cell>
          <cell r="F81">
            <v>0</v>
          </cell>
          <cell r="G81">
            <v>0</v>
          </cell>
          <cell r="H81">
            <v>0</v>
          </cell>
          <cell r="I81">
            <v>0</v>
          </cell>
        </row>
        <row r="82">
          <cell r="C82" t="str">
            <v>PGE_21042</v>
          </cell>
          <cell r="D82" t="str">
            <v>Lighting Innovation</v>
          </cell>
          <cell r="E82">
            <v>0</v>
          </cell>
          <cell r="F82">
            <v>0</v>
          </cell>
          <cell r="G82">
            <v>0</v>
          </cell>
          <cell r="H82">
            <v>0</v>
          </cell>
          <cell r="I82">
            <v>0</v>
          </cell>
        </row>
        <row r="83">
          <cell r="C83" t="str">
            <v>PGE_21043</v>
          </cell>
          <cell r="D83" t="str">
            <v>Lighting Market Transformation</v>
          </cell>
          <cell r="E83">
            <v>0</v>
          </cell>
          <cell r="F83">
            <v>0</v>
          </cell>
          <cell r="G83">
            <v>0</v>
          </cell>
          <cell r="H83">
            <v>0</v>
          </cell>
          <cell r="I83">
            <v>0</v>
          </cell>
        </row>
        <row r="84">
          <cell r="C84" t="str">
            <v>PGE_21023</v>
          </cell>
          <cell r="D84" t="str">
            <v>Industrial Continuous Energy Improvement</v>
          </cell>
          <cell r="E84">
            <v>0</v>
          </cell>
          <cell r="F84">
            <v>0</v>
          </cell>
          <cell r="G84">
            <v>0</v>
          </cell>
          <cell r="H84">
            <v>0</v>
          </cell>
          <cell r="I84">
            <v>0</v>
          </cell>
        </row>
        <row r="85">
          <cell r="C85" t="str">
            <v>PGE_21033</v>
          </cell>
          <cell r="D85" t="str">
            <v>Agricultural Continuous Energy Improvement</v>
          </cell>
          <cell r="E85">
            <v>0</v>
          </cell>
          <cell r="F85">
            <v>0</v>
          </cell>
          <cell r="G85">
            <v>0</v>
          </cell>
          <cell r="H85">
            <v>0</v>
          </cell>
          <cell r="I85">
            <v>0</v>
          </cell>
        </row>
        <row r="86">
          <cell r="C86" t="str">
            <v>PGE_21081</v>
          </cell>
          <cell r="D86" t="str">
            <v>Statewide DSM Coordination &amp; Integration</v>
          </cell>
          <cell r="E86">
            <v>0</v>
          </cell>
          <cell r="F86">
            <v>0</v>
          </cell>
          <cell r="G86">
            <v>0</v>
          </cell>
          <cell r="H86">
            <v>0</v>
          </cell>
          <cell r="I86">
            <v>0</v>
          </cell>
        </row>
        <row r="87">
          <cell r="C87" t="str">
            <v>PGE_2110052</v>
          </cell>
          <cell r="D87" t="str">
            <v>Strategic Energy Resources</v>
          </cell>
          <cell r="E87">
            <v>244513.29009697924</v>
          </cell>
          <cell r="F87">
            <v>77123.851366348244</v>
          </cell>
          <cell r="G87">
            <v>5214164.6632521208</v>
          </cell>
          <cell r="H87">
            <v>0</v>
          </cell>
          <cell r="I87">
            <v>5535801.8047154481</v>
          </cell>
        </row>
        <row r="88">
          <cell r="C88" t="str">
            <v>PGE_21071</v>
          </cell>
          <cell r="D88" t="str">
            <v>Integrated Energy Education and Training</v>
          </cell>
          <cell r="E88">
            <v>254234.70346976322</v>
          </cell>
          <cell r="F88">
            <v>231224.93985565356</v>
          </cell>
          <cell r="G88">
            <v>8023497.0748699969</v>
          </cell>
          <cell r="H88">
            <v>0</v>
          </cell>
          <cell r="I88">
            <v>8508956.7181954142</v>
          </cell>
        </row>
        <row r="89">
          <cell r="C89" t="str">
            <v>PGE_21072</v>
          </cell>
          <cell r="D89" t="str">
            <v>Connections</v>
          </cell>
          <cell r="E89">
            <v>34784.545493086305</v>
          </cell>
          <cell r="F89">
            <v>0</v>
          </cell>
          <cell r="G89">
            <v>925129.32718681265</v>
          </cell>
          <cell r="H89">
            <v>0</v>
          </cell>
          <cell r="I89">
            <v>959913.87267989898</v>
          </cell>
        </row>
        <row r="90">
          <cell r="C90" t="str">
            <v>PGE_21073</v>
          </cell>
          <cell r="D90" t="str">
            <v>Strategic Planning</v>
          </cell>
          <cell r="E90">
            <v>0</v>
          </cell>
          <cell r="F90">
            <v>0</v>
          </cell>
          <cell r="G90">
            <v>0</v>
          </cell>
          <cell r="H90">
            <v>0</v>
          </cell>
          <cell r="I90">
            <v>0</v>
          </cell>
        </row>
        <row r="91">
          <cell r="C91" t="str">
            <v>PGE_21076</v>
          </cell>
          <cell r="D91" t="str">
            <v>Career and Workforce Readiness</v>
          </cell>
          <cell r="E91">
            <v>763.63722532342149</v>
          </cell>
          <cell r="F91">
            <v>0</v>
          </cell>
          <cell r="G91">
            <v>272327.74871217302</v>
          </cell>
          <cell r="H91">
            <v>0</v>
          </cell>
          <cell r="I91">
            <v>273091.38593749644</v>
          </cell>
        </row>
        <row r="92">
          <cell r="C92" t="str">
            <v>PGE_21061</v>
          </cell>
          <cell r="D92" t="str">
            <v>Technology Development Support</v>
          </cell>
          <cell r="E92">
            <v>68671.299977110291</v>
          </cell>
          <cell r="F92">
            <v>10859.138381201044</v>
          </cell>
          <cell r="G92">
            <v>1590787.45627139</v>
          </cell>
          <cell r="H92">
            <v>0</v>
          </cell>
          <cell r="I92">
            <v>1670317.8946297013</v>
          </cell>
        </row>
        <row r="93">
          <cell r="C93" t="str">
            <v>PGE_21062</v>
          </cell>
          <cell r="D93" t="str">
            <v>Technology Assessments</v>
          </cell>
          <cell r="E93">
            <v>155924.24583037983</v>
          </cell>
          <cell r="F93">
            <v>24656.631853785904</v>
          </cell>
          <cell r="G93">
            <v>3810642.204917796</v>
          </cell>
          <cell r="H93">
            <v>0</v>
          </cell>
          <cell r="I93">
            <v>3991223.0826019617</v>
          </cell>
        </row>
        <row r="94">
          <cell r="C94" t="str">
            <v>PGE_21063</v>
          </cell>
          <cell r="D94" t="str">
            <v>Technology Introduction Support</v>
          </cell>
          <cell r="E94">
            <v>84829.252912900949</v>
          </cell>
          <cell r="F94">
            <v>13414.229765013057</v>
          </cell>
          <cell r="G94">
            <v>2001255.9918093279</v>
          </cell>
          <cell r="H94">
            <v>0</v>
          </cell>
          <cell r="I94">
            <v>2099499.4744872418</v>
          </cell>
        </row>
        <row r="95">
          <cell r="C95" t="str">
            <v>PGE_21051</v>
          </cell>
          <cell r="D95" t="str">
            <v>Building Codes Advocacy</v>
          </cell>
          <cell r="E95">
            <v>196111.5469136716</v>
          </cell>
          <cell r="F95">
            <v>0</v>
          </cell>
          <cell r="G95">
            <v>4942422.9888415895</v>
          </cell>
          <cell r="H95">
            <v>0</v>
          </cell>
          <cell r="I95">
            <v>5138534.5357552608</v>
          </cell>
        </row>
        <row r="96">
          <cell r="C96" t="str">
            <v>PGE_21052</v>
          </cell>
          <cell r="D96" t="str">
            <v>Appliance Standards Advocacy</v>
          </cell>
          <cell r="E96">
            <v>122569.71682104477</v>
          </cell>
          <cell r="F96">
            <v>0</v>
          </cell>
          <cell r="G96">
            <v>3089014.3680259944</v>
          </cell>
          <cell r="H96">
            <v>0</v>
          </cell>
          <cell r="I96">
            <v>3211584.0848470391</v>
          </cell>
        </row>
        <row r="97">
          <cell r="C97" t="str">
            <v>PGE_21053</v>
          </cell>
          <cell r="D97" t="str">
            <v>Compliance Improvement</v>
          </cell>
          <cell r="E97">
            <v>196111.5469136716</v>
          </cell>
          <cell r="F97">
            <v>0</v>
          </cell>
          <cell r="G97">
            <v>4942422.9888415895</v>
          </cell>
          <cell r="H97">
            <v>0</v>
          </cell>
          <cell r="I97">
            <v>5138534.5357552608</v>
          </cell>
        </row>
        <row r="98">
          <cell r="C98" t="str">
            <v>PGE_21054</v>
          </cell>
          <cell r="D98" t="str">
            <v>Reach Codes</v>
          </cell>
          <cell r="E98">
            <v>29416.732037050733</v>
          </cell>
          <cell r="F98">
            <v>0</v>
          </cell>
          <cell r="G98">
            <v>741363.44832623878</v>
          </cell>
          <cell r="H98">
            <v>0</v>
          </cell>
          <cell r="I98">
            <v>770780.18036328955</v>
          </cell>
        </row>
        <row r="99">
          <cell r="C99" t="str">
            <v>PGE_21055</v>
          </cell>
          <cell r="D99" t="str">
            <v>Planning and Coordination</v>
          </cell>
          <cell r="E99">
            <v>29416.732037050733</v>
          </cell>
          <cell r="F99">
            <v>0</v>
          </cell>
          <cell r="G99">
            <v>741363.44832623878</v>
          </cell>
          <cell r="H99">
            <v>0</v>
          </cell>
          <cell r="I99">
            <v>770780.18036328955</v>
          </cell>
        </row>
        <row r="100">
          <cell r="C100" t="str">
            <v>PGE_21056</v>
          </cell>
          <cell r="D100" t="str">
            <v>Code Readiness</v>
          </cell>
          <cell r="E100">
            <v>147083.66018525371</v>
          </cell>
          <cell r="F100">
            <v>0</v>
          </cell>
          <cell r="G100">
            <v>3706817.2416311931</v>
          </cell>
          <cell r="H100">
            <v>0</v>
          </cell>
          <cell r="I100">
            <v>3853900.9018164468</v>
          </cell>
        </row>
        <row r="101">
          <cell r="C101" t="str">
            <v>PGE_21057</v>
          </cell>
          <cell r="D101" t="str">
            <v>National Codes &amp; Standards Advocacy</v>
          </cell>
          <cell r="E101">
            <v>73541.830092626857</v>
          </cell>
          <cell r="F101">
            <v>0</v>
          </cell>
          <cell r="G101">
            <v>1853408.6208155965</v>
          </cell>
          <cell r="H101">
            <v>0</v>
          </cell>
          <cell r="I101">
            <v>1926950.4509082234</v>
          </cell>
        </row>
        <row r="102">
          <cell r="C102" t="str">
            <v>CPUC_EM&amp;V</v>
          </cell>
          <cell r="D102" t="str">
            <v>EM&amp;V - CPUC</v>
          </cell>
          <cell r="E102"/>
          <cell r="F102"/>
          <cell r="G102">
            <v>9265839.2913794369</v>
          </cell>
          <cell r="H102">
            <v>0</v>
          </cell>
          <cell r="I102">
            <v>9265839.2913794369</v>
          </cell>
        </row>
        <row r="103">
          <cell r="C103" t="str">
            <v>PGE_EM&amp;V</v>
          </cell>
          <cell r="D103" t="str">
            <v>EM&amp;V - PG&amp;E</v>
          </cell>
          <cell r="E103"/>
          <cell r="F103"/>
          <cell r="G103">
            <v>3514628.6967301317</v>
          </cell>
          <cell r="H103">
            <v>0</v>
          </cell>
          <cell r="I103">
            <v>3514628.6967301317</v>
          </cell>
        </row>
        <row r="104">
          <cell r="C104" t="str">
            <v>PGE_BAYREN</v>
          </cell>
          <cell r="D104" t="str">
            <v>BAYREN</v>
          </cell>
          <cell r="E104">
            <v>0</v>
          </cell>
          <cell r="F104">
            <v>0</v>
          </cell>
          <cell r="G104">
            <v>23072475</v>
          </cell>
          <cell r="H104">
            <v>0</v>
          </cell>
          <cell r="I104">
            <v>23072475</v>
          </cell>
        </row>
        <row r="105">
          <cell r="C105" t="str">
            <v>CPUC_EMV_BAY</v>
          </cell>
          <cell r="D105" t="str">
            <v>BayREN EM&amp;V</v>
          </cell>
          <cell r="E105"/>
          <cell r="F105"/>
          <cell r="G105">
            <v>961353.12999999896</v>
          </cell>
          <cell r="H105">
            <v>0</v>
          </cell>
          <cell r="I105">
            <v>961353.12999999896</v>
          </cell>
        </row>
        <row r="106">
          <cell r="C106" t="str">
            <v>PGE_MEA</v>
          </cell>
          <cell r="D106" t="str">
            <v>MCE</v>
          </cell>
          <cell r="E106">
            <v>0</v>
          </cell>
          <cell r="F106">
            <v>0</v>
          </cell>
          <cell r="G106">
            <v>6668561</v>
          </cell>
          <cell r="H106">
            <v>0</v>
          </cell>
          <cell r="I106">
            <v>6668561</v>
          </cell>
        </row>
        <row r="107">
          <cell r="C107" t="str">
            <v>EMV_MCE</v>
          </cell>
          <cell r="D107" t="str">
            <v>MCE EM&amp;V</v>
          </cell>
          <cell r="E107"/>
          <cell r="F107"/>
          <cell r="G107">
            <v>277856.69999999925</v>
          </cell>
          <cell r="H107">
            <v>0</v>
          </cell>
          <cell r="I107">
            <v>277856.69999999925</v>
          </cell>
        </row>
        <row r="108">
          <cell r="C108" t="str">
            <v>PGE_3CREN</v>
          </cell>
          <cell r="D108" t="str">
            <v>3C-REN</v>
          </cell>
          <cell r="E108">
            <v>0</v>
          </cell>
          <cell r="F108">
            <v>0</v>
          </cell>
          <cell r="G108">
            <v>2719766.4</v>
          </cell>
          <cell r="H108">
            <v>0</v>
          </cell>
          <cell r="I108">
            <v>2719766.4</v>
          </cell>
        </row>
        <row r="109">
          <cell r="C109" t="str">
            <v>EMV_3CREN</v>
          </cell>
          <cell r="D109" t="str">
            <v>3C-REN EM&amp;V</v>
          </cell>
          <cell r="E109"/>
          <cell r="F109"/>
          <cell r="G109">
            <v>113323.75</v>
          </cell>
          <cell r="H109">
            <v>0</v>
          </cell>
          <cell r="I109">
            <v>113323.75</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I GUIDANCE"/>
      <sheetName val="ESPI PIVOT"/>
      <sheetName val="ANNUAL REPORT PIVOT"/>
      <sheetName val="DATA"/>
      <sheetName val="2019 Post-Close Adjustments"/>
      <sheetName val="Net Post-Close Adjustments"/>
      <sheetName val="Incentive Cost Adjustments"/>
      <sheetName val="Original Pre-2013 Records"/>
    </sheetNames>
    <sheetDataSet>
      <sheetData sheetId="0">
        <row r="116">
          <cell r="N116">
            <v>349554253.07000005</v>
          </cell>
        </row>
      </sheetData>
      <sheetData sheetId="1" refreshError="1"/>
      <sheetData sheetId="2">
        <row r="8">
          <cell r="C8" t="str">
            <v>PGE_21001</v>
          </cell>
          <cell r="D8" t="str">
            <v>Residential Energy Advisor</v>
          </cell>
          <cell r="E8"/>
          <cell r="F8"/>
          <cell r="G8"/>
          <cell r="H8">
            <v>989481.17999999993</v>
          </cell>
          <cell r="I8">
            <v>989481.17999999993</v>
          </cell>
          <cell r="J8">
            <v>989481.17999999993</v>
          </cell>
          <cell r="K8"/>
          <cell r="L8"/>
          <cell r="M8"/>
          <cell r="N8"/>
          <cell r="O8"/>
          <cell r="P8">
            <v>3955967.2600000012</v>
          </cell>
          <cell r="Q8">
            <v>3955967.2600000012</v>
          </cell>
          <cell r="R8"/>
          <cell r="S8">
            <v>9371453.6999999993</v>
          </cell>
          <cell r="T8">
            <v>9371453.6999999993</v>
          </cell>
          <cell r="U8">
            <v>13327420.960000001</v>
          </cell>
          <cell r="V8"/>
          <cell r="W8"/>
          <cell r="X8"/>
          <cell r="Y8">
            <v>1583682.3899999992</v>
          </cell>
          <cell r="Z8">
            <v>1583682.3899999992</v>
          </cell>
          <cell r="AA8"/>
          <cell r="AB8"/>
          <cell r="AC8">
            <v>1583682.3899999992</v>
          </cell>
          <cell r="AD8"/>
          <cell r="AE8"/>
          <cell r="AF8"/>
          <cell r="AG8"/>
          <cell r="AH8"/>
          <cell r="AI8"/>
          <cell r="AJ8"/>
          <cell r="AK8"/>
          <cell r="AL8"/>
          <cell r="AM8"/>
          <cell r="AN8"/>
          <cell r="AO8"/>
          <cell r="AP8"/>
          <cell r="AQ8"/>
          <cell r="AR8">
            <v>15900584.529999999</v>
          </cell>
        </row>
        <row r="9">
          <cell r="C9" t="str">
            <v>PGE_210010</v>
          </cell>
          <cell r="D9" t="str">
            <v>Pay for Performance Pilot</v>
          </cell>
          <cell r="E9"/>
          <cell r="F9"/>
          <cell r="G9"/>
          <cell r="H9">
            <v>429872.76000000007</v>
          </cell>
          <cell r="I9">
            <v>429872.76000000007</v>
          </cell>
          <cell r="J9">
            <v>429872.76000000007</v>
          </cell>
          <cell r="K9"/>
          <cell r="L9"/>
          <cell r="M9"/>
          <cell r="N9"/>
          <cell r="O9"/>
          <cell r="P9">
            <v>408765.01000000007</v>
          </cell>
          <cell r="Q9">
            <v>408765.01000000007</v>
          </cell>
          <cell r="R9"/>
          <cell r="S9">
            <v>672382.35</v>
          </cell>
          <cell r="T9">
            <v>672382.35</v>
          </cell>
          <cell r="U9">
            <v>1081147.3600000001</v>
          </cell>
          <cell r="V9"/>
          <cell r="W9"/>
          <cell r="X9"/>
          <cell r="Y9">
            <v>12.82</v>
          </cell>
          <cell r="Z9">
            <v>12.82</v>
          </cell>
          <cell r="AA9"/>
          <cell r="AB9"/>
          <cell r="AC9">
            <v>12.82</v>
          </cell>
          <cell r="AD9"/>
          <cell r="AE9"/>
          <cell r="AF9"/>
          <cell r="AG9"/>
          <cell r="AH9"/>
          <cell r="AI9"/>
          <cell r="AJ9"/>
          <cell r="AK9"/>
          <cell r="AL9"/>
          <cell r="AM9"/>
          <cell r="AN9"/>
          <cell r="AO9"/>
          <cell r="AP9"/>
          <cell r="AQ9"/>
          <cell r="AR9">
            <v>1511032.9400000002</v>
          </cell>
        </row>
        <row r="10">
          <cell r="C10" t="str">
            <v>PGE_21002</v>
          </cell>
          <cell r="D10" t="str">
            <v>Plug Load and Appliances</v>
          </cell>
          <cell r="E10"/>
          <cell r="F10"/>
          <cell r="G10"/>
          <cell r="H10">
            <v>870293.8200000003</v>
          </cell>
          <cell r="I10">
            <v>870293.8200000003</v>
          </cell>
          <cell r="J10">
            <v>870293.8200000003</v>
          </cell>
          <cell r="K10"/>
          <cell r="L10"/>
          <cell r="M10">
            <v>-25</v>
          </cell>
          <cell r="N10">
            <v>-25</v>
          </cell>
          <cell r="O10"/>
          <cell r="P10">
            <v>2006202.4800000009</v>
          </cell>
          <cell r="Q10">
            <v>2006202.4800000009</v>
          </cell>
          <cell r="R10"/>
          <cell r="S10">
            <v>3107762.12</v>
          </cell>
          <cell r="T10">
            <v>3107762.12</v>
          </cell>
          <cell r="U10">
            <v>5113939.6000000015</v>
          </cell>
          <cell r="V10"/>
          <cell r="W10"/>
          <cell r="X10"/>
          <cell r="Y10">
            <v>580103.929999999</v>
          </cell>
          <cell r="Z10">
            <v>580103.929999999</v>
          </cell>
          <cell r="AA10"/>
          <cell r="AB10"/>
          <cell r="AC10">
            <v>580103.929999999</v>
          </cell>
          <cell r="AD10"/>
          <cell r="AE10"/>
          <cell r="AF10"/>
          <cell r="AG10"/>
          <cell r="AH10"/>
          <cell r="AI10"/>
          <cell r="AJ10"/>
          <cell r="AK10"/>
          <cell r="AL10"/>
          <cell r="AM10"/>
          <cell r="AN10"/>
          <cell r="AO10"/>
          <cell r="AP10"/>
          <cell r="AQ10"/>
          <cell r="AR10">
            <v>6564337.3500000006</v>
          </cell>
        </row>
        <row r="11">
          <cell r="C11" t="str">
            <v>PGE_21003</v>
          </cell>
          <cell r="D11" t="str">
            <v>Multifamily Energy Efficiency Rebates Pr</v>
          </cell>
          <cell r="E11"/>
          <cell r="F11"/>
          <cell r="G11"/>
          <cell r="H11">
            <v>347820.50000000006</v>
          </cell>
          <cell r="I11">
            <v>347820.50000000006</v>
          </cell>
          <cell r="J11">
            <v>347820.50000000006</v>
          </cell>
          <cell r="K11"/>
          <cell r="L11"/>
          <cell r="M11"/>
          <cell r="N11"/>
          <cell r="O11"/>
          <cell r="P11">
            <v>2017904.1600000004</v>
          </cell>
          <cell r="Q11">
            <v>2017904.1600000004</v>
          </cell>
          <cell r="R11"/>
          <cell r="S11">
            <v>4566391</v>
          </cell>
          <cell r="T11">
            <v>4566391</v>
          </cell>
          <cell r="U11">
            <v>6584295.1600000001</v>
          </cell>
          <cell r="V11"/>
          <cell r="W11"/>
          <cell r="X11"/>
          <cell r="Y11"/>
          <cell r="Z11"/>
          <cell r="AA11"/>
          <cell r="AB11"/>
          <cell r="AC11"/>
          <cell r="AD11"/>
          <cell r="AE11"/>
          <cell r="AF11"/>
          <cell r="AG11"/>
          <cell r="AH11"/>
          <cell r="AI11"/>
          <cell r="AJ11"/>
          <cell r="AK11"/>
          <cell r="AL11"/>
          <cell r="AM11"/>
          <cell r="AN11"/>
          <cell r="AO11"/>
          <cell r="AP11"/>
          <cell r="AQ11"/>
          <cell r="AR11">
            <v>6932115.6600000001</v>
          </cell>
        </row>
        <row r="12">
          <cell r="C12" t="str">
            <v>PGE_21004</v>
          </cell>
          <cell r="D12" t="str">
            <v>Energy Upgrade California</v>
          </cell>
          <cell r="E12"/>
          <cell r="F12"/>
          <cell r="G12"/>
          <cell r="H12">
            <v>868553.93999999983</v>
          </cell>
          <cell r="I12">
            <v>868553.93999999983</v>
          </cell>
          <cell r="J12">
            <v>868553.93999999983</v>
          </cell>
          <cell r="K12"/>
          <cell r="L12"/>
          <cell r="M12"/>
          <cell r="N12"/>
          <cell r="O12"/>
          <cell r="P12">
            <v>2998306.0000000005</v>
          </cell>
          <cell r="Q12">
            <v>2998306.0000000005</v>
          </cell>
          <cell r="R12"/>
          <cell r="S12">
            <v>1190068.8400000001</v>
          </cell>
          <cell r="T12">
            <v>1190068.8400000001</v>
          </cell>
          <cell r="U12">
            <v>4188374.8400000008</v>
          </cell>
          <cell r="V12"/>
          <cell r="W12"/>
          <cell r="X12"/>
          <cell r="Y12">
            <v>70873.679999999993</v>
          </cell>
          <cell r="Z12">
            <v>70873.679999999993</v>
          </cell>
          <cell r="AA12"/>
          <cell r="AB12"/>
          <cell r="AC12">
            <v>70873.679999999993</v>
          </cell>
          <cell r="AD12"/>
          <cell r="AE12"/>
          <cell r="AF12"/>
          <cell r="AG12"/>
          <cell r="AH12"/>
          <cell r="AI12"/>
          <cell r="AJ12"/>
          <cell r="AK12"/>
          <cell r="AL12"/>
          <cell r="AM12"/>
          <cell r="AN12"/>
          <cell r="AO12"/>
          <cell r="AP12"/>
          <cell r="AQ12"/>
          <cell r="AR12">
            <v>5127802.46</v>
          </cell>
        </row>
        <row r="13">
          <cell r="C13" t="str">
            <v>PGE_21005</v>
          </cell>
          <cell r="D13" t="str">
            <v>Residential New Construction</v>
          </cell>
          <cell r="E13"/>
          <cell r="F13"/>
          <cell r="G13"/>
          <cell r="H13">
            <v>524128.12999999989</v>
          </cell>
          <cell r="I13">
            <v>524128.12999999989</v>
          </cell>
          <cell r="J13">
            <v>524128.12999999989</v>
          </cell>
          <cell r="K13"/>
          <cell r="L13"/>
          <cell r="M13"/>
          <cell r="N13"/>
          <cell r="O13"/>
          <cell r="P13">
            <v>1740627.0300000003</v>
          </cell>
          <cell r="Q13">
            <v>1740627.0300000003</v>
          </cell>
          <cell r="R13"/>
          <cell r="S13">
            <v>3333009</v>
          </cell>
          <cell r="T13">
            <v>3333009</v>
          </cell>
          <cell r="U13">
            <v>5073636.03</v>
          </cell>
          <cell r="V13"/>
          <cell r="W13"/>
          <cell r="X13"/>
          <cell r="Y13">
            <v>24518.84</v>
          </cell>
          <cell r="Z13">
            <v>24518.84</v>
          </cell>
          <cell r="AA13"/>
          <cell r="AB13"/>
          <cell r="AC13">
            <v>24518.84</v>
          </cell>
          <cell r="AD13"/>
          <cell r="AE13"/>
          <cell r="AF13"/>
          <cell r="AG13"/>
          <cell r="AH13"/>
          <cell r="AI13"/>
          <cell r="AJ13"/>
          <cell r="AK13"/>
          <cell r="AL13"/>
          <cell r="AM13"/>
          <cell r="AN13"/>
          <cell r="AO13"/>
          <cell r="AP13"/>
          <cell r="AQ13"/>
          <cell r="AR13">
            <v>5622283</v>
          </cell>
        </row>
        <row r="14">
          <cell r="C14" t="str">
            <v>PGE_21006</v>
          </cell>
          <cell r="D14" t="str">
            <v>Residential HVAC</v>
          </cell>
          <cell r="E14"/>
          <cell r="F14"/>
          <cell r="G14"/>
          <cell r="H14">
            <v>441774.31999999995</v>
          </cell>
          <cell r="I14">
            <v>441774.31999999995</v>
          </cell>
          <cell r="J14">
            <v>441774.31999999995</v>
          </cell>
          <cell r="K14"/>
          <cell r="L14"/>
          <cell r="M14"/>
          <cell r="N14"/>
          <cell r="O14"/>
          <cell r="P14">
            <v>1427541.6400000001</v>
          </cell>
          <cell r="Q14">
            <v>1427541.6400000001</v>
          </cell>
          <cell r="R14"/>
          <cell r="S14">
            <v>1095225</v>
          </cell>
          <cell r="T14">
            <v>1095225</v>
          </cell>
          <cell r="U14">
            <v>2522766.64</v>
          </cell>
          <cell r="V14"/>
          <cell r="W14"/>
          <cell r="X14"/>
          <cell r="Y14">
            <v>44467.69</v>
          </cell>
          <cell r="Z14">
            <v>44467.69</v>
          </cell>
          <cell r="AA14"/>
          <cell r="AB14"/>
          <cell r="AC14">
            <v>44467.69</v>
          </cell>
          <cell r="AD14"/>
          <cell r="AE14"/>
          <cell r="AF14"/>
          <cell r="AG14"/>
          <cell r="AH14"/>
          <cell r="AI14"/>
          <cell r="AJ14"/>
          <cell r="AK14"/>
          <cell r="AL14"/>
          <cell r="AM14"/>
          <cell r="AN14"/>
          <cell r="AO14"/>
          <cell r="AP14"/>
          <cell r="AQ14"/>
          <cell r="AR14">
            <v>3009008.65</v>
          </cell>
        </row>
        <row r="15">
          <cell r="C15" t="str">
            <v>PGE_21011</v>
          </cell>
          <cell r="D15" t="str">
            <v>Commercial Calculated Incentives</v>
          </cell>
          <cell r="E15"/>
          <cell r="F15"/>
          <cell r="G15"/>
          <cell r="H15">
            <v>1933366.7800000003</v>
          </cell>
          <cell r="I15">
            <v>1933366.7800000003</v>
          </cell>
          <cell r="J15">
            <v>1933366.7800000003</v>
          </cell>
          <cell r="K15"/>
          <cell r="L15"/>
          <cell r="M15"/>
          <cell r="N15"/>
          <cell r="O15"/>
          <cell r="P15">
            <v>3045275.0600000033</v>
          </cell>
          <cell r="Q15">
            <v>3045275.0600000033</v>
          </cell>
          <cell r="R15"/>
          <cell r="S15">
            <v>1839528.14</v>
          </cell>
          <cell r="T15">
            <v>1839528.14</v>
          </cell>
          <cell r="U15">
            <v>4884803.200000003</v>
          </cell>
          <cell r="V15"/>
          <cell r="W15"/>
          <cell r="X15"/>
          <cell r="Y15">
            <v>784277.25999999896</v>
          </cell>
          <cell r="Z15">
            <v>784277.25999999896</v>
          </cell>
          <cell r="AA15"/>
          <cell r="AB15"/>
          <cell r="AC15">
            <v>784277.25999999896</v>
          </cell>
          <cell r="AD15"/>
          <cell r="AE15"/>
          <cell r="AF15"/>
          <cell r="AG15"/>
          <cell r="AH15"/>
          <cell r="AI15"/>
          <cell r="AJ15"/>
          <cell r="AK15"/>
          <cell r="AL15"/>
          <cell r="AM15"/>
          <cell r="AN15"/>
          <cell r="AO15"/>
          <cell r="AP15"/>
          <cell r="AQ15"/>
          <cell r="AR15">
            <v>7602447.2400000021</v>
          </cell>
        </row>
        <row r="16">
          <cell r="C16" t="str">
            <v>PGE_21012</v>
          </cell>
          <cell r="D16" t="str">
            <v>Commercial Deemed Incentives</v>
          </cell>
          <cell r="E16"/>
          <cell r="F16"/>
          <cell r="G16"/>
          <cell r="H16">
            <v>2119509.8000000012</v>
          </cell>
          <cell r="I16">
            <v>2119509.8000000012</v>
          </cell>
          <cell r="J16">
            <v>2119509.8000000012</v>
          </cell>
          <cell r="K16"/>
          <cell r="L16"/>
          <cell r="M16"/>
          <cell r="N16"/>
          <cell r="O16"/>
          <cell r="P16">
            <v>1947836.9399999988</v>
          </cell>
          <cell r="Q16">
            <v>1947836.9399999988</v>
          </cell>
          <cell r="R16"/>
          <cell r="S16">
            <v>5890351.6299999999</v>
          </cell>
          <cell r="T16">
            <v>5890351.6299999999</v>
          </cell>
          <cell r="U16">
            <v>7838188.5699999984</v>
          </cell>
          <cell r="V16"/>
          <cell r="W16"/>
          <cell r="X16"/>
          <cell r="Y16">
            <v>1829921.5000000042</v>
          </cell>
          <cell r="Z16">
            <v>1829921.5000000042</v>
          </cell>
          <cell r="AA16"/>
          <cell r="AB16"/>
          <cell r="AC16">
            <v>1829921.5000000042</v>
          </cell>
          <cell r="AD16"/>
          <cell r="AE16"/>
          <cell r="AF16"/>
          <cell r="AG16"/>
          <cell r="AH16"/>
          <cell r="AI16"/>
          <cell r="AJ16"/>
          <cell r="AK16"/>
          <cell r="AL16"/>
          <cell r="AM16"/>
          <cell r="AN16"/>
          <cell r="AO16"/>
          <cell r="AP16"/>
          <cell r="AQ16"/>
          <cell r="AR16">
            <v>11787619.870000005</v>
          </cell>
        </row>
        <row r="17">
          <cell r="C17" t="str">
            <v>PGE_21013</v>
          </cell>
          <cell r="D17" t="str">
            <v>Commercial Continuous Energy Improvement</v>
          </cell>
          <cell r="E17"/>
          <cell r="F17"/>
          <cell r="G17"/>
          <cell r="H17">
            <v>2397.5500000000011</v>
          </cell>
          <cell r="I17">
            <v>2397.5500000000011</v>
          </cell>
          <cell r="J17">
            <v>2397.5500000000011</v>
          </cell>
          <cell r="K17"/>
          <cell r="L17"/>
          <cell r="M17"/>
          <cell r="N17"/>
          <cell r="O17"/>
          <cell r="P17">
            <v>6869.07</v>
          </cell>
          <cell r="Q17">
            <v>6869.07</v>
          </cell>
          <cell r="R17"/>
          <cell r="S17"/>
          <cell r="T17"/>
          <cell r="U17">
            <v>6869.07</v>
          </cell>
          <cell r="V17"/>
          <cell r="W17"/>
          <cell r="X17"/>
          <cell r="Y17"/>
          <cell r="Z17"/>
          <cell r="AA17"/>
          <cell r="AB17"/>
          <cell r="AC17"/>
          <cell r="AD17"/>
          <cell r="AE17"/>
          <cell r="AF17"/>
          <cell r="AG17"/>
          <cell r="AH17"/>
          <cell r="AI17"/>
          <cell r="AJ17"/>
          <cell r="AK17"/>
          <cell r="AL17"/>
          <cell r="AM17"/>
          <cell r="AN17"/>
          <cell r="AO17"/>
          <cell r="AP17"/>
          <cell r="AQ17"/>
          <cell r="AR17">
            <v>9266.6200000000008</v>
          </cell>
        </row>
        <row r="18">
          <cell r="C18" t="str">
            <v>PGE_21014</v>
          </cell>
          <cell r="D18" t="str">
            <v>Commercial Energy Advisor</v>
          </cell>
          <cell r="E18"/>
          <cell r="F18"/>
          <cell r="G18"/>
          <cell r="H18">
            <v>321950.07999999996</v>
          </cell>
          <cell r="I18">
            <v>321950.07999999996</v>
          </cell>
          <cell r="J18">
            <v>321950.07999999996</v>
          </cell>
          <cell r="K18"/>
          <cell r="L18"/>
          <cell r="M18"/>
          <cell r="N18"/>
          <cell r="O18"/>
          <cell r="P18">
            <v>651006.1399999999</v>
          </cell>
          <cell r="Q18">
            <v>651006.1399999999</v>
          </cell>
          <cell r="R18"/>
          <cell r="S18"/>
          <cell r="T18"/>
          <cell r="U18">
            <v>651006.1399999999</v>
          </cell>
          <cell r="V18"/>
          <cell r="W18"/>
          <cell r="X18"/>
          <cell r="Y18">
            <v>354359.65999999992</v>
          </cell>
          <cell r="Z18">
            <v>354359.65999999992</v>
          </cell>
          <cell r="AA18"/>
          <cell r="AB18"/>
          <cell r="AC18">
            <v>354359.65999999992</v>
          </cell>
          <cell r="AD18"/>
          <cell r="AE18"/>
          <cell r="AF18"/>
          <cell r="AG18"/>
          <cell r="AH18"/>
          <cell r="AI18"/>
          <cell r="AJ18"/>
          <cell r="AK18"/>
          <cell r="AL18"/>
          <cell r="AM18"/>
          <cell r="AN18"/>
          <cell r="AO18"/>
          <cell r="AP18"/>
          <cell r="AQ18"/>
          <cell r="AR18">
            <v>1327315.8799999999</v>
          </cell>
        </row>
        <row r="19">
          <cell r="C19" t="str">
            <v>PGE_21015</v>
          </cell>
          <cell r="D19" t="str">
            <v>Commercial HVAC</v>
          </cell>
          <cell r="E19"/>
          <cell r="F19"/>
          <cell r="G19"/>
          <cell r="H19">
            <v>1614574.4000000004</v>
          </cell>
          <cell r="I19">
            <v>1614574.4000000004</v>
          </cell>
          <cell r="J19">
            <v>1614574.4000000004</v>
          </cell>
          <cell r="K19"/>
          <cell r="L19"/>
          <cell r="M19"/>
          <cell r="N19"/>
          <cell r="O19"/>
          <cell r="P19">
            <v>3422806.0700000003</v>
          </cell>
          <cell r="Q19">
            <v>3422806.0700000003</v>
          </cell>
          <cell r="R19"/>
          <cell r="S19">
            <v>5049833.7300000004</v>
          </cell>
          <cell r="T19">
            <v>5049833.7300000004</v>
          </cell>
          <cell r="U19">
            <v>8472639.8000000007</v>
          </cell>
          <cell r="V19"/>
          <cell r="W19"/>
          <cell r="X19"/>
          <cell r="Y19">
            <v>222536.02000000002</v>
          </cell>
          <cell r="Z19">
            <v>222536.02000000002</v>
          </cell>
          <cell r="AA19"/>
          <cell r="AB19"/>
          <cell r="AC19">
            <v>222536.02000000002</v>
          </cell>
          <cell r="AD19"/>
          <cell r="AE19"/>
          <cell r="AF19"/>
          <cell r="AG19"/>
          <cell r="AH19"/>
          <cell r="AI19"/>
          <cell r="AJ19"/>
          <cell r="AK19"/>
          <cell r="AL19"/>
          <cell r="AM19"/>
          <cell r="AN19"/>
          <cell r="AO19"/>
          <cell r="AP19"/>
          <cell r="AQ19"/>
          <cell r="AR19">
            <v>10309750.220000001</v>
          </cell>
        </row>
        <row r="20">
          <cell r="C20" t="str">
            <v>PGE_211025</v>
          </cell>
          <cell r="D20" t="str">
            <v>Savings By Design</v>
          </cell>
          <cell r="E20"/>
          <cell r="F20"/>
          <cell r="G20"/>
          <cell r="H20">
            <v>552866.77999999991</v>
          </cell>
          <cell r="I20">
            <v>552866.77999999991</v>
          </cell>
          <cell r="J20">
            <v>552866.77999999991</v>
          </cell>
          <cell r="K20"/>
          <cell r="L20"/>
          <cell r="M20"/>
          <cell r="N20"/>
          <cell r="O20"/>
          <cell r="P20">
            <v>536481.72999999975</v>
          </cell>
          <cell r="Q20">
            <v>536481.72999999975</v>
          </cell>
          <cell r="R20"/>
          <cell r="S20">
            <v>3480196.22</v>
          </cell>
          <cell r="T20">
            <v>3480196.22</v>
          </cell>
          <cell r="U20">
            <v>4016677.95</v>
          </cell>
          <cell r="V20"/>
          <cell r="W20"/>
          <cell r="X20"/>
          <cell r="Y20">
            <v>24289.77</v>
          </cell>
          <cell r="Z20">
            <v>24289.77</v>
          </cell>
          <cell r="AA20"/>
          <cell r="AB20"/>
          <cell r="AC20">
            <v>24289.77</v>
          </cell>
          <cell r="AD20"/>
          <cell r="AE20"/>
          <cell r="AF20"/>
          <cell r="AG20"/>
          <cell r="AH20"/>
          <cell r="AI20"/>
          <cell r="AJ20"/>
          <cell r="AK20"/>
          <cell r="AL20"/>
          <cell r="AM20"/>
          <cell r="AN20"/>
          <cell r="AO20"/>
          <cell r="AP20"/>
          <cell r="AQ20"/>
          <cell r="AR20">
            <v>4593834.5</v>
          </cell>
        </row>
        <row r="21">
          <cell r="C21" t="str">
            <v>PGE_21021</v>
          </cell>
          <cell r="D21" t="str">
            <v>Industrial Calculated Incentives</v>
          </cell>
          <cell r="E21"/>
          <cell r="F21"/>
          <cell r="G21"/>
          <cell r="H21">
            <v>1185626.44</v>
          </cell>
          <cell r="I21">
            <v>1185626.44</v>
          </cell>
          <cell r="J21">
            <v>1185626.44</v>
          </cell>
          <cell r="K21"/>
          <cell r="L21"/>
          <cell r="M21"/>
          <cell r="N21"/>
          <cell r="O21"/>
          <cell r="P21">
            <v>1336390.7099999997</v>
          </cell>
          <cell r="Q21">
            <v>1336390.7099999997</v>
          </cell>
          <cell r="R21"/>
          <cell r="S21">
            <v>3782624.35</v>
          </cell>
          <cell r="T21">
            <v>3782624.35</v>
          </cell>
          <cell r="U21">
            <v>5119015.0599999996</v>
          </cell>
          <cell r="V21"/>
          <cell r="W21"/>
          <cell r="X21"/>
          <cell r="Y21">
            <v>141662.52000000002</v>
          </cell>
          <cell r="Z21">
            <v>141662.52000000002</v>
          </cell>
          <cell r="AA21"/>
          <cell r="AB21"/>
          <cell r="AC21">
            <v>141662.52000000002</v>
          </cell>
          <cell r="AD21"/>
          <cell r="AE21"/>
          <cell r="AF21"/>
          <cell r="AG21"/>
          <cell r="AH21"/>
          <cell r="AI21"/>
          <cell r="AJ21"/>
          <cell r="AK21"/>
          <cell r="AL21"/>
          <cell r="AM21"/>
          <cell r="AN21"/>
          <cell r="AO21"/>
          <cell r="AP21"/>
          <cell r="AQ21"/>
          <cell r="AR21">
            <v>6446304.0199999996</v>
          </cell>
        </row>
        <row r="22">
          <cell r="C22" t="str">
            <v>PGE_21022</v>
          </cell>
          <cell r="D22" t="str">
            <v>Industrial Deemed Incentives</v>
          </cell>
          <cell r="E22"/>
          <cell r="F22"/>
          <cell r="G22"/>
          <cell r="H22">
            <v>54542.460000000014</v>
          </cell>
          <cell r="I22">
            <v>54542.460000000014</v>
          </cell>
          <cell r="J22">
            <v>54542.460000000014</v>
          </cell>
          <cell r="K22"/>
          <cell r="L22"/>
          <cell r="M22"/>
          <cell r="N22"/>
          <cell r="O22"/>
          <cell r="P22">
            <v>260469.82</v>
          </cell>
          <cell r="Q22">
            <v>260469.82</v>
          </cell>
          <cell r="R22"/>
          <cell r="S22">
            <v>-124134</v>
          </cell>
          <cell r="T22">
            <v>-124134</v>
          </cell>
          <cell r="U22">
            <v>136335.82</v>
          </cell>
          <cell r="V22"/>
          <cell r="W22"/>
          <cell r="X22"/>
          <cell r="Y22"/>
          <cell r="Z22"/>
          <cell r="AA22"/>
          <cell r="AB22"/>
          <cell r="AC22"/>
          <cell r="AD22"/>
          <cell r="AE22"/>
          <cell r="AF22"/>
          <cell r="AG22"/>
          <cell r="AH22"/>
          <cell r="AI22"/>
          <cell r="AJ22"/>
          <cell r="AK22"/>
          <cell r="AL22"/>
          <cell r="AM22"/>
          <cell r="AN22"/>
          <cell r="AO22"/>
          <cell r="AP22"/>
          <cell r="AQ22"/>
          <cell r="AR22">
            <v>190878.28000000003</v>
          </cell>
        </row>
        <row r="23">
          <cell r="C23" t="str">
            <v>PGE_21023</v>
          </cell>
          <cell r="D23" t="str">
            <v>Industrial Continuous Energy Improvement</v>
          </cell>
          <cell r="E23"/>
          <cell r="F23"/>
          <cell r="G23"/>
          <cell r="H23">
            <v>0.36</v>
          </cell>
          <cell r="I23">
            <v>0.36</v>
          </cell>
          <cell r="J23">
            <v>0.36</v>
          </cell>
          <cell r="K23"/>
          <cell r="L23"/>
          <cell r="M23"/>
          <cell r="N23"/>
          <cell r="O23"/>
          <cell r="P23">
            <v>3.88</v>
          </cell>
          <cell r="Q23">
            <v>3.88</v>
          </cell>
          <cell r="R23"/>
          <cell r="S23"/>
          <cell r="T23"/>
          <cell r="U23">
            <v>3.88</v>
          </cell>
          <cell r="V23"/>
          <cell r="W23"/>
          <cell r="X23"/>
          <cell r="Y23"/>
          <cell r="Z23"/>
          <cell r="AA23"/>
          <cell r="AB23"/>
          <cell r="AC23"/>
          <cell r="AD23"/>
          <cell r="AE23"/>
          <cell r="AF23"/>
          <cell r="AG23"/>
          <cell r="AH23"/>
          <cell r="AI23"/>
          <cell r="AJ23"/>
          <cell r="AK23"/>
          <cell r="AL23"/>
          <cell r="AM23"/>
          <cell r="AN23"/>
          <cell r="AO23"/>
          <cell r="AP23"/>
          <cell r="AQ23"/>
          <cell r="AR23">
            <v>4.24</v>
          </cell>
        </row>
        <row r="24">
          <cell r="C24" t="str">
            <v>PGE_21024</v>
          </cell>
          <cell r="D24" t="str">
            <v>Industrial Energy Advisor</v>
          </cell>
          <cell r="E24"/>
          <cell r="F24"/>
          <cell r="G24"/>
          <cell r="H24">
            <v>20912.860000000004</v>
          </cell>
          <cell r="I24">
            <v>20912.860000000004</v>
          </cell>
          <cell r="J24">
            <v>20912.860000000004</v>
          </cell>
          <cell r="K24"/>
          <cell r="L24"/>
          <cell r="M24"/>
          <cell r="N24"/>
          <cell r="O24"/>
          <cell r="P24">
            <v>180591.52999999997</v>
          </cell>
          <cell r="Q24">
            <v>180591.52999999997</v>
          </cell>
          <cell r="R24"/>
          <cell r="S24"/>
          <cell r="T24"/>
          <cell r="U24">
            <v>180591.52999999997</v>
          </cell>
          <cell r="V24"/>
          <cell r="W24"/>
          <cell r="X24"/>
          <cell r="Y24"/>
          <cell r="Z24"/>
          <cell r="AA24"/>
          <cell r="AB24"/>
          <cell r="AC24"/>
          <cell r="AD24"/>
          <cell r="AE24"/>
          <cell r="AF24"/>
          <cell r="AG24"/>
          <cell r="AH24"/>
          <cell r="AI24"/>
          <cell r="AJ24"/>
          <cell r="AK24"/>
          <cell r="AL24"/>
          <cell r="AM24"/>
          <cell r="AN24"/>
          <cell r="AO24"/>
          <cell r="AP24"/>
          <cell r="AQ24"/>
          <cell r="AR24">
            <v>201504.38999999998</v>
          </cell>
        </row>
        <row r="25">
          <cell r="C25" t="str">
            <v>PGE_21030</v>
          </cell>
          <cell r="D25" t="str">
            <v>Industrial Strategic Energy Management</v>
          </cell>
          <cell r="E25"/>
          <cell r="F25"/>
          <cell r="G25"/>
          <cell r="H25">
            <v>149511.18</v>
          </cell>
          <cell r="I25">
            <v>149511.18</v>
          </cell>
          <cell r="J25">
            <v>149511.18</v>
          </cell>
          <cell r="K25"/>
          <cell r="L25"/>
          <cell r="M25"/>
          <cell r="N25"/>
          <cell r="O25"/>
          <cell r="P25">
            <v>1001326.5299999999</v>
          </cell>
          <cell r="Q25">
            <v>1001326.5299999999</v>
          </cell>
          <cell r="R25"/>
          <cell r="S25">
            <v>802661</v>
          </cell>
          <cell r="T25">
            <v>802661</v>
          </cell>
          <cell r="U25">
            <v>1803987.5299999998</v>
          </cell>
          <cell r="V25"/>
          <cell r="W25"/>
          <cell r="X25"/>
          <cell r="Y25">
            <v>68636.25</v>
          </cell>
          <cell r="Z25">
            <v>68636.25</v>
          </cell>
          <cell r="AA25"/>
          <cell r="AB25"/>
          <cell r="AC25">
            <v>68636.25</v>
          </cell>
          <cell r="AD25"/>
          <cell r="AE25"/>
          <cell r="AF25"/>
          <cell r="AG25"/>
          <cell r="AH25"/>
          <cell r="AI25"/>
          <cell r="AJ25"/>
          <cell r="AK25"/>
          <cell r="AL25"/>
          <cell r="AM25"/>
          <cell r="AN25"/>
          <cell r="AO25"/>
          <cell r="AP25"/>
          <cell r="AQ25"/>
          <cell r="AR25">
            <v>2022134.96</v>
          </cell>
        </row>
        <row r="26">
          <cell r="C26" t="str">
            <v>PGE_21031</v>
          </cell>
          <cell r="D26" t="str">
            <v>Agricultural Calculated Incentives</v>
          </cell>
          <cell r="E26"/>
          <cell r="F26"/>
          <cell r="G26"/>
          <cell r="H26">
            <v>419093.08000000007</v>
          </cell>
          <cell r="I26">
            <v>419093.08000000007</v>
          </cell>
          <cell r="J26">
            <v>419093.08000000007</v>
          </cell>
          <cell r="K26"/>
          <cell r="L26"/>
          <cell r="M26"/>
          <cell r="N26"/>
          <cell r="O26"/>
          <cell r="P26">
            <v>1003773.0300000003</v>
          </cell>
          <cell r="Q26">
            <v>1003773.0300000003</v>
          </cell>
          <cell r="R26"/>
          <cell r="S26">
            <v>2620882.84</v>
          </cell>
          <cell r="T26">
            <v>2620882.84</v>
          </cell>
          <cell r="U26">
            <v>3624655.87</v>
          </cell>
          <cell r="V26"/>
          <cell r="W26"/>
          <cell r="X26"/>
          <cell r="Y26">
            <v>318137.44</v>
          </cell>
          <cell r="Z26">
            <v>318137.44</v>
          </cell>
          <cell r="AA26"/>
          <cell r="AB26"/>
          <cell r="AC26">
            <v>318137.44</v>
          </cell>
          <cell r="AD26"/>
          <cell r="AE26"/>
          <cell r="AF26"/>
          <cell r="AG26"/>
          <cell r="AH26"/>
          <cell r="AI26"/>
          <cell r="AJ26"/>
          <cell r="AK26"/>
          <cell r="AL26"/>
          <cell r="AM26"/>
          <cell r="AN26"/>
          <cell r="AO26"/>
          <cell r="AP26"/>
          <cell r="AQ26"/>
          <cell r="AR26">
            <v>4361886.3900000006</v>
          </cell>
        </row>
        <row r="27">
          <cell r="C27" t="str">
            <v>PGE_21032</v>
          </cell>
          <cell r="D27" t="str">
            <v>Agricultural Deemed Incentives</v>
          </cell>
          <cell r="E27"/>
          <cell r="F27"/>
          <cell r="G27"/>
          <cell r="H27">
            <v>584936.4800000001</v>
          </cell>
          <cell r="I27">
            <v>584936.4800000001</v>
          </cell>
          <cell r="J27">
            <v>584936.4800000001</v>
          </cell>
          <cell r="K27"/>
          <cell r="L27"/>
          <cell r="M27"/>
          <cell r="N27"/>
          <cell r="O27"/>
          <cell r="P27">
            <v>236224.43999999994</v>
          </cell>
          <cell r="Q27">
            <v>236224.43999999994</v>
          </cell>
          <cell r="R27"/>
          <cell r="S27">
            <v>1545108.64</v>
          </cell>
          <cell r="T27">
            <v>1545108.64</v>
          </cell>
          <cell r="U27">
            <v>1781333.0799999998</v>
          </cell>
          <cell r="V27"/>
          <cell r="W27"/>
          <cell r="X27"/>
          <cell r="Y27">
            <v>21676.170000000002</v>
          </cell>
          <cell r="Z27">
            <v>21676.170000000002</v>
          </cell>
          <cell r="AA27"/>
          <cell r="AB27"/>
          <cell r="AC27">
            <v>21676.170000000002</v>
          </cell>
          <cell r="AD27"/>
          <cell r="AE27"/>
          <cell r="AF27"/>
          <cell r="AG27"/>
          <cell r="AH27"/>
          <cell r="AI27"/>
          <cell r="AJ27"/>
          <cell r="AK27"/>
          <cell r="AL27"/>
          <cell r="AM27"/>
          <cell r="AN27"/>
          <cell r="AO27"/>
          <cell r="AP27"/>
          <cell r="AQ27"/>
          <cell r="AR27">
            <v>2387945.73</v>
          </cell>
        </row>
        <row r="28">
          <cell r="C28" t="str">
            <v>PGE_21033</v>
          </cell>
          <cell r="D28" t="str">
            <v>Agricultural Continuous Energy Improveme</v>
          </cell>
          <cell r="E28"/>
          <cell r="F28"/>
          <cell r="G28"/>
          <cell r="H28">
            <v>-1266.56</v>
          </cell>
          <cell r="I28">
            <v>-1266.56</v>
          </cell>
          <cell r="J28">
            <v>-1266.56</v>
          </cell>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v>-1266.56</v>
          </cell>
        </row>
        <row r="29">
          <cell r="C29" t="str">
            <v>PGE_21034</v>
          </cell>
          <cell r="D29" t="str">
            <v>Agricultural Energy Advisor</v>
          </cell>
          <cell r="E29"/>
          <cell r="F29"/>
          <cell r="G29"/>
          <cell r="H29">
            <v>495326.7200000002</v>
          </cell>
          <cell r="I29">
            <v>495326.7200000002</v>
          </cell>
          <cell r="J29">
            <v>495326.7200000002</v>
          </cell>
          <cell r="K29"/>
          <cell r="L29"/>
          <cell r="M29"/>
          <cell r="N29"/>
          <cell r="O29"/>
          <cell r="P29">
            <v>665391.47</v>
          </cell>
          <cell r="Q29">
            <v>665391.47</v>
          </cell>
          <cell r="R29"/>
          <cell r="S29">
            <v>186884.54</v>
          </cell>
          <cell r="T29">
            <v>186884.54</v>
          </cell>
          <cell r="U29">
            <v>852276.01</v>
          </cell>
          <cell r="V29"/>
          <cell r="W29"/>
          <cell r="X29"/>
          <cell r="Y29">
            <v>32809.919999999998</v>
          </cell>
          <cell r="Z29">
            <v>32809.919999999998</v>
          </cell>
          <cell r="AA29"/>
          <cell r="AB29"/>
          <cell r="AC29">
            <v>32809.919999999998</v>
          </cell>
          <cell r="AD29"/>
          <cell r="AE29"/>
          <cell r="AF29"/>
          <cell r="AG29"/>
          <cell r="AH29"/>
          <cell r="AI29"/>
          <cell r="AJ29"/>
          <cell r="AK29"/>
          <cell r="AL29"/>
          <cell r="AM29"/>
          <cell r="AN29"/>
          <cell r="AO29"/>
          <cell r="AP29"/>
          <cell r="AQ29"/>
          <cell r="AR29">
            <v>1380412.6500000001</v>
          </cell>
        </row>
        <row r="30">
          <cell r="C30" t="str">
            <v>PGE_21041</v>
          </cell>
          <cell r="D30" t="str">
            <v>Primary Lighting</v>
          </cell>
          <cell r="E30"/>
          <cell r="F30"/>
          <cell r="G30"/>
          <cell r="H30">
            <v>465380.50000000012</v>
          </cell>
          <cell r="I30">
            <v>465380.50000000012</v>
          </cell>
          <cell r="J30">
            <v>465380.50000000012</v>
          </cell>
          <cell r="K30"/>
          <cell r="L30"/>
          <cell r="M30"/>
          <cell r="N30"/>
          <cell r="O30"/>
          <cell r="P30">
            <v>979523.79999999993</v>
          </cell>
          <cell r="Q30">
            <v>979523.79999999993</v>
          </cell>
          <cell r="R30"/>
          <cell r="S30">
            <v>14476890</v>
          </cell>
          <cell r="T30">
            <v>14476890</v>
          </cell>
          <cell r="U30">
            <v>15456413.800000001</v>
          </cell>
          <cell r="V30"/>
          <cell r="W30"/>
          <cell r="X30"/>
          <cell r="Y30">
            <v>134494.04</v>
          </cell>
          <cell r="Z30">
            <v>134494.04</v>
          </cell>
          <cell r="AA30"/>
          <cell r="AB30"/>
          <cell r="AC30">
            <v>134494.04</v>
          </cell>
          <cell r="AD30"/>
          <cell r="AE30"/>
          <cell r="AF30"/>
          <cell r="AG30"/>
          <cell r="AH30"/>
          <cell r="AI30"/>
          <cell r="AJ30"/>
          <cell r="AK30"/>
          <cell r="AL30"/>
          <cell r="AM30"/>
          <cell r="AN30"/>
          <cell r="AO30"/>
          <cell r="AP30"/>
          <cell r="AQ30"/>
          <cell r="AR30">
            <v>16056288.34</v>
          </cell>
        </row>
        <row r="31">
          <cell r="C31" t="str">
            <v>PGE_21042</v>
          </cell>
          <cell r="D31" t="str">
            <v>Lighting Innovation</v>
          </cell>
          <cell r="E31"/>
          <cell r="F31"/>
          <cell r="G31"/>
          <cell r="H31">
            <v>7863.1600000000008</v>
          </cell>
          <cell r="I31">
            <v>7863.1600000000008</v>
          </cell>
          <cell r="J31">
            <v>7863.1600000000008</v>
          </cell>
          <cell r="K31"/>
          <cell r="L31"/>
          <cell r="M31"/>
          <cell r="N31"/>
          <cell r="O31"/>
          <cell r="P31">
            <v>56367.970000000008</v>
          </cell>
          <cell r="Q31">
            <v>56367.970000000008</v>
          </cell>
          <cell r="R31"/>
          <cell r="S31">
            <v>34115</v>
          </cell>
          <cell r="T31">
            <v>34115</v>
          </cell>
          <cell r="U31">
            <v>90482.97</v>
          </cell>
          <cell r="V31"/>
          <cell r="W31"/>
          <cell r="X31"/>
          <cell r="Y31">
            <v>18312.689999999999</v>
          </cell>
          <cell r="Z31">
            <v>18312.689999999999</v>
          </cell>
          <cell r="AA31"/>
          <cell r="AB31"/>
          <cell r="AC31">
            <v>18312.689999999999</v>
          </cell>
          <cell r="AD31"/>
          <cell r="AE31"/>
          <cell r="AF31"/>
          <cell r="AG31"/>
          <cell r="AH31"/>
          <cell r="AI31"/>
          <cell r="AJ31"/>
          <cell r="AK31"/>
          <cell r="AL31"/>
          <cell r="AM31"/>
          <cell r="AN31"/>
          <cell r="AO31"/>
          <cell r="AP31"/>
          <cell r="AQ31"/>
          <cell r="AR31">
            <v>116658.82</v>
          </cell>
        </row>
        <row r="32">
          <cell r="C32" t="str">
            <v>PGE_21043</v>
          </cell>
          <cell r="D32" t="str">
            <v>Lighting Market Transformation</v>
          </cell>
          <cell r="E32"/>
          <cell r="F32"/>
          <cell r="G32"/>
          <cell r="H32">
            <v>4425.0400000000009</v>
          </cell>
          <cell r="I32">
            <v>4425.0400000000009</v>
          </cell>
          <cell r="J32">
            <v>4425.0400000000009</v>
          </cell>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v>4425.0400000000009</v>
          </cell>
        </row>
        <row r="33">
          <cell r="C33" t="str">
            <v>PGE_21051</v>
          </cell>
          <cell r="D33" t="str">
            <v>Building Codes Advocacy</v>
          </cell>
          <cell r="E33"/>
          <cell r="F33"/>
          <cell r="G33"/>
          <cell r="H33">
            <v>348380.19999999984</v>
          </cell>
          <cell r="I33">
            <v>348380.19999999984</v>
          </cell>
          <cell r="J33">
            <v>348380.19999999984</v>
          </cell>
          <cell r="K33"/>
          <cell r="L33"/>
          <cell r="M33"/>
          <cell r="N33"/>
          <cell r="O33"/>
          <cell r="P33">
            <v>6816431.4099999992</v>
          </cell>
          <cell r="Q33">
            <v>6816431.4099999992</v>
          </cell>
          <cell r="R33"/>
          <cell r="S33"/>
          <cell r="T33"/>
          <cell r="U33">
            <v>6816431.4099999992</v>
          </cell>
          <cell r="V33"/>
          <cell r="W33"/>
          <cell r="X33"/>
          <cell r="Y33"/>
          <cell r="Z33"/>
          <cell r="AA33"/>
          <cell r="AB33"/>
          <cell r="AC33"/>
          <cell r="AD33"/>
          <cell r="AE33"/>
          <cell r="AF33"/>
          <cell r="AG33"/>
          <cell r="AH33"/>
          <cell r="AI33"/>
          <cell r="AJ33"/>
          <cell r="AK33"/>
          <cell r="AL33"/>
          <cell r="AM33"/>
          <cell r="AN33"/>
          <cell r="AO33"/>
          <cell r="AP33"/>
          <cell r="AQ33"/>
          <cell r="AR33">
            <v>7164811.6099999994</v>
          </cell>
        </row>
        <row r="34">
          <cell r="C34" t="str">
            <v>PGE_21052</v>
          </cell>
          <cell r="D34" t="str">
            <v>Appliance Standards Advocacy</v>
          </cell>
          <cell r="E34"/>
          <cell r="F34"/>
          <cell r="G34"/>
          <cell r="H34">
            <v>251131.78999999995</v>
          </cell>
          <cell r="I34">
            <v>251131.78999999995</v>
          </cell>
          <cell r="J34">
            <v>251131.78999999995</v>
          </cell>
          <cell r="K34"/>
          <cell r="L34"/>
          <cell r="M34"/>
          <cell r="N34"/>
          <cell r="O34"/>
          <cell r="P34">
            <v>7000458.3500000034</v>
          </cell>
          <cell r="Q34">
            <v>7000458.3500000034</v>
          </cell>
          <cell r="R34"/>
          <cell r="S34"/>
          <cell r="T34"/>
          <cell r="U34">
            <v>7000458.3500000034</v>
          </cell>
          <cell r="V34"/>
          <cell r="W34"/>
          <cell r="X34"/>
          <cell r="Y34"/>
          <cell r="Z34"/>
          <cell r="AA34"/>
          <cell r="AB34"/>
          <cell r="AC34"/>
          <cell r="AD34"/>
          <cell r="AE34"/>
          <cell r="AF34"/>
          <cell r="AG34"/>
          <cell r="AH34"/>
          <cell r="AI34"/>
          <cell r="AJ34"/>
          <cell r="AK34"/>
          <cell r="AL34"/>
          <cell r="AM34"/>
          <cell r="AN34"/>
          <cell r="AO34"/>
          <cell r="AP34"/>
          <cell r="AQ34"/>
          <cell r="AR34">
            <v>7251590.1400000034</v>
          </cell>
        </row>
        <row r="35">
          <cell r="C35" t="str">
            <v>PGE_21053</v>
          </cell>
          <cell r="D35" t="str">
            <v>Compliance Improvement</v>
          </cell>
          <cell r="E35"/>
          <cell r="F35"/>
          <cell r="G35"/>
          <cell r="H35">
            <v>315034.22000000009</v>
          </cell>
          <cell r="I35">
            <v>315034.22000000009</v>
          </cell>
          <cell r="J35">
            <v>315034.22000000009</v>
          </cell>
          <cell r="K35"/>
          <cell r="L35"/>
          <cell r="M35"/>
          <cell r="N35"/>
          <cell r="O35"/>
          <cell r="P35">
            <v>4938856.1100000003</v>
          </cell>
          <cell r="Q35">
            <v>4938856.1100000003</v>
          </cell>
          <cell r="R35"/>
          <cell r="S35"/>
          <cell r="T35"/>
          <cell r="U35">
            <v>4938856.1100000003</v>
          </cell>
          <cell r="V35"/>
          <cell r="W35"/>
          <cell r="X35"/>
          <cell r="Y35"/>
          <cell r="Z35"/>
          <cell r="AA35"/>
          <cell r="AB35"/>
          <cell r="AC35"/>
          <cell r="AD35"/>
          <cell r="AE35"/>
          <cell r="AF35"/>
          <cell r="AG35"/>
          <cell r="AH35"/>
          <cell r="AI35"/>
          <cell r="AJ35"/>
          <cell r="AK35"/>
          <cell r="AL35"/>
          <cell r="AM35"/>
          <cell r="AN35"/>
          <cell r="AO35"/>
          <cell r="AP35"/>
          <cell r="AQ35"/>
          <cell r="AR35">
            <v>5253890.33</v>
          </cell>
        </row>
        <row r="36">
          <cell r="C36" t="str">
            <v>PGE_21054</v>
          </cell>
          <cell r="D36" t="str">
            <v>Reach Codes</v>
          </cell>
          <cell r="E36"/>
          <cell r="F36"/>
          <cell r="G36"/>
          <cell r="H36">
            <v>14436.250000000002</v>
          </cell>
          <cell r="I36">
            <v>14436.250000000002</v>
          </cell>
          <cell r="J36">
            <v>14436.250000000002</v>
          </cell>
          <cell r="K36"/>
          <cell r="L36"/>
          <cell r="M36"/>
          <cell r="N36"/>
          <cell r="O36"/>
          <cell r="P36">
            <v>1151435.1500000001</v>
          </cell>
          <cell r="Q36">
            <v>1151435.1500000001</v>
          </cell>
          <cell r="R36"/>
          <cell r="S36"/>
          <cell r="T36"/>
          <cell r="U36">
            <v>1151435.1500000001</v>
          </cell>
          <cell r="V36"/>
          <cell r="W36"/>
          <cell r="X36"/>
          <cell r="Y36"/>
          <cell r="Z36"/>
          <cell r="AA36"/>
          <cell r="AB36"/>
          <cell r="AC36"/>
          <cell r="AD36"/>
          <cell r="AE36"/>
          <cell r="AF36"/>
          <cell r="AG36"/>
          <cell r="AH36"/>
          <cell r="AI36"/>
          <cell r="AJ36"/>
          <cell r="AK36"/>
          <cell r="AL36"/>
          <cell r="AM36"/>
          <cell r="AN36"/>
          <cell r="AO36"/>
          <cell r="AP36"/>
          <cell r="AQ36"/>
          <cell r="AR36">
            <v>1165871.4000000001</v>
          </cell>
        </row>
        <row r="37">
          <cell r="C37" t="str">
            <v>PGE_21055</v>
          </cell>
          <cell r="D37" t="str">
            <v>Planning  and Coordination</v>
          </cell>
          <cell r="E37"/>
          <cell r="F37"/>
          <cell r="G37"/>
          <cell r="H37">
            <v>12702.55</v>
          </cell>
          <cell r="I37">
            <v>12702.55</v>
          </cell>
          <cell r="J37">
            <v>12702.55</v>
          </cell>
          <cell r="K37"/>
          <cell r="L37"/>
          <cell r="M37"/>
          <cell r="N37"/>
          <cell r="O37"/>
          <cell r="P37">
            <v>961328.8</v>
          </cell>
          <cell r="Q37">
            <v>961328.8</v>
          </cell>
          <cell r="R37"/>
          <cell r="S37"/>
          <cell r="T37"/>
          <cell r="U37">
            <v>961328.8</v>
          </cell>
          <cell r="V37"/>
          <cell r="W37"/>
          <cell r="X37"/>
          <cell r="Y37"/>
          <cell r="Z37"/>
          <cell r="AA37"/>
          <cell r="AB37"/>
          <cell r="AC37"/>
          <cell r="AD37"/>
          <cell r="AE37"/>
          <cell r="AF37"/>
          <cell r="AG37"/>
          <cell r="AH37"/>
          <cell r="AI37"/>
          <cell r="AJ37"/>
          <cell r="AK37"/>
          <cell r="AL37"/>
          <cell r="AM37"/>
          <cell r="AN37"/>
          <cell r="AO37"/>
          <cell r="AP37"/>
          <cell r="AQ37"/>
          <cell r="AR37">
            <v>974031.35000000009</v>
          </cell>
        </row>
        <row r="38">
          <cell r="C38" t="str">
            <v>PGE_21056</v>
          </cell>
          <cell r="D38" t="str">
            <v>Code Readiness</v>
          </cell>
          <cell r="E38"/>
          <cell r="F38"/>
          <cell r="G38"/>
          <cell r="H38">
            <v>270270.56000000011</v>
          </cell>
          <cell r="I38">
            <v>270270.56000000011</v>
          </cell>
          <cell r="J38">
            <v>270270.56000000011</v>
          </cell>
          <cell r="K38"/>
          <cell r="L38"/>
          <cell r="M38"/>
          <cell r="N38"/>
          <cell r="O38"/>
          <cell r="P38">
            <v>2751205.9899999993</v>
          </cell>
          <cell r="Q38">
            <v>2751205.9899999993</v>
          </cell>
          <cell r="R38"/>
          <cell r="S38"/>
          <cell r="T38"/>
          <cell r="U38">
            <v>2751205.9899999993</v>
          </cell>
          <cell r="V38"/>
          <cell r="W38"/>
          <cell r="X38"/>
          <cell r="Y38"/>
          <cell r="Z38"/>
          <cell r="AA38"/>
          <cell r="AB38"/>
          <cell r="AC38"/>
          <cell r="AD38"/>
          <cell r="AE38"/>
          <cell r="AF38"/>
          <cell r="AG38"/>
          <cell r="AH38"/>
          <cell r="AI38"/>
          <cell r="AJ38"/>
          <cell r="AK38"/>
          <cell r="AL38"/>
          <cell r="AM38"/>
          <cell r="AN38"/>
          <cell r="AO38"/>
          <cell r="AP38"/>
          <cell r="AQ38"/>
          <cell r="AR38">
            <v>3021476.5499999993</v>
          </cell>
        </row>
        <row r="39">
          <cell r="C39" t="str">
            <v>PGE_21057</v>
          </cell>
          <cell r="D39" t="str">
            <v>National Codes &amp; Standards Advocacy</v>
          </cell>
          <cell r="E39"/>
          <cell r="F39"/>
          <cell r="G39"/>
          <cell r="H39"/>
          <cell r="I39"/>
          <cell r="J39"/>
          <cell r="K39"/>
          <cell r="L39"/>
          <cell r="M39"/>
          <cell r="N39"/>
          <cell r="O39"/>
          <cell r="P39">
            <v>961455.85000000009</v>
          </cell>
          <cell r="Q39">
            <v>961455.85000000009</v>
          </cell>
          <cell r="R39"/>
          <cell r="S39"/>
          <cell r="T39"/>
          <cell r="U39">
            <v>961455.85000000009</v>
          </cell>
          <cell r="V39"/>
          <cell r="W39"/>
          <cell r="X39"/>
          <cell r="Y39"/>
          <cell r="Z39"/>
          <cell r="AA39"/>
          <cell r="AB39"/>
          <cell r="AC39"/>
          <cell r="AD39"/>
          <cell r="AE39"/>
          <cell r="AF39"/>
          <cell r="AG39"/>
          <cell r="AH39"/>
          <cell r="AI39"/>
          <cell r="AJ39"/>
          <cell r="AK39"/>
          <cell r="AL39"/>
          <cell r="AM39"/>
          <cell r="AN39"/>
          <cell r="AO39"/>
          <cell r="AP39"/>
          <cell r="AQ39"/>
          <cell r="AR39">
            <v>961455.85000000009</v>
          </cell>
        </row>
        <row r="40">
          <cell r="C40" t="str">
            <v>PGE_21061</v>
          </cell>
          <cell r="D40" t="str">
            <v>Technology Development Support</v>
          </cell>
          <cell r="E40"/>
          <cell r="F40"/>
          <cell r="G40"/>
          <cell r="H40">
            <v>4791.6800000000012</v>
          </cell>
          <cell r="I40">
            <v>4791.6800000000012</v>
          </cell>
          <cell r="J40">
            <v>4791.6800000000012</v>
          </cell>
          <cell r="K40"/>
          <cell r="L40"/>
          <cell r="M40"/>
          <cell r="N40"/>
          <cell r="O40"/>
          <cell r="P40">
            <v>288749.85000000003</v>
          </cell>
          <cell r="Q40">
            <v>288749.85000000003</v>
          </cell>
          <cell r="R40"/>
          <cell r="S40"/>
          <cell r="T40"/>
          <cell r="U40">
            <v>288749.85000000003</v>
          </cell>
          <cell r="V40"/>
          <cell r="W40"/>
          <cell r="X40"/>
          <cell r="Y40"/>
          <cell r="Z40"/>
          <cell r="AA40"/>
          <cell r="AB40"/>
          <cell r="AC40"/>
          <cell r="AD40"/>
          <cell r="AE40"/>
          <cell r="AF40"/>
          <cell r="AG40"/>
          <cell r="AH40"/>
          <cell r="AI40"/>
          <cell r="AJ40"/>
          <cell r="AK40"/>
          <cell r="AL40"/>
          <cell r="AM40"/>
          <cell r="AN40"/>
          <cell r="AO40"/>
          <cell r="AP40"/>
          <cell r="AQ40"/>
          <cell r="AR40">
            <v>293541.53000000003</v>
          </cell>
        </row>
        <row r="41">
          <cell r="C41" t="str">
            <v>PGE_21062</v>
          </cell>
          <cell r="D41" t="str">
            <v>Technology Assessments</v>
          </cell>
          <cell r="E41"/>
          <cell r="F41"/>
          <cell r="G41"/>
          <cell r="H41">
            <v>421093.36999999988</v>
          </cell>
          <cell r="I41">
            <v>421093.36999999988</v>
          </cell>
          <cell r="J41">
            <v>421093.36999999988</v>
          </cell>
          <cell r="K41"/>
          <cell r="L41"/>
          <cell r="M41"/>
          <cell r="N41"/>
          <cell r="O41"/>
          <cell r="P41">
            <v>217214.06000000049</v>
          </cell>
          <cell r="Q41">
            <v>217214.06000000049</v>
          </cell>
          <cell r="R41"/>
          <cell r="S41"/>
          <cell r="T41"/>
          <cell r="U41">
            <v>217214.06000000049</v>
          </cell>
          <cell r="V41"/>
          <cell r="W41"/>
          <cell r="X41"/>
          <cell r="Y41">
            <v>14.34</v>
          </cell>
          <cell r="Z41">
            <v>14.34</v>
          </cell>
          <cell r="AA41"/>
          <cell r="AB41"/>
          <cell r="AC41">
            <v>14.34</v>
          </cell>
          <cell r="AD41"/>
          <cell r="AE41"/>
          <cell r="AF41"/>
          <cell r="AG41"/>
          <cell r="AH41"/>
          <cell r="AI41"/>
          <cell r="AJ41"/>
          <cell r="AK41"/>
          <cell r="AL41"/>
          <cell r="AM41"/>
          <cell r="AN41"/>
          <cell r="AO41"/>
          <cell r="AP41"/>
          <cell r="AQ41"/>
          <cell r="AR41">
            <v>638321.77000000037</v>
          </cell>
        </row>
        <row r="42">
          <cell r="C42" t="str">
            <v>PGE_21063</v>
          </cell>
          <cell r="D42" t="str">
            <v>Technology Introduction Support</v>
          </cell>
          <cell r="E42"/>
          <cell r="F42"/>
          <cell r="G42"/>
          <cell r="H42">
            <v>-78609.349999999991</v>
          </cell>
          <cell r="I42">
            <v>-78609.349999999991</v>
          </cell>
          <cell r="J42">
            <v>-78609.349999999991</v>
          </cell>
          <cell r="K42"/>
          <cell r="L42"/>
          <cell r="M42"/>
          <cell r="N42"/>
          <cell r="O42"/>
          <cell r="P42">
            <v>1293217.8900000001</v>
          </cell>
          <cell r="Q42">
            <v>1293217.8900000001</v>
          </cell>
          <cell r="R42"/>
          <cell r="S42"/>
          <cell r="T42"/>
          <cell r="U42">
            <v>1293217.8900000001</v>
          </cell>
          <cell r="V42"/>
          <cell r="W42"/>
          <cell r="X42"/>
          <cell r="Y42">
            <v>29852.07</v>
          </cell>
          <cell r="Z42">
            <v>29852.07</v>
          </cell>
          <cell r="AA42"/>
          <cell r="AB42"/>
          <cell r="AC42">
            <v>29852.07</v>
          </cell>
          <cell r="AD42"/>
          <cell r="AE42"/>
          <cell r="AF42"/>
          <cell r="AG42"/>
          <cell r="AH42"/>
          <cell r="AI42"/>
          <cell r="AJ42"/>
          <cell r="AK42"/>
          <cell r="AL42"/>
          <cell r="AM42"/>
          <cell r="AN42"/>
          <cell r="AO42"/>
          <cell r="AP42"/>
          <cell r="AQ42"/>
          <cell r="AR42">
            <v>1244460.6100000001</v>
          </cell>
        </row>
        <row r="43">
          <cell r="C43" t="str">
            <v>PGE_21071</v>
          </cell>
          <cell r="D43" t="str">
            <v>Integrated Energy Education and Training</v>
          </cell>
          <cell r="E43"/>
          <cell r="F43"/>
          <cell r="G43"/>
          <cell r="H43">
            <v>553998.60999999964</v>
          </cell>
          <cell r="I43">
            <v>553998.60999999964</v>
          </cell>
          <cell r="J43">
            <v>553998.60999999964</v>
          </cell>
          <cell r="K43"/>
          <cell r="L43"/>
          <cell r="M43"/>
          <cell r="N43"/>
          <cell r="O43"/>
          <cell r="P43">
            <v>5775968.9100000132</v>
          </cell>
          <cell r="Q43">
            <v>5775968.9100000132</v>
          </cell>
          <cell r="R43"/>
          <cell r="S43"/>
          <cell r="T43"/>
          <cell r="U43">
            <v>5775968.9100000132</v>
          </cell>
          <cell r="V43"/>
          <cell r="W43"/>
          <cell r="X43"/>
          <cell r="Y43">
            <v>198110.38999999987</v>
          </cell>
          <cell r="Z43">
            <v>198110.38999999987</v>
          </cell>
          <cell r="AA43"/>
          <cell r="AB43"/>
          <cell r="AC43">
            <v>198110.38999999987</v>
          </cell>
          <cell r="AD43"/>
          <cell r="AE43"/>
          <cell r="AF43"/>
          <cell r="AG43"/>
          <cell r="AH43"/>
          <cell r="AI43"/>
          <cell r="AJ43"/>
          <cell r="AK43"/>
          <cell r="AL43"/>
          <cell r="AM43"/>
          <cell r="AN43"/>
          <cell r="AO43"/>
          <cell r="AP43"/>
          <cell r="AQ43"/>
          <cell r="AR43">
            <v>6528077.9100000123</v>
          </cell>
        </row>
        <row r="44">
          <cell r="C44" t="str">
            <v>PGE_21072</v>
          </cell>
          <cell r="D44" t="str">
            <v>Connections</v>
          </cell>
          <cell r="E44"/>
          <cell r="F44"/>
          <cell r="G44"/>
          <cell r="H44">
            <v>16128.699999999997</v>
          </cell>
          <cell r="I44">
            <v>16128.699999999997</v>
          </cell>
          <cell r="J44">
            <v>16128.699999999997</v>
          </cell>
          <cell r="K44"/>
          <cell r="L44"/>
          <cell r="M44"/>
          <cell r="N44"/>
          <cell r="O44"/>
          <cell r="P44">
            <v>713865.67</v>
          </cell>
          <cell r="Q44">
            <v>713865.67</v>
          </cell>
          <cell r="R44"/>
          <cell r="S44"/>
          <cell r="T44"/>
          <cell r="U44">
            <v>713865.67</v>
          </cell>
          <cell r="V44"/>
          <cell r="W44"/>
          <cell r="X44"/>
          <cell r="Y44"/>
          <cell r="Z44"/>
          <cell r="AA44"/>
          <cell r="AB44"/>
          <cell r="AC44"/>
          <cell r="AD44"/>
          <cell r="AE44"/>
          <cell r="AF44"/>
          <cell r="AG44"/>
          <cell r="AH44"/>
          <cell r="AI44"/>
          <cell r="AJ44"/>
          <cell r="AK44"/>
          <cell r="AL44"/>
          <cell r="AM44"/>
          <cell r="AN44"/>
          <cell r="AO44"/>
          <cell r="AP44"/>
          <cell r="AQ44"/>
          <cell r="AR44">
            <v>729994.37</v>
          </cell>
        </row>
        <row r="45">
          <cell r="C45" t="str">
            <v>PGE_21073</v>
          </cell>
          <cell r="D45" t="str">
            <v>Strategic Planning</v>
          </cell>
          <cell r="E45"/>
          <cell r="F45"/>
          <cell r="G45"/>
          <cell r="H45">
            <v>23.629999999999981</v>
          </cell>
          <cell r="I45">
            <v>23.629999999999981</v>
          </cell>
          <cell r="J45">
            <v>23.629999999999981</v>
          </cell>
          <cell r="K45"/>
          <cell r="L45"/>
          <cell r="M45"/>
          <cell r="N45"/>
          <cell r="O45"/>
          <cell r="P45">
            <v>-3053.76</v>
          </cell>
          <cell r="Q45">
            <v>-3053.76</v>
          </cell>
          <cell r="R45"/>
          <cell r="S45"/>
          <cell r="T45"/>
          <cell r="U45">
            <v>-3053.76</v>
          </cell>
          <cell r="V45"/>
          <cell r="W45"/>
          <cell r="X45"/>
          <cell r="Y45"/>
          <cell r="Z45"/>
          <cell r="AA45"/>
          <cell r="AB45"/>
          <cell r="AC45"/>
          <cell r="AD45"/>
          <cell r="AE45"/>
          <cell r="AF45"/>
          <cell r="AG45"/>
          <cell r="AH45"/>
          <cell r="AI45"/>
          <cell r="AJ45"/>
          <cell r="AK45"/>
          <cell r="AL45"/>
          <cell r="AM45"/>
          <cell r="AN45"/>
          <cell r="AO45"/>
          <cell r="AP45"/>
          <cell r="AQ45"/>
          <cell r="AR45">
            <v>-3030.13</v>
          </cell>
        </row>
        <row r="46">
          <cell r="C46" t="str">
            <v>PGE_21081</v>
          </cell>
          <cell r="D46" t="str">
            <v>Statewide DSM Coordination &amp; Integration</v>
          </cell>
          <cell r="E46"/>
          <cell r="F46"/>
          <cell r="G46"/>
          <cell r="H46">
            <v>17993.450000000004</v>
          </cell>
          <cell r="I46">
            <v>17993.450000000004</v>
          </cell>
          <cell r="J46">
            <v>17993.450000000004</v>
          </cell>
          <cell r="K46"/>
          <cell r="L46"/>
          <cell r="M46"/>
          <cell r="N46"/>
          <cell r="O46"/>
          <cell r="P46">
            <v>2283.1499999999987</v>
          </cell>
          <cell r="Q46">
            <v>2283.1499999999987</v>
          </cell>
          <cell r="R46"/>
          <cell r="S46"/>
          <cell r="T46"/>
          <cell r="U46">
            <v>2283.1499999999987</v>
          </cell>
          <cell r="V46"/>
          <cell r="W46"/>
          <cell r="X46"/>
          <cell r="Y46"/>
          <cell r="Z46"/>
          <cell r="AA46"/>
          <cell r="AB46"/>
          <cell r="AC46"/>
          <cell r="AD46"/>
          <cell r="AE46"/>
          <cell r="AF46"/>
          <cell r="AG46"/>
          <cell r="AH46"/>
          <cell r="AI46"/>
          <cell r="AJ46"/>
          <cell r="AK46"/>
          <cell r="AL46"/>
          <cell r="AM46"/>
          <cell r="AN46"/>
          <cell r="AO46"/>
          <cell r="AP46"/>
          <cell r="AQ46"/>
          <cell r="AR46">
            <v>20276.600000000002</v>
          </cell>
        </row>
        <row r="47">
          <cell r="C47" t="str">
            <v>PGE_21091</v>
          </cell>
          <cell r="D47" t="str">
            <v>On-Bill Financing</v>
          </cell>
          <cell r="E47"/>
          <cell r="F47"/>
          <cell r="G47"/>
          <cell r="H47">
            <v>782874.35000000033</v>
          </cell>
          <cell r="I47">
            <v>782874.35000000033</v>
          </cell>
          <cell r="J47">
            <v>782874.35000000033</v>
          </cell>
          <cell r="K47"/>
          <cell r="L47"/>
          <cell r="M47"/>
          <cell r="N47"/>
          <cell r="O47"/>
          <cell r="P47">
            <v>2361138.6899999939</v>
          </cell>
          <cell r="Q47">
            <v>2361138.6899999939</v>
          </cell>
          <cell r="R47"/>
          <cell r="S47"/>
          <cell r="T47"/>
          <cell r="U47">
            <v>2361138.6899999939</v>
          </cell>
          <cell r="V47"/>
          <cell r="W47"/>
          <cell r="X47"/>
          <cell r="Y47">
            <v>799377.99999999604</v>
          </cell>
          <cell r="Z47">
            <v>799377.99999999604</v>
          </cell>
          <cell r="AA47"/>
          <cell r="AB47"/>
          <cell r="AC47">
            <v>799377.99999999604</v>
          </cell>
          <cell r="AD47"/>
          <cell r="AE47"/>
          <cell r="AF47"/>
          <cell r="AG47"/>
          <cell r="AH47"/>
          <cell r="AI47"/>
          <cell r="AJ47"/>
          <cell r="AK47"/>
          <cell r="AL47"/>
          <cell r="AM47"/>
          <cell r="AN47"/>
          <cell r="AO47"/>
          <cell r="AP47"/>
          <cell r="AQ47"/>
          <cell r="AR47">
            <v>3943391.0399999907</v>
          </cell>
        </row>
        <row r="48">
          <cell r="C48" t="str">
            <v>PGE_210911</v>
          </cell>
          <cell r="D48" t="str">
            <v>On Bill Financing Alternative Pathway</v>
          </cell>
          <cell r="E48"/>
          <cell r="F48"/>
          <cell r="G48"/>
          <cell r="H48">
            <v>25822.06</v>
          </cell>
          <cell r="I48">
            <v>25822.06</v>
          </cell>
          <cell r="J48">
            <v>25822.06</v>
          </cell>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v>25822.06</v>
          </cell>
        </row>
        <row r="49">
          <cell r="C49" t="str">
            <v>PGE_21092</v>
          </cell>
          <cell r="D49" t="str">
            <v>Third-Party Financing</v>
          </cell>
          <cell r="E49"/>
          <cell r="F49"/>
          <cell r="G49"/>
          <cell r="H49">
            <v>55179.400000000009</v>
          </cell>
          <cell r="I49">
            <v>55179.400000000009</v>
          </cell>
          <cell r="J49">
            <v>55179.400000000009</v>
          </cell>
          <cell r="K49"/>
          <cell r="L49"/>
          <cell r="M49"/>
          <cell r="N49"/>
          <cell r="O49"/>
          <cell r="P49">
            <v>5898.6799999999994</v>
          </cell>
          <cell r="Q49">
            <v>5898.6799999999994</v>
          </cell>
          <cell r="R49"/>
          <cell r="S49"/>
          <cell r="T49"/>
          <cell r="U49">
            <v>5898.6799999999994</v>
          </cell>
          <cell r="V49"/>
          <cell r="W49"/>
          <cell r="X49"/>
          <cell r="Y49">
            <v>-4811.33</v>
          </cell>
          <cell r="Z49">
            <v>-4811.33</v>
          </cell>
          <cell r="AA49"/>
          <cell r="AB49"/>
          <cell r="AC49">
            <v>-4811.33</v>
          </cell>
          <cell r="AD49"/>
          <cell r="AE49"/>
          <cell r="AF49"/>
          <cell r="AG49"/>
          <cell r="AH49"/>
          <cell r="AI49"/>
          <cell r="AJ49"/>
          <cell r="AK49"/>
          <cell r="AL49"/>
          <cell r="AM49"/>
          <cell r="AN49"/>
          <cell r="AO49"/>
          <cell r="AP49"/>
          <cell r="AQ49"/>
          <cell r="AR49">
            <v>56266.750000000007</v>
          </cell>
        </row>
        <row r="50">
          <cell r="C50" t="str">
            <v>PGE_21093</v>
          </cell>
          <cell r="D50" t="str">
            <v>New Financing Offerings</v>
          </cell>
          <cell r="E50">
            <v>44831.729999999996</v>
          </cell>
          <cell r="F50">
            <v>44831.729999999996</v>
          </cell>
          <cell r="G50"/>
          <cell r="H50"/>
          <cell r="I50"/>
          <cell r="J50">
            <v>44831.729999999996</v>
          </cell>
          <cell r="K50">
            <v>1497092.0899999999</v>
          </cell>
          <cell r="L50">
            <v>1497092.0899999999</v>
          </cell>
          <cell r="M50"/>
          <cell r="N50"/>
          <cell r="O50"/>
          <cell r="P50"/>
          <cell r="Q50"/>
          <cell r="R50"/>
          <cell r="S50"/>
          <cell r="T50"/>
          <cell r="U50">
            <v>1497092.0899999999</v>
          </cell>
          <cell r="V50">
            <v>333647.03999999998</v>
          </cell>
          <cell r="W50">
            <v>333647.03999999998</v>
          </cell>
          <cell r="X50"/>
          <cell r="Y50"/>
          <cell r="Z50"/>
          <cell r="AA50"/>
          <cell r="AB50"/>
          <cell r="AC50">
            <v>333647.03999999998</v>
          </cell>
          <cell r="AD50"/>
          <cell r="AE50"/>
          <cell r="AF50"/>
          <cell r="AG50"/>
          <cell r="AH50"/>
          <cell r="AI50"/>
          <cell r="AJ50"/>
          <cell r="AK50"/>
          <cell r="AL50"/>
          <cell r="AM50"/>
          <cell r="AN50"/>
          <cell r="AO50"/>
          <cell r="AP50"/>
          <cell r="AQ50"/>
          <cell r="AR50">
            <v>1875570.8599999999</v>
          </cell>
        </row>
        <row r="51">
          <cell r="C51" t="str">
            <v>PGE_EM&amp;V</v>
          </cell>
          <cell r="D51" t="str">
            <v>EM&amp;V PG&amp;E</v>
          </cell>
          <cell r="E51"/>
          <cell r="F51"/>
          <cell r="G51"/>
          <cell r="H51"/>
          <cell r="I51"/>
          <cell r="J51"/>
          <cell r="K51"/>
          <cell r="L51"/>
          <cell r="M51"/>
          <cell r="N51"/>
          <cell r="O51"/>
          <cell r="P51"/>
          <cell r="Q51"/>
          <cell r="R51"/>
          <cell r="S51"/>
          <cell r="T51"/>
          <cell r="U51"/>
          <cell r="V51"/>
          <cell r="W51"/>
          <cell r="X51"/>
          <cell r="Y51"/>
          <cell r="Z51"/>
          <cell r="AA51"/>
          <cell r="AB51"/>
          <cell r="AC51"/>
          <cell r="AD51">
            <v>151145.16</v>
          </cell>
          <cell r="AE51">
            <v>151145.16</v>
          </cell>
          <cell r="AF51"/>
          <cell r="AG51">
            <v>2478378.270000007</v>
          </cell>
          <cell r="AH51">
            <v>2478378.270000007</v>
          </cell>
          <cell r="AI51">
            <v>2629523.4300000072</v>
          </cell>
          <cell r="AJ51"/>
          <cell r="AK51"/>
          <cell r="AL51"/>
          <cell r="AM51"/>
          <cell r="AN51"/>
          <cell r="AO51"/>
          <cell r="AP51"/>
          <cell r="AQ51"/>
          <cell r="AR51">
            <v>2629523.4300000072</v>
          </cell>
        </row>
        <row r="52">
          <cell r="C52" t="str">
            <v>CPUC_EM&amp;V</v>
          </cell>
          <cell r="D52" t="str">
            <v>EM&amp;V ED STAFF</v>
          </cell>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v>11938217.459999999</v>
          </cell>
          <cell r="AH52">
            <v>11938217.459999999</v>
          </cell>
          <cell r="AI52">
            <v>11938217.459999999</v>
          </cell>
          <cell r="AJ52"/>
          <cell r="AK52"/>
          <cell r="AL52"/>
          <cell r="AM52"/>
          <cell r="AN52"/>
          <cell r="AO52"/>
          <cell r="AP52"/>
          <cell r="AQ52"/>
          <cell r="AR52">
            <v>11938217.459999999</v>
          </cell>
        </row>
        <row r="53">
          <cell r="C53" t="str">
            <v>PGE_21091LP</v>
          </cell>
          <cell r="D53" t="str">
            <v>On-Bill Financing - Loan Pool</v>
          </cell>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v>31071807.989999998</v>
          </cell>
          <cell r="AM53">
            <v>31071807.989999998</v>
          </cell>
          <cell r="AN53">
            <v>31071807.989999998</v>
          </cell>
          <cell r="AO53"/>
          <cell r="AP53"/>
          <cell r="AQ53"/>
          <cell r="AR53">
            <v>31071807.989999998</v>
          </cell>
        </row>
        <row r="54">
          <cell r="C54" t="str">
            <v>PGE_21093</v>
          </cell>
          <cell r="D54" t="str">
            <v>New Financing Offerings</v>
          </cell>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v>350000</v>
          </cell>
          <cell r="AK54">
            <v>350000</v>
          </cell>
          <cell r="AL54"/>
          <cell r="AM54"/>
          <cell r="AN54">
            <v>350000</v>
          </cell>
          <cell r="AO54"/>
          <cell r="AP54"/>
          <cell r="AQ54"/>
          <cell r="AR54">
            <v>350000</v>
          </cell>
        </row>
        <row r="55">
          <cell r="C55" t="str">
            <v>PGE_2110011</v>
          </cell>
          <cell r="D55" t="str">
            <v>California Community Colleges</v>
          </cell>
          <cell r="E55"/>
          <cell r="F55"/>
          <cell r="G55"/>
          <cell r="H55">
            <v>144742.41</v>
          </cell>
          <cell r="I55">
            <v>144742.41</v>
          </cell>
          <cell r="J55">
            <v>144742.41</v>
          </cell>
          <cell r="K55"/>
          <cell r="L55"/>
          <cell r="M55"/>
          <cell r="N55"/>
          <cell r="O55">
            <v>626499.52</v>
          </cell>
          <cell r="P55">
            <v>10620.499999999991</v>
          </cell>
          <cell r="Q55">
            <v>637120.02</v>
          </cell>
          <cell r="R55"/>
          <cell r="S55">
            <v>508290.19</v>
          </cell>
          <cell r="T55">
            <v>508290.19</v>
          </cell>
          <cell r="U55">
            <v>1145410.21</v>
          </cell>
          <cell r="V55"/>
          <cell r="W55"/>
          <cell r="X55"/>
          <cell r="Y55">
            <v>15.14</v>
          </cell>
          <cell r="Z55">
            <v>15.14</v>
          </cell>
          <cell r="AA55"/>
          <cell r="AB55"/>
          <cell r="AC55">
            <v>15.14</v>
          </cell>
          <cell r="AD55"/>
          <cell r="AE55"/>
          <cell r="AF55"/>
          <cell r="AG55"/>
          <cell r="AH55"/>
          <cell r="AI55"/>
          <cell r="AJ55"/>
          <cell r="AK55"/>
          <cell r="AL55"/>
          <cell r="AM55"/>
          <cell r="AN55"/>
          <cell r="AO55"/>
          <cell r="AP55"/>
          <cell r="AQ55"/>
          <cell r="AR55">
            <v>1290167.76</v>
          </cell>
        </row>
        <row r="56">
          <cell r="C56" t="str">
            <v>PGE_2110012</v>
          </cell>
          <cell r="D56" t="str">
            <v>University of California/Cal State Univ</v>
          </cell>
          <cell r="E56"/>
          <cell r="F56"/>
          <cell r="G56">
            <v>37546.120000000003</v>
          </cell>
          <cell r="H56">
            <v>586578.03999999992</v>
          </cell>
          <cell r="I56">
            <v>624124.15999999992</v>
          </cell>
          <cell r="J56">
            <v>624124.15999999992</v>
          </cell>
          <cell r="K56"/>
          <cell r="L56"/>
          <cell r="M56"/>
          <cell r="N56"/>
          <cell r="O56">
            <v>144687.34</v>
          </cell>
          <cell r="P56">
            <v>63490.100000000006</v>
          </cell>
          <cell r="Q56">
            <v>208177.44</v>
          </cell>
          <cell r="R56"/>
          <cell r="S56">
            <v>3248375.79</v>
          </cell>
          <cell r="T56">
            <v>3248375.79</v>
          </cell>
          <cell r="U56">
            <v>3456553.23</v>
          </cell>
          <cell r="V56"/>
          <cell r="W56"/>
          <cell r="X56"/>
          <cell r="Y56">
            <v>39303.61</v>
          </cell>
          <cell r="Z56">
            <v>39303.61</v>
          </cell>
          <cell r="AA56"/>
          <cell r="AB56"/>
          <cell r="AC56">
            <v>39303.61</v>
          </cell>
          <cell r="AD56"/>
          <cell r="AE56"/>
          <cell r="AF56"/>
          <cell r="AG56"/>
          <cell r="AH56"/>
          <cell r="AI56"/>
          <cell r="AJ56"/>
          <cell r="AK56"/>
          <cell r="AL56"/>
          <cell r="AM56"/>
          <cell r="AN56"/>
          <cell r="AO56"/>
          <cell r="AP56"/>
          <cell r="AQ56"/>
          <cell r="AR56">
            <v>4119980.9999999995</v>
          </cell>
        </row>
        <row r="57">
          <cell r="C57" t="str">
            <v>PGE_2110013</v>
          </cell>
          <cell r="D57" t="str">
            <v>State of California</v>
          </cell>
          <cell r="E57"/>
          <cell r="F57"/>
          <cell r="G57">
            <v>-987.38</v>
          </cell>
          <cell r="H57">
            <v>21.54000000000017</v>
          </cell>
          <cell r="I57">
            <v>-965.8399999999998</v>
          </cell>
          <cell r="J57">
            <v>-965.8399999999998</v>
          </cell>
          <cell r="K57"/>
          <cell r="L57"/>
          <cell r="M57"/>
          <cell r="N57"/>
          <cell r="O57">
            <v>-81659.75</v>
          </cell>
          <cell r="P57">
            <v>4700.8000000000011</v>
          </cell>
          <cell r="Q57">
            <v>-76958.95</v>
          </cell>
          <cell r="R57"/>
          <cell r="S57">
            <v>69529.11</v>
          </cell>
          <cell r="T57">
            <v>69529.11</v>
          </cell>
          <cell r="U57">
            <v>-7429.8399999999965</v>
          </cell>
          <cell r="V57"/>
          <cell r="W57"/>
          <cell r="X57"/>
          <cell r="Y57"/>
          <cell r="Z57"/>
          <cell r="AA57"/>
          <cell r="AB57"/>
          <cell r="AC57"/>
          <cell r="AD57"/>
          <cell r="AE57"/>
          <cell r="AF57"/>
          <cell r="AG57"/>
          <cell r="AH57"/>
          <cell r="AI57"/>
          <cell r="AJ57"/>
          <cell r="AK57"/>
          <cell r="AL57"/>
          <cell r="AM57"/>
          <cell r="AN57"/>
          <cell r="AO57"/>
          <cell r="AP57"/>
          <cell r="AQ57"/>
          <cell r="AR57">
            <v>-8395.679999999993</v>
          </cell>
        </row>
        <row r="58">
          <cell r="C58" t="str">
            <v>PGE_2110014</v>
          </cell>
          <cell r="D58" t="str">
            <v>Department of Corrections and Rehab</v>
          </cell>
          <cell r="E58"/>
          <cell r="F58"/>
          <cell r="G58">
            <v>-3272.11</v>
          </cell>
          <cell r="H58">
            <v>38.840000000000316</v>
          </cell>
          <cell r="I58">
            <v>-3233.27</v>
          </cell>
          <cell r="J58">
            <v>-3233.27</v>
          </cell>
          <cell r="K58"/>
          <cell r="L58"/>
          <cell r="M58"/>
          <cell r="N58"/>
          <cell r="O58">
            <v>105708.66</v>
          </cell>
          <cell r="P58">
            <v>10167.51</v>
          </cell>
          <cell r="Q58">
            <v>115876.17</v>
          </cell>
          <cell r="R58"/>
          <cell r="S58">
            <v>172171.27</v>
          </cell>
          <cell r="T58">
            <v>172171.27</v>
          </cell>
          <cell r="U58">
            <v>288047.44</v>
          </cell>
          <cell r="V58"/>
          <cell r="W58"/>
          <cell r="X58"/>
          <cell r="Y58">
            <v>11.39</v>
          </cell>
          <cell r="Z58">
            <v>11.39</v>
          </cell>
          <cell r="AA58"/>
          <cell r="AB58"/>
          <cell r="AC58">
            <v>11.39</v>
          </cell>
          <cell r="AD58"/>
          <cell r="AE58"/>
          <cell r="AF58"/>
          <cell r="AG58"/>
          <cell r="AH58"/>
          <cell r="AI58"/>
          <cell r="AJ58"/>
          <cell r="AK58"/>
          <cell r="AL58"/>
          <cell r="AM58"/>
          <cell r="AN58"/>
          <cell r="AO58"/>
          <cell r="AP58"/>
          <cell r="AQ58"/>
          <cell r="AR58">
            <v>284825.56</v>
          </cell>
        </row>
        <row r="59">
          <cell r="C59" t="str">
            <v>PGE_2110051</v>
          </cell>
          <cell r="D59" t="str">
            <v>Local Govt Energy Action Resources LGEAR</v>
          </cell>
          <cell r="E59"/>
          <cell r="F59"/>
          <cell r="G59">
            <v>368790.03</v>
          </cell>
          <cell r="H59">
            <v>850444.3600000001</v>
          </cell>
          <cell r="I59">
            <v>1219234.3900000001</v>
          </cell>
          <cell r="J59">
            <v>1219234.3900000001</v>
          </cell>
          <cell r="K59"/>
          <cell r="L59"/>
          <cell r="M59"/>
          <cell r="N59"/>
          <cell r="O59">
            <v>1079227.6299999999</v>
          </cell>
          <cell r="P59">
            <v>66421.61</v>
          </cell>
          <cell r="Q59">
            <v>1145649.24</v>
          </cell>
          <cell r="R59">
            <v>1205491.7799999998</v>
          </cell>
          <cell r="S59"/>
          <cell r="T59">
            <v>1205491.7799999998</v>
          </cell>
          <cell r="U59">
            <v>2351141.0199999996</v>
          </cell>
          <cell r="V59"/>
          <cell r="W59"/>
          <cell r="X59">
            <v>60823.54</v>
          </cell>
          <cell r="Y59">
            <v>54295.359999999993</v>
          </cell>
          <cell r="Z59">
            <v>115118.9</v>
          </cell>
          <cell r="AA59"/>
          <cell r="AB59"/>
          <cell r="AC59">
            <v>115118.9</v>
          </cell>
          <cell r="AD59"/>
          <cell r="AE59"/>
          <cell r="AF59"/>
          <cell r="AG59"/>
          <cell r="AH59"/>
          <cell r="AI59"/>
          <cell r="AJ59"/>
          <cell r="AK59"/>
          <cell r="AL59"/>
          <cell r="AM59"/>
          <cell r="AN59"/>
          <cell r="AO59"/>
          <cell r="AP59"/>
          <cell r="AQ59"/>
          <cell r="AR59">
            <v>3685494.3099999996</v>
          </cell>
        </row>
        <row r="60">
          <cell r="C60" t="str">
            <v>PGE_2110052</v>
          </cell>
          <cell r="D60" t="str">
            <v>Strategic Energy Resources</v>
          </cell>
          <cell r="E60"/>
          <cell r="F60"/>
          <cell r="G60">
            <v>31764.969999999994</v>
          </cell>
          <cell r="H60">
            <v>828740.56999999972</v>
          </cell>
          <cell r="I60">
            <v>860505.53999999969</v>
          </cell>
          <cell r="J60">
            <v>860505.53999999969</v>
          </cell>
          <cell r="K60"/>
          <cell r="L60"/>
          <cell r="M60"/>
          <cell r="N60"/>
          <cell r="O60">
            <v>4341149.87</v>
          </cell>
          <cell r="P60">
            <v>383026.72999999981</v>
          </cell>
          <cell r="Q60">
            <v>4724176.5999999996</v>
          </cell>
          <cell r="R60">
            <v>0</v>
          </cell>
          <cell r="S60"/>
          <cell r="T60">
            <v>0</v>
          </cell>
          <cell r="U60">
            <v>4724176.5999999996</v>
          </cell>
          <cell r="V60"/>
          <cell r="W60"/>
          <cell r="X60">
            <v>16075.24</v>
          </cell>
          <cell r="Y60">
            <v>60963.849999999991</v>
          </cell>
          <cell r="Z60">
            <v>77039.09</v>
          </cell>
          <cell r="AA60"/>
          <cell r="AB60"/>
          <cell r="AC60">
            <v>77039.09</v>
          </cell>
          <cell r="AD60"/>
          <cell r="AE60"/>
          <cell r="AF60"/>
          <cell r="AG60"/>
          <cell r="AH60"/>
          <cell r="AI60"/>
          <cell r="AJ60"/>
          <cell r="AK60"/>
          <cell r="AL60"/>
          <cell r="AM60"/>
          <cell r="AN60"/>
          <cell r="AO60"/>
          <cell r="AP60"/>
          <cell r="AQ60"/>
          <cell r="AR60">
            <v>5661721.2299999995</v>
          </cell>
        </row>
        <row r="61">
          <cell r="C61" t="str">
            <v>PGE_211007</v>
          </cell>
          <cell r="D61" t="str">
            <v>Association of Monterey Bay Area Govts</v>
          </cell>
          <cell r="E61"/>
          <cell r="F61"/>
          <cell r="G61">
            <v>173822.73</v>
          </cell>
          <cell r="H61">
            <v>672197.59</v>
          </cell>
          <cell r="I61">
            <v>846020.32</v>
          </cell>
          <cell r="J61">
            <v>846020.32</v>
          </cell>
          <cell r="K61"/>
          <cell r="L61"/>
          <cell r="M61"/>
          <cell r="N61"/>
          <cell r="O61">
            <v>1305707.68</v>
          </cell>
          <cell r="P61">
            <v>48164.859999999913</v>
          </cell>
          <cell r="Q61">
            <v>1353872.5399999998</v>
          </cell>
          <cell r="R61">
            <v>1094391.92</v>
          </cell>
          <cell r="S61"/>
          <cell r="T61">
            <v>1094391.92</v>
          </cell>
          <cell r="U61">
            <v>2448264.46</v>
          </cell>
          <cell r="V61"/>
          <cell r="W61"/>
          <cell r="X61">
            <v>212798.09</v>
          </cell>
          <cell r="Y61">
            <v>23431.26</v>
          </cell>
          <cell r="Z61">
            <v>236229.35</v>
          </cell>
          <cell r="AA61"/>
          <cell r="AB61"/>
          <cell r="AC61">
            <v>236229.35</v>
          </cell>
          <cell r="AD61"/>
          <cell r="AE61"/>
          <cell r="AF61"/>
          <cell r="AG61"/>
          <cell r="AH61"/>
          <cell r="AI61"/>
          <cell r="AJ61"/>
          <cell r="AK61"/>
          <cell r="AL61"/>
          <cell r="AM61"/>
          <cell r="AN61"/>
          <cell r="AO61"/>
          <cell r="AP61"/>
          <cell r="AQ61"/>
          <cell r="AR61">
            <v>3530514.1299999994</v>
          </cell>
        </row>
        <row r="62">
          <cell r="C62" t="str">
            <v>PGE_211009</v>
          </cell>
          <cell r="D62" t="str">
            <v>East Bay</v>
          </cell>
          <cell r="E62"/>
          <cell r="F62"/>
          <cell r="G62">
            <v>241514.32000000004</v>
          </cell>
          <cell r="H62">
            <v>844190.54000000015</v>
          </cell>
          <cell r="I62">
            <v>1085704.8600000001</v>
          </cell>
          <cell r="J62">
            <v>1085704.8600000001</v>
          </cell>
          <cell r="K62"/>
          <cell r="L62"/>
          <cell r="M62"/>
          <cell r="N62"/>
          <cell r="O62">
            <v>843634.35000000009</v>
          </cell>
          <cell r="P62">
            <v>102169.19999999991</v>
          </cell>
          <cell r="Q62">
            <v>945803.55</v>
          </cell>
          <cell r="R62">
            <v>728967.95000000007</v>
          </cell>
          <cell r="S62">
            <v>350</v>
          </cell>
          <cell r="T62">
            <v>729317.95000000007</v>
          </cell>
          <cell r="U62">
            <v>1675121.5</v>
          </cell>
          <cell r="V62"/>
          <cell r="W62"/>
          <cell r="X62">
            <v>79561.95</v>
          </cell>
          <cell r="Y62">
            <v>38297.140000000007</v>
          </cell>
          <cell r="Z62">
            <v>117859.09</v>
          </cell>
          <cell r="AA62"/>
          <cell r="AB62"/>
          <cell r="AC62">
            <v>117859.09</v>
          </cell>
          <cell r="AD62"/>
          <cell r="AE62"/>
          <cell r="AF62"/>
          <cell r="AG62"/>
          <cell r="AH62"/>
          <cell r="AI62"/>
          <cell r="AJ62"/>
          <cell r="AK62"/>
          <cell r="AL62"/>
          <cell r="AM62"/>
          <cell r="AN62"/>
          <cell r="AO62"/>
          <cell r="AP62"/>
          <cell r="AQ62"/>
          <cell r="AR62">
            <v>2878685.4500000007</v>
          </cell>
        </row>
        <row r="63">
          <cell r="C63" t="str">
            <v>PGE_211010</v>
          </cell>
          <cell r="D63" t="str">
            <v>Fresno</v>
          </cell>
          <cell r="E63"/>
          <cell r="F63"/>
          <cell r="G63">
            <v>36229.660000000003</v>
          </cell>
          <cell r="H63">
            <v>354245.57999999996</v>
          </cell>
          <cell r="I63">
            <v>390475.24</v>
          </cell>
          <cell r="J63">
            <v>390475.24</v>
          </cell>
          <cell r="K63"/>
          <cell r="L63"/>
          <cell r="M63"/>
          <cell r="N63"/>
          <cell r="O63">
            <v>172713.71</v>
          </cell>
          <cell r="P63">
            <v>90479.500000000015</v>
          </cell>
          <cell r="Q63">
            <v>263193.21000000002</v>
          </cell>
          <cell r="R63">
            <v>199416.38</v>
          </cell>
          <cell r="S63"/>
          <cell r="T63">
            <v>199416.38</v>
          </cell>
          <cell r="U63">
            <v>462609.59</v>
          </cell>
          <cell r="V63"/>
          <cell r="W63"/>
          <cell r="X63">
            <v>27152.77</v>
          </cell>
          <cell r="Y63">
            <v>14.959999999999999</v>
          </cell>
          <cell r="Z63">
            <v>27167.73</v>
          </cell>
          <cell r="AA63"/>
          <cell r="AB63"/>
          <cell r="AC63">
            <v>27167.73</v>
          </cell>
          <cell r="AD63"/>
          <cell r="AE63"/>
          <cell r="AF63"/>
          <cell r="AG63"/>
          <cell r="AH63"/>
          <cell r="AI63"/>
          <cell r="AJ63"/>
          <cell r="AK63"/>
          <cell r="AL63"/>
          <cell r="AM63"/>
          <cell r="AN63"/>
          <cell r="AO63"/>
          <cell r="AP63"/>
          <cell r="AQ63"/>
          <cell r="AR63">
            <v>880252.55999999994</v>
          </cell>
        </row>
        <row r="64">
          <cell r="C64" t="str">
            <v>PGE_211011</v>
          </cell>
          <cell r="D64" t="str">
            <v>Kern</v>
          </cell>
          <cell r="E64"/>
          <cell r="F64"/>
          <cell r="G64">
            <v>97352.25</v>
          </cell>
          <cell r="H64">
            <v>155122.14000000004</v>
          </cell>
          <cell r="I64">
            <v>252474.39000000004</v>
          </cell>
          <cell r="J64">
            <v>252474.39000000004</v>
          </cell>
          <cell r="K64"/>
          <cell r="L64"/>
          <cell r="M64"/>
          <cell r="N64"/>
          <cell r="O64">
            <v>661548.18999999994</v>
          </cell>
          <cell r="P64">
            <v>87682.909999999916</v>
          </cell>
          <cell r="Q64">
            <v>749231.09999999986</v>
          </cell>
          <cell r="R64">
            <v>941060.02</v>
          </cell>
          <cell r="S64"/>
          <cell r="T64">
            <v>941060.02</v>
          </cell>
          <cell r="U64">
            <v>1690291.1199999999</v>
          </cell>
          <cell r="V64"/>
          <cell r="W64"/>
          <cell r="X64">
            <v>93060.48000000001</v>
          </cell>
          <cell r="Y64">
            <v>15.4</v>
          </cell>
          <cell r="Z64">
            <v>93075.88</v>
          </cell>
          <cell r="AA64"/>
          <cell r="AB64"/>
          <cell r="AC64">
            <v>93075.88</v>
          </cell>
          <cell r="AD64"/>
          <cell r="AE64"/>
          <cell r="AF64"/>
          <cell r="AG64"/>
          <cell r="AH64"/>
          <cell r="AI64"/>
          <cell r="AJ64"/>
          <cell r="AK64"/>
          <cell r="AL64"/>
          <cell r="AM64"/>
          <cell r="AN64"/>
          <cell r="AO64"/>
          <cell r="AP64"/>
          <cell r="AQ64"/>
          <cell r="AR64">
            <v>2035841.3899999997</v>
          </cell>
        </row>
        <row r="65">
          <cell r="C65" t="str">
            <v>PGE_211012</v>
          </cell>
          <cell r="D65" t="str">
            <v>Madera</v>
          </cell>
          <cell r="E65"/>
          <cell r="F65"/>
          <cell r="G65">
            <v>4808.25</v>
          </cell>
          <cell r="H65">
            <v>333.64</v>
          </cell>
          <cell r="I65">
            <v>5141.8900000000003</v>
          </cell>
          <cell r="J65">
            <v>5141.8900000000003</v>
          </cell>
          <cell r="K65"/>
          <cell r="L65"/>
          <cell r="M65"/>
          <cell r="N65"/>
          <cell r="O65">
            <v>23441.1</v>
          </cell>
          <cell r="P65">
            <v>3428.87</v>
          </cell>
          <cell r="Q65">
            <v>26869.969999999998</v>
          </cell>
          <cell r="R65">
            <v>40201.629999999997</v>
          </cell>
          <cell r="S65"/>
          <cell r="T65">
            <v>40201.629999999997</v>
          </cell>
          <cell r="U65">
            <v>67071.599999999991</v>
          </cell>
          <cell r="V65"/>
          <cell r="W65"/>
          <cell r="X65">
            <v>4808.25</v>
          </cell>
          <cell r="Y65"/>
          <cell r="Z65">
            <v>4808.25</v>
          </cell>
          <cell r="AA65"/>
          <cell r="AB65"/>
          <cell r="AC65">
            <v>4808.25</v>
          </cell>
          <cell r="AD65"/>
          <cell r="AE65"/>
          <cell r="AF65"/>
          <cell r="AG65"/>
          <cell r="AH65"/>
          <cell r="AI65"/>
          <cell r="AJ65"/>
          <cell r="AK65"/>
          <cell r="AL65"/>
          <cell r="AM65"/>
          <cell r="AN65"/>
          <cell r="AO65"/>
          <cell r="AP65"/>
          <cell r="AQ65"/>
          <cell r="AR65">
            <v>77021.739999999991</v>
          </cell>
        </row>
        <row r="66">
          <cell r="C66" t="str">
            <v>PGE_211013</v>
          </cell>
          <cell r="D66" t="str">
            <v>Marin County</v>
          </cell>
          <cell r="E66"/>
          <cell r="F66"/>
          <cell r="G66">
            <v>7905.1599999999989</v>
          </cell>
          <cell r="H66">
            <v>59801.65</v>
          </cell>
          <cell r="I66">
            <v>67706.81</v>
          </cell>
          <cell r="J66">
            <v>67706.81</v>
          </cell>
          <cell r="K66"/>
          <cell r="L66"/>
          <cell r="M66"/>
          <cell r="N66"/>
          <cell r="O66">
            <v>45517.09</v>
          </cell>
          <cell r="P66">
            <v>357307.82</v>
          </cell>
          <cell r="Q66">
            <v>402824.91000000003</v>
          </cell>
          <cell r="R66">
            <v>122370.54999999999</v>
          </cell>
          <cell r="S66">
            <v>1417</v>
          </cell>
          <cell r="T66">
            <v>123787.54999999999</v>
          </cell>
          <cell r="U66">
            <v>526612.46</v>
          </cell>
          <cell r="V66"/>
          <cell r="W66"/>
          <cell r="X66">
            <v>5925.58</v>
          </cell>
          <cell r="Y66">
            <v>39727.53</v>
          </cell>
          <cell r="Z66">
            <v>45653.11</v>
          </cell>
          <cell r="AA66"/>
          <cell r="AB66"/>
          <cell r="AC66">
            <v>45653.11</v>
          </cell>
          <cell r="AD66"/>
          <cell r="AE66"/>
          <cell r="AF66"/>
          <cell r="AG66"/>
          <cell r="AH66"/>
          <cell r="AI66"/>
          <cell r="AJ66"/>
          <cell r="AK66"/>
          <cell r="AL66"/>
          <cell r="AM66"/>
          <cell r="AN66"/>
          <cell r="AO66"/>
          <cell r="AP66"/>
          <cell r="AQ66"/>
          <cell r="AR66">
            <v>639972.38</v>
          </cell>
        </row>
        <row r="67">
          <cell r="C67" t="str">
            <v>PGE_211014</v>
          </cell>
          <cell r="D67" t="str">
            <v>Mendocino County</v>
          </cell>
          <cell r="E67"/>
          <cell r="F67"/>
          <cell r="G67">
            <v>25412.25</v>
          </cell>
          <cell r="H67">
            <v>4891.3099999999995</v>
          </cell>
          <cell r="I67">
            <v>30303.559999999998</v>
          </cell>
          <cell r="J67">
            <v>30303.559999999998</v>
          </cell>
          <cell r="K67"/>
          <cell r="L67"/>
          <cell r="M67"/>
          <cell r="N67"/>
          <cell r="O67">
            <v>171018.92</v>
          </cell>
          <cell r="P67">
            <v>50103.229999999996</v>
          </cell>
          <cell r="Q67">
            <v>221122.15000000002</v>
          </cell>
          <cell r="R67">
            <v>97075.32</v>
          </cell>
          <cell r="S67"/>
          <cell r="T67">
            <v>97075.32</v>
          </cell>
          <cell r="U67">
            <v>318197.47000000003</v>
          </cell>
          <cell r="V67"/>
          <cell r="W67"/>
          <cell r="X67">
            <v>12535.79</v>
          </cell>
          <cell r="Y67"/>
          <cell r="Z67">
            <v>12535.79</v>
          </cell>
          <cell r="AA67"/>
          <cell r="AB67"/>
          <cell r="AC67">
            <v>12535.79</v>
          </cell>
          <cell r="AD67"/>
          <cell r="AE67"/>
          <cell r="AF67"/>
          <cell r="AG67"/>
          <cell r="AH67"/>
          <cell r="AI67"/>
          <cell r="AJ67"/>
          <cell r="AK67"/>
          <cell r="AL67"/>
          <cell r="AM67"/>
          <cell r="AN67"/>
          <cell r="AO67"/>
          <cell r="AP67"/>
          <cell r="AQ67"/>
          <cell r="AR67">
            <v>361036.82</v>
          </cell>
        </row>
        <row r="68">
          <cell r="C68" t="str">
            <v>PGE_211015</v>
          </cell>
          <cell r="D68" t="str">
            <v>Napa County</v>
          </cell>
          <cell r="E68"/>
          <cell r="F68"/>
          <cell r="G68">
            <v>12189.45</v>
          </cell>
          <cell r="H68">
            <v>5320.4500000000007</v>
          </cell>
          <cell r="I68">
            <v>17509.900000000001</v>
          </cell>
          <cell r="J68">
            <v>17509.900000000001</v>
          </cell>
          <cell r="K68"/>
          <cell r="L68"/>
          <cell r="M68"/>
          <cell r="N68"/>
          <cell r="O68">
            <v>94393.89</v>
          </cell>
          <cell r="P68">
            <v>54413.06</v>
          </cell>
          <cell r="Q68">
            <v>148806.95000000001</v>
          </cell>
          <cell r="R68">
            <v>40357.879999999997</v>
          </cell>
          <cell r="S68"/>
          <cell r="T68">
            <v>40357.879999999997</v>
          </cell>
          <cell r="U68">
            <v>189164.83000000002</v>
          </cell>
          <cell r="V68"/>
          <cell r="W68"/>
          <cell r="X68">
            <v>3461.81</v>
          </cell>
          <cell r="Y68"/>
          <cell r="Z68">
            <v>3461.81</v>
          </cell>
          <cell r="AA68"/>
          <cell r="AB68"/>
          <cell r="AC68">
            <v>3461.81</v>
          </cell>
          <cell r="AD68"/>
          <cell r="AE68"/>
          <cell r="AF68"/>
          <cell r="AG68"/>
          <cell r="AH68"/>
          <cell r="AI68"/>
          <cell r="AJ68"/>
          <cell r="AK68"/>
          <cell r="AL68"/>
          <cell r="AM68"/>
          <cell r="AN68"/>
          <cell r="AO68"/>
          <cell r="AP68"/>
          <cell r="AQ68"/>
          <cell r="AR68">
            <v>210136.54</v>
          </cell>
        </row>
        <row r="69">
          <cell r="C69" t="str">
            <v>PGE_211016</v>
          </cell>
          <cell r="D69" t="str">
            <v>Redwood Coast</v>
          </cell>
          <cell r="E69"/>
          <cell r="F69"/>
          <cell r="G69">
            <v>67531.33</v>
          </cell>
          <cell r="H69">
            <v>502.59000000000026</v>
          </cell>
          <cell r="I69">
            <v>68033.919999999998</v>
          </cell>
          <cell r="J69">
            <v>68033.919999999998</v>
          </cell>
          <cell r="K69"/>
          <cell r="L69"/>
          <cell r="M69"/>
          <cell r="N69"/>
          <cell r="O69">
            <v>479500.79000000004</v>
          </cell>
          <cell r="P69">
            <v>13518.860000000002</v>
          </cell>
          <cell r="Q69">
            <v>493019.65</v>
          </cell>
          <cell r="R69">
            <v>356595.74000000005</v>
          </cell>
          <cell r="S69"/>
          <cell r="T69">
            <v>356595.74000000005</v>
          </cell>
          <cell r="U69">
            <v>849615.39000000013</v>
          </cell>
          <cell r="V69"/>
          <cell r="W69"/>
          <cell r="X69">
            <v>45940.25</v>
          </cell>
          <cell r="Y69"/>
          <cell r="Z69">
            <v>45940.25</v>
          </cell>
          <cell r="AA69"/>
          <cell r="AB69"/>
          <cell r="AC69">
            <v>45940.25</v>
          </cell>
          <cell r="AD69"/>
          <cell r="AE69"/>
          <cell r="AF69"/>
          <cell r="AG69"/>
          <cell r="AH69"/>
          <cell r="AI69"/>
          <cell r="AJ69"/>
          <cell r="AK69"/>
          <cell r="AL69"/>
          <cell r="AM69"/>
          <cell r="AN69"/>
          <cell r="AO69"/>
          <cell r="AP69"/>
          <cell r="AQ69"/>
          <cell r="AR69">
            <v>963589.56</v>
          </cell>
        </row>
        <row r="70">
          <cell r="C70" t="str">
            <v>PGE_211018</v>
          </cell>
          <cell r="D70" t="str">
            <v>San Luis Obispo County</v>
          </cell>
          <cell r="E70"/>
          <cell r="F70"/>
          <cell r="G70">
            <v>29262.2</v>
          </cell>
          <cell r="H70">
            <v>179.54000000000011</v>
          </cell>
          <cell r="I70">
            <v>29441.74</v>
          </cell>
          <cell r="J70">
            <v>29441.74</v>
          </cell>
          <cell r="K70"/>
          <cell r="L70"/>
          <cell r="M70"/>
          <cell r="N70"/>
          <cell r="O70">
            <v>272100.33</v>
          </cell>
          <cell r="P70">
            <v>6938.9800000000014</v>
          </cell>
          <cell r="Q70">
            <v>279039.31</v>
          </cell>
          <cell r="R70">
            <v>211030.07</v>
          </cell>
          <cell r="S70"/>
          <cell r="T70">
            <v>211030.07</v>
          </cell>
          <cell r="U70">
            <v>490069.38</v>
          </cell>
          <cell r="V70"/>
          <cell r="W70"/>
          <cell r="X70">
            <v>25856.550000000003</v>
          </cell>
          <cell r="Y70"/>
          <cell r="Z70">
            <v>25856.550000000003</v>
          </cell>
          <cell r="AA70"/>
          <cell r="AB70"/>
          <cell r="AC70">
            <v>25856.550000000003</v>
          </cell>
          <cell r="AD70"/>
          <cell r="AE70"/>
          <cell r="AF70"/>
          <cell r="AG70"/>
          <cell r="AH70"/>
          <cell r="AI70"/>
          <cell r="AJ70"/>
          <cell r="AK70"/>
          <cell r="AL70"/>
          <cell r="AM70"/>
          <cell r="AN70"/>
          <cell r="AO70"/>
          <cell r="AP70"/>
          <cell r="AQ70"/>
          <cell r="AR70">
            <v>545367.67000000004</v>
          </cell>
        </row>
        <row r="71">
          <cell r="C71" t="str">
            <v>PGE_211019</v>
          </cell>
          <cell r="D71" t="str">
            <v>San Mateo County</v>
          </cell>
          <cell r="E71"/>
          <cell r="F71"/>
          <cell r="G71">
            <v>52004.179999999993</v>
          </cell>
          <cell r="H71">
            <v>2794.7899999999995</v>
          </cell>
          <cell r="I71">
            <v>54798.969999999994</v>
          </cell>
          <cell r="J71">
            <v>54798.969999999994</v>
          </cell>
          <cell r="K71"/>
          <cell r="L71"/>
          <cell r="M71"/>
          <cell r="N71"/>
          <cell r="O71">
            <v>719682.09</v>
          </cell>
          <cell r="P71">
            <v>38018.689999999995</v>
          </cell>
          <cell r="Q71">
            <v>757700.77999999991</v>
          </cell>
          <cell r="R71">
            <v>224808.77</v>
          </cell>
          <cell r="S71"/>
          <cell r="T71">
            <v>224808.77</v>
          </cell>
          <cell r="U71">
            <v>982509.54999999993</v>
          </cell>
          <cell r="V71"/>
          <cell r="W71"/>
          <cell r="X71">
            <v>64268.03</v>
          </cell>
          <cell r="Y71">
            <v>13</v>
          </cell>
          <cell r="Z71">
            <v>64281.03</v>
          </cell>
          <cell r="AA71"/>
          <cell r="AB71"/>
          <cell r="AC71">
            <v>64281.03</v>
          </cell>
          <cell r="AD71"/>
          <cell r="AE71"/>
          <cell r="AF71"/>
          <cell r="AG71"/>
          <cell r="AH71"/>
          <cell r="AI71"/>
          <cell r="AJ71"/>
          <cell r="AK71"/>
          <cell r="AL71"/>
          <cell r="AM71"/>
          <cell r="AN71"/>
          <cell r="AO71"/>
          <cell r="AP71"/>
          <cell r="AQ71"/>
          <cell r="AR71">
            <v>1101589.5499999998</v>
          </cell>
        </row>
        <row r="72">
          <cell r="C72" t="str">
            <v>PGE_211020</v>
          </cell>
          <cell r="D72" t="str">
            <v>Santa Barbara</v>
          </cell>
          <cell r="E72"/>
          <cell r="F72"/>
          <cell r="G72">
            <v>37167.009999999995</v>
          </cell>
          <cell r="H72">
            <v>3521.24</v>
          </cell>
          <cell r="I72">
            <v>40688.249999999993</v>
          </cell>
          <cell r="J72">
            <v>40688.249999999993</v>
          </cell>
          <cell r="K72"/>
          <cell r="L72"/>
          <cell r="M72"/>
          <cell r="N72"/>
          <cell r="O72">
            <v>284847.48</v>
          </cell>
          <cell r="P72">
            <v>40442.76</v>
          </cell>
          <cell r="Q72">
            <v>325290.23999999999</v>
          </cell>
          <cell r="R72">
            <v>261119.45</v>
          </cell>
          <cell r="S72"/>
          <cell r="T72">
            <v>261119.45</v>
          </cell>
          <cell r="U72">
            <v>586409.68999999994</v>
          </cell>
          <cell r="V72"/>
          <cell r="W72"/>
          <cell r="X72">
            <v>38801.299999999996</v>
          </cell>
          <cell r="Y72"/>
          <cell r="Z72">
            <v>38801.299999999996</v>
          </cell>
          <cell r="AA72"/>
          <cell r="AB72"/>
          <cell r="AC72">
            <v>38801.299999999996</v>
          </cell>
          <cell r="AD72"/>
          <cell r="AE72"/>
          <cell r="AF72"/>
          <cell r="AG72"/>
          <cell r="AH72"/>
          <cell r="AI72"/>
          <cell r="AJ72"/>
          <cell r="AK72"/>
          <cell r="AL72"/>
          <cell r="AM72"/>
          <cell r="AN72"/>
          <cell r="AO72"/>
          <cell r="AP72"/>
          <cell r="AQ72"/>
          <cell r="AR72">
            <v>665899.24</v>
          </cell>
        </row>
        <row r="73">
          <cell r="C73" t="str">
            <v>PGE_211021</v>
          </cell>
          <cell r="D73" t="str">
            <v>Sierra Nevada</v>
          </cell>
          <cell r="E73"/>
          <cell r="F73"/>
          <cell r="G73">
            <v>91016.42</v>
          </cell>
          <cell r="H73">
            <v>20718.790000000005</v>
          </cell>
          <cell r="I73">
            <v>111735.21</v>
          </cell>
          <cell r="J73">
            <v>111735.21</v>
          </cell>
          <cell r="K73"/>
          <cell r="L73"/>
          <cell r="M73"/>
          <cell r="N73"/>
          <cell r="O73">
            <v>497462.39999999997</v>
          </cell>
          <cell r="P73">
            <v>45774.820000000007</v>
          </cell>
          <cell r="Q73">
            <v>543237.22</v>
          </cell>
          <cell r="R73">
            <v>173095.77</v>
          </cell>
          <cell r="S73"/>
          <cell r="T73">
            <v>173095.77</v>
          </cell>
          <cell r="U73">
            <v>716332.99</v>
          </cell>
          <cell r="V73"/>
          <cell r="W73"/>
          <cell r="X73">
            <v>45031</v>
          </cell>
          <cell r="Y73">
            <v>7880.4000000000005</v>
          </cell>
          <cell r="Z73">
            <v>52911.4</v>
          </cell>
          <cell r="AA73"/>
          <cell r="AB73"/>
          <cell r="AC73">
            <v>52911.4</v>
          </cell>
          <cell r="AD73"/>
          <cell r="AE73"/>
          <cell r="AF73"/>
          <cell r="AG73"/>
          <cell r="AH73"/>
          <cell r="AI73"/>
          <cell r="AJ73"/>
          <cell r="AK73"/>
          <cell r="AL73"/>
          <cell r="AM73"/>
          <cell r="AN73"/>
          <cell r="AO73"/>
          <cell r="AP73"/>
          <cell r="AQ73"/>
          <cell r="AR73">
            <v>880979.6</v>
          </cell>
        </row>
        <row r="74">
          <cell r="C74" t="str">
            <v>PGE_211022</v>
          </cell>
          <cell r="D74" t="str">
            <v>Sonoma County</v>
          </cell>
          <cell r="E74"/>
          <cell r="F74"/>
          <cell r="G74">
            <v>80980.490000000005</v>
          </cell>
          <cell r="H74">
            <v>5253.6399999999994</v>
          </cell>
          <cell r="I74">
            <v>86234.13</v>
          </cell>
          <cell r="J74">
            <v>86234.13</v>
          </cell>
          <cell r="K74"/>
          <cell r="L74"/>
          <cell r="M74"/>
          <cell r="N74"/>
          <cell r="O74">
            <v>507990.32999999996</v>
          </cell>
          <cell r="P74">
            <v>62342.82</v>
          </cell>
          <cell r="Q74">
            <v>570333.14999999991</v>
          </cell>
          <cell r="R74">
            <v>357338.92000000004</v>
          </cell>
          <cell r="S74"/>
          <cell r="T74">
            <v>357338.92000000004</v>
          </cell>
          <cell r="U74">
            <v>927672.07</v>
          </cell>
          <cell r="V74"/>
          <cell r="W74"/>
          <cell r="X74">
            <v>49336.98</v>
          </cell>
          <cell r="Y74"/>
          <cell r="Z74">
            <v>49336.98</v>
          </cell>
          <cell r="AA74"/>
          <cell r="AB74"/>
          <cell r="AC74">
            <v>49336.98</v>
          </cell>
          <cell r="AD74"/>
          <cell r="AE74"/>
          <cell r="AF74"/>
          <cell r="AG74"/>
          <cell r="AH74"/>
          <cell r="AI74"/>
          <cell r="AJ74"/>
          <cell r="AK74"/>
          <cell r="AL74"/>
          <cell r="AM74"/>
          <cell r="AN74"/>
          <cell r="AO74"/>
          <cell r="AP74"/>
          <cell r="AQ74"/>
          <cell r="AR74">
            <v>1063243.18</v>
          </cell>
        </row>
        <row r="75">
          <cell r="C75" t="str">
            <v>PGE_211023</v>
          </cell>
          <cell r="D75" t="str">
            <v>Silicon Valley</v>
          </cell>
          <cell r="E75"/>
          <cell r="F75"/>
          <cell r="G75">
            <v>128564.97</v>
          </cell>
          <cell r="H75">
            <v>557089.61999999976</v>
          </cell>
          <cell r="I75">
            <v>685654.58999999973</v>
          </cell>
          <cell r="J75">
            <v>685654.58999999973</v>
          </cell>
          <cell r="K75"/>
          <cell r="L75"/>
          <cell r="M75"/>
          <cell r="N75"/>
          <cell r="O75">
            <v>1066680.76</v>
          </cell>
          <cell r="P75">
            <v>50567.269999999982</v>
          </cell>
          <cell r="Q75">
            <v>1117248.03</v>
          </cell>
          <cell r="R75">
            <v>660125.54</v>
          </cell>
          <cell r="S75">
            <v>25841</v>
          </cell>
          <cell r="T75">
            <v>685966.54</v>
          </cell>
          <cell r="U75">
            <v>1803214.57</v>
          </cell>
          <cell r="V75"/>
          <cell r="W75"/>
          <cell r="X75">
            <v>85531.23</v>
          </cell>
          <cell r="Y75">
            <v>23934.410000000003</v>
          </cell>
          <cell r="Z75">
            <v>109465.64</v>
          </cell>
          <cell r="AA75"/>
          <cell r="AB75"/>
          <cell r="AC75">
            <v>109465.64</v>
          </cell>
          <cell r="AD75"/>
          <cell r="AE75"/>
          <cell r="AF75"/>
          <cell r="AG75"/>
          <cell r="AH75"/>
          <cell r="AI75"/>
          <cell r="AJ75"/>
          <cell r="AK75"/>
          <cell r="AL75"/>
          <cell r="AM75"/>
          <cell r="AN75"/>
          <cell r="AO75"/>
          <cell r="AP75"/>
          <cell r="AQ75"/>
          <cell r="AR75">
            <v>2598334.7999999998</v>
          </cell>
        </row>
        <row r="76">
          <cell r="C76" t="str">
            <v>PGE_211024</v>
          </cell>
          <cell r="D76" t="str">
            <v>San Francisco</v>
          </cell>
          <cell r="E76"/>
          <cell r="F76"/>
          <cell r="G76">
            <v>158383.03999999998</v>
          </cell>
          <cell r="H76">
            <v>971479.33</v>
          </cell>
          <cell r="I76">
            <v>1129862.3699999999</v>
          </cell>
          <cell r="J76">
            <v>1129862.3699999999</v>
          </cell>
          <cell r="K76"/>
          <cell r="L76"/>
          <cell r="M76"/>
          <cell r="N76"/>
          <cell r="O76">
            <v>2005209.28</v>
          </cell>
          <cell r="P76">
            <v>74521.899999999892</v>
          </cell>
          <cell r="Q76">
            <v>2079731.18</v>
          </cell>
          <cell r="R76">
            <v>571811.12999999989</v>
          </cell>
          <cell r="S76"/>
          <cell r="T76">
            <v>571811.12999999989</v>
          </cell>
          <cell r="U76">
            <v>2651542.3099999996</v>
          </cell>
          <cell r="V76"/>
          <cell r="W76"/>
          <cell r="X76">
            <v>405557.68</v>
          </cell>
          <cell r="Y76">
            <v>38926.050000000003</v>
          </cell>
          <cell r="Z76">
            <v>444483.73</v>
          </cell>
          <cell r="AA76"/>
          <cell r="AB76"/>
          <cell r="AC76">
            <v>444483.73</v>
          </cell>
          <cell r="AD76"/>
          <cell r="AE76"/>
          <cell r="AF76"/>
          <cell r="AG76"/>
          <cell r="AH76"/>
          <cell r="AI76"/>
          <cell r="AJ76"/>
          <cell r="AK76"/>
          <cell r="AL76"/>
          <cell r="AM76"/>
          <cell r="AN76"/>
          <cell r="AO76"/>
          <cell r="AP76"/>
          <cell r="AQ76"/>
          <cell r="AR76">
            <v>4225888.41</v>
          </cell>
        </row>
        <row r="77">
          <cell r="C77" t="str">
            <v>PGE_211026</v>
          </cell>
          <cell r="D77" t="str">
            <v>North Valley</v>
          </cell>
          <cell r="E77"/>
          <cell r="F77"/>
          <cell r="G77">
            <v>13887.140000000001</v>
          </cell>
          <cell r="H77">
            <v>4255.1499999999996</v>
          </cell>
          <cell r="I77">
            <v>18142.29</v>
          </cell>
          <cell r="J77">
            <v>18142.29</v>
          </cell>
          <cell r="K77"/>
          <cell r="L77"/>
          <cell r="M77"/>
          <cell r="N77"/>
          <cell r="O77">
            <v>150546.81</v>
          </cell>
          <cell r="P77">
            <v>52289.33</v>
          </cell>
          <cell r="Q77">
            <v>202836.14</v>
          </cell>
          <cell r="R77">
            <v>45268.79</v>
          </cell>
          <cell r="S77"/>
          <cell r="T77">
            <v>45268.79</v>
          </cell>
          <cell r="U77">
            <v>248104.93000000002</v>
          </cell>
          <cell r="V77"/>
          <cell r="W77"/>
          <cell r="X77">
            <v>9005.01</v>
          </cell>
          <cell r="Y77"/>
          <cell r="Z77">
            <v>9005.01</v>
          </cell>
          <cell r="AA77"/>
          <cell r="AB77"/>
          <cell r="AC77">
            <v>9005.01</v>
          </cell>
          <cell r="AD77"/>
          <cell r="AE77"/>
          <cell r="AF77"/>
          <cell r="AG77"/>
          <cell r="AH77"/>
          <cell r="AI77"/>
          <cell r="AJ77"/>
          <cell r="AK77"/>
          <cell r="AL77"/>
          <cell r="AM77"/>
          <cell r="AN77"/>
          <cell r="AO77"/>
          <cell r="AP77"/>
          <cell r="AQ77"/>
          <cell r="AR77">
            <v>275252.23</v>
          </cell>
        </row>
        <row r="78">
          <cell r="C78" t="str">
            <v>PGE_211027</v>
          </cell>
          <cell r="D78" t="str">
            <v>Sutter Buttes</v>
          </cell>
          <cell r="E78"/>
          <cell r="F78"/>
          <cell r="G78">
            <v>2447.7100000000005</v>
          </cell>
          <cell r="H78">
            <v>3679.44</v>
          </cell>
          <cell r="I78">
            <v>6127.1500000000005</v>
          </cell>
          <cell r="J78">
            <v>6127.1500000000005</v>
          </cell>
          <cell r="K78"/>
          <cell r="L78"/>
          <cell r="M78"/>
          <cell r="N78"/>
          <cell r="O78">
            <v>59896.600000000006</v>
          </cell>
          <cell r="P78">
            <v>37291.67</v>
          </cell>
          <cell r="Q78">
            <v>97188.27</v>
          </cell>
          <cell r="R78">
            <v>13634.63</v>
          </cell>
          <cell r="S78"/>
          <cell r="T78">
            <v>13634.63</v>
          </cell>
          <cell r="U78">
            <v>110822.90000000001</v>
          </cell>
          <cell r="V78"/>
          <cell r="W78"/>
          <cell r="X78">
            <v>-6893.29</v>
          </cell>
          <cell r="Y78"/>
          <cell r="Z78">
            <v>-6893.29</v>
          </cell>
          <cell r="AA78"/>
          <cell r="AB78"/>
          <cell r="AC78">
            <v>-6893.29</v>
          </cell>
          <cell r="AD78"/>
          <cell r="AE78"/>
          <cell r="AF78"/>
          <cell r="AG78"/>
          <cell r="AH78"/>
          <cell r="AI78"/>
          <cell r="AJ78"/>
          <cell r="AK78"/>
          <cell r="AL78"/>
          <cell r="AM78"/>
          <cell r="AN78"/>
          <cell r="AO78"/>
          <cell r="AP78"/>
          <cell r="AQ78"/>
          <cell r="AR78">
            <v>110056.76000000001</v>
          </cell>
        </row>
        <row r="79">
          <cell r="C79" t="str">
            <v>PGE_211028</v>
          </cell>
          <cell r="D79" t="str">
            <v>Yolo</v>
          </cell>
          <cell r="E79"/>
          <cell r="F79"/>
          <cell r="G79">
            <v>5407.24</v>
          </cell>
          <cell r="H79">
            <v>1982.92</v>
          </cell>
          <cell r="I79">
            <v>7390.16</v>
          </cell>
          <cell r="J79">
            <v>7390.16</v>
          </cell>
          <cell r="K79"/>
          <cell r="L79"/>
          <cell r="M79"/>
          <cell r="N79"/>
          <cell r="O79">
            <v>31949.31</v>
          </cell>
          <cell r="P79">
            <v>20372.47</v>
          </cell>
          <cell r="Q79">
            <v>52321.78</v>
          </cell>
          <cell r="R79">
            <v>21109.14</v>
          </cell>
          <cell r="S79"/>
          <cell r="T79">
            <v>21109.14</v>
          </cell>
          <cell r="U79">
            <v>73430.92</v>
          </cell>
          <cell r="V79"/>
          <cell r="W79"/>
          <cell r="X79">
            <v>3014.99</v>
          </cell>
          <cell r="Y79"/>
          <cell r="Z79">
            <v>3014.99</v>
          </cell>
          <cell r="AA79"/>
          <cell r="AB79"/>
          <cell r="AC79">
            <v>3014.99</v>
          </cell>
          <cell r="AD79"/>
          <cell r="AE79"/>
          <cell r="AF79"/>
          <cell r="AG79"/>
          <cell r="AH79"/>
          <cell r="AI79"/>
          <cell r="AJ79"/>
          <cell r="AK79"/>
          <cell r="AL79"/>
          <cell r="AM79"/>
          <cell r="AN79"/>
          <cell r="AO79"/>
          <cell r="AP79"/>
          <cell r="AQ79"/>
          <cell r="AR79">
            <v>83836.070000000007</v>
          </cell>
        </row>
        <row r="80">
          <cell r="C80" t="str">
            <v>PGE_211029</v>
          </cell>
          <cell r="D80" t="str">
            <v>Solano</v>
          </cell>
          <cell r="E80"/>
          <cell r="F80"/>
          <cell r="G80">
            <v>68898.81</v>
          </cell>
          <cell r="H80">
            <v>5138.34</v>
          </cell>
          <cell r="I80">
            <v>74037.149999999994</v>
          </cell>
          <cell r="J80">
            <v>74037.149999999994</v>
          </cell>
          <cell r="K80"/>
          <cell r="L80"/>
          <cell r="M80"/>
          <cell r="N80"/>
          <cell r="O80">
            <v>706346.74</v>
          </cell>
          <cell r="P80">
            <v>59671.450000000004</v>
          </cell>
          <cell r="Q80">
            <v>766018.19</v>
          </cell>
          <cell r="R80">
            <v>436835.92000000004</v>
          </cell>
          <cell r="S80">
            <v>61441.85</v>
          </cell>
          <cell r="T80">
            <v>498277.77</v>
          </cell>
          <cell r="U80">
            <v>1264295.96</v>
          </cell>
          <cell r="V80"/>
          <cell r="W80"/>
          <cell r="X80">
            <v>36044.119999999995</v>
          </cell>
          <cell r="Y80"/>
          <cell r="Z80">
            <v>36044.119999999995</v>
          </cell>
          <cell r="AA80"/>
          <cell r="AB80"/>
          <cell r="AC80">
            <v>36044.119999999995</v>
          </cell>
          <cell r="AD80"/>
          <cell r="AE80"/>
          <cell r="AF80"/>
          <cell r="AG80"/>
          <cell r="AH80"/>
          <cell r="AI80"/>
          <cell r="AJ80"/>
          <cell r="AK80"/>
          <cell r="AL80"/>
          <cell r="AM80"/>
          <cell r="AN80"/>
          <cell r="AO80"/>
          <cell r="AP80"/>
          <cell r="AQ80"/>
          <cell r="AR80">
            <v>1374377.23</v>
          </cell>
        </row>
        <row r="81">
          <cell r="C81" t="str">
            <v>PGE_211030</v>
          </cell>
          <cell r="D81" t="str">
            <v>Northern San Joaquin Valley</v>
          </cell>
          <cell r="E81"/>
          <cell r="F81"/>
          <cell r="G81">
            <v>31452.68</v>
          </cell>
          <cell r="H81">
            <v>26.469999999999956</v>
          </cell>
          <cell r="I81">
            <v>31479.15</v>
          </cell>
          <cell r="J81">
            <v>31479.15</v>
          </cell>
          <cell r="K81"/>
          <cell r="L81"/>
          <cell r="M81"/>
          <cell r="N81"/>
          <cell r="O81">
            <v>220053.17</v>
          </cell>
          <cell r="P81">
            <v>7144.8899999999994</v>
          </cell>
          <cell r="Q81">
            <v>227198.06</v>
          </cell>
          <cell r="R81">
            <v>300484.69</v>
          </cell>
          <cell r="S81"/>
          <cell r="T81">
            <v>300484.69</v>
          </cell>
          <cell r="U81">
            <v>527682.75</v>
          </cell>
          <cell r="V81"/>
          <cell r="W81"/>
          <cell r="X81">
            <v>27638.920000000002</v>
          </cell>
          <cell r="Y81"/>
          <cell r="Z81">
            <v>27638.920000000002</v>
          </cell>
          <cell r="AA81"/>
          <cell r="AB81"/>
          <cell r="AC81">
            <v>27638.920000000002</v>
          </cell>
          <cell r="AD81"/>
          <cell r="AE81"/>
          <cell r="AF81"/>
          <cell r="AG81"/>
          <cell r="AH81"/>
          <cell r="AI81"/>
          <cell r="AJ81"/>
          <cell r="AK81"/>
          <cell r="AL81"/>
          <cell r="AM81"/>
          <cell r="AN81"/>
          <cell r="AO81"/>
          <cell r="AP81"/>
          <cell r="AQ81"/>
          <cell r="AR81">
            <v>586800.82000000007</v>
          </cell>
        </row>
        <row r="82">
          <cell r="C82" t="str">
            <v>PGE_211031</v>
          </cell>
          <cell r="D82" t="str">
            <v>Valley Innovative Energy Watch (VIEW)</v>
          </cell>
          <cell r="E82"/>
          <cell r="F82"/>
          <cell r="G82">
            <v>20912.829999999998</v>
          </cell>
          <cell r="H82">
            <v>5092.1000000000004</v>
          </cell>
          <cell r="I82">
            <v>26004.93</v>
          </cell>
          <cell r="J82">
            <v>26004.93</v>
          </cell>
          <cell r="K82"/>
          <cell r="L82"/>
          <cell r="M82"/>
          <cell r="N82"/>
          <cell r="O82">
            <v>150616.15</v>
          </cell>
          <cell r="P82">
            <v>20176.419999999998</v>
          </cell>
          <cell r="Q82">
            <v>170792.57</v>
          </cell>
          <cell r="R82">
            <v>59332.78</v>
          </cell>
          <cell r="S82"/>
          <cell r="T82">
            <v>59332.78</v>
          </cell>
          <cell r="U82">
            <v>230125.35</v>
          </cell>
          <cell r="V82"/>
          <cell r="W82"/>
          <cell r="X82">
            <v>23904.66</v>
          </cell>
          <cell r="Y82"/>
          <cell r="Z82">
            <v>23904.66</v>
          </cell>
          <cell r="AA82"/>
          <cell r="AB82"/>
          <cell r="AC82">
            <v>23904.66</v>
          </cell>
          <cell r="AD82"/>
          <cell r="AE82"/>
          <cell r="AF82"/>
          <cell r="AG82"/>
          <cell r="AH82"/>
          <cell r="AI82"/>
          <cell r="AJ82"/>
          <cell r="AK82"/>
          <cell r="AL82"/>
          <cell r="AM82"/>
          <cell r="AN82"/>
          <cell r="AO82"/>
          <cell r="AP82"/>
          <cell r="AQ82"/>
          <cell r="AR82">
            <v>280034.94</v>
          </cell>
        </row>
        <row r="83">
          <cell r="C83" t="str">
            <v>PGE_21007</v>
          </cell>
          <cell r="D83" t="str">
            <v>California New Homes Multifamily</v>
          </cell>
          <cell r="E83"/>
          <cell r="F83"/>
          <cell r="G83">
            <v>23776.82</v>
          </cell>
          <cell r="H83">
            <v>12780.18</v>
          </cell>
          <cell r="I83">
            <v>36557</v>
          </cell>
          <cell r="J83">
            <v>36557</v>
          </cell>
          <cell r="K83"/>
          <cell r="L83"/>
          <cell r="M83"/>
          <cell r="N83"/>
          <cell r="O83">
            <v>699657.14</v>
          </cell>
          <cell r="P83">
            <v>43061.000000000007</v>
          </cell>
          <cell r="Q83">
            <v>742718.14</v>
          </cell>
          <cell r="R83">
            <v>835182</v>
          </cell>
          <cell r="S83"/>
          <cell r="T83">
            <v>835182</v>
          </cell>
          <cell r="U83">
            <v>1577900.1400000001</v>
          </cell>
          <cell r="V83"/>
          <cell r="W83"/>
          <cell r="X83">
            <v>106913.09999999999</v>
          </cell>
          <cell r="Y83">
            <v>514.13</v>
          </cell>
          <cell r="Z83">
            <v>107427.23</v>
          </cell>
          <cell r="AA83"/>
          <cell r="AB83"/>
          <cell r="AC83">
            <v>107427.23</v>
          </cell>
          <cell r="AD83"/>
          <cell r="AE83"/>
          <cell r="AF83"/>
          <cell r="AG83"/>
          <cell r="AH83"/>
          <cell r="AI83"/>
          <cell r="AJ83"/>
          <cell r="AK83"/>
          <cell r="AL83"/>
          <cell r="AM83"/>
          <cell r="AN83"/>
          <cell r="AO83"/>
          <cell r="AP83"/>
          <cell r="AQ83"/>
          <cell r="AR83">
            <v>1721884.37</v>
          </cell>
        </row>
        <row r="84">
          <cell r="C84" t="str">
            <v>PGE_21008</v>
          </cell>
          <cell r="D84" t="str">
            <v>Enhance Time Delay Relay</v>
          </cell>
          <cell r="E84"/>
          <cell r="F84"/>
          <cell r="G84">
            <v>43973.34</v>
          </cell>
          <cell r="H84">
            <v>476425.06000000006</v>
          </cell>
          <cell r="I84">
            <v>520398.4</v>
          </cell>
          <cell r="J84">
            <v>520398.4</v>
          </cell>
          <cell r="K84"/>
          <cell r="L84"/>
          <cell r="M84"/>
          <cell r="N84"/>
          <cell r="O84">
            <v>756341.73</v>
          </cell>
          <cell r="P84">
            <v>157950.81</v>
          </cell>
          <cell r="Q84">
            <v>914292.54</v>
          </cell>
          <cell r="R84">
            <v>3858570</v>
          </cell>
          <cell r="S84"/>
          <cell r="T84">
            <v>3858570</v>
          </cell>
          <cell r="U84">
            <v>4772862.54</v>
          </cell>
          <cell r="V84"/>
          <cell r="W84"/>
          <cell r="X84">
            <v>79151.819999999992</v>
          </cell>
          <cell r="Y84">
            <v>826.78</v>
          </cell>
          <cell r="Z84">
            <v>79978.599999999991</v>
          </cell>
          <cell r="AA84"/>
          <cell r="AB84"/>
          <cell r="AC84">
            <v>79978.599999999991</v>
          </cell>
          <cell r="AD84"/>
          <cell r="AE84"/>
          <cell r="AF84"/>
          <cell r="AG84"/>
          <cell r="AH84"/>
          <cell r="AI84"/>
          <cell r="AJ84"/>
          <cell r="AK84"/>
          <cell r="AL84"/>
          <cell r="AM84"/>
          <cell r="AN84"/>
          <cell r="AO84"/>
          <cell r="AP84"/>
          <cell r="AQ84"/>
          <cell r="AR84">
            <v>5373239.54</v>
          </cell>
        </row>
        <row r="85">
          <cell r="C85" t="str">
            <v>PGE_21009</v>
          </cell>
          <cell r="D85" t="str">
            <v>Direct Install for Manufactured and Mobi</v>
          </cell>
          <cell r="E85"/>
          <cell r="F85"/>
          <cell r="G85">
            <v>506523.13999999996</v>
          </cell>
          <cell r="H85">
            <v>522752.2</v>
          </cell>
          <cell r="I85">
            <v>1029275.34</v>
          </cell>
          <cell r="J85">
            <v>1029275.34</v>
          </cell>
          <cell r="K85"/>
          <cell r="L85"/>
          <cell r="M85"/>
          <cell r="N85"/>
          <cell r="O85">
            <v>569701.66999999993</v>
          </cell>
          <cell r="P85">
            <v>203983.54</v>
          </cell>
          <cell r="Q85">
            <v>773685.21</v>
          </cell>
          <cell r="R85">
            <v>3129611.5500000003</v>
          </cell>
          <cell r="S85"/>
          <cell r="T85">
            <v>3129611.5500000003</v>
          </cell>
          <cell r="U85">
            <v>3903296.7600000002</v>
          </cell>
          <cell r="V85"/>
          <cell r="W85"/>
          <cell r="X85">
            <v>506523.13999999996</v>
          </cell>
          <cell r="Y85">
            <v>37051.11</v>
          </cell>
          <cell r="Z85">
            <v>543574.25</v>
          </cell>
          <cell r="AA85"/>
          <cell r="AB85"/>
          <cell r="AC85">
            <v>543574.25</v>
          </cell>
          <cell r="AD85"/>
          <cell r="AE85"/>
          <cell r="AF85"/>
          <cell r="AG85"/>
          <cell r="AH85"/>
          <cell r="AI85"/>
          <cell r="AJ85"/>
          <cell r="AK85"/>
          <cell r="AL85"/>
          <cell r="AM85"/>
          <cell r="AN85"/>
          <cell r="AO85"/>
          <cell r="AP85"/>
          <cell r="AQ85"/>
          <cell r="AR85">
            <v>5476146.3499999996</v>
          </cell>
        </row>
        <row r="86">
          <cell r="C86" t="str">
            <v>PGE_210011</v>
          </cell>
          <cell r="D86" t="str">
            <v>Residential Energy Fitness Program</v>
          </cell>
          <cell r="E86"/>
          <cell r="F86"/>
          <cell r="G86">
            <v>580340.47</v>
          </cell>
          <cell r="H86">
            <v>826622.30999999994</v>
          </cell>
          <cell r="I86">
            <v>1406962.7799999998</v>
          </cell>
          <cell r="J86">
            <v>1406962.7799999998</v>
          </cell>
          <cell r="K86"/>
          <cell r="L86"/>
          <cell r="M86"/>
          <cell r="N86"/>
          <cell r="O86">
            <v>1774970.17</v>
          </cell>
          <cell r="P86">
            <v>2481.02</v>
          </cell>
          <cell r="Q86">
            <v>1777451.19</v>
          </cell>
          <cell r="R86">
            <v>12877801.420000002</v>
          </cell>
          <cell r="S86"/>
          <cell r="T86">
            <v>12877801.420000002</v>
          </cell>
          <cell r="U86">
            <v>14655252.610000001</v>
          </cell>
          <cell r="V86"/>
          <cell r="W86"/>
          <cell r="X86">
            <v>369424.67</v>
          </cell>
          <cell r="Y86">
            <v>929.31999999999994</v>
          </cell>
          <cell r="Z86">
            <v>370353.99</v>
          </cell>
          <cell r="AA86"/>
          <cell r="AB86"/>
          <cell r="AC86">
            <v>370353.99</v>
          </cell>
          <cell r="AD86"/>
          <cell r="AE86"/>
          <cell r="AF86"/>
          <cell r="AG86"/>
          <cell r="AH86"/>
          <cell r="AI86"/>
          <cell r="AJ86"/>
          <cell r="AK86"/>
          <cell r="AL86"/>
          <cell r="AM86"/>
          <cell r="AN86"/>
          <cell r="AO86"/>
          <cell r="AP86"/>
          <cell r="AQ86"/>
          <cell r="AR86">
            <v>16432569.380000001</v>
          </cell>
        </row>
        <row r="87">
          <cell r="C87" t="str">
            <v>PGE_210112</v>
          </cell>
          <cell r="D87" t="str">
            <v>School Energy Efficiency</v>
          </cell>
          <cell r="E87"/>
          <cell r="F87"/>
          <cell r="G87">
            <v>16636.060000000001</v>
          </cell>
          <cell r="H87">
            <v>124558.34000000003</v>
          </cell>
          <cell r="I87">
            <v>141194.40000000002</v>
          </cell>
          <cell r="J87">
            <v>141194.40000000002</v>
          </cell>
          <cell r="K87"/>
          <cell r="L87"/>
          <cell r="M87"/>
          <cell r="N87"/>
          <cell r="O87">
            <v>529321.79</v>
          </cell>
          <cell r="P87">
            <v>66967.070000000007</v>
          </cell>
          <cell r="Q87">
            <v>596288.8600000001</v>
          </cell>
          <cell r="R87">
            <v>397981.33999999997</v>
          </cell>
          <cell r="S87"/>
          <cell r="T87">
            <v>397981.33999999997</v>
          </cell>
          <cell r="U87">
            <v>994270.20000000007</v>
          </cell>
          <cell r="V87"/>
          <cell r="W87"/>
          <cell r="X87">
            <v>24954.639999999999</v>
          </cell>
          <cell r="Y87">
            <v>457.92</v>
          </cell>
          <cell r="Z87">
            <v>25412.559999999998</v>
          </cell>
          <cell r="AA87"/>
          <cell r="AB87"/>
          <cell r="AC87">
            <v>25412.559999999998</v>
          </cell>
          <cell r="AD87"/>
          <cell r="AE87"/>
          <cell r="AF87"/>
          <cell r="AG87"/>
          <cell r="AH87"/>
          <cell r="AI87"/>
          <cell r="AJ87"/>
          <cell r="AK87"/>
          <cell r="AL87"/>
          <cell r="AM87"/>
          <cell r="AN87"/>
          <cell r="AO87"/>
          <cell r="AP87"/>
          <cell r="AQ87"/>
          <cell r="AR87">
            <v>1160877.1599999999</v>
          </cell>
        </row>
        <row r="88">
          <cell r="C88" t="str">
            <v>PGE_210119</v>
          </cell>
          <cell r="D88" t="str">
            <v>LED Accelerator</v>
          </cell>
          <cell r="E88"/>
          <cell r="F88"/>
          <cell r="G88">
            <v>16028.12</v>
          </cell>
          <cell r="H88">
            <v>-58460.580000000009</v>
          </cell>
          <cell r="I88">
            <v>-42432.460000000006</v>
          </cell>
          <cell r="J88">
            <v>-42432.460000000006</v>
          </cell>
          <cell r="K88"/>
          <cell r="L88"/>
          <cell r="M88"/>
          <cell r="N88"/>
          <cell r="O88">
            <v>172302.36</v>
          </cell>
          <cell r="P88">
            <v>81513.37</v>
          </cell>
          <cell r="Q88">
            <v>253815.72999999998</v>
          </cell>
          <cell r="R88">
            <v>221591.27</v>
          </cell>
          <cell r="S88"/>
          <cell r="T88">
            <v>221591.27</v>
          </cell>
          <cell r="U88">
            <v>475407</v>
          </cell>
          <cell r="V88"/>
          <cell r="W88"/>
          <cell r="X88">
            <v>12021.1</v>
          </cell>
          <cell r="Y88">
            <v>-1504.5700000000015</v>
          </cell>
          <cell r="Z88">
            <v>10516.529999999999</v>
          </cell>
          <cell r="AA88"/>
          <cell r="AB88"/>
          <cell r="AC88">
            <v>10516.529999999999</v>
          </cell>
          <cell r="AD88"/>
          <cell r="AE88"/>
          <cell r="AF88"/>
          <cell r="AG88"/>
          <cell r="AH88"/>
          <cell r="AI88"/>
          <cell r="AJ88"/>
          <cell r="AK88"/>
          <cell r="AL88"/>
          <cell r="AM88"/>
          <cell r="AN88"/>
          <cell r="AO88"/>
          <cell r="AP88"/>
          <cell r="AQ88"/>
          <cell r="AR88">
            <v>443491.06999999989</v>
          </cell>
        </row>
        <row r="89">
          <cell r="C89" t="str">
            <v>PGE_210123</v>
          </cell>
          <cell r="D89" t="str">
            <v>Healthcare Energy Efficiency Program</v>
          </cell>
          <cell r="E89"/>
          <cell r="F89"/>
          <cell r="G89">
            <v>77490.960000000006</v>
          </cell>
          <cell r="H89">
            <v>2979.16</v>
          </cell>
          <cell r="I89">
            <v>80470.12000000001</v>
          </cell>
          <cell r="J89">
            <v>80470.12000000001</v>
          </cell>
          <cell r="K89"/>
          <cell r="L89"/>
          <cell r="M89"/>
          <cell r="N89"/>
          <cell r="O89">
            <v>947355.8899999999</v>
          </cell>
          <cell r="P89">
            <v>40382.53</v>
          </cell>
          <cell r="Q89">
            <v>987738.41999999993</v>
          </cell>
          <cell r="R89">
            <v>853655.35</v>
          </cell>
          <cell r="S89"/>
          <cell r="T89">
            <v>853655.35</v>
          </cell>
          <cell r="U89">
            <v>1841393.77</v>
          </cell>
          <cell r="V89"/>
          <cell r="W89"/>
          <cell r="X89">
            <v>143748.96</v>
          </cell>
          <cell r="Y89">
            <v>412.13</v>
          </cell>
          <cell r="Z89">
            <v>144161.09</v>
          </cell>
          <cell r="AA89"/>
          <cell r="AB89"/>
          <cell r="AC89">
            <v>144161.09</v>
          </cell>
          <cell r="AD89"/>
          <cell r="AE89"/>
          <cell r="AF89"/>
          <cell r="AG89"/>
          <cell r="AH89"/>
          <cell r="AI89"/>
          <cell r="AJ89"/>
          <cell r="AK89"/>
          <cell r="AL89"/>
          <cell r="AM89"/>
          <cell r="AN89"/>
          <cell r="AO89"/>
          <cell r="AP89"/>
          <cell r="AQ89"/>
          <cell r="AR89">
            <v>2066024.9799999995</v>
          </cell>
        </row>
        <row r="90">
          <cell r="C90" t="str">
            <v>PGE_210139</v>
          </cell>
          <cell r="D90" t="str">
            <v>SEI ENERGIZE SCHOOLS</v>
          </cell>
          <cell r="E90"/>
          <cell r="F90"/>
          <cell r="G90">
            <v>794.75</v>
          </cell>
          <cell r="H90">
            <v>-16.59</v>
          </cell>
          <cell r="I90">
            <v>778.16</v>
          </cell>
          <cell r="J90">
            <v>778.16</v>
          </cell>
          <cell r="K90"/>
          <cell r="L90"/>
          <cell r="M90"/>
          <cell r="N90"/>
          <cell r="O90">
            <v>34469.199999999997</v>
          </cell>
          <cell r="P90">
            <v>2859.46</v>
          </cell>
          <cell r="Q90">
            <v>37328.659999999996</v>
          </cell>
          <cell r="R90"/>
          <cell r="S90"/>
          <cell r="T90"/>
          <cell r="U90">
            <v>37328.659999999996</v>
          </cell>
          <cell r="V90"/>
          <cell r="W90"/>
          <cell r="X90"/>
          <cell r="Y90"/>
          <cell r="Z90"/>
          <cell r="AA90"/>
          <cell r="AB90"/>
          <cell r="AC90"/>
          <cell r="AD90"/>
          <cell r="AE90"/>
          <cell r="AF90"/>
          <cell r="AG90"/>
          <cell r="AH90"/>
          <cell r="AI90"/>
          <cell r="AJ90"/>
          <cell r="AK90"/>
          <cell r="AL90"/>
          <cell r="AM90"/>
          <cell r="AN90"/>
          <cell r="AO90"/>
          <cell r="AP90"/>
          <cell r="AQ90"/>
          <cell r="AR90">
            <v>38106.82</v>
          </cell>
        </row>
        <row r="91">
          <cell r="C91" t="str">
            <v>PGE_210143</v>
          </cell>
          <cell r="D91" t="str">
            <v>Hospitality Program</v>
          </cell>
          <cell r="E91"/>
          <cell r="F91"/>
          <cell r="G91">
            <v>2282197.66</v>
          </cell>
          <cell r="H91">
            <v>1218799.8799999999</v>
          </cell>
          <cell r="I91">
            <v>3500997.54</v>
          </cell>
          <cell r="J91">
            <v>3500997.54</v>
          </cell>
          <cell r="K91"/>
          <cell r="L91"/>
          <cell r="M91"/>
          <cell r="N91"/>
          <cell r="O91">
            <v>7758302.0499999998</v>
          </cell>
          <cell r="P91">
            <v>413710.07</v>
          </cell>
          <cell r="Q91">
            <v>8172012.1200000001</v>
          </cell>
          <cell r="R91">
            <v>10060115.869999999</v>
          </cell>
          <cell r="S91"/>
          <cell r="T91">
            <v>10060115.869999999</v>
          </cell>
          <cell r="U91">
            <v>18232127.989999998</v>
          </cell>
          <cell r="V91"/>
          <cell r="W91"/>
          <cell r="X91">
            <v>1370118.61</v>
          </cell>
          <cell r="Y91">
            <v>44637.21</v>
          </cell>
          <cell r="Z91">
            <v>1414755.82</v>
          </cell>
          <cell r="AA91"/>
          <cell r="AB91"/>
          <cell r="AC91">
            <v>1414755.82</v>
          </cell>
          <cell r="AD91"/>
          <cell r="AE91"/>
          <cell r="AF91"/>
          <cell r="AG91"/>
          <cell r="AH91"/>
          <cell r="AI91"/>
          <cell r="AJ91"/>
          <cell r="AK91"/>
          <cell r="AL91"/>
          <cell r="AM91"/>
          <cell r="AN91"/>
          <cell r="AO91"/>
          <cell r="AP91"/>
          <cell r="AQ91"/>
          <cell r="AR91">
            <v>23147881.350000001</v>
          </cell>
        </row>
        <row r="92">
          <cell r="C92" t="str">
            <v>PGE_21018</v>
          </cell>
          <cell r="D92" t="str">
            <v>EnergySmart Grocer</v>
          </cell>
          <cell r="E92"/>
          <cell r="F92"/>
          <cell r="G92">
            <v>88032.41</v>
          </cell>
          <cell r="H92">
            <v>868830.57999999984</v>
          </cell>
          <cell r="I92">
            <v>956862.98999999987</v>
          </cell>
          <cell r="J92">
            <v>956862.98999999987</v>
          </cell>
          <cell r="K92"/>
          <cell r="L92"/>
          <cell r="M92"/>
          <cell r="N92"/>
          <cell r="O92">
            <v>2682326.6</v>
          </cell>
          <cell r="P92">
            <v>262736.7</v>
          </cell>
          <cell r="Q92">
            <v>2945063.3000000003</v>
          </cell>
          <cell r="R92">
            <v>845205.34</v>
          </cell>
          <cell r="S92"/>
          <cell r="T92">
            <v>845205.34</v>
          </cell>
          <cell r="U92">
            <v>3790268.64</v>
          </cell>
          <cell r="V92"/>
          <cell r="W92"/>
          <cell r="X92">
            <v>146387.31</v>
          </cell>
          <cell r="Y92">
            <v>35016.950000000004</v>
          </cell>
          <cell r="Z92">
            <v>181404.26</v>
          </cell>
          <cell r="AA92"/>
          <cell r="AB92"/>
          <cell r="AC92">
            <v>181404.26</v>
          </cell>
          <cell r="AD92"/>
          <cell r="AE92"/>
          <cell r="AF92"/>
          <cell r="AG92"/>
          <cell r="AH92"/>
          <cell r="AI92"/>
          <cell r="AJ92"/>
          <cell r="AK92"/>
          <cell r="AL92"/>
          <cell r="AM92"/>
          <cell r="AN92"/>
          <cell r="AO92"/>
          <cell r="AP92"/>
          <cell r="AQ92"/>
          <cell r="AR92">
            <v>4928535.8899999997</v>
          </cell>
        </row>
        <row r="93">
          <cell r="C93" t="str">
            <v>PGE_210135</v>
          </cell>
          <cell r="D93" t="str">
            <v>LINCUS WISE</v>
          </cell>
          <cell r="E93"/>
          <cell r="F93"/>
          <cell r="G93">
            <v>1355.18</v>
          </cell>
          <cell r="H93">
            <v>142372.52000000005</v>
          </cell>
          <cell r="I93">
            <v>143727.70000000004</v>
          </cell>
          <cell r="J93">
            <v>143727.70000000004</v>
          </cell>
          <cell r="K93"/>
          <cell r="L93"/>
          <cell r="M93"/>
          <cell r="N93"/>
          <cell r="O93">
            <v>227704.9</v>
          </cell>
          <cell r="P93">
            <v>70856.63</v>
          </cell>
          <cell r="Q93">
            <v>298561.53000000003</v>
          </cell>
          <cell r="R93">
            <v>73776.12</v>
          </cell>
          <cell r="S93"/>
          <cell r="T93">
            <v>73776.12</v>
          </cell>
          <cell r="U93">
            <v>372337.65</v>
          </cell>
          <cell r="V93"/>
          <cell r="W93"/>
          <cell r="X93"/>
          <cell r="Y93">
            <v>734.76</v>
          </cell>
          <cell r="Z93">
            <v>734.76</v>
          </cell>
          <cell r="AA93"/>
          <cell r="AB93"/>
          <cell r="AC93">
            <v>734.76</v>
          </cell>
          <cell r="AD93"/>
          <cell r="AE93"/>
          <cell r="AF93"/>
          <cell r="AG93"/>
          <cell r="AH93"/>
          <cell r="AI93"/>
          <cell r="AJ93"/>
          <cell r="AK93"/>
          <cell r="AL93"/>
          <cell r="AM93"/>
          <cell r="AN93"/>
          <cell r="AO93"/>
          <cell r="AP93"/>
          <cell r="AQ93"/>
          <cell r="AR93">
            <v>516800.11000000004</v>
          </cell>
        </row>
        <row r="94">
          <cell r="C94" t="str">
            <v>PGE_210210</v>
          </cell>
          <cell r="D94" t="str">
            <v>Industrial Recommissioning Program</v>
          </cell>
          <cell r="E94"/>
          <cell r="F94"/>
          <cell r="G94">
            <v>21509.68</v>
          </cell>
          <cell r="H94">
            <v>168526.57</v>
          </cell>
          <cell r="I94">
            <v>190036.25</v>
          </cell>
          <cell r="J94">
            <v>190036.25</v>
          </cell>
          <cell r="K94"/>
          <cell r="L94"/>
          <cell r="M94"/>
          <cell r="N94"/>
          <cell r="O94">
            <v>157020.75</v>
          </cell>
          <cell r="P94">
            <v>35108.630000000005</v>
          </cell>
          <cell r="Q94">
            <v>192129.38</v>
          </cell>
          <cell r="R94">
            <v>45403.86</v>
          </cell>
          <cell r="S94"/>
          <cell r="T94">
            <v>45403.86</v>
          </cell>
          <cell r="U94">
            <v>237533.24</v>
          </cell>
          <cell r="V94"/>
          <cell r="W94"/>
          <cell r="X94">
            <v>36566.490000000005</v>
          </cell>
          <cell r="Y94">
            <v>462.09000000000003</v>
          </cell>
          <cell r="Z94">
            <v>37028.58</v>
          </cell>
          <cell r="AA94"/>
          <cell r="AB94"/>
          <cell r="AC94">
            <v>37028.58</v>
          </cell>
          <cell r="AD94"/>
          <cell r="AE94"/>
          <cell r="AF94"/>
          <cell r="AG94"/>
          <cell r="AH94"/>
          <cell r="AI94"/>
          <cell r="AJ94"/>
          <cell r="AK94"/>
          <cell r="AL94"/>
          <cell r="AM94"/>
          <cell r="AN94"/>
          <cell r="AO94"/>
          <cell r="AP94"/>
          <cell r="AQ94"/>
          <cell r="AR94">
            <v>464598.07</v>
          </cell>
        </row>
        <row r="95">
          <cell r="C95" t="str">
            <v>PGE_210211</v>
          </cell>
          <cell r="D95" t="str">
            <v>Light Industrial Energy Efficiency Prog</v>
          </cell>
          <cell r="E95"/>
          <cell r="F95"/>
          <cell r="G95">
            <v>1113.4000000000001</v>
          </cell>
          <cell r="H95">
            <v>685.82</v>
          </cell>
          <cell r="I95">
            <v>1799.2200000000003</v>
          </cell>
          <cell r="J95">
            <v>1799.2200000000003</v>
          </cell>
          <cell r="K95"/>
          <cell r="L95"/>
          <cell r="M95"/>
          <cell r="N95"/>
          <cell r="O95">
            <v>-63664.95</v>
          </cell>
          <cell r="P95">
            <v>6532.4</v>
          </cell>
          <cell r="Q95">
            <v>-57132.549999999996</v>
          </cell>
          <cell r="R95">
            <v>2466.25</v>
          </cell>
          <cell r="S95"/>
          <cell r="T95">
            <v>2466.25</v>
          </cell>
          <cell r="U95">
            <v>-54666.299999999996</v>
          </cell>
          <cell r="V95"/>
          <cell r="W95"/>
          <cell r="X95">
            <v>2226.8000000000002</v>
          </cell>
          <cell r="Y95">
            <v>-5.1500000000000039</v>
          </cell>
          <cell r="Z95">
            <v>2221.65</v>
          </cell>
          <cell r="AA95"/>
          <cell r="AB95"/>
          <cell r="AC95">
            <v>2221.65</v>
          </cell>
          <cell r="AD95"/>
          <cell r="AE95"/>
          <cell r="AF95"/>
          <cell r="AG95"/>
          <cell r="AH95"/>
          <cell r="AI95"/>
          <cell r="AJ95"/>
          <cell r="AK95"/>
          <cell r="AL95"/>
          <cell r="AM95"/>
          <cell r="AN95"/>
          <cell r="AO95"/>
          <cell r="AP95"/>
          <cell r="AQ95"/>
          <cell r="AR95">
            <v>-50645.429999999993</v>
          </cell>
        </row>
        <row r="96">
          <cell r="C96" t="str">
            <v>PGE_210212</v>
          </cell>
          <cell r="D96" t="str">
            <v>Ind Compressed Air Systems Efficiency</v>
          </cell>
          <cell r="E96"/>
          <cell r="F96"/>
          <cell r="G96">
            <v>13690.500000000007</v>
          </cell>
          <cell r="H96">
            <v>7175.4099999999989</v>
          </cell>
          <cell r="I96">
            <v>20865.910000000007</v>
          </cell>
          <cell r="J96">
            <v>20865.910000000007</v>
          </cell>
          <cell r="K96"/>
          <cell r="L96"/>
          <cell r="M96"/>
          <cell r="N96"/>
          <cell r="O96">
            <v>92779.54999999993</v>
          </cell>
          <cell r="P96">
            <v>56584.450000000106</v>
          </cell>
          <cell r="Q96">
            <v>149364.00000000003</v>
          </cell>
          <cell r="R96">
            <v>-415702.82</v>
          </cell>
          <cell r="S96"/>
          <cell r="T96">
            <v>-415702.82</v>
          </cell>
          <cell r="U96">
            <v>-266338.81999999995</v>
          </cell>
          <cell r="V96"/>
          <cell r="W96"/>
          <cell r="X96">
            <v>8313.8900000000031</v>
          </cell>
          <cell r="Y96">
            <v>240.34</v>
          </cell>
          <cell r="Z96">
            <v>8554.2300000000032</v>
          </cell>
          <cell r="AA96"/>
          <cell r="AB96"/>
          <cell r="AC96">
            <v>8554.2300000000032</v>
          </cell>
          <cell r="AD96"/>
          <cell r="AE96"/>
          <cell r="AF96"/>
          <cell r="AG96"/>
          <cell r="AH96"/>
          <cell r="AI96"/>
          <cell r="AJ96"/>
          <cell r="AK96"/>
          <cell r="AL96"/>
          <cell r="AM96"/>
          <cell r="AN96"/>
          <cell r="AO96"/>
          <cell r="AP96"/>
          <cell r="AQ96"/>
          <cell r="AR96">
            <v>-236918.67999999996</v>
          </cell>
        </row>
        <row r="97">
          <cell r="C97" t="str">
            <v>PGE_210213</v>
          </cell>
          <cell r="D97" t="str">
            <v>Small Petrochemical EE Program</v>
          </cell>
          <cell r="E97"/>
          <cell r="F97"/>
          <cell r="G97"/>
          <cell r="H97">
            <v>727.57</v>
          </cell>
          <cell r="I97">
            <v>727.57</v>
          </cell>
          <cell r="J97">
            <v>727.57</v>
          </cell>
          <cell r="K97"/>
          <cell r="L97"/>
          <cell r="M97"/>
          <cell r="N97"/>
          <cell r="O97"/>
          <cell r="P97">
            <v>6928.02</v>
          </cell>
          <cell r="Q97">
            <v>6928.02</v>
          </cell>
          <cell r="R97"/>
          <cell r="S97"/>
          <cell r="T97"/>
          <cell r="U97">
            <v>6928.02</v>
          </cell>
          <cell r="V97"/>
          <cell r="W97"/>
          <cell r="X97"/>
          <cell r="Y97">
            <v>-5.4700000000000006</v>
          </cell>
          <cell r="Z97">
            <v>-5.4700000000000006</v>
          </cell>
          <cell r="AA97"/>
          <cell r="AB97"/>
          <cell r="AC97">
            <v>-5.4700000000000006</v>
          </cell>
          <cell r="AD97"/>
          <cell r="AE97"/>
          <cell r="AF97"/>
          <cell r="AG97"/>
          <cell r="AH97"/>
          <cell r="AI97"/>
          <cell r="AJ97"/>
          <cell r="AK97"/>
          <cell r="AL97"/>
          <cell r="AM97"/>
          <cell r="AN97"/>
          <cell r="AO97"/>
          <cell r="AP97"/>
          <cell r="AQ97"/>
          <cell r="AR97">
            <v>7650.12</v>
          </cell>
        </row>
        <row r="98">
          <cell r="C98" t="str">
            <v>PGE_21025</v>
          </cell>
          <cell r="D98" t="str">
            <v>California Wastewater Process Optimizati</v>
          </cell>
          <cell r="E98"/>
          <cell r="F98"/>
          <cell r="G98"/>
          <cell r="H98">
            <v>739.20000000000016</v>
          </cell>
          <cell r="I98">
            <v>739.20000000000016</v>
          </cell>
          <cell r="J98">
            <v>739.20000000000016</v>
          </cell>
          <cell r="K98"/>
          <cell r="L98"/>
          <cell r="M98"/>
          <cell r="N98"/>
          <cell r="O98">
            <v>-58794.879999999997</v>
          </cell>
          <cell r="P98">
            <v>9660.7099999999991</v>
          </cell>
          <cell r="Q98">
            <v>-49134.17</v>
          </cell>
          <cell r="R98">
            <v>4871</v>
          </cell>
          <cell r="S98"/>
          <cell r="T98">
            <v>4871</v>
          </cell>
          <cell r="U98">
            <v>-44263.17</v>
          </cell>
          <cell r="V98"/>
          <cell r="W98"/>
          <cell r="X98"/>
          <cell r="Y98">
            <v>-3.9499999999999975</v>
          </cell>
          <cell r="Z98">
            <v>-3.9499999999999975</v>
          </cell>
          <cell r="AA98"/>
          <cell r="AB98"/>
          <cell r="AC98">
            <v>-3.9499999999999975</v>
          </cell>
          <cell r="AD98"/>
          <cell r="AE98"/>
          <cell r="AF98"/>
          <cell r="AG98"/>
          <cell r="AH98"/>
          <cell r="AI98"/>
          <cell r="AJ98"/>
          <cell r="AK98"/>
          <cell r="AL98"/>
          <cell r="AM98"/>
          <cell r="AN98"/>
          <cell r="AO98"/>
          <cell r="AP98"/>
          <cell r="AQ98"/>
          <cell r="AR98">
            <v>-43527.92</v>
          </cell>
        </row>
        <row r="99">
          <cell r="C99" t="str">
            <v>PGE_21026</v>
          </cell>
          <cell r="D99" t="str">
            <v>Energy Efficiency Services for Oil Produ</v>
          </cell>
          <cell r="E99"/>
          <cell r="F99"/>
          <cell r="G99">
            <v>11512.640000000001</v>
          </cell>
          <cell r="H99">
            <v>345640.94000000006</v>
          </cell>
          <cell r="I99">
            <v>357153.58000000007</v>
          </cell>
          <cell r="J99">
            <v>357153.58000000007</v>
          </cell>
          <cell r="K99"/>
          <cell r="L99"/>
          <cell r="M99"/>
          <cell r="N99"/>
          <cell r="O99">
            <v>50586.87</v>
          </cell>
          <cell r="P99">
            <v>70731.500000000015</v>
          </cell>
          <cell r="Q99">
            <v>121318.37000000002</v>
          </cell>
          <cell r="R99">
            <v>159241.44</v>
          </cell>
          <cell r="S99"/>
          <cell r="T99">
            <v>159241.44</v>
          </cell>
          <cell r="U99">
            <v>280559.81000000006</v>
          </cell>
          <cell r="V99"/>
          <cell r="W99"/>
          <cell r="X99">
            <v>42171.700000000004</v>
          </cell>
          <cell r="Y99">
            <v>27831.69</v>
          </cell>
          <cell r="Z99">
            <v>70003.39</v>
          </cell>
          <cell r="AA99"/>
          <cell r="AB99"/>
          <cell r="AC99">
            <v>70003.39</v>
          </cell>
          <cell r="AD99"/>
          <cell r="AE99"/>
          <cell r="AF99"/>
          <cell r="AG99"/>
          <cell r="AH99"/>
          <cell r="AI99"/>
          <cell r="AJ99"/>
          <cell r="AK99"/>
          <cell r="AL99"/>
          <cell r="AM99"/>
          <cell r="AN99"/>
          <cell r="AO99"/>
          <cell r="AP99"/>
          <cell r="AQ99"/>
          <cell r="AR99">
            <v>707716.78</v>
          </cell>
        </row>
        <row r="100">
          <cell r="C100" t="str">
            <v>PGE_21027</v>
          </cell>
          <cell r="D100" t="str">
            <v>Heavy Industry Energy Efficiency Program</v>
          </cell>
          <cell r="E100"/>
          <cell r="F100"/>
          <cell r="G100">
            <v>1402173.29</v>
          </cell>
          <cell r="H100">
            <v>1979642.6900000009</v>
          </cell>
          <cell r="I100">
            <v>3381815.9800000009</v>
          </cell>
          <cell r="J100">
            <v>3381815.9800000009</v>
          </cell>
          <cell r="K100"/>
          <cell r="L100"/>
          <cell r="M100"/>
          <cell r="N100"/>
          <cell r="O100">
            <v>8036949.29</v>
          </cell>
          <cell r="P100">
            <v>457056.06999999989</v>
          </cell>
          <cell r="Q100">
            <v>8494005.3599999994</v>
          </cell>
          <cell r="R100">
            <v>1907875.68</v>
          </cell>
          <cell r="S100"/>
          <cell r="T100">
            <v>1907875.68</v>
          </cell>
          <cell r="U100">
            <v>10401881.039999999</v>
          </cell>
          <cell r="V100"/>
          <cell r="W100"/>
          <cell r="X100">
            <v>782248.71</v>
          </cell>
          <cell r="Y100">
            <v>104370.37</v>
          </cell>
          <cell r="Z100">
            <v>886619.08</v>
          </cell>
          <cell r="AA100"/>
          <cell r="AB100"/>
          <cell r="AC100">
            <v>886619.08</v>
          </cell>
          <cell r="AD100"/>
          <cell r="AE100"/>
          <cell r="AF100"/>
          <cell r="AG100"/>
          <cell r="AH100"/>
          <cell r="AI100"/>
          <cell r="AJ100"/>
          <cell r="AK100"/>
          <cell r="AL100"/>
          <cell r="AM100"/>
          <cell r="AN100"/>
          <cell r="AO100"/>
          <cell r="AP100"/>
          <cell r="AQ100"/>
          <cell r="AR100">
            <v>14670316.1</v>
          </cell>
        </row>
        <row r="101">
          <cell r="C101" t="str">
            <v>PGE_21029</v>
          </cell>
          <cell r="D101" t="str">
            <v>Refinery Energy Efficiency Program</v>
          </cell>
          <cell r="E101"/>
          <cell r="F101"/>
          <cell r="G101"/>
          <cell r="H101">
            <v>1127.0700000000002</v>
          </cell>
          <cell r="I101">
            <v>1127.0700000000002</v>
          </cell>
          <cell r="J101">
            <v>1127.0700000000002</v>
          </cell>
          <cell r="K101"/>
          <cell r="L101"/>
          <cell r="M101"/>
          <cell r="N101"/>
          <cell r="O101"/>
          <cell r="P101">
            <v>10763.25</v>
          </cell>
          <cell r="Q101">
            <v>10763.25</v>
          </cell>
          <cell r="R101">
            <v>-221415.77</v>
          </cell>
          <cell r="S101"/>
          <cell r="T101">
            <v>-221415.77</v>
          </cell>
          <cell r="U101">
            <v>-210652.52</v>
          </cell>
          <cell r="V101"/>
          <cell r="W101"/>
          <cell r="X101"/>
          <cell r="Y101"/>
          <cell r="Z101"/>
          <cell r="AA101"/>
          <cell r="AB101"/>
          <cell r="AC101"/>
          <cell r="AD101"/>
          <cell r="AE101"/>
          <cell r="AF101"/>
          <cell r="AG101"/>
          <cell r="AH101"/>
          <cell r="AI101"/>
          <cell r="AJ101"/>
          <cell r="AK101"/>
          <cell r="AL101"/>
          <cell r="AM101"/>
          <cell r="AN101"/>
          <cell r="AO101"/>
          <cell r="AP101"/>
          <cell r="AQ101"/>
          <cell r="AR101">
            <v>-209525.44999999998</v>
          </cell>
        </row>
        <row r="102">
          <cell r="C102" t="str">
            <v>PGE_210311</v>
          </cell>
          <cell r="D102" t="str">
            <v>Process Wastewater Treatment EM Pgm for</v>
          </cell>
          <cell r="E102"/>
          <cell r="F102"/>
          <cell r="G102">
            <v>802.26</v>
          </cell>
          <cell r="H102">
            <v>4385.6099999999997</v>
          </cell>
          <cell r="I102">
            <v>5187.87</v>
          </cell>
          <cell r="J102">
            <v>5187.87</v>
          </cell>
          <cell r="K102"/>
          <cell r="L102"/>
          <cell r="M102"/>
          <cell r="N102"/>
          <cell r="O102">
            <v>11552.539999999999</v>
          </cell>
          <cell r="P102">
            <v>44776.439999999988</v>
          </cell>
          <cell r="Q102">
            <v>56328.979999999989</v>
          </cell>
          <cell r="R102">
            <v>12493.3</v>
          </cell>
          <cell r="S102"/>
          <cell r="T102">
            <v>12493.3</v>
          </cell>
          <cell r="U102">
            <v>68822.279999999984</v>
          </cell>
          <cell r="V102"/>
          <cell r="W102"/>
          <cell r="X102">
            <v>3690.39</v>
          </cell>
          <cell r="Y102">
            <v>314.33</v>
          </cell>
          <cell r="Z102">
            <v>4004.72</v>
          </cell>
          <cell r="AA102"/>
          <cell r="AB102"/>
          <cell r="AC102">
            <v>4004.72</v>
          </cell>
          <cell r="AD102"/>
          <cell r="AE102"/>
          <cell r="AF102"/>
          <cell r="AG102"/>
          <cell r="AH102"/>
          <cell r="AI102"/>
          <cell r="AJ102"/>
          <cell r="AK102"/>
          <cell r="AL102"/>
          <cell r="AM102"/>
          <cell r="AN102"/>
          <cell r="AO102"/>
          <cell r="AP102"/>
          <cell r="AQ102"/>
          <cell r="AR102">
            <v>78014.87</v>
          </cell>
        </row>
        <row r="103">
          <cell r="C103" t="str">
            <v>PGE_210312</v>
          </cell>
          <cell r="D103" t="str">
            <v>Dairy &amp; WIES</v>
          </cell>
          <cell r="E103"/>
          <cell r="F103"/>
          <cell r="G103">
            <v>-12530.82</v>
          </cell>
          <cell r="H103">
            <v>295199.76</v>
          </cell>
          <cell r="I103">
            <v>282668.94</v>
          </cell>
          <cell r="J103">
            <v>282668.94</v>
          </cell>
          <cell r="K103"/>
          <cell r="L103"/>
          <cell r="M103"/>
          <cell r="N103"/>
          <cell r="O103">
            <v>37457.229999999996</v>
          </cell>
          <cell r="P103">
            <v>88810.77999999997</v>
          </cell>
          <cell r="Q103">
            <v>126268.00999999997</v>
          </cell>
          <cell r="R103">
            <v>242272.69</v>
          </cell>
          <cell r="S103"/>
          <cell r="T103">
            <v>242272.69</v>
          </cell>
          <cell r="U103">
            <v>368540.69999999995</v>
          </cell>
          <cell r="V103"/>
          <cell r="W103"/>
          <cell r="X103">
            <v>-52312.15</v>
          </cell>
          <cell r="Y103">
            <v>22139.02</v>
          </cell>
          <cell r="Z103">
            <v>-30173.13</v>
          </cell>
          <cell r="AA103"/>
          <cell r="AB103"/>
          <cell r="AC103">
            <v>-30173.13</v>
          </cell>
          <cell r="AD103"/>
          <cell r="AE103"/>
          <cell r="AF103"/>
          <cell r="AG103"/>
          <cell r="AH103"/>
          <cell r="AI103"/>
          <cell r="AJ103"/>
          <cell r="AK103"/>
          <cell r="AL103"/>
          <cell r="AM103"/>
          <cell r="AN103"/>
          <cell r="AO103"/>
          <cell r="AP103"/>
          <cell r="AQ103"/>
          <cell r="AR103">
            <v>621036.50999999989</v>
          </cell>
        </row>
        <row r="104">
          <cell r="C104" t="str">
            <v>PGE_21036</v>
          </cell>
          <cell r="D104" t="str">
            <v>Industrial Refrigeration Performance Plu</v>
          </cell>
          <cell r="E104"/>
          <cell r="F104"/>
          <cell r="G104">
            <v>-1.9999999999963599E-2</v>
          </cell>
          <cell r="H104">
            <v>2620.92</v>
          </cell>
          <cell r="I104">
            <v>2620.9</v>
          </cell>
          <cell r="J104">
            <v>2620.9</v>
          </cell>
          <cell r="K104"/>
          <cell r="L104"/>
          <cell r="M104"/>
          <cell r="N104"/>
          <cell r="O104">
            <v>-2.0000000000873101E-2</v>
          </cell>
          <cell r="P104">
            <v>33309.14</v>
          </cell>
          <cell r="Q104">
            <v>33309.119999999995</v>
          </cell>
          <cell r="R104">
            <v>162315.96</v>
          </cell>
          <cell r="S104"/>
          <cell r="T104">
            <v>162315.96</v>
          </cell>
          <cell r="U104">
            <v>195625.08</v>
          </cell>
          <cell r="V104"/>
          <cell r="W104"/>
          <cell r="X104">
            <v>-1.9999999999054101E-2</v>
          </cell>
          <cell r="Y104">
            <v>-10.220000000000002</v>
          </cell>
          <cell r="Z104">
            <v>-10.239999999999057</v>
          </cell>
          <cell r="AA104"/>
          <cell r="AB104"/>
          <cell r="AC104">
            <v>-10.239999999999057</v>
          </cell>
          <cell r="AD104"/>
          <cell r="AE104"/>
          <cell r="AF104"/>
          <cell r="AG104"/>
          <cell r="AH104"/>
          <cell r="AI104"/>
          <cell r="AJ104"/>
          <cell r="AK104"/>
          <cell r="AL104"/>
          <cell r="AM104"/>
          <cell r="AN104"/>
          <cell r="AO104"/>
          <cell r="AP104"/>
          <cell r="AQ104"/>
          <cell r="AR104">
            <v>198235.74</v>
          </cell>
        </row>
        <row r="105">
          <cell r="C105" t="str">
            <v>PGE_21039</v>
          </cell>
          <cell r="D105" t="str">
            <v>Comprehensive Food Process Audit &amp; Resou</v>
          </cell>
          <cell r="E105"/>
          <cell r="F105"/>
          <cell r="G105">
            <v>78328.17</v>
          </cell>
          <cell r="H105">
            <v>769495.66999999993</v>
          </cell>
          <cell r="I105">
            <v>847823.84</v>
          </cell>
          <cell r="J105">
            <v>847823.84</v>
          </cell>
          <cell r="K105"/>
          <cell r="L105"/>
          <cell r="M105"/>
          <cell r="N105"/>
          <cell r="O105">
            <v>508299.57</v>
          </cell>
          <cell r="P105">
            <v>201015.49000000005</v>
          </cell>
          <cell r="Q105">
            <v>709315.06</v>
          </cell>
          <cell r="R105">
            <v>144368.20000000001</v>
          </cell>
          <cell r="S105"/>
          <cell r="T105">
            <v>144368.20000000001</v>
          </cell>
          <cell r="U105">
            <v>853683.26</v>
          </cell>
          <cell r="V105"/>
          <cell r="W105"/>
          <cell r="X105">
            <v>160503.32</v>
          </cell>
          <cell r="Y105">
            <v>41086.14</v>
          </cell>
          <cell r="Z105">
            <v>201589.46000000002</v>
          </cell>
          <cell r="AA105"/>
          <cell r="AB105"/>
          <cell r="AC105">
            <v>201589.46000000002</v>
          </cell>
          <cell r="AD105"/>
          <cell r="AE105"/>
          <cell r="AF105"/>
          <cell r="AG105"/>
          <cell r="AH105"/>
          <cell r="AI105"/>
          <cell r="AJ105"/>
          <cell r="AK105"/>
          <cell r="AL105"/>
          <cell r="AM105"/>
          <cell r="AN105"/>
          <cell r="AO105"/>
          <cell r="AP105"/>
          <cell r="AQ105"/>
          <cell r="AR105">
            <v>1903096.5599999998</v>
          </cell>
        </row>
        <row r="106">
          <cell r="C106" t="str">
            <v>#</v>
          </cell>
          <cell r="D106" t="str">
            <v>Not assigned</v>
          </cell>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cell r="AF106"/>
          <cell r="AG106"/>
          <cell r="AH106"/>
          <cell r="AI106"/>
          <cell r="AJ106"/>
          <cell r="AK106"/>
          <cell r="AL106"/>
          <cell r="AM106"/>
          <cell r="AN106"/>
          <cell r="AO106">
            <v>31464.959999999999</v>
          </cell>
          <cell r="AP106">
            <v>31464.959999999999</v>
          </cell>
          <cell r="AQ106">
            <v>31464.959999999999</v>
          </cell>
          <cell r="AR106">
            <v>31464.959999999999</v>
          </cell>
        </row>
        <row r="107">
          <cell r="C107" t="str">
            <v>#</v>
          </cell>
          <cell r="D107" t="str">
            <v>Not assigned</v>
          </cell>
          <cell r="E107"/>
          <cell r="F107"/>
          <cell r="G107"/>
          <cell r="H107"/>
          <cell r="I107"/>
          <cell r="J107"/>
          <cell r="K107"/>
          <cell r="L107"/>
          <cell r="M107"/>
          <cell r="N107"/>
          <cell r="O107"/>
          <cell r="P107"/>
          <cell r="Q107"/>
          <cell r="R107"/>
          <cell r="S107"/>
          <cell r="T107"/>
          <cell r="U107"/>
          <cell r="V107"/>
          <cell r="W107"/>
          <cell r="X107"/>
          <cell r="Y107"/>
          <cell r="Z107"/>
          <cell r="AA107">
            <v>7778169.4299999904</v>
          </cell>
          <cell r="AB107">
            <v>7778169.4299999904</v>
          </cell>
          <cell r="AC107">
            <v>7778169.4299999904</v>
          </cell>
          <cell r="AD107"/>
          <cell r="AE107"/>
          <cell r="AF107"/>
          <cell r="AG107"/>
          <cell r="AH107"/>
          <cell r="AI107"/>
          <cell r="AJ107"/>
          <cell r="AK107"/>
          <cell r="AL107"/>
          <cell r="AM107"/>
          <cell r="AN107"/>
          <cell r="AO107"/>
          <cell r="AP107"/>
          <cell r="AQ107"/>
          <cell r="AR107">
            <v>7778169.4299999904</v>
          </cell>
        </row>
        <row r="108">
          <cell r="C108" t="str">
            <v>#</v>
          </cell>
          <cell r="D108" t="str">
            <v>Not assigned</v>
          </cell>
          <cell r="E108"/>
          <cell r="F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v>4177297.710000053</v>
          </cell>
          <cell r="AP108">
            <v>4177297.710000053</v>
          </cell>
          <cell r="AQ108">
            <v>4177297.710000053</v>
          </cell>
          <cell r="AR108">
            <v>4177297.710000053</v>
          </cell>
        </row>
        <row r="109">
          <cell r="C109" t="str">
            <v>#</v>
          </cell>
          <cell r="D109" t="str">
            <v>Not assigned</v>
          </cell>
          <cell r="E109"/>
          <cell r="F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cell r="AF109"/>
          <cell r="AG109"/>
          <cell r="AH109"/>
          <cell r="AI109"/>
          <cell r="AJ109"/>
          <cell r="AK109"/>
          <cell r="AL109"/>
          <cell r="AM109"/>
          <cell r="AN109"/>
          <cell r="AO109">
            <v>158672751.37</v>
          </cell>
          <cell r="AP109">
            <v>158672751.37</v>
          </cell>
          <cell r="AQ109">
            <v>158672751.37</v>
          </cell>
          <cell r="AR109">
            <v>158672751.37</v>
          </cell>
        </row>
        <row r="110">
          <cell r="C110" t="str">
            <v>#</v>
          </cell>
          <cell r="D110" t="str">
            <v>Not assigned</v>
          </cell>
          <cell r="E110"/>
          <cell r="F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v>2698842.2</v>
          </cell>
          <cell r="AP110">
            <v>2698842.2</v>
          </cell>
          <cell r="AQ110">
            <v>2698842.2</v>
          </cell>
          <cell r="AR110">
            <v>2698842.2</v>
          </cell>
        </row>
        <row r="111">
          <cell r="C111" t="str">
            <v>#</v>
          </cell>
          <cell r="D111" t="str">
            <v>Not assigned</v>
          </cell>
          <cell r="E111"/>
          <cell r="F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v>2688414.9299999997</v>
          </cell>
          <cell r="AP111">
            <v>2688414.9299999997</v>
          </cell>
          <cell r="AQ111">
            <v>2688414.9299999997</v>
          </cell>
          <cell r="AR111">
            <v>2688414.9299999997</v>
          </cell>
        </row>
        <row r="112">
          <cell r="C112" t="str">
            <v>#</v>
          </cell>
          <cell r="D112" t="str">
            <v>Not assigned</v>
          </cell>
          <cell r="E112"/>
          <cell r="F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v>359175.47999999975</v>
          </cell>
          <cell r="AP112">
            <v>359175.47999999975</v>
          </cell>
          <cell r="AQ112">
            <v>359175.47999999975</v>
          </cell>
          <cell r="AR112">
            <v>359175.47999999975</v>
          </cell>
        </row>
        <row r="113">
          <cell r="C113" t="str">
            <v>CPUC_EMV_BAY</v>
          </cell>
          <cell r="D113" t="str">
            <v>BayREN EM&amp;V - CPUC</v>
          </cell>
          <cell r="E113"/>
          <cell r="F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cell r="AF113">
            <v>218899.75</v>
          </cell>
          <cell r="AG113">
            <v>460747.75</v>
          </cell>
          <cell r="AH113">
            <v>679647.5</v>
          </cell>
          <cell r="AI113">
            <v>679647.5</v>
          </cell>
          <cell r="AJ113"/>
          <cell r="AK113"/>
          <cell r="AL113"/>
          <cell r="AM113"/>
          <cell r="AN113"/>
          <cell r="AO113"/>
          <cell r="AP113"/>
          <cell r="AQ113"/>
          <cell r="AR113">
            <v>679647.5</v>
          </cell>
        </row>
        <row r="114">
          <cell r="C114" t="str">
            <v>PGE_BAYREN</v>
          </cell>
          <cell r="D114" t="str">
            <v>Bay Area Regional Energy Authority</v>
          </cell>
          <cell r="E114"/>
          <cell r="F114"/>
          <cell r="G114">
            <v>7727.5499999999493</v>
          </cell>
          <cell r="H114"/>
          <cell r="I114">
            <v>7727.5499999999493</v>
          </cell>
          <cell r="J114">
            <v>7727.5499999999493</v>
          </cell>
          <cell r="K114"/>
          <cell r="L114"/>
          <cell r="M114"/>
          <cell r="N114"/>
          <cell r="O114">
            <v>11429698.270000001</v>
          </cell>
          <cell r="P114"/>
          <cell r="Q114">
            <v>11429698.270000001</v>
          </cell>
          <cell r="R114">
            <v>8896830</v>
          </cell>
          <cell r="S114"/>
          <cell r="T114">
            <v>8896830</v>
          </cell>
          <cell r="U114">
            <v>20326528.270000003</v>
          </cell>
          <cell r="V114"/>
          <cell r="W114"/>
          <cell r="X114">
            <v>29938.19</v>
          </cell>
          <cell r="Y114"/>
          <cell r="Z114">
            <v>29938.19</v>
          </cell>
          <cell r="AA114"/>
          <cell r="AB114"/>
          <cell r="AC114">
            <v>29938.19</v>
          </cell>
          <cell r="AD114"/>
          <cell r="AE114"/>
          <cell r="AF114"/>
          <cell r="AG114"/>
          <cell r="AH114"/>
          <cell r="AI114"/>
          <cell r="AJ114"/>
          <cell r="AK114"/>
          <cell r="AL114"/>
          <cell r="AM114"/>
          <cell r="AN114"/>
          <cell r="AO114"/>
          <cell r="AP114"/>
          <cell r="AQ114"/>
          <cell r="AR114">
            <v>20364194.010000002</v>
          </cell>
        </row>
        <row r="115">
          <cell r="C115" t="str">
            <v>PGE_MEA</v>
          </cell>
          <cell r="D115" t="str">
            <v>Marin Clean Energy</v>
          </cell>
          <cell r="E115"/>
          <cell r="F115"/>
          <cell r="G115">
            <v>-52.449999999999996</v>
          </cell>
          <cell r="H115"/>
          <cell r="I115">
            <v>-52.449999999999996</v>
          </cell>
          <cell r="J115">
            <v>-52.449999999999996</v>
          </cell>
          <cell r="K115"/>
          <cell r="L115"/>
          <cell r="M115"/>
          <cell r="N115"/>
          <cell r="O115">
            <v>7679772.2299999986</v>
          </cell>
          <cell r="P115"/>
          <cell r="Q115">
            <v>7679772.2299999986</v>
          </cell>
          <cell r="R115"/>
          <cell r="S115"/>
          <cell r="T115"/>
          <cell r="U115">
            <v>7679772.2299999986</v>
          </cell>
          <cell r="V115"/>
          <cell r="W115"/>
          <cell r="X115"/>
          <cell r="Y115"/>
          <cell r="Z115"/>
          <cell r="AA115"/>
          <cell r="AB115"/>
          <cell r="AC115"/>
          <cell r="AD115"/>
          <cell r="AE115"/>
          <cell r="AF115"/>
          <cell r="AG115"/>
          <cell r="AH115"/>
          <cell r="AI115"/>
          <cell r="AJ115"/>
          <cell r="AK115"/>
          <cell r="AL115"/>
          <cell r="AM115"/>
          <cell r="AN115"/>
          <cell r="AO115"/>
          <cell r="AP115"/>
          <cell r="AQ115"/>
          <cell r="AR115">
            <v>7679719.7799999984</v>
          </cell>
        </row>
        <row r="116">
          <cell r="C116" t="str">
            <v>PGE_3CREN</v>
          </cell>
          <cell r="D116" t="str">
            <v>Tri-County Regional Energy Network</v>
          </cell>
          <cell r="E116"/>
          <cell r="F116"/>
          <cell r="G116">
            <v>-606.67999999999972</v>
          </cell>
          <cell r="H116"/>
          <cell r="I116">
            <v>-606.67999999999972</v>
          </cell>
          <cell r="J116">
            <v>-606.67999999999972</v>
          </cell>
          <cell r="K116"/>
          <cell r="L116"/>
          <cell r="M116"/>
          <cell r="N116"/>
          <cell r="O116">
            <v>413244.22</v>
          </cell>
          <cell r="P116"/>
          <cell r="Q116">
            <v>413244.22</v>
          </cell>
          <cell r="R116"/>
          <cell r="S116"/>
          <cell r="T116"/>
          <cell r="U116">
            <v>413244.22</v>
          </cell>
          <cell r="V116"/>
          <cell r="W116"/>
          <cell r="X116"/>
          <cell r="Y116"/>
          <cell r="Z116"/>
          <cell r="AA116"/>
          <cell r="AB116"/>
          <cell r="AC116"/>
          <cell r="AD116"/>
          <cell r="AE116"/>
          <cell r="AF116"/>
          <cell r="AG116"/>
          <cell r="AH116"/>
          <cell r="AI116"/>
          <cell r="AJ116"/>
          <cell r="AK116"/>
          <cell r="AL116"/>
          <cell r="AM116"/>
          <cell r="AN116"/>
          <cell r="AO116"/>
          <cell r="AP116"/>
          <cell r="AQ116"/>
          <cell r="AR116">
            <v>412637.54</v>
          </cell>
        </row>
        <row r="117">
          <cell r="E117">
            <v>44831.729999999996</v>
          </cell>
          <cell r="F117">
            <v>44831.729999999996</v>
          </cell>
          <cell r="G117">
            <v>6981808.1799999997</v>
          </cell>
          <cell r="H117">
            <v>31216186.139999986</v>
          </cell>
          <cell r="I117">
            <v>38197994.319999978</v>
          </cell>
          <cell r="J117">
            <v>38242826.049999975</v>
          </cell>
          <cell r="K117">
            <v>1497092.0899999999</v>
          </cell>
          <cell r="L117">
            <v>1497092.0899999999</v>
          </cell>
          <cell r="M117">
            <v>-25</v>
          </cell>
          <cell r="N117">
            <v>-25</v>
          </cell>
          <cell r="O117">
            <v>61133824.609999992</v>
          </cell>
          <cell r="P117">
            <v>69351134.679999962</v>
          </cell>
          <cell r="Q117">
            <v>130484959.29000002</v>
          </cell>
          <cell r="R117">
            <v>52256434.819999993</v>
          </cell>
          <cell r="S117">
            <v>67008650.310000002</v>
          </cell>
          <cell r="T117">
            <v>119265085.12999997</v>
          </cell>
          <cell r="U117">
            <v>251247111.51000002</v>
          </cell>
          <cell r="V117">
            <v>333647.03999999998</v>
          </cell>
          <cell r="W117">
            <v>333647.03999999998</v>
          </cell>
          <cell r="X117">
            <v>5141831.6000000015</v>
          </cell>
          <cell r="Y117">
            <v>7919640.4899999965</v>
          </cell>
          <cell r="Z117">
            <v>13061472.09</v>
          </cell>
          <cell r="AA117">
            <v>7778169.4299999904</v>
          </cell>
          <cell r="AB117">
            <v>7778169.4299999904</v>
          </cell>
          <cell r="AC117">
            <v>21173288.559999991</v>
          </cell>
          <cell r="AD117">
            <v>151145.16</v>
          </cell>
          <cell r="AE117">
            <v>151145.16</v>
          </cell>
          <cell r="AF117">
            <v>218899.75</v>
          </cell>
          <cell r="AG117">
            <v>14877343.480000006</v>
          </cell>
          <cell r="AH117">
            <v>15096243.230000006</v>
          </cell>
          <cell r="AI117">
            <v>15247388.390000006</v>
          </cell>
          <cell r="AJ117">
            <v>350000</v>
          </cell>
          <cell r="AK117">
            <v>350000</v>
          </cell>
          <cell r="AL117">
            <v>31071807.989999998</v>
          </cell>
          <cell r="AM117">
            <v>31071807.989999998</v>
          </cell>
          <cell r="AN117">
            <v>31421807.989999998</v>
          </cell>
          <cell r="AO117">
            <v>168627946.65000004</v>
          </cell>
          <cell r="AP117">
            <v>168627946.65000004</v>
          </cell>
          <cell r="AQ117">
            <v>168627946.65000004</v>
          </cell>
          <cell r="AR117">
            <v>525960369.15000004</v>
          </cell>
        </row>
      </sheetData>
      <sheetData sheetId="3" refreshError="1"/>
      <sheetData sheetId="4" refreshError="1"/>
      <sheetData sheetId="5">
        <row r="3">
          <cell r="A3" t="str">
            <v>CPUC_EM&amp;V</v>
          </cell>
          <cell r="B3" t="str">
            <v>EM&amp;V ED STAFF</v>
          </cell>
          <cell r="C3"/>
          <cell r="D3"/>
          <cell r="E3"/>
          <cell r="F3"/>
          <cell r="G3">
            <v>0</v>
          </cell>
          <cell r="H3">
            <v>0</v>
          </cell>
          <cell r="I3">
            <v>0</v>
          </cell>
          <cell r="J3">
            <v>0</v>
          </cell>
          <cell r="K3">
            <v>0</v>
          </cell>
        </row>
        <row r="4">
          <cell r="A4" t="str">
            <v>CPUC_EMV_BAY</v>
          </cell>
          <cell r="B4" t="str">
            <v>BayREN EM&amp;V - CPUC</v>
          </cell>
          <cell r="C4"/>
          <cell r="D4"/>
          <cell r="E4"/>
          <cell r="F4"/>
          <cell r="G4">
            <v>0</v>
          </cell>
          <cell r="H4">
            <v>0</v>
          </cell>
          <cell r="I4">
            <v>0</v>
          </cell>
          <cell r="J4">
            <v>0</v>
          </cell>
          <cell r="K4">
            <v>0</v>
          </cell>
        </row>
        <row r="5">
          <cell r="A5" t="str">
            <v>PGE_21001</v>
          </cell>
          <cell r="B5" t="str">
            <v>Residential Energy Advisor</v>
          </cell>
          <cell r="C5"/>
          <cell r="D5"/>
          <cell r="E5"/>
          <cell r="F5"/>
          <cell r="G5">
            <v>-3906.7300000000005</v>
          </cell>
          <cell r="H5">
            <v>0</v>
          </cell>
          <cell r="I5">
            <v>-56070.200000000004</v>
          </cell>
          <cell r="J5">
            <v>0</v>
          </cell>
          <cell r="K5">
            <v>-59976.930000000008</v>
          </cell>
        </row>
        <row r="6">
          <cell r="A6" t="str">
            <v>PGE_210010</v>
          </cell>
          <cell r="B6" t="str">
            <v>Pay for Performance Pilot</v>
          </cell>
          <cell r="C6"/>
          <cell r="D6"/>
          <cell r="E6"/>
          <cell r="F6"/>
          <cell r="G6">
            <v>0</v>
          </cell>
          <cell r="H6">
            <v>0</v>
          </cell>
          <cell r="I6">
            <v>0</v>
          </cell>
          <cell r="J6">
            <v>0</v>
          </cell>
          <cell r="K6">
            <v>0</v>
          </cell>
        </row>
        <row r="7">
          <cell r="A7" t="str">
            <v>PGE_210011</v>
          </cell>
          <cell r="B7" t="str">
            <v>Residential Energy Fitness Program</v>
          </cell>
          <cell r="C7"/>
          <cell r="D7"/>
          <cell r="E7"/>
          <cell r="F7"/>
          <cell r="G7">
            <v>0</v>
          </cell>
          <cell r="H7">
            <v>-241.97</v>
          </cell>
          <cell r="I7">
            <v>242.24966047985509</v>
          </cell>
          <cell r="J7">
            <v>0</v>
          </cell>
          <cell r="K7">
            <v>0.2796604798550959</v>
          </cell>
        </row>
        <row r="8">
          <cell r="A8" t="str">
            <v>PGE_21002</v>
          </cell>
          <cell r="B8" t="str">
            <v>Plug Load and Appliances</v>
          </cell>
          <cell r="C8"/>
          <cell r="D8"/>
          <cell r="E8"/>
          <cell r="F8"/>
          <cell r="G8">
            <v>-2857.7500000000005</v>
          </cell>
          <cell r="H8">
            <v>0</v>
          </cell>
          <cell r="I8">
            <v>-41015.21</v>
          </cell>
          <cell r="J8">
            <v>0</v>
          </cell>
          <cell r="K8">
            <v>-43872.959999999999</v>
          </cell>
        </row>
        <row r="9">
          <cell r="A9" t="str">
            <v>PGE_21003</v>
          </cell>
          <cell r="B9" t="str">
            <v>Multifamily Energy Efficiency Rebates Pr</v>
          </cell>
          <cell r="C9"/>
          <cell r="D9"/>
          <cell r="E9"/>
          <cell r="F9"/>
          <cell r="G9">
            <v>0</v>
          </cell>
          <cell r="H9">
            <v>0</v>
          </cell>
          <cell r="I9">
            <v>0</v>
          </cell>
          <cell r="J9">
            <v>0</v>
          </cell>
          <cell r="K9">
            <v>0</v>
          </cell>
        </row>
        <row r="10">
          <cell r="A10" t="str">
            <v>PGE_21004</v>
          </cell>
          <cell r="B10" t="str">
            <v>Energy Upgrade California</v>
          </cell>
          <cell r="C10"/>
          <cell r="D10"/>
          <cell r="E10"/>
          <cell r="F10"/>
          <cell r="G10">
            <v>-3335.19</v>
          </cell>
          <cell r="H10">
            <v>0</v>
          </cell>
          <cell r="I10">
            <v>-47867.149999999994</v>
          </cell>
          <cell r="J10">
            <v>0</v>
          </cell>
          <cell r="K10">
            <v>-51202.34</v>
          </cell>
        </row>
        <row r="11">
          <cell r="A11" t="str">
            <v>PGE_21005</v>
          </cell>
          <cell r="B11" t="str">
            <v>Residential New Construction</v>
          </cell>
          <cell r="C11"/>
          <cell r="D11"/>
          <cell r="E11"/>
          <cell r="F11"/>
          <cell r="G11">
            <v>-1365</v>
          </cell>
          <cell r="H11">
            <v>0</v>
          </cell>
          <cell r="I11">
            <v>-19590.789999999997</v>
          </cell>
          <cell r="J11">
            <v>0</v>
          </cell>
          <cell r="K11">
            <v>-20955.789999999997</v>
          </cell>
        </row>
        <row r="12">
          <cell r="A12" t="str">
            <v>PGE_21006</v>
          </cell>
          <cell r="B12" t="str">
            <v>Residential HVAC</v>
          </cell>
          <cell r="C12"/>
          <cell r="D12"/>
          <cell r="E12"/>
          <cell r="F12"/>
          <cell r="G12">
            <v>-2178.62</v>
          </cell>
          <cell r="H12">
            <v>0</v>
          </cell>
          <cell r="I12">
            <v>-31268.07</v>
          </cell>
          <cell r="J12">
            <v>0</v>
          </cell>
          <cell r="K12">
            <v>-33446.69</v>
          </cell>
        </row>
        <row r="13">
          <cell r="A13" t="str">
            <v>PGE_21007</v>
          </cell>
          <cell r="B13" t="str">
            <v>California New Homes Multifamily</v>
          </cell>
          <cell r="C13"/>
          <cell r="D13"/>
          <cell r="E13"/>
          <cell r="F13"/>
          <cell r="G13">
            <v>0</v>
          </cell>
          <cell r="H13">
            <v>-383.12</v>
          </cell>
          <cell r="I13">
            <v>382.68424626527838</v>
          </cell>
          <cell r="J13">
            <v>0</v>
          </cell>
          <cell r="K13">
            <v>-0.43575373472162937</v>
          </cell>
        </row>
        <row r="14">
          <cell r="A14" t="str">
            <v>PGE_21008</v>
          </cell>
          <cell r="B14" t="str">
            <v>Enhance Time Delay Relay</v>
          </cell>
          <cell r="C14"/>
          <cell r="D14"/>
          <cell r="E14"/>
          <cell r="F14"/>
          <cell r="G14">
            <v>-1492.77</v>
          </cell>
          <cell r="H14">
            <v>-601.83000000000004</v>
          </cell>
          <cell r="I14">
            <v>-20822.31671344499</v>
          </cell>
          <cell r="J14">
            <v>0</v>
          </cell>
          <cell r="K14">
            <v>-22916.916713444989</v>
          </cell>
        </row>
        <row r="15">
          <cell r="A15" t="str">
            <v>PGE_21009</v>
          </cell>
          <cell r="B15" t="str">
            <v>Direct Install for Manufactured and Mobi</v>
          </cell>
          <cell r="C15"/>
          <cell r="D15"/>
          <cell r="E15"/>
          <cell r="F15"/>
          <cell r="G15">
            <v>-1916.38</v>
          </cell>
          <cell r="H15">
            <v>-772.45</v>
          </cell>
          <cell r="I15">
            <v>-26731.909778180176</v>
          </cell>
          <cell r="J15">
            <v>0</v>
          </cell>
          <cell r="K15">
            <v>-29420.739778180177</v>
          </cell>
        </row>
        <row r="16">
          <cell r="A16" t="str">
            <v>PGE_21011</v>
          </cell>
          <cell r="B16" t="str">
            <v>Commercial Calculated Incentives</v>
          </cell>
          <cell r="C16"/>
          <cell r="D16"/>
          <cell r="E16"/>
          <cell r="F16"/>
          <cell r="G16">
            <v>-689876.37038668094</v>
          </cell>
          <cell r="H16">
            <v>0</v>
          </cell>
          <cell r="I16">
            <v>629269.39326530567</v>
          </cell>
          <cell r="J16">
            <v>0</v>
          </cell>
          <cell r="K16">
            <v>-60606.977121375268</v>
          </cell>
        </row>
        <row r="17">
          <cell r="A17" t="str">
            <v>PGE_210110</v>
          </cell>
          <cell r="B17" t="str">
            <v>Monitoring-Based Persistence Commissioni</v>
          </cell>
          <cell r="C17"/>
          <cell r="D17"/>
          <cell r="E17"/>
          <cell r="F17"/>
          <cell r="G17">
            <v>0</v>
          </cell>
          <cell r="H17">
            <v>0</v>
          </cell>
          <cell r="I17">
            <v>0</v>
          </cell>
          <cell r="J17">
            <v>0</v>
          </cell>
          <cell r="K17">
            <v>0</v>
          </cell>
        </row>
        <row r="18">
          <cell r="A18" t="str">
            <v>PGE_210111</v>
          </cell>
          <cell r="B18" t="str">
            <v>LodgingSavers</v>
          </cell>
          <cell r="C18"/>
          <cell r="D18"/>
          <cell r="E18"/>
          <cell r="F18"/>
          <cell r="G18">
            <v>0</v>
          </cell>
          <cell r="H18">
            <v>0</v>
          </cell>
          <cell r="I18">
            <v>0</v>
          </cell>
          <cell r="J18">
            <v>0</v>
          </cell>
          <cell r="K18">
            <v>0</v>
          </cell>
        </row>
        <row r="19">
          <cell r="A19" t="str">
            <v>PGE_210112</v>
          </cell>
          <cell r="B19" t="str">
            <v>School Energy Efficiency</v>
          </cell>
          <cell r="C19"/>
          <cell r="D19"/>
          <cell r="E19"/>
          <cell r="F19"/>
          <cell r="G19">
            <v>11774.613871999996</v>
          </cell>
          <cell r="H19">
            <v>-341.24</v>
          </cell>
          <cell r="I19">
            <v>39871.498001529639</v>
          </cell>
          <cell r="J19">
            <v>0</v>
          </cell>
          <cell r="K19">
            <v>51304.871873529635</v>
          </cell>
        </row>
        <row r="20">
          <cell r="A20" t="str">
            <v>PGE_210113</v>
          </cell>
          <cell r="B20" t="str">
            <v>Energy Fitness Program</v>
          </cell>
          <cell r="C20"/>
          <cell r="D20"/>
          <cell r="E20"/>
          <cell r="F20"/>
          <cell r="G20">
            <v>0</v>
          </cell>
          <cell r="H20">
            <v>0</v>
          </cell>
          <cell r="I20">
            <v>0</v>
          </cell>
          <cell r="J20">
            <v>0</v>
          </cell>
          <cell r="K20">
            <v>0</v>
          </cell>
        </row>
        <row r="21">
          <cell r="A21" t="str">
            <v>PGE_210114</v>
          </cell>
          <cell r="B21" t="str">
            <v>Energy Savers</v>
          </cell>
          <cell r="C21"/>
          <cell r="D21"/>
          <cell r="E21"/>
          <cell r="F21"/>
          <cell r="G21">
            <v>0</v>
          </cell>
          <cell r="H21">
            <v>0</v>
          </cell>
          <cell r="I21">
            <v>0</v>
          </cell>
          <cell r="J21">
            <v>0</v>
          </cell>
          <cell r="K21">
            <v>0</v>
          </cell>
        </row>
        <row r="22">
          <cell r="A22" t="str">
            <v>PGE_210115</v>
          </cell>
          <cell r="B22" t="str">
            <v>RightLights</v>
          </cell>
          <cell r="C22"/>
          <cell r="D22"/>
          <cell r="E22"/>
          <cell r="F22"/>
          <cell r="G22">
            <v>0</v>
          </cell>
          <cell r="H22">
            <v>0</v>
          </cell>
          <cell r="I22">
            <v>0</v>
          </cell>
          <cell r="J22">
            <v>0</v>
          </cell>
          <cell r="K22">
            <v>0</v>
          </cell>
        </row>
        <row r="23">
          <cell r="A23" t="str">
            <v>PGE_210116</v>
          </cell>
          <cell r="B23" t="str">
            <v>Small Business Commercial Comprehensive</v>
          </cell>
          <cell r="C23"/>
          <cell r="D23"/>
          <cell r="E23"/>
          <cell r="F23"/>
          <cell r="G23">
            <v>0</v>
          </cell>
          <cell r="H23">
            <v>0</v>
          </cell>
          <cell r="I23">
            <v>0</v>
          </cell>
          <cell r="J23">
            <v>0</v>
          </cell>
          <cell r="K23">
            <v>0</v>
          </cell>
        </row>
        <row r="24">
          <cell r="A24" t="str">
            <v>PGE_210117</v>
          </cell>
          <cell r="B24" t="str">
            <v>Energy-Efficient Parking Garage</v>
          </cell>
          <cell r="C24"/>
          <cell r="D24"/>
          <cell r="E24"/>
          <cell r="F24"/>
          <cell r="G24">
            <v>0</v>
          </cell>
          <cell r="H24">
            <v>0</v>
          </cell>
          <cell r="I24">
            <v>0</v>
          </cell>
          <cell r="J24">
            <v>0</v>
          </cell>
          <cell r="K24">
            <v>0</v>
          </cell>
        </row>
        <row r="25">
          <cell r="A25" t="str">
            <v>PGE_210118</v>
          </cell>
          <cell r="B25" t="str">
            <v>Furniture Store Energy Efficiency</v>
          </cell>
          <cell r="C25"/>
          <cell r="D25"/>
          <cell r="E25"/>
          <cell r="F25"/>
          <cell r="G25">
            <v>0</v>
          </cell>
          <cell r="H25">
            <v>0</v>
          </cell>
          <cell r="I25">
            <v>0</v>
          </cell>
          <cell r="J25">
            <v>0</v>
          </cell>
          <cell r="K25">
            <v>0</v>
          </cell>
        </row>
        <row r="26">
          <cell r="A26" t="str">
            <v>PGE_210119</v>
          </cell>
          <cell r="B26" t="str">
            <v>LED Accelerator</v>
          </cell>
          <cell r="C26"/>
          <cell r="D26"/>
          <cell r="E26"/>
          <cell r="F26"/>
          <cell r="G26">
            <v>0</v>
          </cell>
          <cell r="H26">
            <v>0</v>
          </cell>
          <cell r="I26">
            <v>0</v>
          </cell>
          <cell r="J26">
            <v>0</v>
          </cell>
          <cell r="K26">
            <v>0</v>
          </cell>
        </row>
        <row r="27">
          <cell r="A27" t="str">
            <v>PGE_21012</v>
          </cell>
          <cell r="B27" t="str">
            <v>Commercial Deemed Incentives</v>
          </cell>
          <cell r="C27"/>
          <cell r="D27"/>
          <cell r="E27"/>
          <cell r="F27"/>
          <cell r="G27">
            <v>-638144.51555746491</v>
          </cell>
          <cell r="H27">
            <v>0</v>
          </cell>
          <cell r="I27">
            <v>581236.09404081595</v>
          </cell>
          <cell r="J27">
            <v>0</v>
          </cell>
          <cell r="K27">
            <v>-56908.421516648959</v>
          </cell>
        </row>
        <row r="28">
          <cell r="A28" t="str">
            <v>PGE_210120</v>
          </cell>
          <cell r="B28" t="str">
            <v>Monitoring-Based Commissioning</v>
          </cell>
          <cell r="C28"/>
          <cell r="D28"/>
          <cell r="E28"/>
          <cell r="F28"/>
          <cell r="G28">
            <v>0</v>
          </cell>
          <cell r="H28">
            <v>0</v>
          </cell>
          <cell r="I28">
            <v>0</v>
          </cell>
          <cell r="J28">
            <v>0</v>
          </cell>
          <cell r="K28">
            <v>0</v>
          </cell>
        </row>
        <row r="29">
          <cell r="A29" t="str">
            <v>PGE_210122</v>
          </cell>
          <cell r="B29" t="str">
            <v>Casino Green</v>
          </cell>
          <cell r="C29"/>
          <cell r="D29"/>
          <cell r="E29"/>
          <cell r="F29"/>
          <cell r="G29">
            <v>0</v>
          </cell>
          <cell r="H29">
            <v>0</v>
          </cell>
          <cell r="I29">
            <v>0</v>
          </cell>
          <cell r="J29">
            <v>0</v>
          </cell>
          <cell r="K29">
            <v>0</v>
          </cell>
        </row>
        <row r="30">
          <cell r="A30" t="str">
            <v>PGE_210123</v>
          </cell>
          <cell r="B30" t="str">
            <v>Healthcare Energy Efficiency Program</v>
          </cell>
          <cell r="C30"/>
          <cell r="D30"/>
          <cell r="E30"/>
          <cell r="F30"/>
          <cell r="G30">
            <v>0</v>
          </cell>
          <cell r="H30">
            <v>-307.12</v>
          </cell>
          <cell r="I30">
            <v>307.20065640561336</v>
          </cell>
          <cell r="J30">
            <v>0</v>
          </cell>
          <cell r="K30">
            <v>8.0656405613353854E-2</v>
          </cell>
        </row>
        <row r="31">
          <cell r="A31" t="str">
            <v>PGE_210124</v>
          </cell>
          <cell r="B31" t="str">
            <v>Ozone Laundry Energy Efficiency</v>
          </cell>
          <cell r="C31"/>
          <cell r="D31"/>
          <cell r="E31"/>
          <cell r="F31"/>
          <cell r="G31">
            <v>0</v>
          </cell>
          <cell r="H31">
            <v>0</v>
          </cell>
          <cell r="I31">
            <v>0</v>
          </cell>
          <cell r="J31">
            <v>0</v>
          </cell>
          <cell r="K31">
            <v>0</v>
          </cell>
        </row>
        <row r="32">
          <cell r="A32" t="str">
            <v>PGE_210125</v>
          </cell>
          <cell r="B32" t="str">
            <v>California Preschool Energy Efficiency P</v>
          </cell>
          <cell r="C32"/>
          <cell r="D32"/>
          <cell r="E32"/>
          <cell r="F32"/>
          <cell r="G32">
            <v>0</v>
          </cell>
          <cell r="H32">
            <v>0</v>
          </cell>
          <cell r="I32">
            <v>0</v>
          </cell>
          <cell r="J32">
            <v>0</v>
          </cell>
          <cell r="K32">
            <v>0</v>
          </cell>
        </row>
        <row r="33">
          <cell r="A33" t="str">
            <v>PGE_210126</v>
          </cell>
          <cell r="B33" t="str">
            <v>K-12 Private Schools and Colleges Audit</v>
          </cell>
          <cell r="C33"/>
          <cell r="D33"/>
          <cell r="E33"/>
          <cell r="F33"/>
          <cell r="G33">
            <v>0</v>
          </cell>
          <cell r="H33">
            <v>0</v>
          </cell>
          <cell r="I33">
            <v>0</v>
          </cell>
          <cell r="J33">
            <v>0</v>
          </cell>
          <cell r="K33">
            <v>0</v>
          </cell>
        </row>
        <row r="34">
          <cell r="A34" t="str">
            <v>PGE_210127</v>
          </cell>
          <cell r="B34" t="str">
            <v>Innovative Designs for Energy Efficiency</v>
          </cell>
          <cell r="C34"/>
          <cell r="D34"/>
          <cell r="E34"/>
          <cell r="F34"/>
          <cell r="G34">
            <v>0</v>
          </cell>
          <cell r="H34">
            <v>0</v>
          </cell>
          <cell r="I34">
            <v>0</v>
          </cell>
          <cell r="J34">
            <v>0</v>
          </cell>
          <cell r="K34">
            <v>0</v>
          </cell>
        </row>
        <row r="35">
          <cell r="A35" t="str">
            <v>PGE_210128</v>
          </cell>
          <cell r="B35" t="str">
            <v>Enovity SMART</v>
          </cell>
          <cell r="C35"/>
          <cell r="D35"/>
          <cell r="E35"/>
          <cell r="F35"/>
          <cell r="G35">
            <v>0</v>
          </cell>
          <cell r="H35">
            <v>0</v>
          </cell>
          <cell r="I35">
            <v>0</v>
          </cell>
          <cell r="J35">
            <v>0</v>
          </cell>
          <cell r="K35">
            <v>0</v>
          </cell>
        </row>
        <row r="36">
          <cell r="A36" t="str">
            <v>PGE_210129</v>
          </cell>
          <cell r="B36" t="str">
            <v>Nexant AERCx</v>
          </cell>
          <cell r="C36"/>
          <cell r="D36"/>
          <cell r="E36"/>
          <cell r="F36"/>
          <cell r="G36">
            <v>0</v>
          </cell>
          <cell r="H36">
            <v>0</v>
          </cell>
          <cell r="I36">
            <v>0</v>
          </cell>
          <cell r="J36">
            <v>0</v>
          </cell>
          <cell r="K36">
            <v>0</v>
          </cell>
        </row>
        <row r="37">
          <cell r="A37" t="str">
            <v>PGE_21013</v>
          </cell>
          <cell r="B37" t="str">
            <v>Commercial Continuous Energy Improvement</v>
          </cell>
          <cell r="C37"/>
          <cell r="D37"/>
          <cell r="E37"/>
          <cell r="F37"/>
          <cell r="G37">
            <v>0</v>
          </cell>
          <cell r="H37">
            <v>0</v>
          </cell>
          <cell r="I37">
            <v>0</v>
          </cell>
          <cell r="J37">
            <v>0</v>
          </cell>
          <cell r="K37">
            <v>0</v>
          </cell>
        </row>
        <row r="38">
          <cell r="A38" t="str">
            <v>PGE_210130</v>
          </cell>
          <cell r="B38" t="str">
            <v>RSG AERCx</v>
          </cell>
          <cell r="C38"/>
          <cell r="D38"/>
          <cell r="E38"/>
          <cell r="F38"/>
          <cell r="G38">
            <v>0</v>
          </cell>
          <cell r="H38">
            <v>0</v>
          </cell>
          <cell r="I38">
            <v>0</v>
          </cell>
          <cell r="J38">
            <v>0</v>
          </cell>
          <cell r="K38">
            <v>0</v>
          </cell>
        </row>
        <row r="39">
          <cell r="A39" t="str">
            <v>PGE_210131</v>
          </cell>
          <cell r="B39" t="str">
            <v>PECI AERCx</v>
          </cell>
          <cell r="C39"/>
          <cell r="D39"/>
          <cell r="E39"/>
          <cell r="F39"/>
          <cell r="G39">
            <v>0</v>
          </cell>
          <cell r="H39">
            <v>0</v>
          </cell>
          <cell r="I39">
            <v>0</v>
          </cell>
          <cell r="J39">
            <v>0</v>
          </cell>
          <cell r="K39">
            <v>0</v>
          </cell>
        </row>
        <row r="40">
          <cell r="A40" t="str">
            <v>PGE_210132</v>
          </cell>
          <cell r="B40" t="str">
            <v>High Efficiency Water Heater Program</v>
          </cell>
          <cell r="C40"/>
          <cell r="D40"/>
          <cell r="E40"/>
          <cell r="F40"/>
          <cell r="G40">
            <v>0</v>
          </cell>
          <cell r="H40">
            <v>0</v>
          </cell>
          <cell r="I40">
            <v>0</v>
          </cell>
          <cell r="J40">
            <v>0</v>
          </cell>
          <cell r="K40">
            <v>0</v>
          </cell>
        </row>
        <row r="41">
          <cell r="A41" t="str">
            <v>PGE_210133</v>
          </cell>
          <cell r="B41" t="str">
            <v>Staples Low Pressure Irrigation DI</v>
          </cell>
          <cell r="C41"/>
          <cell r="D41"/>
          <cell r="E41"/>
          <cell r="F41"/>
          <cell r="G41">
            <v>0</v>
          </cell>
          <cell r="H41">
            <v>0</v>
          </cell>
          <cell r="I41">
            <v>0</v>
          </cell>
          <cell r="J41">
            <v>0</v>
          </cell>
          <cell r="K41">
            <v>0</v>
          </cell>
        </row>
        <row r="42">
          <cell r="A42" t="str">
            <v>PGE_210134</v>
          </cell>
          <cell r="B42" t="str">
            <v>ICF BESO</v>
          </cell>
          <cell r="C42"/>
          <cell r="D42"/>
          <cell r="E42"/>
          <cell r="F42"/>
          <cell r="G42">
            <v>0</v>
          </cell>
          <cell r="H42">
            <v>0</v>
          </cell>
          <cell r="I42">
            <v>0</v>
          </cell>
          <cell r="J42">
            <v>0</v>
          </cell>
          <cell r="K42">
            <v>0</v>
          </cell>
        </row>
        <row r="43">
          <cell r="A43" t="str">
            <v>PGE_210135</v>
          </cell>
          <cell r="B43" t="str">
            <v>LINCUS WISE</v>
          </cell>
          <cell r="C43"/>
          <cell r="D43"/>
          <cell r="E43"/>
          <cell r="F43"/>
          <cell r="G43">
            <v>-98700.074455424299</v>
          </cell>
          <cell r="H43">
            <v>-547.54</v>
          </cell>
          <cell r="I43">
            <v>104119.08061925697</v>
          </cell>
          <cell r="J43">
            <v>0</v>
          </cell>
          <cell r="K43">
            <v>4871.4661638326797</v>
          </cell>
        </row>
        <row r="44">
          <cell r="A44" t="str">
            <v>PGE_210136</v>
          </cell>
          <cell r="B44" t="str">
            <v>MCKINSTRY FUME HOODS</v>
          </cell>
          <cell r="C44"/>
          <cell r="D44"/>
          <cell r="E44"/>
          <cell r="F44"/>
          <cell r="G44">
            <v>0</v>
          </cell>
          <cell r="H44">
            <v>0</v>
          </cell>
          <cell r="I44">
            <v>0</v>
          </cell>
          <cell r="J44">
            <v>0</v>
          </cell>
          <cell r="K44">
            <v>0</v>
          </cell>
        </row>
        <row r="45">
          <cell r="A45" t="str">
            <v>PGE_210137</v>
          </cell>
          <cell r="B45" t="str">
            <v>WAYPOINT CONNECT</v>
          </cell>
          <cell r="C45"/>
          <cell r="D45"/>
          <cell r="E45"/>
          <cell r="F45"/>
          <cell r="G45">
            <v>0</v>
          </cell>
          <cell r="H45">
            <v>0</v>
          </cell>
          <cell r="I45">
            <v>0</v>
          </cell>
          <cell r="J45">
            <v>0</v>
          </cell>
          <cell r="K45">
            <v>0</v>
          </cell>
        </row>
        <row r="46">
          <cell r="A46" t="str">
            <v>PGE_210138</v>
          </cell>
          <cell r="B46" t="str">
            <v>PECI DATA CENTERS</v>
          </cell>
          <cell r="C46"/>
          <cell r="D46"/>
          <cell r="E46"/>
          <cell r="F46"/>
          <cell r="G46">
            <v>0</v>
          </cell>
          <cell r="H46">
            <v>0</v>
          </cell>
          <cell r="I46">
            <v>0</v>
          </cell>
          <cell r="J46">
            <v>0</v>
          </cell>
          <cell r="K46">
            <v>0</v>
          </cell>
        </row>
        <row r="47">
          <cell r="A47" t="str">
            <v>PGE_210139</v>
          </cell>
          <cell r="B47" t="str">
            <v>SEI ENERGIZE SCHOOLS</v>
          </cell>
          <cell r="C47"/>
          <cell r="D47"/>
          <cell r="E47"/>
          <cell r="F47"/>
          <cell r="G47">
            <v>0</v>
          </cell>
          <cell r="H47">
            <v>0</v>
          </cell>
          <cell r="I47">
            <v>0</v>
          </cell>
          <cell r="J47">
            <v>0</v>
          </cell>
          <cell r="K47">
            <v>0</v>
          </cell>
        </row>
        <row r="48">
          <cell r="A48" t="str">
            <v>PGE_21014</v>
          </cell>
          <cell r="B48" t="str">
            <v>Commercial Energy Advisor</v>
          </cell>
          <cell r="C48"/>
          <cell r="D48"/>
          <cell r="E48"/>
          <cell r="F48"/>
          <cell r="G48">
            <v>-145637.15408163262</v>
          </cell>
          <cell r="H48">
            <v>0</v>
          </cell>
          <cell r="I48">
            <v>132763.22224489789</v>
          </cell>
          <cell r="J48">
            <v>0</v>
          </cell>
          <cell r="K48">
            <v>-12873.93183673473</v>
          </cell>
        </row>
        <row r="49">
          <cell r="A49" t="str">
            <v>PGE_210140</v>
          </cell>
          <cell r="B49" t="str">
            <v>MAZZETTI DGSS</v>
          </cell>
          <cell r="C49"/>
          <cell r="D49"/>
          <cell r="E49"/>
          <cell r="F49"/>
          <cell r="G49">
            <v>0</v>
          </cell>
          <cell r="H49">
            <v>0</v>
          </cell>
          <cell r="I49">
            <v>0</v>
          </cell>
          <cell r="J49">
            <v>0</v>
          </cell>
          <cell r="K49">
            <v>0</v>
          </cell>
        </row>
        <row r="50">
          <cell r="A50" t="str">
            <v>PGE_210141</v>
          </cell>
          <cell r="B50" t="str">
            <v>LINCUS CMMP</v>
          </cell>
          <cell r="C50"/>
          <cell r="D50"/>
          <cell r="E50"/>
          <cell r="F50"/>
          <cell r="G50">
            <v>0</v>
          </cell>
          <cell r="H50">
            <v>0</v>
          </cell>
          <cell r="I50">
            <v>0</v>
          </cell>
          <cell r="J50">
            <v>0</v>
          </cell>
          <cell r="K50">
            <v>0</v>
          </cell>
        </row>
        <row r="51">
          <cell r="A51" t="str">
            <v>PGE_210142</v>
          </cell>
          <cell r="B51" t="str">
            <v>AMERESCO IEEP</v>
          </cell>
          <cell r="C51"/>
          <cell r="D51"/>
          <cell r="E51"/>
          <cell r="F51"/>
          <cell r="G51">
            <v>0</v>
          </cell>
          <cell r="H51">
            <v>0</v>
          </cell>
          <cell r="I51">
            <v>0</v>
          </cell>
          <cell r="J51">
            <v>0</v>
          </cell>
          <cell r="K51">
            <v>0</v>
          </cell>
        </row>
        <row r="52">
          <cell r="A52" t="str">
            <v>PGE_210143</v>
          </cell>
          <cell r="B52" t="str">
            <v>Hospitality Program</v>
          </cell>
          <cell r="C52"/>
          <cell r="D52"/>
          <cell r="E52"/>
          <cell r="F52"/>
          <cell r="G52">
            <v>-337297.14138990338</v>
          </cell>
          <cell r="H52">
            <v>-1940.43</v>
          </cell>
          <cell r="I52">
            <v>328728.8926753446</v>
          </cell>
          <cell r="J52">
            <v>0</v>
          </cell>
          <cell r="K52">
            <v>-10508.678714558773</v>
          </cell>
        </row>
        <row r="53">
          <cell r="A53" t="str">
            <v>PGE_21015</v>
          </cell>
          <cell r="B53" t="str">
            <v>Commercial HVAC</v>
          </cell>
          <cell r="C53"/>
          <cell r="D53"/>
          <cell r="E53"/>
          <cell r="F53"/>
          <cell r="G53">
            <v>-493997.95867669187</v>
          </cell>
          <cell r="H53">
            <v>0</v>
          </cell>
          <cell r="I53">
            <v>449982.12971428537</v>
          </cell>
          <cell r="J53">
            <v>0</v>
          </cell>
          <cell r="K53">
            <v>-44015.828962406493</v>
          </cell>
        </row>
        <row r="54">
          <cell r="A54" t="str">
            <v>PGE_21016</v>
          </cell>
          <cell r="B54" t="str">
            <v>Air Care Plus</v>
          </cell>
          <cell r="C54"/>
          <cell r="D54"/>
          <cell r="E54"/>
          <cell r="F54"/>
          <cell r="G54">
            <v>0</v>
          </cell>
          <cell r="H54">
            <v>0</v>
          </cell>
          <cell r="I54">
            <v>0</v>
          </cell>
          <cell r="J54">
            <v>0</v>
          </cell>
          <cell r="K54">
            <v>0</v>
          </cell>
        </row>
        <row r="55">
          <cell r="A55" t="str">
            <v>PGE_21017</v>
          </cell>
          <cell r="B55" t="str">
            <v>Boiler Energy Efficiency Program</v>
          </cell>
          <cell r="C55"/>
          <cell r="D55"/>
          <cell r="E55"/>
          <cell r="F55"/>
          <cell r="G55">
            <v>0</v>
          </cell>
          <cell r="H55">
            <v>0</v>
          </cell>
          <cell r="I55">
            <v>0</v>
          </cell>
          <cell r="J55">
            <v>0</v>
          </cell>
          <cell r="K55">
            <v>0</v>
          </cell>
        </row>
        <row r="56">
          <cell r="A56" t="str">
            <v>PGE_21018</v>
          </cell>
          <cell r="B56" t="str">
            <v>EnergySmart Grocer</v>
          </cell>
          <cell r="C56"/>
          <cell r="D56"/>
          <cell r="E56"/>
          <cell r="F56"/>
          <cell r="G56">
            <v>-264744.15934908693</v>
          </cell>
          <cell r="H56">
            <v>-1523.18</v>
          </cell>
          <cell r="I56">
            <v>258119.26409250643</v>
          </cell>
          <cell r="J56">
            <v>0</v>
          </cell>
          <cell r="K56">
            <v>-8148.0752565804869</v>
          </cell>
        </row>
        <row r="57">
          <cell r="A57" t="str">
            <v>PGE_21019</v>
          </cell>
          <cell r="B57" t="str">
            <v>Enhanced Automation Initiative</v>
          </cell>
          <cell r="C57"/>
          <cell r="D57"/>
          <cell r="E57"/>
          <cell r="F57"/>
          <cell r="G57">
            <v>0</v>
          </cell>
          <cell r="H57">
            <v>0</v>
          </cell>
          <cell r="I57">
            <v>0</v>
          </cell>
          <cell r="J57">
            <v>0</v>
          </cell>
          <cell r="K57">
            <v>0</v>
          </cell>
        </row>
        <row r="58">
          <cell r="A58" t="str">
            <v>PGE_21021</v>
          </cell>
          <cell r="B58" t="str">
            <v>Industrial Calculated Incentives</v>
          </cell>
          <cell r="C58"/>
          <cell r="D58"/>
          <cell r="E58"/>
          <cell r="F58"/>
          <cell r="G58">
            <v>-399749.7194242751</v>
          </cell>
          <cell r="H58">
            <v>0</v>
          </cell>
          <cell r="I58">
            <v>370174.09669387725</v>
          </cell>
          <cell r="J58">
            <v>0</v>
          </cell>
          <cell r="K58">
            <v>-29575.622730397852</v>
          </cell>
        </row>
        <row r="59">
          <cell r="A59" t="str">
            <v>PGE_210210</v>
          </cell>
          <cell r="B59" t="str">
            <v>Industrial Recommissioning Program</v>
          </cell>
          <cell r="C59"/>
          <cell r="D59"/>
          <cell r="E59"/>
          <cell r="F59"/>
          <cell r="G59">
            <v>0</v>
          </cell>
          <cell r="H59">
            <v>-344.34</v>
          </cell>
          <cell r="I59">
            <v>344.06473517428697</v>
          </cell>
          <cell r="J59">
            <v>0</v>
          </cell>
          <cell r="K59">
            <v>-0.27526482571300903</v>
          </cell>
        </row>
        <row r="60">
          <cell r="A60" t="str">
            <v>PGE_210211</v>
          </cell>
          <cell r="B60" t="str">
            <v>Light Industrial Energy Efficiency Prog</v>
          </cell>
          <cell r="C60"/>
          <cell r="D60"/>
          <cell r="E60"/>
          <cell r="F60"/>
          <cell r="G60">
            <v>0</v>
          </cell>
          <cell r="H60">
            <v>0</v>
          </cell>
          <cell r="I60">
            <v>0</v>
          </cell>
          <cell r="J60">
            <v>0</v>
          </cell>
          <cell r="K60">
            <v>0</v>
          </cell>
        </row>
        <row r="61">
          <cell r="A61" t="str">
            <v>PGE_210212</v>
          </cell>
          <cell r="B61" t="str">
            <v>Ind Compressed Air Systems Efficiency</v>
          </cell>
          <cell r="C61"/>
          <cell r="D61"/>
          <cell r="E61"/>
          <cell r="F61"/>
          <cell r="G61">
            <v>0</v>
          </cell>
          <cell r="H61">
            <v>-179.93</v>
          </cell>
          <cell r="I61">
            <v>179.05409687641463</v>
          </cell>
          <cell r="J61">
            <v>0</v>
          </cell>
          <cell r="K61">
            <v>-0.87590312358537403</v>
          </cell>
        </row>
        <row r="62">
          <cell r="A62" t="str">
            <v>PGE_210213</v>
          </cell>
          <cell r="B62" t="str">
            <v>Small Petrochemical EE Program</v>
          </cell>
          <cell r="C62"/>
          <cell r="D62"/>
          <cell r="E62"/>
          <cell r="F62"/>
          <cell r="G62">
            <v>0</v>
          </cell>
          <cell r="H62">
            <v>0</v>
          </cell>
          <cell r="I62">
            <v>0</v>
          </cell>
          <cell r="J62">
            <v>0</v>
          </cell>
          <cell r="K62">
            <v>0</v>
          </cell>
        </row>
        <row r="63">
          <cell r="A63" t="str">
            <v>PGE_21022</v>
          </cell>
          <cell r="B63" t="str">
            <v>Industrial Deemed Incentives</v>
          </cell>
          <cell r="C63"/>
          <cell r="D63"/>
          <cell r="E63"/>
          <cell r="F63"/>
          <cell r="G63">
            <v>0</v>
          </cell>
          <cell r="H63">
            <v>0</v>
          </cell>
          <cell r="I63">
            <v>0</v>
          </cell>
          <cell r="J63">
            <v>0</v>
          </cell>
          <cell r="K63">
            <v>0</v>
          </cell>
        </row>
        <row r="64">
          <cell r="A64" t="str">
            <v>PGE_21023</v>
          </cell>
          <cell r="B64" t="str">
            <v>Industrial Continuous Energy Improvement</v>
          </cell>
          <cell r="C64"/>
          <cell r="D64"/>
          <cell r="E64"/>
          <cell r="F64"/>
          <cell r="G64">
            <v>0</v>
          </cell>
          <cell r="H64">
            <v>0</v>
          </cell>
          <cell r="I64">
            <v>0</v>
          </cell>
          <cell r="J64">
            <v>0</v>
          </cell>
          <cell r="K64">
            <v>0</v>
          </cell>
        </row>
        <row r="65">
          <cell r="A65" t="str">
            <v>PGE_21024</v>
          </cell>
          <cell r="B65" t="str">
            <v>Industrial Energy Advisor</v>
          </cell>
          <cell r="C65"/>
          <cell r="D65"/>
          <cell r="E65"/>
          <cell r="F65"/>
          <cell r="G65">
            <v>0</v>
          </cell>
          <cell r="H65">
            <v>0</v>
          </cell>
          <cell r="I65">
            <v>0</v>
          </cell>
          <cell r="J65">
            <v>0</v>
          </cell>
          <cell r="K65">
            <v>0</v>
          </cell>
        </row>
        <row r="66">
          <cell r="A66" t="str">
            <v>PGE_21025</v>
          </cell>
          <cell r="B66" t="str">
            <v>California Wastewater Process Optimizati</v>
          </cell>
          <cell r="C66"/>
          <cell r="D66"/>
          <cell r="E66"/>
          <cell r="F66"/>
          <cell r="G66">
            <v>0</v>
          </cell>
          <cell r="H66">
            <v>0</v>
          </cell>
          <cell r="I66">
            <v>0</v>
          </cell>
          <cell r="J66">
            <v>0</v>
          </cell>
          <cell r="K66">
            <v>0</v>
          </cell>
        </row>
        <row r="67">
          <cell r="A67" t="str">
            <v>PGE_21026</v>
          </cell>
          <cell r="B67" t="str">
            <v>Energy Efficiency Services for Oil Produ</v>
          </cell>
          <cell r="C67"/>
          <cell r="D67"/>
          <cell r="E67"/>
          <cell r="F67"/>
          <cell r="G67">
            <v>-187371.92930612247</v>
          </cell>
          <cell r="H67">
            <v>-1046.99</v>
          </cell>
          <cell r="I67">
            <v>199357.34058246866</v>
          </cell>
          <cell r="J67">
            <v>0</v>
          </cell>
          <cell r="K67">
            <v>10938.421276346198</v>
          </cell>
        </row>
        <row r="68">
          <cell r="A68" t="str">
            <v>PGE_21027</v>
          </cell>
          <cell r="B68" t="str">
            <v>Heavy Industry Energy Efficiency Program</v>
          </cell>
          <cell r="C68"/>
          <cell r="D68"/>
          <cell r="E68"/>
          <cell r="F68"/>
          <cell r="G68">
            <v>-715308.10080343706</v>
          </cell>
          <cell r="H68">
            <v>-4436.13</v>
          </cell>
          <cell r="I68">
            <v>731417.57101661072</v>
          </cell>
          <cell r="J68">
            <v>0</v>
          </cell>
          <cell r="K68">
            <v>11673.340213173651</v>
          </cell>
        </row>
        <row r="69">
          <cell r="A69" t="str">
            <v>PGE_21028</v>
          </cell>
          <cell r="B69" t="str">
            <v>Industrial Compressed Air Program</v>
          </cell>
          <cell r="C69"/>
          <cell r="D69"/>
          <cell r="E69"/>
          <cell r="F69"/>
          <cell r="G69">
            <v>0</v>
          </cell>
          <cell r="H69">
            <v>0</v>
          </cell>
          <cell r="I69">
            <v>0</v>
          </cell>
          <cell r="J69">
            <v>0</v>
          </cell>
          <cell r="K69">
            <v>0</v>
          </cell>
        </row>
        <row r="70">
          <cell r="A70" t="str">
            <v>PGE_21029</v>
          </cell>
          <cell r="B70" t="str">
            <v>Refinery Energy Efficiency Program</v>
          </cell>
          <cell r="C70"/>
          <cell r="D70"/>
          <cell r="E70"/>
          <cell r="F70"/>
          <cell r="G70">
            <v>0</v>
          </cell>
          <cell r="H70">
            <v>0</v>
          </cell>
          <cell r="I70">
            <v>0</v>
          </cell>
          <cell r="J70">
            <v>0</v>
          </cell>
          <cell r="K70">
            <v>0</v>
          </cell>
        </row>
        <row r="71">
          <cell r="A71" t="str">
            <v>PGE_21030</v>
          </cell>
          <cell r="B71" t="str">
            <v>Industrial Strategic Energy Management</v>
          </cell>
          <cell r="C71"/>
          <cell r="D71"/>
          <cell r="E71"/>
          <cell r="F71"/>
          <cell r="G71">
            <v>0</v>
          </cell>
          <cell r="H71">
            <v>0</v>
          </cell>
          <cell r="I71">
            <v>0</v>
          </cell>
          <cell r="J71">
            <v>0</v>
          </cell>
          <cell r="K71">
            <v>0</v>
          </cell>
        </row>
        <row r="72">
          <cell r="A72" t="str">
            <v>PGE_21031</v>
          </cell>
          <cell r="B72" t="str">
            <v>Agricultural Calculated Incentives</v>
          </cell>
          <cell r="C72"/>
          <cell r="D72"/>
          <cell r="E72"/>
          <cell r="F72"/>
          <cell r="G72">
            <v>-170047.00929538126</v>
          </cell>
          <cell r="H72">
            <v>0</v>
          </cell>
          <cell r="I72">
            <v>160674.96893877545</v>
          </cell>
          <cell r="J72">
            <v>0</v>
          </cell>
          <cell r="K72">
            <v>-9372.0403566058085</v>
          </cell>
        </row>
        <row r="73">
          <cell r="A73" t="str">
            <v>PGE_210310</v>
          </cell>
          <cell r="B73" t="str">
            <v>Dairy Industry Resource Advantage Pgm</v>
          </cell>
          <cell r="C73"/>
          <cell r="D73"/>
          <cell r="E73"/>
          <cell r="F73"/>
          <cell r="G73">
            <v>0</v>
          </cell>
          <cell r="H73">
            <v>0</v>
          </cell>
          <cell r="I73">
            <v>0</v>
          </cell>
          <cell r="J73">
            <v>0</v>
          </cell>
          <cell r="K73">
            <v>0</v>
          </cell>
        </row>
        <row r="74">
          <cell r="A74" t="str">
            <v>PGE_210311</v>
          </cell>
          <cell r="B74" t="str">
            <v>Process Wastewater Treatment EM Pgm for</v>
          </cell>
          <cell r="C74"/>
          <cell r="D74"/>
          <cell r="E74"/>
          <cell r="F74"/>
          <cell r="G74">
            <v>0</v>
          </cell>
          <cell r="H74">
            <v>-234.22</v>
          </cell>
          <cell r="I74">
            <v>233.47249886826614</v>
          </cell>
          <cell r="J74">
            <v>0</v>
          </cell>
          <cell r="K74">
            <v>-0.74750113173385557</v>
          </cell>
        </row>
        <row r="75">
          <cell r="A75" t="str">
            <v>PGE_210312</v>
          </cell>
          <cell r="B75" t="str">
            <v>Dairy &amp; WIES</v>
          </cell>
          <cell r="C75"/>
          <cell r="D75"/>
          <cell r="E75"/>
          <cell r="F75"/>
          <cell r="G75">
            <v>-165855.48489366271</v>
          </cell>
          <cell r="H75">
            <v>-910.5</v>
          </cell>
          <cell r="I75">
            <v>175938.68247732369</v>
          </cell>
          <cell r="J75">
            <v>0</v>
          </cell>
          <cell r="K75">
            <v>9172.6975836609781</v>
          </cell>
        </row>
        <row r="76">
          <cell r="A76" t="str">
            <v>PGE_21032</v>
          </cell>
          <cell r="B76" t="str">
            <v>Agricultural Deemed Incentives</v>
          </cell>
          <cell r="C76"/>
          <cell r="D76"/>
          <cell r="E76"/>
          <cell r="F76"/>
          <cell r="G76">
            <v>-173055.15369709989</v>
          </cell>
          <cell r="H76">
            <v>0</v>
          </cell>
          <cell r="I76">
            <v>163307.45477551009</v>
          </cell>
          <cell r="J76">
            <v>0</v>
          </cell>
          <cell r="K76">
            <v>-9747.698921589792</v>
          </cell>
        </row>
        <row r="77">
          <cell r="A77" t="str">
            <v>PGE_21033</v>
          </cell>
          <cell r="B77" t="str">
            <v>Agricultural Continuous Energy Improveme</v>
          </cell>
          <cell r="C77"/>
          <cell r="D77"/>
          <cell r="E77"/>
          <cell r="F77"/>
          <cell r="G77">
            <v>0</v>
          </cell>
          <cell r="H77">
            <v>0</v>
          </cell>
          <cell r="I77">
            <v>0</v>
          </cell>
          <cell r="J77">
            <v>0</v>
          </cell>
          <cell r="K77">
            <v>0</v>
          </cell>
        </row>
        <row r="78">
          <cell r="A78" t="str">
            <v>PGE_21034</v>
          </cell>
          <cell r="B78" t="str">
            <v>Agricultural Energy Advisor</v>
          </cell>
          <cell r="C78"/>
          <cell r="D78"/>
          <cell r="E78"/>
          <cell r="F78"/>
          <cell r="G78">
            <v>-126631.26407089151</v>
          </cell>
          <cell r="H78">
            <v>0</v>
          </cell>
          <cell r="I78">
            <v>119253.64826530605</v>
          </cell>
          <cell r="J78">
            <v>0</v>
          </cell>
          <cell r="K78">
            <v>-7377.6158055854612</v>
          </cell>
        </row>
        <row r="79">
          <cell r="A79" t="str">
            <v>PGE_21035</v>
          </cell>
          <cell r="B79" t="str">
            <v>Dairy Energy Efficiency Program</v>
          </cell>
          <cell r="C79"/>
          <cell r="D79"/>
          <cell r="E79"/>
          <cell r="F79"/>
          <cell r="G79">
            <v>0</v>
          </cell>
          <cell r="H79">
            <v>0</v>
          </cell>
          <cell r="I79">
            <v>0</v>
          </cell>
          <cell r="J79">
            <v>0</v>
          </cell>
          <cell r="K79">
            <v>0</v>
          </cell>
        </row>
        <row r="80">
          <cell r="A80" t="str">
            <v>PGE_21036</v>
          </cell>
          <cell r="B80" t="str">
            <v>Industrial Refrigeration Performance Plu</v>
          </cell>
          <cell r="C80"/>
          <cell r="D80"/>
          <cell r="E80"/>
          <cell r="F80"/>
          <cell r="G80">
            <v>0</v>
          </cell>
          <cell r="H80">
            <v>0</v>
          </cell>
          <cell r="I80">
            <v>0</v>
          </cell>
          <cell r="J80">
            <v>0</v>
          </cell>
          <cell r="K80">
            <v>0</v>
          </cell>
        </row>
        <row r="81">
          <cell r="A81" t="str">
            <v>PGE_21037</v>
          </cell>
          <cell r="B81" t="str">
            <v>Light Exchange Program</v>
          </cell>
          <cell r="C81"/>
          <cell r="D81"/>
          <cell r="E81"/>
          <cell r="F81"/>
          <cell r="G81">
            <v>0</v>
          </cell>
          <cell r="H81">
            <v>0</v>
          </cell>
          <cell r="I81">
            <v>0</v>
          </cell>
          <cell r="J81">
            <v>0</v>
          </cell>
          <cell r="K81">
            <v>0</v>
          </cell>
        </row>
        <row r="82">
          <cell r="A82" t="str">
            <v>PGE_21038</v>
          </cell>
          <cell r="B82" t="str">
            <v>Wine Industry Efficiency Solutions</v>
          </cell>
          <cell r="C82"/>
          <cell r="D82"/>
          <cell r="E82"/>
          <cell r="F82"/>
          <cell r="G82">
            <v>0</v>
          </cell>
          <cell r="H82">
            <v>0</v>
          </cell>
          <cell r="I82">
            <v>0</v>
          </cell>
          <cell r="J82">
            <v>0</v>
          </cell>
          <cell r="K82">
            <v>0</v>
          </cell>
        </row>
        <row r="83">
          <cell r="A83" t="str">
            <v>PGE_21039</v>
          </cell>
          <cell r="B83" t="str">
            <v>Comprehensive Food Process Audit &amp; Resou</v>
          </cell>
          <cell r="C83"/>
          <cell r="D83"/>
          <cell r="E83"/>
          <cell r="F83"/>
          <cell r="G83">
            <v>-311073.41537486576</v>
          </cell>
          <cell r="H83">
            <v>-1700.01</v>
          </cell>
          <cell r="I83">
            <v>304054.87487575854</v>
          </cell>
          <cell r="J83">
            <v>0</v>
          </cell>
          <cell r="K83">
            <v>-8718.550499107223</v>
          </cell>
        </row>
        <row r="84">
          <cell r="A84" t="str">
            <v>PGE_21041</v>
          </cell>
          <cell r="B84" t="str">
            <v>Primary Lighting</v>
          </cell>
          <cell r="C84"/>
          <cell r="D84"/>
          <cell r="E84"/>
          <cell r="F84"/>
          <cell r="G84">
            <v>-12547.23</v>
          </cell>
          <cell r="H84">
            <v>0</v>
          </cell>
          <cell r="I84">
            <v>-180080.81</v>
          </cell>
          <cell r="J84">
            <v>0</v>
          </cell>
          <cell r="K84">
            <v>-192628.04</v>
          </cell>
        </row>
        <row r="85">
          <cell r="A85" t="str">
            <v>PGE_21042</v>
          </cell>
          <cell r="B85" t="str">
            <v>Lighting Innovation</v>
          </cell>
          <cell r="C85"/>
          <cell r="D85"/>
          <cell r="E85"/>
          <cell r="F85"/>
          <cell r="G85">
            <v>0</v>
          </cell>
          <cell r="H85">
            <v>0</v>
          </cell>
          <cell r="I85">
            <v>0</v>
          </cell>
          <cell r="J85">
            <v>0</v>
          </cell>
          <cell r="K85">
            <v>0</v>
          </cell>
        </row>
        <row r="86">
          <cell r="A86" t="str">
            <v>PGE_21043</v>
          </cell>
          <cell r="B86" t="str">
            <v>Lighting Market Transformation</v>
          </cell>
          <cell r="C86"/>
          <cell r="D86"/>
          <cell r="E86"/>
          <cell r="F86"/>
          <cell r="G86">
            <v>0</v>
          </cell>
          <cell r="H86">
            <v>0</v>
          </cell>
          <cell r="I86">
            <v>0</v>
          </cell>
          <cell r="J86">
            <v>0</v>
          </cell>
          <cell r="K86">
            <v>0</v>
          </cell>
        </row>
        <row r="87">
          <cell r="A87" t="str">
            <v>PGE_21051</v>
          </cell>
          <cell r="B87" t="str">
            <v>Building Codes Advocacy</v>
          </cell>
          <cell r="C87"/>
          <cell r="D87"/>
          <cell r="E87"/>
          <cell r="F87"/>
          <cell r="G87">
            <v>0</v>
          </cell>
          <cell r="H87">
            <v>0</v>
          </cell>
          <cell r="I87">
            <v>0</v>
          </cell>
          <cell r="J87">
            <v>0</v>
          </cell>
          <cell r="K87">
            <v>0</v>
          </cell>
        </row>
        <row r="88">
          <cell r="A88" t="str">
            <v>PGE_21052</v>
          </cell>
          <cell r="B88" t="str">
            <v>Appliance Standards Advocacy</v>
          </cell>
          <cell r="C88"/>
          <cell r="D88"/>
          <cell r="E88"/>
          <cell r="F88"/>
          <cell r="G88">
            <v>0</v>
          </cell>
          <cell r="H88">
            <v>0</v>
          </cell>
          <cell r="I88">
            <v>0</v>
          </cell>
          <cell r="J88">
            <v>0</v>
          </cell>
          <cell r="K88">
            <v>0</v>
          </cell>
        </row>
        <row r="89">
          <cell r="A89" t="str">
            <v>PGE_21053</v>
          </cell>
          <cell r="B89" t="str">
            <v>Compliance Improvement</v>
          </cell>
          <cell r="C89"/>
          <cell r="D89"/>
          <cell r="E89"/>
          <cell r="F89"/>
          <cell r="G89">
            <v>0</v>
          </cell>
          <cell r="H89">
            <v>0</v>
          </cell>
          <cell r="I89">
            <v>0</v>
          </cell>
          <cell r="J89">
            <v>0</v>
          </cell>
          <cell r="K89">
            <v>0</v>
          </cell>
        </row>
        <row r="90">
          <cell r="A90" t="str">
            <v>PGE_21054</v>
          </cell>
          <cell r="B90" t="str">
            <v>Reach Codes</v>
          </cell>
          <cell r="C90"/>
          <cell r="D90"/>
          <cell r="E90"/>
          <cell r="F90"/>
          <cell r="G90">
            <v>0</v>
          </cell>
          <cell r="H90">
            <v>0</v>
          </cell>
          <cell r="I90">
            <v>0</v>
          </cell>
          <cell r="J90">
            <v>0</v>
          </cell>
          <cell r="K90">
            <v>0</v>
          </cell>
        </row>
        <row r="91">
          <cell r="A91" t="str">
            <v>PGE_21055</v>
          </cell>
          <cell r="B91" t="str">
            <v>Planning  and Coordination</v>
          </cell>
          <cell r="C91"/>
          <cell r="D91"/>
          <cell r="E91"/>
          <cell r="F91"/>
          <cell r="G91">
            <v>0</v>
          </cell>
          <cell r="H91">
            <v>0</v>
          </cell>
          <cell r="I91">
            <v>0</v>
          </cell>
          <cell r="J91">
            <v>0</v>
          </cell>
          <cell r="K91">
            <v>0</v>
          </cell>
        </row>
        <row r="92">
          <cell r="A92" t="str">
            <v>PGE_21056</v>
          </cell>
          <cell r="B92" t="str">
            <v>Code Readiness</v>
          </cell>
          <cell r="C92"/>
          <cell r="D92"/>
          <cell r="E92"/>
          <cell r="F92"/>
          <cell r="G92">
            <v>0</v>
          </cell>
          <cell r="H92">
            <v>0</v>
          </cell>
          <cell r="I92">
            <v>0</v>
          </cell>
          <cell r="J92">
            <v>0</v>
          </cell>
          <cell r="K92">
            <v>0</v>
          </cell>
        </row>
        <row r="93">
          <cell r="A93" t="str">
            <v>PGE_21057</v>
          </cell>
          <cell r="B93" t="str">
            <v>National Codes &amp; Standards Advocacy</v>
          </cell>
          <cell r="C93"/>
          <cell r="D93"/>
          <cell r="E93"/>
          <cell r="F93"/>
          <cell r="G93">
            <v>0</v>
          </cell>
          <cell r="H93">
            <v>0</v>
          </cell>
          <cell r="I93">
            <v>0</v>
          </cell>
          <cell r="J93">
            <v>0</v>
          </cell>
          <cell r="K93">
            <v>0</v>
          </cell>
        </row>
        <row r="94">
          <cell r="A94" t="str">
            <v>PGE_21061</v>
          </cell>
          <cell r="B94" t="str">
            <v>Technology Development Support</v>
          </cell>
          <cell r="C94"/>
          <cell r="D94"/>
          <cell r="E94"/>
          <cell r="F94"/>
          <cell r="G94">
            <v>0</v>
          </cell>
          <cell r="H94">
            <v>0</v>
          </cell>
          <cell r="I94">
            <v>0</v>
          </cell>
          <cell r="J94">
            <v>0</v>
          </cell>
          <cell r="K94">
            <v>0</v>
          </cell>
        </row>
        <row r="95">
          <cell r="A95" t="str">
            <v>PGE_21062</v>
          </cell>
          <cell r="B95" t="str">
            <v>Technology Assessments</v>
          </cell>
          <cell r="C95"/>
          <cell r="D95"/>
          <cell r="E95"/>
          <cell r="F95"/>
          <cell r="G95">
            <v>0</v>
          </cell>
          <cell r="H95">
            <v>0</v>
          </cell>
          <cell r="I95">
            <v>0</v>
          </cell>
          <cell r="J95">
            <v>0</v>
          </cell>
          <cell r="K95">
            <v>0</v>
          </cell>
        </row>
        <row r="96">
          <cell r="A96" t="str">
            <v>PGE_21063</v>
          </cell>
          <cell r="B96" t="str">
            <v>Technology Introduction Support</v>
          </cell>
          <cell r="C96"/>
          <cell r="D96"/>
          <cell r="E96"/>
          <cell r="F96"/>
          <cell r="G96">
            <v>0</v>
          </cell>
          <cell r="H96">
            <v>0</v>
          </cell>
          <cell r="I96">
            <v>0</v>
          </cell>
          <cell r="J96">
            <v>0</v>
          </cell>
          <cell r="K96">
            <v>0</v>
          </cell>
        </row>
        <row r="97">
          <cell r="A97" t="str">
            <v>PGE_21064</v>
          </cell>
          <cell r="B97" t="str">
            <v>EE Water-Energy Nexus AMI Pilot</v>
          </cell>
          <cell r="C97"/>
          <cell r="D97"/>
          <cell r="E97"/>
          <cell r="F97"/>
          <cell r="G97">
            <v>0</v>
          </cell>
          <cell r="H97">
            <v>0</v>
          </cell>
          <cell r="I97">
            <v>0</v>
          </cell>
          <cell r="J97">
            <v>0</v>
          </cell>
          <cell r="K97">
            <v>0</v>
          </cell>
        </row>
        <row r="98">
          <cell r="A98" t="str">
            <v>PGE_21071</v>
          </cell>
          <cell r="B98" t="str">
            <v>Centergies</v>
          </cell>
          <cell r="C98"/>
          <cell r="D98"/>
          <cell r="E98"/>
          <cell r="F98"/>
          <cell r="G98">
            <v>0</v>
          </cell>
          <cell r="H98">
            <v>0</v>
          </cell>
          <cell r="I98">
            <v>0</v>
          </cell>
          <cell r="J98">
            <v>0</v>
          </cell>
          <cell r="K98">
            <v>0</v>
          </cell>
        </row>
        <row r="99">
          <cell r="A99" t="str">
            <v>PGE_21072</v>
          </cell>
          <cell r="B99" t="str">
            <v>Connections</v>
          </cell>
          <cell r="C99"/>
          <cell r="D99"/>
          <cell r="E99"/>
          <cell r="F99"/>
          <cell r="G99">
            <v>0</v>
          </cell>
          <cell r="H99">
            <v>0</v>
          </cell>
          <cell r="I99">
            <v>0</v>
          </cell>
          <cell r="J99">
            <v>0</v>
          </cell>
          <cell r="K99">
            <v>0</v>
          </cell>
        </row>
        <row r="100">
          <cell r="A100" t="str">
            <v>PGE_21073</v>
          </cell>
          <cell r="B100" t="str">
            <v>Strategic Planning</v>
          </cell>
          <cell r="C100"/>
          <cell r="D100"/>
          <cell r="E100"/>
          <cell r="F100"/>
          <cell r="G100">
            <v>0</v>
          </cell>
          <cell r="H100">
            <v>0</v>
          </cell>
          <cell r="I100">
            <v>0</v>
          </cell>
          <cell r="J100">
            <v>0</v>
          </cell>
          <cell r="K100">
            <v>0</v>
          </cell>
        </row>
        <row r="101">
          <cell r="A101" t="str">
            <v>PGE_21074</v>
          </cell>
          <cell r="B101" t="str">
            <v>Builder Energy Code Training</v>
          </cell>
          <cell r="C101"/>
          <cell r="D101"/>
          <cell r="E101"/>
          <cell r="F101"/>
          <cell r="G101">
            <v>0</v>
          </cell>
          <cell r="H101">
            <v>0</v>
          </cell>
          <cell r="I101">
            <v>0</v>
          </cell>
          <cell r="J101">
            <v>0</v>
          </cell>
          <cell r="K101">
            <v>0</v>
          </cell>
        </row>
        <row r="102">
          <cell r="A102" t="str">
            <v>PGE_21075</v>
          </cell>
          <cell r="B102" t="str">
            <v>Green Building Technical Support Service</v>
          </cell>
          <cell r="C102"/>
          <cell r="D102"/>
          <cell r="E102"/>
          <cell r="F102"/>
          <cell r="G102">
            <v>0</v>
          </cell>
          <cell r="H102">
            <v>0</v>
          </cell>
          <cell r="I102">
            <v>0</v>
          </cell>
          <cell r="J102">
            <v>0</v>
          </cell>
          <cell r="K102">
            <v>0</v>
          </cell>
        </row>
        <row r="103">
          <cell r="A103" t="str">
            <v>PGE_21081</v>
          </cell>
          <cell r="B103" t="str">
            <v>Statewide DSM Coordination &amp; Integration</v>
          </cell>
          <cell r="C103"/>
          <cell r="D103"/>
          <cell r="E103"/>
          <cell r="F103"/>
          <cell r="G103">
            <v>0</v>
          </cell>
          <cell r="H103">
            <v>0</v>
          </cell>
          <cell r="I103">
            <v>0</v>
          </cell>
          <cell r="J103">
            <v>0</v>
          </cell>
          <cell r="K103">
            <v>0</v>
          </cell>
        </row>
        <row r="104">
          <cell r="A104" t="str">
            <v>PGE_21091</v>
          </cell>
          <cell r="B104" t="str">
            <v>On-Bill Financing</v>
          </cell>
          <cell r="C104"/>
          <cell r="D104"/>
          <cell r="E104"/>
          <cell r="F104"/>
          <cell r="G104">
            <v>-140548.9860794844</v>
          </cell>
          <cell r="H104">
            <v>0</v>
          </cell>
          <cell r="I104">
            <v>148532.60744897951</v>
          </cell>
          <cell r="J104">
            <v>0</v>
          </cell>
          <cell r="K104">
            <v>7983.6213694951148</v>
          </cell>
        </row>
        <row r="105">
          <cell r="A105" t="str">
            <v>PGE_210911</v>
          </cell>
          <cell r="B105" t="str">
            <v>On Bill Financing Alternative Pathway</v>
          </cell>
          <cell r="C105"/>
          <cell r="D105"/>
          <cell r="E105"/>
          <cell r="F105"/>
          <cell r="G105">
            <v>0</v>
          </cell>
          <cell r="H105">
            <v>0</v>
          </cell>
          <cell r="I105">
            <v>0</v>
          </cell>
          <cell r="J105">
            <v>0</v>
          </cell>
          <cell r="K105">
            <v>0</v>
          </cell>
        </row>
        <row r="106">
          <cell r="A106" t="str">
            <v>PGE_21092</v>
          </cell>
          <cell r="B106" t="str">
            <v>Third-Party Financing</v>
          </cell>
          <cell r="C106"/>
          <cell r="D106"/>
          <cell r="E106"/>
          <cell r="F106"/>
          <cell r="G106">
            <v>0</v>
          </cell>
          <cell r="H106">
            <v>0</v>
          </cell>
          <cell r="I106">
            <v>0</v>
          </cell>
          <cell r="J106">
            <v>0</v>
          </cell>
          <cell r="K106">
            <v>0</v>
          </cell>
        </row>
        <row r="107">
          <cell r="A107" t="str">
            <v>PGE_21093</v>
          </cell>
          <cell r="B107" t="str">
            <v>New Financing Offerings</v>
          </cell>
          <cell r="C107"/>
          <cell r="D107"/>
          <cell r="E107"/>
          <cell r="F107"/>
          <cell r="G107">
            <v>0</v>
          </cell>
          <cell r="H107">
            <v>0</v>
          </cell>
          <cell r="I107">
            <v>0</v>
          </cell>
          <cell r="J107">
            <v>0</v>
          </cell>
          <cell r="K107">
            <v>0</v>
          </cell>
        </row>
        <row r="108">
          <cell r="A108" t="str">
            <v>PGE_2110011</v>
          </cell>
          <cell r="B108" t="str">
            <v>California Community Colleges</v>
          </cell>
          <cell r="C108"/>
          <cell r="D108"/>
          <cell r="E108"/>
          <cell r="F108"/>
          <cell r="G108">
            <v>-103982.76126358756</v>
          </cell>
          <cell r="H108">
            <v>0</v>
          </cell>
          <cell r="I108">
            <v>146664.77900918361</v>
          </cell>
          <cell r="J108">
            <v>0</v>
          </cell>
          <cell r="K108">
            <v>42682.017745596051</v>
          </cell>
        </row>
        <row r="109">
          <cell r="A109" t="str">
            <v>PGE_2110012</v>
          </cell>
          <cell r="B109" t="str">
            <v>University of California/Cal State Univ</v>
          </cell>
          <cell r="C109"/>
          <cell r="D109"/>
          <cell r="E109"/>
          <cell r="F109"/>
          <cell r="G109">
            <v>-244960.02034194631</v>
          </cell>
          <cell r="H109">
            <v>0</v>
          </cell>
          <cell r="I109">
            <v>346460.84621410188</v>
          </cell>
          <cell r="J109">
            <v>0</v>
          </cell>
          <cell r="K109">
            <v>101500.82587215558</v>
          </cell>
        </row>
        <row r="110">
          <cell r="A110" t="str">
            <v>PGE_2110013</v>
          </cell>
          <cell r="B110" t="str">
            <v>State of California</v>
          </cell>
          <cell r="C110"/>
          <cell r="D110"/>
          <cell r="E110"/>
          <cell r="F110"/>
          <cell r="G110">
            <v>2890.3478719999994</v>
          </cell>
          <cell r="H110">
            <v>0</v>
          </cell>
          <cell r="I110">
            <v>9703.7730059999976</v>
          </cell>
          <cell r="J110">
            <v>0</v>
          </cell>
          <cell r="K110">
            <v>12594.120877999998</v>
          </cell>
        </row>
        <row r="111">
          <cell r="A111" t="str">
            <v>PGE_2110014</v>
          </cell>
          <cell r="B111" t="str">
            <v>Department of Corrections and Rehab</v>
          </cell>
          <cell r="C111"/>
          <cell r="D111"/>
          <cell r="E111"/>
          <cell r="F111"/>
          <cell r="G111">
            <v>6396.671519999999</v>
          </cell>
          <cell r="H111">
            <v>0</v>
          </cell>
          <cell r="I111">
            <v>21475.563209999997</v>
          </cell>
          <cell r="J111">
            <v>0</v>
          </cell>
          <cell r="K111">
            <v>27872.234729999996</v>
          </cell>
        </row>
        <row r="112">
          <cell r="A112" t="str">
            <v>PGE_2110051</v>
          </cell>
          <cell r="B112" t="str">
            <v>Local Govt Energy Action Resources LGEAR</v>
          </cell>
          <cell r="C112"/>
          <cell r="D112"/>
          <cell r="E112"/>
          <cell r="F112"/>
          <cell r="G112">
            <v>-376413.50760000007</v>
          </cell>
          <cell r="H112">
            <v>0</v>
          </cell>
          <cell r="I112">
            <v>91469.991449999987</v>
          </cell>
          <cell r="J112">
            <v>0</v>
          </cell>
          <cell r="K112">
            <v>-284943.5161500001</v>
          </cell>
        </row>
        <row r="113">
          <cell r="A113" t="str">
            <v>PGE_2110052</v>
          </cell>
          <cell r="B113" t="str">
            <v>Strategic Energy Resources</v>
          </cell>
          <cell r="C113"/>
          <cell r="D113"/>
          <cell r="E113"/>
          <cell r="F113"/>
          <cell r="G113">
            <v>-384440.06850486796</v>
          </cell>
          <cell r="H113">
            <v>0</v>
          </cell>
          <cell r="I113">
            <v>491318.74314655073</v>
          </cell>
          <cell r="J113">
            <v>0</v>
          </cell>
          <cell r="K113">
            <v>106878.67464168277</v>
          </cell>
        </row>
        <row r="114">
          <cell r="A114" t="str">
            <v>PGE_211007</v>
          </cell>
          <cell r="B114" t="str">
            <v>Association of Monterey Bay Area Govts</v>
          </cell>
          <cell r="C114"/>
          <cell r="D114"/>
          <cell r="E114"/>
          <cell r="F114"/>
          <cell r="G114">
            <v>-147346.75359422556</v>
          </cell>
          <cell r="H114">
            <v>0</v>
          </cell>
          <cell r="I114">
            <v>208055.98643657134</v>
          </cell>
          <cell r="J114">
            <v>0</v>
          </cell>
          <cell r="K114">
            <v>60709.23284234578</v>
          </cell>
        </row>
        <row r="115">
          <cell r="A115" t="str">
            <v>PGE_211009</v>
          </cell>
          <cell r="B115" t="str">
            <v>East Bay</v>
          </cell>
          <cell r="C115"/>
          <cell r="D115"/>
          <cell r="E115"/>
          <cell r="F115"/>
          <cell r="G115">
            <v>-238803.67821007952</v>
          </cell>
          <cell r="H115">
            <v>0</v>
          </cell>
          <cell r="I115">
            <v>337485.07487544877</v>
          </cell>
          <cell r="J115">
            <v>0</v>
          </cell>
          <cell r="K115">
            <v>98681.396665369248</v>
          </cell>
        </row>
        <row r="116">
          <cell r="A116" t="str">
            <v>PGE_211010</v>
          </cell>
          <cell r="B116" t="str">
            <v>Fresno</v>
          </cell>
          <cell r="C116"/>
          <cell r="D116"/>
          <cell r="E116"/>
          <cell r="F116"/>
          <cell r="G116">
            <v>-101851.70596629863</v>
          </cell>
          <cell r="H116">
            <v>0</v>
          </cell>
          <cell r="I116">
            <v>143937.98563963256</v>
          </cell>
          <cell r="J116">
            <v>0</v>
          </cell>
          <cell r="K116">
            <v>42086.279673333935</v>
          </cell>
        </row>
        <row r="117">
          <cell r="A117" t="str">
            <v>PGE_211011</v>
          </cell>
          <cell r="B117" t="str">
            <v>Kern</v>
          </cell>
          <cell r="C117"/>
          <cell r="D117"/>
          <cell r="E117"/>
          <cell r="F117"/>
          <cell r="G117">
            <v>-106090.18518487652</v>
          </cell>
          <cell r="H117">
            <v>0</v>
          </cell>
          <cell r="I117">
            <v>149471.11150173462</v>
          </cell>
          <cell r="J117">
            <v>0</v>
          </cell>
          <cell r="K117">
            <v>43380.926316858095</v>
          </cell>
        </row>
        <row r="118">
          <cell r="A118" t="str">
            <v>PGE_211012</v>
          </cell>
          <cell r="B118" t="str">
            <v>Madera</v>
          </cell>
          <cell r="C118"/>
          <cell r="D118"/>
          <cell r="E118"/>
          <cell r="F118"/>
          <cell r="G118">
            <v>0</v>
          </cell>
          <cell r="H118">
            <v>0</v>
          </cell>
          <cell r="I118">
            <v>0</v>
          </cell>
          <cell r="J118">
            <v>0</v>
          </cell>
          <cell r="K118">
            <v>0</v>
          </cell>
        </row>
        <row r="119">
          <cell r="A119" t="str">
            <v>PGE_211013</v>
          </cell>
          <cell r="B119" t="str">
            <v>Marin County</v>
          </cell>
          <cell r="C119"/>
          <cell r="D119"/>
          <cell r="E119"/>
          <cell r="F119"/>
          <cell r="G119">
            <v>4051.2252959999987</v>
          </cell>
          <cell r="H119">
            <v>0</v>
          </cell>
          <cell r="I119">
            <v>13601.190032999997</v>
          </cell>
          <cell r="J119">
            <v>0</v>
          </cell>
          <cell r="K119">
            <v>17652.415328999996</v>
          </cell>
        </row>
        <row r="120">
          <cell r="A120" t="str">
            <v>PGE_211014</v>
          </cell>
          <cell r="B120" t="str">
            <v>Mendocino County</v>
          </cell>
          <cell r="C120"/>
          <cell r="D120"/>
          <cell r="E120"/>
          <cell r="F120"/>
          <cell r="G120">
            <v>0</v>
          </cell>
          <cell r="H120">
            <v>0</v>
          </cell>
          <cell r="I120">
            <v>0</v>
          </cell>
          <cell r="J120">
            <v>0</v>
          </cell>
          <cell r="K120">
            <v>0</v>
          </cell>
        </row>
        <row r="121">
          <cell r="A121" t="str">
            <v>PGE_211015</v>
          </cell>
          <cell r="B121" t="str">
            <v>Napa County</v>
          </cell>
          <cell r="C121"/>
          <cell r="D121"/>
          <cell r="E121"/>
          <cell r="F121"/>
          <cell r="G121">
            <v>0</v>
          </cell>
          <cell r="H121">
            <v>0</v>
          </cell>
          <cell r="I121">
            <v>0</v>
          </cell>
          <cell r="J121">
            <v>0</v>
          </cell>
          <cell r="K121">
            <v>0</v>
          </cell>
        </row>
        <row r="122">
          <cell r="A122" t="str">
            <v>PGE_211016</v>
          </cell>
          <cell r="B122" t="str">
            <v>Redwood Coast</v>
          </cell>
          <cell r="C122"/>
          <cell r="D122"/>
          <cell r="E122"/>
          <cell r="F122"/>
          <cell r="G122">
            <v>5093.6458399999992</v>
          </cell>
          <cell r="H122">
            <v>0</v>
          </cell>
          <cell r="I122">
            <v>17100.911444999994</v>
          </cell>
          <cell r="J122">
            <v>0</v>
          </cell>
          <cell r="K122">
            <v>22194.557284999995</v>
          </cell>
        </row>
        <row r="123">
          <cell r="A123" t="str">
            <v>PGE_211018</v>
          </cell>
          <cell r="B123" t="str">
            <v>San Luis Obispo County</v>
          </cell>
          <cell r="C123"/>
          <cell r="D123"/>
          <cell r="E123"/>
          <cell r="F123"/>
          <cell r="G123">
            <v>3340.4840159999994</v>
          </cell>
          <cell r="H123">
            <v>0</v>
          </cell>
          <cell r="I123">
            <v>11215.016342999998</v>
          </cell>
          <cell r="J123">
            <v>0</v>
          </cell>
          <cell r="K123">
            <v>14555.500358999998</v>
          </cell>
        </row>
        <row r="124">
          <cell r="A124" t="str">
            <v>PGE_211019</v>
          </cell>
          <cell r="B124" t="str">
            <v>San Mateo County</v>
          </cell>
          <cell r="C124"/>
          <cell r="D124"/>
          <cell r="E124"/>
          <cell r="F124"/>
          <cell r="G124">
            <v>7131.104175999998</v>
          </cell>
          <cell r="H124">
            <v>0</v>
          </cell>
          <cell r="I124">
            <v>23941.276022999995</v>
          </cell>
          <cell r="J124">
            <v>0</v>
          </cell>
          <cell r="K124">
            <v>31072.380198999992</v>
          </cell>
        </row>
        <row r="125">
          <cell r="A125" t="str">
            <v>PGE_211020</v>
          </cell>
          <cell r="B125" t="str">
            <v>Santa Barbara</v>
          </cell>
          <cell r="C125"/>
          <cell r="D125"/>
          <cell r="E125"/>
          <cell r="F125"/>
          <cell r="G125">
            <v>3032.4961279999998</v>
          </cell>
          <cell r="H125">
            <v>0</v>
          </cell>
          <cell r="I125">
            <v>10181.007743999999</v>
          </cell>
          <cell r="J125">
            <v>0</v>
          </cell>
          <cell r="K125">
            <v>13213.503871999998</v>
          </cell>
        </row>
        <row r="126">
          <cell r="A126" t="str">
            <v>PGE_211021</v>
          </cell>
          <cell r="B126" t="str">
            <v>Sierra Nevada</v>
          </cell>
          <cell r="C126"/>
          <cell r="D126"/>
          <cell r="E126"/>
          <cell r="F126"/>
          <cell r="G126">
            <v>7533.8575679999985</v>
          </cell>
          <cell r="H126">
            <v>0</v>
          </cell>
          <cell r="I126">
            <v>25293.441113999994</v>
          </cell>
          <cell r="J126">
            <v>0</v>
          </cell>
          <cell r="K126">
            <v>32827.298681999993</v>
          </cell>
        </row>
        <row r="127">
          <cell r="A127" t="str">
            <v>PGE_211022</v>
          </cell>
          <cell r="B127" t="str">
            <v>Sonoma County</v>
          </cell>
          <cell r="C127"/>
          <cell r="D127"/>
          <cell r="E127"/>
          <cell r="F127"/>
          <cell r="G127">
            <v>5543.7819839999984</v>
          </cell>
          <cell r="H127">
            <v>0</v>
          </cell>
          <cell r="I127">
            <v>18612.154781999994</v>
          </cell>
          <cell r="J127">
            <v>0</v>
          </cell>
          <cell r="K127">
            <v>24155.936765999992</v>
          </cell>
        </row>
        <row r="128">
          <cell r="A128" t="str">
            <v>PGE_211023</v>
          </cell>
          <cell r="B128" t="str">
            <v>Silicon Valley</v>
          </cell>
          <cell r="C128"/>
          <cell r="D128"/>
          <cell r="E128"/>
          <cell r="F128"/>
          <cell r="G128">
            <v>-148745.00756265523</v>
          </cell>
          <cell r="H128">
            <v>0</v>
          </cell>
          <cell r="I128">
            <v>209415.63925675501</v>
          </cell>
          <cell r="J128">
            <v>0</v>
          </cell>
          <cell r="K128">
            <v>60670.631694099779</v>
          </cell>
        </row>
        <row r="129">
          <cell r="A129" t="str">
            <v>PGE_211024</v>
          </cell>
          <cell r="B129" t="str">
            <v>San Francisco</v>
          </cell>
          <cell r="C129"/>
          <cell r="D129"/>
          <cell r="E129"/>
          <cell r="F129"/>
          <cell r="G129">
            <v>-242276.53245222755</v>
          </cell>
          <cell r="H129">
            <v>0</v>
          </cell>
          <cell r="I129">
            <v>342294.86090136721</v>
          </cell>
          <cell r="J129">
            <v>0</v>
          </cell>
          <cell r="K129">
            <v>100018.32844913966</v>
          </cell>
        </row>
        <row r="130">
          <cell r="A130" t="str">
            <v>PGE_211025</v>
          </cell>
          <cell r="B130" t="str">
            <v>Savings By Design</v>
          </cell>
          <cell r="C130"/>
          <cell r="D130"/>
          <cell r="E130"/>
          <cell r="F130"/>
          <cell r="G130">
            <v>-194414.70450913001</v>
          </cell>
          <cell r="H130">
            <v>0</v>
          </cell>
          <cell r="I130">
            <v>177391.99563265295</v>
          </cell>
          <cell r="J130">
            <v>0</v>
          </cell>
          <cell r="K130">
            <v>-17022.70887647706</v>
          </cell>
        </row>
        <row r="131">
          <cell r="A131" t="str">
            <v>PGE_211026</v>
          </cell>
          <cell r="B131" t="str">
            <v>North Valley</v>
          </cell>
          <cell r="C131"/>
          <cell r="D131"/>
          <cell r="E131"/>
          <cell r="F131"/>
          <cell r="G131">
            <v>5946.535375999998</v>
          </cell>
          <cell r="H131">
            <v>0</v>
          </cell>
          <cell r="I131">
            <v>19964.319872999993</v>
          </cell>
          <cell r="J131">
            <v>0</v>
          </cell>
          <cell r="K131">
            <v>25910.855248999993</v>
          </cell>
        </row>
        <row r="132">
          <cell r="A132" t="str">
            <v>PGE_211027</v>
          </cell>
          <cell r="B132" t="str">
            <v>Sutter Buttes</v>
          </cell>
          <cell r="C132"/>
          <cell r="D132"/>
          <cell r="E132"/>
          <cell r="F132"/>
          <cell r="G132">
            <v>0</v>
          </cell>
          <cell r="H132">
            <v>0</v>
          </cell>
          <cell r="I132">
            <v>0</v>
          </cell>
          <cell r="J132">
            <v>0</v>
          </cell>
          <cell r="K132">
            <v>0</v>
          </cell>
        </row>
        <row r="133">
          <cell r="A133" t="str">
            <v>PGE_211028</v>
          </cell>
          <cell r="B133" t="str">
            <v>Yolo</v>
          </cell>
          <cell r="C133"/>
          <cell r="D133"/>
          <cell r="E133"/>
          <cell r="F133"/>
          <cell r="G133">
            <v>0</v>
          </cell>
          <cell r="H133">
            <v>0</v>
          </cell>
          <cell r="I133">
            <v>0</v>
          </cell>
          <cell r="J133">
            <v>0</v>
          </cell>
          <cell r="K133">
            <v>0</v>
          </cell>
        </row>
        <row r="134">
          <cell r="A134" t="str">
            <v>PGE_211029</v>
          </cell>
          <cell r="B134" t="str">
            <v>Solano</v>
          </cell>
          <cell r="C134"/>
          <cell r="D134"/>
          <cell r="E134"/>
          <cell r="F134"/>
          <cell r="G134">
            <v>4596.1269439999996</v>
          </cell>
          <cell r="H134">
            <v>0</v>
          </cell>
          <cell r="I134">
            <v>15430.589861999997</v>
          </cell>
          <cell r="J134">
            <v>0</v>
          </cell>
          <cell r="K134">
            <v>20026.716805999997</v>
          </cell>
        </row>
        <row r="135">
          <cell r="A135" t="str">
            <v>PGE_211030</v>
          </cell>
          <cell r="B135" t="str">
            <v>Northern San Joaquin Valley</v>
          </cell>
          <cell r="C135"/>
          <cell r="D135"/>
          <cell r="E135"/>
          <cell r="F135"/>
          <cell r="G135">
            <v>4501.3614399999988</v>
          </cell>
          <cell r="H135">
            <v>0</v>
          </cell>
          <cell r="I135">
            <v>15112.433369999997</v>
          </cell>
          <cell r="J135">
            <v>0</v>
          </cell>
          <cell r="K135">
            <v>19613.794809999996</v>
          </cell>
        </row>
        <row r="136">
          <cell r="A136" t="str">
            <v>PGE_211031</v>
          </cell>
          <cell r="B136" t="str">
            <v>Valley Innovative Energy Watch (VIEW)</v>
          </cell>
          <cell r="C136"/>
          <cell r="D136"/>
          <cell r="E136"/>
          <cell r="F136"/>
          <cell r="G136">
            <v>0</v>
          </cell>
          <cell r="H136">
            <v>0</v>
          </cell>
          <cell r="I136">
            <v>0</v>
          </cell>
          <cell r="J136">
            <v>0</v>
          </cell>
          <cell r="K136">
            <v>0</v>
          </cell>
        </row>
        <row r="137">
          <cell r="A137" t="str">
            <v>PGE_3CREN</v>
          </cell>
          <cell r="B137" t="str">
            <v>Tri-County Regional Energy Network</v>
          </cell>
          <cell r="C137"/>
          <cell r="D137"/>
          <cell r="E137"/>
          <cell r="F137"/>
          <cell r="G137">
            <v>0</v>
          </cell>
          <cell r="H137">
            <v>0</v>
          </cell>
          <cell r="I137">
            <v>0</v>
          </cell>
          <cell r="J137">
            <v>0</v>
          </cell>
          <cell r="K137">
            <v>0</v>
          </cell>
        </row>
        <row r="138">
          <cell r="A138" t="str">
            <v>PGE_BAYREN</v>
          </cell>
          <cell r="B138" t="str">
            <v>Bay Area Regional Energy Authority</v>
          </cell>
          <cell r="C138"/>
          <cell r="D138"/>
          <cell r="E138"/>
          <cell r="F138"/>
          <cell r="G138">
            <v>0</v>
          </cell>
          <cell r="H138">
            <v>0</v>
          </cell>
          <cell r="I138">
            <v>0</v>
          </cell>
          <cell r="J138">
            <v>0</v>
          </cell>
          <cell r="K138">
            <v>0</v>
          </cell>
        </row>
        <row r="139">
          <cell r="A139" t="str">
            <v>PGE_EM&amp;V</v>
          </cell>
          <cell r="B139" t="str">
            <v>EM&amp;V PG&amp;E</v>
          </cell>
          <cell r="C139"/>
          <cell r="D139"/>
          <cell r="E139"/>
          <cell r="F139"/>
          <cell r="G139">
            <v>0</v>
          </cell>
          <cell r="H139">
            <v>0</v>
          </cell>
          <cell r="I139">
            <v>0</v>
          </cell>
          <cell r="J139">
            <v>0</v>
          </cell>
          <cell r="K139">
            <v>0</v>
          </cell>
        </row>
        <row r="140">
          <cell r="A140" t="str">
            <v>PGE_MEA</v>
          </cell>
          <cell r="B140" t="str">
            <v>Marin Energy Authority</v>
          </cell>
          <cell r="C140"/>
          <cell r="D140"/>
          <cell r="E140"/>
          <cell r="F140"/>
          <cell r="G140">
            <v>0</v>
          </cell>
          <cell r="H140">
            <v>0</v>
          </cell>
          <cell r="I140">
            <v>0</v>
          </cell>
          <cell r="J140">
            <v>0</v>
          </cell>
          <cell r="K140">
            <v>0</v>
          </cell>
        </row>
        <row r="141">
          <cell r="A141" t="str">
            <v>PGE_21091L</v>
          </cell>
          <cell r="B141" t="str">
            <v>On-Bill Financing Loan Pool</v>
          </cell>
          <cell r="C141"/>
          <cell r="D141"/>
          <cell r="E141"/>
          <cell r="F141"/>
          <cell r="G141">
            <v>0</v>
          </cell>
          <cell r="H141">
            <v>0</v>
          </cell>
          <cell r="I141">
            <v>0</v>
          </cell>
          <cell r="J141">
            <v>0</v>
          </cell>
          <cell r="K141">
            <v>0</v>
          </cell>
        </row>
      </sheetData>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A-Table 1"/>
      <sheetName val="ESA Table 1A"/>
      <sheetName val="ESA-Table 7"/>
      <sheetName val="ESA Table 12 "/>
      <sheetName val="ESA Table 17"/>
    </sheetNames>
    <sheetDataSet>
      <sheetData sheetId="0">
        <row r="11">
          <cell r="D11">
            <v>269081352.24645412</v>
          </cell>
          <cell r="G11">
            <v>170951067.42000005</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avings&amp;DemandRedx(Gross)"/>
      <sheetName val="T-2 EnvImpacts(Gross)"/>
      <sheetName val="T-3 Exp's"/>
      <sheetName val="T-4 CE(Net)"/>
      <sheetName val="T-5 RatepayerImpcts"/>
      <sheetName val="T-6 SavingsUseCategory"/>
      <sheetName val="T-7 Commitments"/>
      <sheetName val="T-8 SharehldrPerfInc'ves"/>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pivot_pge12monthT1.1"/>
      <sheetName val="pge12monthT1.1"/>
    </sheetNames>
    <sheetDataSet>
      <sheetData sheetId="0"/>
      <sheetData sheetId="1"/>
      <sheetData sheetId="2">
        <row r="1">
          <cell r="A1" t="str">
            <v>Report Month</v>
          </cell>
          <cell r="B1" t="str">
            <v>Program Name</v>
          </cell>
          <cell r="C1" t="str">
            <v>Adopted Program Budget 
(3 - Yr)</v>
          </cell>
          <cell r="D1" t="str">
            <v>Program Operating Budget 
(3 - Yr)</v>
          </cell>
          <cell r="E1" t="str">
            <v>Program Expenditures 
(Inception-To-Date)</v>
          </cell>
          <cell r="F1" t="str">
            <v>Program Expenditures 
(Report Month)</v>
          </cell>
          <cell r="G1" t="str">
            <v>Total Commitments 
(Inception-to-Date)</v>
          </cell>
          <cell r="H1">
            <v>0</v>
          </cell>
          <cell r="I1" t="str">
            <v>Demand Reduction (Summer Peak kW) (2) Program Projected 
(Compliance Filing)</v>
          </cell>
          <cell r="J1" t="str">
            <v>Demand Reduction (Summer Peak kW) (2) Installed Savings
(Inception-To-Date)</v>
          </cell>
          <cell r="K1" t="str">
            <v>Demand Reduction (Summer Peak kW) (2) Installed Savings 
(Report Month)</v>
          </cell>
          <cell r="L1" t="str">
            <v>Demand Reduction (Summer Peak kW) (2) Total Commitments 
(Inception-to-Date)</v>
          </cell>
          <cell r="M1">
            <v>0</v>
          </cell>
          <cell r="N1" t="str">
            <v>Energy Savings (Net Annual kWh) (2) Program Projected 
(Compliance Filing)</v>
          </cell>
          <cell r="O1" t="str">
            <v>Energy Savings (Net Annual kWh) (2) Installed Savings
(Inception-To-Date)</v>
          </cell>
          <cell r="P1" t="str">
            <v>Energy Savings (Net Annual kWh) (2) Installed Savings 
(Report Month)</v>
          </cell>
          <cell r="Q1" t="str">
            <v>Energy Savings (Net Annual kWh) (2) Total Commitments 
(Inception-to-Date)</v>
          </cell>
          <cell r="R1">
            <v>0</v>
          </cell>
          <cell r="S1" t="str">
            <v>Gas Savings (Net Annual Therms) (2) Program Projected 
(Compliance Filing)</v>
          </cell>
          <cell r="T1" t="str">
            <v>Gas Savings (Net Annual Therms) (2) Installed Savings
(Inception-To-Date)</v>
          </cell>
          <cell r="U1" t="str">
            <v>Gas Savings (Net Annual Therms) (2) Installed Savings 
(Report Month)</v>
          </cell>
          <cell r="V1" t="str">
            <v>Gas Savings (Net Annual Therms) (2) Total Commitments 
(Inception-to-Date)</v>
          </cell>
          <cell r="W1">
            <v>0</v>
          </cell>
          <cell r="X1" t="str">
            <v>Incentives ( $$$) Installed Incentives (Inception-To-Date)</v>
          </cell>
          <cell r="Y1" t="str">
            <v>Incentives ( $$$) Total Commitments 
(Inception-to-Date)</v>
          </cell>
          <cell r="Z1">
            <v>0</v>
          </cell>
          <cell r="AA1" t="str">
            <v>Paid YTD from Previous Month kw</v>
          </cell>
          <cell r="AB1" t="str">
            <v>Paid YTD from Previous Month kwh</v>
          </cell>
          <cell r="AC1" t="str">
            <v>Paid YTD from Previous Month thm</v>
          </cell>
        </row>
        <row r="2">
          <cell r="A2" t="str">
            <v>MAY</v>
          </cell>
          <cell r="B2" t="str">
            <v>Mass Market</v>
          </cell>
          <cell r="C2">
            <v>405857712</v>
          </cell>
          <cell r="D2">
            <v>405857712</v>
          </cell>
          <cell r="E2">
            <v>12652825.93</v>
          </cell>
          <cell r="F2">
            <v>5306198.5</v>
          </cell>
          <cell r="G2">
            <v>5426134.0500000007</v>
          </cell>
          <cell r="H2">
            <v>0</v>
          </cell>
          <cell r="I2">
            <v>334053.85427348199</v>
          </cell>
          <cell r="J2">
            <v>12000.783724662899</v>
          </cell>
          <cell r="K2">
            <v>5006.6449785834993</v>
          </cell>
          <cell r="L2">
            <v>3920.4307662628003</v>
          </cell>
          <cell r="M2">
            <v>0</v>
          </cell>
          <cell r="N2">
            <v>1728133316.3078108</v>
          </cell>
          <cell r="O2">
            <v>54198800.280904472</v>
          </cell>
          <cell r="P2">
            <v>26966256.752540104</v>
          </cell>
          <cell r="Q2">
            <v>22794077.536543883</v>
          </cell>
          <cell r="R2">
            <v>0</v>
          </cell>
          <cell r="S2">
            <v>15871656.841610486</v>
          </cell>
          <cell r="T2">
            <v>369308.15520900005</v>
          </cell>
          <cell r="U2">
            <v>148489.61516100002</v>
          </cell>
          <cell r="V2">
            <v>153438.503768</v>
          </cell>
          <cell r="W2">
            <v>0</v>
          </cell>
          <cell r="X2">
            <v>7205927.5300000003</v>
          </cell>
          <cell r="Y2">
            <v>5426134.0500000007</v>
          </cell>
          <cell r="Z2">
            <v>0</v>
          </cell>
          <cell r="AA2">
            <v>6994.1387460793994</v>
          </cell>
          <cell r="AB2">
            <v>27232543.528364368</v>
          </cell>
          <cell r="AC2">
            <v>220818.54004800002</v>
          </cell>
        </row>
        <row r="3">
          <cell r="A3" t="str">
            <v>MAY</v>
          </cell>
          <cell r="B3" t="str">
            <v>Ag &amp; Food Processing</v>
          </cell>
          <cell r="C3">
            <v>47523134</v>
          </cell>
          <cell r="D3">
            <v>47523134</v>
          </cell>
          <cell r="E3">
            <v>966543.07</v>
          </cell>
          <cell r="F3">
            <v>226428.18</v>
          </cell>
          <cell r="G3">
            <v>940381.84</v>
          </cell>
          <cell r="H3">
            <v>0</v>
          </cell>
          <cell r="I3">
            <v>22797.08846466984</v>
          </cell>
          <cell r="J3">
            <v>0</v>
          </cell>
          <cell r="K3">
            <v>0</v>
          </cell>
          <cell r="L3">
            <v>3170.098</v>
          </cell>
          <cell r="M3">
            <v>0</v>
          </cell>
          <cell r="N3">
            <v>164346860.9940128</v>
          </cell>
          <cell r="O3">
            <v>0</v>
          </cell>
          <cell r="P3">
            <v>0</v>
          </cell>
          <cell r="Q3">
            <v>4940926.8499999996</v>
          </cell>
          <cell r="R3">
            <v>0</v>
          </cell>
          <cell r="S3">
            <v>3082951.7327311719</v>
          </cell>
          <cell r="T3">
            <v>0</v>
          </cell>
          <cell r="U3">
            <v>0</v>
          </cell>
          <cell r="V3">
            <v>524118.66</v>
          </cell>
          <cell r="W3">
            <v>0</v>
          </cell>
          <cell r="X3">
            <v>0</v>
          </cell>
          <cell r="Y3">
            <v>940381.84</v>
          </cell>
          <cell r="Z3">
            <v>0</v>
          </cell>
          <cell r="AA3">
            <v>0</v>
          </cell>
          <cell r="AB3">
            <v>0</v>
          </cell>
          <cell r="AC3">
            <v>0</v>
          </cell>
        </row>
        <row r="4">
          <cell r="A4" t="str">
            <v>MAY</v>
          </cell>
          <cell r="B4" t="str">
            <v>Schools &amp; Colleges</v>
          </cell>
          <cell r="C4">
            <v>47568591</v>
          </cell>
          <cell r="D4">
            <v>47568591</v>
          </cell>
          <cell r="E4">
            <v>769832.19</v>
          </cell>
          <cell r="F4">
            <v>149522.16</v>
          </cell>
          <cell r="G4">
            <v>58402.01</v>
          </cell>
          <cell r="H4">
            <v>0</v>
          </cell>
          <cell r="I4">
            <v>28892.278794176014</v>
          </cell>
          <cell r="J4">
            <v>0</v>
          </cell>
          <cell r="K4">
            <v>0</v>
          </cell>
          <cell r="L4">
            <v>110.03399999999999</v>
          </cell>
          <cell r="M4">
            <v>0</v>
          </cell>
          <cell r="N4">
            <v>128046825.56012681</v>
          </cell>
          <cell r="O4">
            <v>0</v>
          </cell>
          <cell r="P4">
            <v>0</v>
          </cell>
          <cell r="Q4">
            <v>265433.84000000003</v>
          </cell>
          <cell r="R4">
            <v>0</v>
          </cell>
          <cell r="S4">
            <v>2635794.0523105087</v>
          </cell>
          <cell r="T4">
            <v>0</v>
          </cell>
          <cell r="U4">
            <v>0</v>
          </cell>
          <cell r="V4">
            <v>1957.5</v>
          </cell>
          <cell r="W4">
            <v>0</v>
          </cell>
          <cell r="X4">
            <v>0</v>
          </cell>
          <cell r="Y4">
            <v>58402.01</v>
          </cell>
          <cell r="Z4">
            <v>0</v>
          </cell>
          <cell r="AA4">
            <v>0</v>
          </cell>
          <cell r="AB4">
            <v>0</v>
          </cell>
          <cell r="AC4">
            <v>0</v>
          </cell>
        </row>
        <row r="5">
          <cell r="A5" t="str">
            <v>MAY</v>
          </cell>
          <cell r="B5" t="str">
            <v>Retail Stores</v>
          </cell>
          <cell r="C5">
            <v>20850872</v>
          </cell>
          <cell r="D5">
            <v>20850872</v>
          </cell>
          <cell r="E5">
            <v>417558.43</v>
          </cell>
          <cell r="F5">
            <v>96896.85</v>
          </cell>
          <cell r="G5">
            <v>45911.42</v>
          </cell>
          <cell r="H5">
            <v>0</v>
          </cell>
          <cell r="I5">
            <v>21271.596533140018</v>
          </cell>
          <cell r="J5">
            <v>0</v>
          </cell>
          <cell r="K5">
            <v>0</v>
          </cell>
          <cell r="L5">
            <v>80.236999999999995</v>
          </cell>
          <cell r="M5">
            <v>0</v>
          </cell>
          <cell r="N5">
            <v>125946107.22913301</v>
          </cell>
          <cell r="O5">
            <v>0</v>
          </cell>
          <cell r="P5">
            <v>0</v>
          </cell>
          <cell r="Q5">
            <v>633638.92100000009</v>
          </cell>
          <cell r="R5">
            <v>0</v>
          </cell>
          <cell r="S5">
            <v>17583.588</v>
          </cell>
          <cell r="T5">
            <v>0</v>
          </cell>
          <cell r="U5">
            <v>0</v>
          </cell>
          <cell r="V5">
            <v>-668.3</v>
          </cell>
          <cell r="W5">
            <v>0</v>
          </cell>
          <cell r="X5">
            <v>0</v>
          </cell>
          <cell r="Y5">
            <v>45911.42</v>
          </cell>
          <cell r="Z5">
            <v>0</v>
          </cell>
          <cell r="AA5">
            <v>0</v>
          </cell>
          <cell r="AB5">
            <v>0</v>
          </cell>
          <cell r="AC5">
            <v>0</v>
          </cell>
        </row>
        <row r="6">
          <cell r="A6" t="str">
            <v>MAY</v>
          </cell>
          <cell r="B6" t="str">
            <v>Fab, Prcss &amp; Hvy Indl Mfg</v>
          </cell>
          <cell r="C6">
            <v>121849249</v>
          </cell>
          <cell r="D6">
            <v>121849249</v>
          </cell>
          <cell r="E6">
            <v>1103402.97</v>
          </cell>
          <cell r="F6">
            <v>276235.64</v>
          </cell>
          <cell r="G6">
            <v>3664066.96</v>
          </cell>
          <cell r="H6">
            <v>0</v>
          </cell>
          <cell r="I6">
            <v>69225.227525006732</v>
          </cell>
          <cell r="J6">
            <v>122.38800000000001</v>
          </cell>
          <cell r="K6">
            <v>8.8359999999999985</v>
          </cell>
          <cell r="L6">
            <v>5081.0590000000002</v>
          </cell>
          <cell r="M6">
            <v>0</v>
          </cell>
          <cell r="N6">
            <v>475376401.45399302</v>
          </cell>
          <cell r="O6">
            <v>684917.84</v>
          </cell>
          <cell r="P6">
            <v>107266.22</v>
          </cell>
          <cell r="Q6">
            <v>48838705.399999999</v>
          </cell>
          <cell r="R6">
            <v>0</v>
          </cell>
          <cell r="S6">
            <v>18198035.099455945</v>
          </cell>
          <cell r="T6">
            <v>0</v>
          </cell>
          <cell r="U6">
            <v>0</v>
          </cell>
          <cell r="V6">
            <v>89352.98</v>
          </cell>
          <cell r="W6">
            <v>0</v>
          </cell>
          <cell r="X6">
            <v>55043</v>
          </cell>
          <cell r="Y6">
            <v>3664066.96</v>
          </cell>
          <cell r="Z6">
            <v>0</v>
          </cell>
          <cell r="AA6">
            <v>113.55200000000001</v>
          </cell>
          <cell r="AB6">
            <v>577651.62</v>
          </cell>
          <cell r="AC6">
            <v>0</v>
          </cell>
        </row>
        <row r="7">
          <cell r="A7" t="str">
            <v>MAY</v>
          </cell>
          <cell r="B7" t="str">
            <v>Hi-Tech Facilities</v>
          </cell>
          <cell r="C7">
            <v>11759803</v>
          </cell>
          <cell r="D7">
            <v>11759803</v>
          </cell>
          <cell r="E7">
            <v>490875.36</v>
          </cell>
          <cell r="F7">
            <v>121770.91</v>
          </cell>
          <cell r="G7">
            <v>554690.75</v>
          </cell>
          <cell r="H7">
            <v>0</v>
          </cell>
          <cell r="I7">
            <v>6532.0886490478697</v>
          </cell>
          <cell r="J7">
            <v>0</v>
          </cell>
          <cell r="K7">
            <v>0</v>
          </cell>
          <cell r="L7">
            <v>981.95799999999997</v>
          </cell>
          <cell r="M7">
            <v>0</v>
          </cell>
          <cell r="N7">
            <v>44364926.587099597</v>
          </cell>
          <cell r="O7">
            <v>0</v>
          </cell>
          <cell r="P7">
            <v>0</v>
          </cell>
          <cell r="Q7">
            <v>12800394.615</v>
          </cell>
          <cell r="R7">
            <v>0</v>
          </cell>
          <cell r="S7">
            <v>25523.813309561065</v>
          </cell>
          <cell r="T7">
            <v>0</v>
          </cell>
          <cell r="U7">
            <v>0</v>
          </cell>
          <cell r="V7">
            <v>93878.38</v>
          </cell>
          <cell r="W7">
            <v>0</v>
          </cell>
          <cell r="X7">
            <v>0</v>
          </cell>
          <cell r="Y7">
            <v>554690.75</v>
          </cell>
          <cell r="Z7">
            <v>0</v>
          </cell>
          <cell r="AA7">
            <v>0</v>
          </cell>
          <cell r="AB7">
            <v>0</v>
          </cell>
          <cell r="AC7">
            <v>0</v>
          </cell>
        </row>
        <row r="8">
          <cell r="A8" t="str">
            <v>MAY</v>
          </cell>
          <cell r="B8" t="str">
            <v>Medical Facilities</v>
          </cell>
          <cell r="C8">
            <v>21407152</v>
          </cell>
          <cell r="D8">
            <v>21407152</v>
          </cell>
          <cell r="E8">
            <v>257489.6</v>
          </cell>
          <cell r="F8">
            <v>61962.86</v>
          </cell>
          <cell r="G8">
            <v>244451.28</v>
          </cell>
          <cell r="H8">
            <v>0</v>
          </cell>
          <cell r="I8">
            <v>27753.153177169657</v>
          </cell>
          <cell r="J8">
            <v>0</v>
          </cell>
          <cell r="K8">
            <v>0</v>
          </cell>
          <cell r="L8">
            <v>107.8</v>
          </cell>
          <cell r="M8">
            <v>0</v>
          </cell>
          <cell r="N8">
            <v>68661112.057484001</v>
          </cell>
          <cell r="O8">
            <v>0</v>
          </cell>
          <cell r="P8">
            <v>0</v>
          </cell>
          <cell r="Q8">
            <v>1202485.2</v>
          </cell>
          <cell r="R8">
            <v>0</v>
          </cell>
          <cell r="S8">
            <v>494605</v>
          </cell>
          <cell r="T8">
            <v>0</v>
          </cell>
          <cell r="U8">
            <v>0</v>
          </cell>
          <cell r="V8">
            <v>6978.3</v>
          </cell>
          <cell r="W8">
            <v>0</v>
          </cell>
          <cell r="X8">
            <v>0</v>
          </cell>
          <cell r="Y8">
            <v>244451.28</v>
          </cell>
          <cell r="Z8">
            <v>0</v>
          </cell>
          <cell r="AA8">
            <v>0</v>
          </cell>
          <cell r="AB8">
            <v>0</v>
          </cell>
          <cell r="AC8">
            <v>0</v>
          </cell>
        </row>
        <row r="9">
          <cell r="A9" t="str">
            <v>MAY</v>
          </cell>
          <cell r="B9" t="str">
            <v>Large Commercial</v>
          </cell>
          <cell r="C9">
            <v>68595302</v>
          </cell>
          <cell r="D9">
            <v>68595302</v>
          </cell>
          <cell r="E9">
            <v>1213593.56</v>
          </cell>
          <cell r="F9">
            <v>282835.39</v>
          </cell>
          <cell r="G9">
            <v>790147.85</v>
          </cell>
          <cell r="H9">
            <v>0</v>
          </cell>
          <cell r="I9">
            <v>73838.296918087362</v>
          </cell>
          <cell r="J9">
            <v>0</v>
          </cell>
          <cell r="K9">
            <v>0</v>
          </cell>
          <cell r="L9">
            <v>633.32500000000005</v>
          </cell>
          <cell r="M9">
            <v>0</v>
          </cell>
          <cell r="N9">
            <v>219609296.0400379</v>
          </cell>
          <cell r="O9">
            <v>0</v>
          </cell>
          <cell r="P9">
            <v>0</v>
          </cell>
          <cell r="Q9">
            <v>5971223.4900000002</v>
          </cell>
          <cell r="R9">
            <v>0</v>
          </cell>
          <cell r="S9">
            <v>2224825.1578322467</v>
          </cell>
          <cell r="T9">
            <v>0</v>
          </cell>
          <cell r="U9">
            <v>0</v>
          </cell>
          <cell r="V9">
            <v>121.36</v>
          </cell>
          <cell r="W9">
            <v>0</v>
          </cell>
          <cell r="X9">
            <v>0</v>
          </cell>
          <cell r="Y9">
            <v>790147.85</v>
          </cell>
          <cell r="Z9">
            <v>0</v>
          </cell>
          <cell r="AA9">
            <v>0</v>
          </cell>
          <cell r="AB9">
            <v>0</v>
          </cell>
          <cell r="AC9">
            <v>0</v>
          </cell>
        </row>
        <row r="10">
          <cell r="A10" t="str">
            <v>MAY</v>
          </cell>
          <cell r="B10" t="str">
            <v>Hospitality Facilities</v>
          </cell>
          <cell r="C10">
            <v>11793097</v>
          </cell>
          <cell r="D10">
            <v>11793097</v>
          </cell>
          <cell r="E10">
            <v>465453.22</v>
          </cell>
          <cell r="F10">
            <v>86240.61</v>
          </cell>
          <cell r="G10">
            <v>30583.200000000001</v>
          </cell>
          <cell r="H10">
            <v>0</v>
          </cell>
          <cell r="I10">
            <v>7577.0826254285475</v>
          </cell>
          <cell r="J10">
            <v>0</v>
          </cell>
          <cell r="K10">
            <v>0</v>
          </cell>
          <cell r="L10">
            <v>5.2480000000000002</v>
          </cell>
          <cell r="M10">
            <v>0</v>
          </cell>
          <cell r="N10">
            <v>37330060.295922801</v>
          </cell>
          <cell r="O10">
            <v>0</v>
          </cell>
          <cell r="P10">
            <v>0</v>
          </cell>
          <cell r="Q10">
            <v>379399.04</v>
          </cell>
          <cell r="R10">
            <v>0</v>
          </cell>
          <cell r="S10">
            <v>33302.25</v>
          </cell>
          <cell r="T10">
            <v>0</v>
          </cell>
          <cell r="U10">
            <v>0</v>
          </cell>
          <cell r="V10">
            <v>992.04</v>
          </cell>
          <cell r="W10">
            <v>0</v>
          </cell>
          <cell r="X10">
            <v>0</v>
          </cell>
          <cell r="Y10">
            <v>30583.200000000001</v>
          </cell>
          <cell r="Z10">
            <v>0</v>
          </cell>
          <cell r="AA10">
            <v>0</v>
          </cell>
          <cell r="AB10">
            <v>0</v>
          </cell>
          <cell r="AC10">
            <v>0</v>
          </cell>
        </row>
        <row r="11">
          <cell r="A11" t="str">
            <v>MAY</v>
          </cell>
          <cell r="B11" t="str">
            <v>Res New Construction</v>
          </cell>
          <cell r="C11">
            <v>26264217</v>
          </cell>
          <cell r="D11">
            <v>26264217</v>
          </cell>
          <cell r="E11">
            <v>908091.8</v>
          </cell>
          <cell r="F11">
            <v>111164.77</v>
          </cell>
          <cell r="G11">
            <v>485165</v>
          </cell>
          <cell r="H11">
            <v>0</v>
          </cell>
          <cell r="I11">
            <v>9015.1305056540205</v>
          </cell>
          <cell r="J11">
            <v>0</v>
          </cell>
          <cell r="K11">
            <v>0</v>
          </cell>
          <cell r="L11">
            <v>2345.5939200000003</v>
          </cell>
          <cell r="M11">
            <v>0</v>
          </cell>
          <cell r="N11">
            <v>13357136.488374671</v>
          </cell>
          <cell r="O11">
            <v>0</v>
          </cell>
          <cell r="P11">
            <v>0</v>
          </cell>
          <cell r="Q11">
            <v>510796.79999999999</v>
          </cell>
          <cell r="R11">
            <v>0</v>
          </cell>
          <cell r="S11">
            <v>2454487.1347570699</v>
          </cell>
          <cell r="T11">
            <v>0</v>
          </cell>
          <cell r="U11">
            <v>0</v>
          </cell>
          <cell r="V11">
            <v>103452.8</v>
          </cell>
          <cell r="W11">
            <v>0</v>
          </cell>
          <cell r="X11">
            <v>445</v>
          </cell>
          <cell r="Y11">
            <v>485165</v>
          </cell>
          <cell r="Z11">
            <v>0</v>
          </cell>
          <cell r="AA11">
            <v>0</v>
          </cell>
          <cell r="AB11">
            <v>0</v>
          </cell>
          <cell r="AC11">
            <v>0</v>
          </cell>
        </row>
        <row r="12">
          <cell r="A12" t="str">
            <v>MAY</v>
          </cell>
          <cell r="B12" t="str">
            <v>Education &amp; Training</v>
          </cell>
          <cell r="C12">
            <v>41154602</v>
          </cell>
          <cell r="D12">
            <v>41154602</v>
          </cell>
          <cell r="E12">
            <v>3321008.87</v>
          </cell>
          <cell r="F12">
            <v>1291859.45</v>
          </cell>
          <cell r="G12" t="str">
            <v>N/A</v>
          </cell>
          <cell r="H12">
            <v>0</v>
          </cell>
          <cell r="I12" t="str">
            <v>N/A</v>
          </cell>
          <cell r="J12" t="str">
            <v>N/A</v>
          </cell>
          <cell r="K12" t="str">
            <v>N/A</v>
          </cell>
          <cell r="L12" t="str">
            <v>N/A</v>
          </cell>
          <cell r="M12">
            <v>0</v>
          </cell>
          <cell r="N12" t="str">
            <v>N/A</v>
          </cell>
          <cell r="O12" t="str">
            <v>N/A</v>
          </cell>
          <cell r="P12" t="str">
            <v>N/A</v>
          </cell>
          <cell r="Q12" t="str">
            <v>N/A</v>
          </cell>
          <cell r="R12">
            <v>0</v>
          </cell>
          <cell r="S12" t="str">
            <v>N/A</v>
          </cell>
          <cell r="T12" t="str">
            <v>N/A</v>
          </cell>
          <cell r="U12" t="str">
            <v>N/A</v>
          </cell>
          <cell r="V12" t="str">
            <v>N/A</v>
          </cell>
          <cell r="W12">
            <v>0</v>
          </cell>
          <cell r="X12" t="str">
            <v>N/A</v>
          </cell>
          <cell r="Y12" t="str">
            <v>N/A</v>
          </cell>
          <cell r="Z12">
            <v>0</v>
          </cell>
          <cell r="AA12" t="str">
            <v>N/A</v>
          </cell>
          <cell r="AB12" t="str">
            <v>N/A</v>
          </cell>
          <cell r="AC12" t="str">
            <v>N/A</v>
          </cell>
        </row>
        <row r="13">
          <cell r="A13" t="str">
            <v>MAY</v>
          </cell>
          <cell r="B13" t="str">
            <v>Codes &amp; Standards</v>
          </cell>
          <cell r="C13">
            <v>4635754</v>
          </cell>
          <cell r="D13">
            <v>4635754</v>
          </cell>
          <cell r="E13">
            <v>372581.18</v>
          </cell>
          <cell r="F13">
            <v>84614.53</v>
          </cell>
          <cell r="G13" t="str">
            <v>N/A</v>
          </cell>
          <cell r="H13">
            <v>0</v>
          </cell>
          <cell r="I13" t="str">
            <v>N/A</v>
          </cell>
          <cell r="J13" t="str">
            <v>N/A</v>
          </cell>
          <cell r="K13" t="str">
            <v>N/A</v>
          </cell>
          <cell r="L13" t="str">
            <v>N/A</v>
          </cell>
          <cell r="M13">
            <v>0</v>
          </cell>
          <cell r="N13" t="str">
            <v>N/A</v>
          </cell>
          <cell r="O13" t="str">
            <v>N/A</v>
          </cell>
          <cell r="P13" t="str">
            <v>N/A</v>
          </cell>
          <cell r="Q13" t="str">
            <v>N/A</v>
          </cell>
          <cell r="R13">
            <v>0</v>
          </cell>
          <cell r="S13" t="str">
            <v>N/A</v>
          </cell>
          <cell r="T13" t="str">
            <v>N/A</v>
          </cell>
          <cell r="U13" t="str">
            <v>N/A</v>
          </cell>
          <cell r="V13" t="str">
            <v>N/A</v>
          </cell>
          <cell r="W13">
            <v>0</v>
          </cell>
          <cell r="X13" t="str">
            <v>N/A</v>
          </cell>
          <cell r="Y13" t="str">
            <v>N/A</v>
          </cell>
          <cell r="Z13">
            <v>0</v>
          </cell>
          <cell r="AA13" t="str">
            <v>N/A</v>
          </cell>
          <cell r="AB13" t="str">
            <v>N/A</v>
          </cell>
          <cell r="AC13" t="str">
            <v>N/A</v>
          </cell>
        </row>
        <row r="14">
          <cell r="A14" t="str">
            <v>MAY</v>
          </cell>
          <cell r="B14" t="str">
            <v>Emerging Technologies</v>
          </cell>
          <cell r="C14">
            <v>11260376</v>
          </cell>
          <cell r="D14">
            <v>11260376</v>
          </cell>
          <cell r="E14">
            <v>309630.52</v>
          </cell>
          <cell r="F14">
            <v>141964.81</v>
          </cell>
          <cell r="G14" t="str">
            <v>N/A</v>
          </cell>
          <cell r="H14">
            <v>0</v>
          </cell>
          <cell r="I14" t="str">
            <v>N/A</v>
          </cell>
          <cell r="J14" t="str">
            <v>N/A</v>
          </cell>
          <cell r="K14" t="str">
            <v>N/A</v>
          </cell>
          <cell r="L14" t="str">
            <v>N/A</v>
          </cell>
          <cell r="M14">
            <v>0</v>
          </cell>
          <cell r="N14" t="str">
            <v>N/A</v>
          </cell>
          <cell r="O14" t="str">
            <v>N/A</v>
          </cell>
          <cell r="P14" t="str">
            <v>N/A</v>
          </cell>
          <cell r="Q14" t="str">
            <v>N/A</v>
          </cell>
          <cell r="R14">
            <v>0</v>
          </cell>
          <cell r="S14" t="str">
            <v>N/A</v>
          </cell>
          <cell r="T14" t="str">
            <v>N/A</v>
          </cell>
          <cell r="U14" t="str">
            <v>N/A</v>
          </cell>
          <cell r="V14" t="str">
            <v>N/A</v>
          </cell>
          <cell r="W14">
            <v>0</v>
          </cell>
          <cell r="X14" t="str">
            <v>N/A</v>
          </cell>
          <cell r="Y14" t="str">
            <v>N/A</v>
          </cell>
          <cell r="Z14">
            <v>0</v>
          </cell>
          <cell r="AA14" t="str">
            <v>N/A</v>
          </cell>
          <cell r="AB14" t="str">
            <v>N/A</v>
          </cell>
          <cell r="AC14" t="str">
            <v>N/A</v>
          </cell>
        </row>
        <row r="15">
          <cell r="A15" t="str">
            <v>MAY</v>
          </cell>
          <cell r="B15" t="str">
            <v>Statewide Marketing &amp; Info</v>
          </cell>
          <cell r="C15">
            <v>26948382</v>
          </cell>
          <cell r="D15">
            <v>26948382</v>
          </cell>
          <cell r="E15">
            <v>2480.48</v>
          </cell>
          <cell r="F15">
            <v>0</v>
          </cell>
          <cell r="G15" t="str">
            <v>N/A</v>
          </cell>
          <cell r="H15">
            <v>0</v>
          </cell>
          <cell r="I15" t="str">
            <v>N/A</v>
          </cell>
          <cell r="J15" t="str">
            <v>N/A</v>
          </cell>
          <cell r="K15" t="str">
            <v>N/A</v>
          </cell>
          <cell r="L15" t="str">
            <v>N/A</v>
          </cell>
          <cell r="M15">
            <v>0</v>
          </cell>
          <cell r="N15" t="str">
            <v>N/A</v>
          </cell>
          <cell r="O15" t="str">
            <v>N/A</v>
          </cell>
          <cell r="P15" t="str">
            <v>N/A</v>
          </cell>
          <cell r="Q15" t="str">
            <v>N/A</v>
          </cell>
          <cell r="R15">
            <v>0</v>
          </cell>
          <cell r="S15" t="str">
            <v>N/A</v>
          </cell>
          <cell r="T15" t="str">
            <v>N/A</v>
          </cell>
          <cell r="U15" t="str">
            <v>N/A</v>
          </cell>
          <cell r="V15" t="str">
            <v>N/A</v>
          </cell>
          <cell r="W15">
            <v>0</v>
          </cell>
          <cell r="X15" t="str">
            <v>N/A</v>
          </cell>
          <cell r="Y15" t="str">
            <v>N/A</v>
          </cell>
          <cell r="Z15">
            <v>0</v>
          </cell>
          <cell r="AA15" t="str">
            <v>N/A</v>
          </cell>
          <cell r="AB15" t="str">
            <v>N/A</v>
          </cell>
          <cell r="AC15" t="str">
            <v>N/A</v>
          </cell>
        </row>
        <row r="16">
          <cell r="A16" t="str">
            <v>MAY</v>
          </cell>
          <cell r="B16" t="str">
            <v>Low Income EE (3)  (1 YR Budgets/Goals)</v>
          </cell>
          <cell r="C16">
            <v>68760669</v>
          </cell>
          <cell r="D16">
            <v>68760669</v>
          </cell>
          <cell r="E16">
            <v>30445619.789999999</v>
          </cell>
          <cell r="F16">
            <v>10111344.140000001</v>
          </cell>
          <cell r="G16" t="str">
            <v>N/A</v>
          </cell>
          <cell r="H16">
            <v>0</v>
          </cell>
          <cell r="I16">
            <v>5551</v>
          </cell>
          <cell r="J16">
            <v>2335.7872171099993</v>
          </cell>
          <cell r="K16">
            <v>791.78721710999935</v>
          </cell>
          <cell r="L16" t="str">
            <v>N/A</v>
          </cell>
          <cell r="M16">
            <v>0</v>
          </cell>
          <cell r="N16">
            <v>26282000</v>
          </cell>
          <cell r="O16">
            <v>10506271.530000001</v>
          </cell>
          <cell r="P16">
            <v>3420462.53</v>
          </cell>
          <cell r="Q16" t="str">
            <v>N/A</v>
          </cell>
          <cell r="R16">
            <v>0</v>
          </cell>
          <cell r="S16">
            <v>1370000</v>
          </cell>
          <cell r="T16">
            <v>420777.52</v>
          </cell>
          <cell r="U16">
            <v>63736.52</v>
          </cell>
          <cell r="V16" t="str">
            <v>N/A</v>
          </cell>
          <cell r="W16">
            <v>0</v>
          </cell>
          <cell r="X16" t="str">
            <v>N/A</v>
          </cell>
          <cell r="Y16" t="str">
            <v>N/A</v>
          </cell>
          <cell r="Z16">
            <v>0</v>
          </cell>
          <cell r="AA16">
            <v>1544</v>
          </cell>
          <cell r="AB16">
            <v>7085809</v>
          </cell>
          <cell r="AC16">
            <v>357041</v>
          </cell>
        </row>
        <row r="17">
          <cell r="A17" t="str">
            <v>JUNE</v>
          </cell>
          <cell r="B17" t="str">
            <v>Mass Market</v>
          </cell>
          <cell r="C17">
            <v>405857712</v>
          </cell>
          <cell r="D17">
            <v>405857712</v>
          </cell>
          <cell r="E17">
            <v>18748350.329999998</v>
          </cell>
          <cell r="F17">
            <v>6095524.3999999994</v>
          </cell>
          <cell r="G17">
            <v>5827135.8599999994</v>
          </cell>
          <cell r="H17">
            <v>0</v>
          </cell>
          <cell r="I17">
            <v>334053.85427348199</v>
          </cell>
          <cell r="J17">
            <v>18973.299037529501</v>
          </cell>
          <cell r="K17">
            <v>6972.5153128666025</v>
          </cell>
          <cell r="L17">
            <v>3453.9870033870002</v>
          </cell>
          <cell r="M17">
            <v>0</v>
          </cell>
          <cell r="N17">
            <v>1728133316.3078108</v>
          </cell>
          <cell r="O17">
            <v>88133563.977048367</v>
          </cell>
          <cell r="P17">
            <v>33934763.696143895</v>
          </cell>
          <cell r="Q17">
            <v>22375691.048130639</v>
          </cell>
          <cell r="R17">
            <v>0</v>
          </cell>
          <cell r="S17">
            <v>15871656.841610486</v>
          </cell>
          <cell r="T17">
            <v>520018.15170499997</v>
          </cell>
          <cell r="U17">
            <v>150709.99649599992</v>
          </cell>
          <cell r="V17">
            <v>167143.37689599997</v>
          </cell>
          <cell r="W17">
            <v>0</v>
          </cell>
          <cell r="X17">
            <v>0</v>
          </cell>
          <cell r="Y17">
            <v>0</v>
          </cell>
          <cell r="Z17">
            <v>0</v>
          </cell>
          <cell r="AA17">
            <v>0</v>
          </cell>
          <cell r="AB17">
            <v>0</v>
          </cell>
          <cell r="AC17">
            <v>0</v>
          </cell>
        </row>
        <row r="18">
          <cell r="A18" t="str">
            <v>JUNE</v>
          </cell>
          <cell r="B18" t="str">
            <v>Ag &amp; Food Processing</v>
          </cell>
          <cell r="C18">
            <v>47523134</v>
          </cell>
          <cell r="D18">
            <v>47523134</v>
          </cell>
          <cell r="E18">
            <v>1265218.76</v>
          </cell>
          <cell r="F18">
            <v>298675.69</v>
          </cell>
          <cell r="G18">
            <v>1337133.1100000001</v>
          </cell>
          <cell r="H18">
            <v>0</v>
          </cell>
          <cell r="I18">
            <v>22797.08846466984</v>
          </cell>
          <cell r="J18">
            <v>36.99</v>
          </cell>
          <cell r="K18">
            <v>36.99</v>
          </cell>
          <cell r="L18">
            <v>3562.5990000000002</v>
          </cell>
          <cell r="M18">
            <v>0</v>
          </cell>
          <cell r="N18">
            <v>164346860.9940128</v>
          </cell>
          <cell r="O18">
            <v>579917.16</v>
          </cell>
          <cell r="P18">
            <v>579917.16</v>
          </cell>
          <cell r="Q18">
            <v>9133119.8300000001</v>
          </cell>
          <cell r="R18">
            <v>0</v>
          </cell>
          <cell r="S18">
            <v>3082951.7327311719</v>
          </cell>
          <cell r="T18">
            <v>0</v>
          </cell>
          <cell r="U18">
            <v>0</v>
          </cell>
          <cell r="V18">
            <v>392567.06</v>
          </cell>
          <cell r="W18">
            <v>0</v>
          </cell>
          <cell r="X18">
            <v>0</v>
          </cell>
          <cell r="Y18">
            <v>0</v>
          </cell>
          <cell r="Z18">
            <v>0</v>
          </cell>
          <cell r="AA18">
            <v>0</v>
          </cell>
          <cell r="AB18">
            <v>0</v>
          </cell>
          <cell r="AC18">
            <v>0</v>
          </cell>
        </row>
        <row r="19">
          <cell r="A19" t="str">
            <v>JUNE</v>
          </cell>
          <cell r="B19" t="str">
            <v>Schools &amp; Colleges</v>
          </cell>
          <cell r="C19">
            <v>47568591</v>
          </cell>
          <cell r="D19">
            <v>47568591</v>
          </cell>
          <cell r="E19">
            <v>938964.96</v>
          </cell>
          <cell r="F19">
            <v>169132.77</v>
          </cell>
          <cell r="G19">
            <v>188021.68</v>
          </cell>
          <cell r="H19">
            <v>0</v>
          </cell>
          <cell r="I19">
            <v>28892.278794176014</v>
          </cell>
          <cell r="J19">
            <v>0</v>
          </cell>
          <cell r="K19">
            <v>0</v>
          </cell>
          <cell r="L19">
            <v>273.745</v>
          </cell>
          <cell r="M19">
            <v>0</v>
          </cell>
          <cell r="N19">
            <v>128046825.56012681</v>
          </cell>
          <cell r="O19">
            <v>0</v>
          </cell>
          <cell r="P19">
            <v>0</v>
          </cell>
          <cell r="Q19">
            <v>1208072.42</v>
          </cell>
          <cell r="R19">
            <v>0</v>
          </cell>
          <cell r="S19">
            <v>2635794.0523105087</v>
          </cell>
          <cell r="T19">
            <v>0</v>
          </cell>
          <cell r="U19">
            <v>0</v>
          </cell>
          <cell r="V19">
            <v>-3107.64</v>
          </cell>
          <cell r="W19">
            <v>0</v>
          </cell>
          <cell r="X19">
            <v>0</v>
          </cell>
          <cell r="Y19">
            <v>0</v>
          </cell>
          <cell r="Z19">
            <v>0</v>
          </cell>
          <cell r="AA19">
            <v>0</v>
          </cell>
          <cell r="AB19">
            <v>0</v>
          </cell>
          <cell r="AC19">
            <v>0</v>
          </cell>
        </row>
        <row r="20">
          <cell r="A20" t="str">
            <v>JUNE</v>
          </cell>
          <cell r="B20" t="str">
            <v>Retail Stores</v>
          </cell>
          <cell r="C20">
            <v>20850872</v>
          </cell>
          <cell r="D20">
            <v>20850872</v>
          </cell>
          <cell r="E20">
            <v>591851.39</v>
          </cell>
          <cell r="F20">
            <v>174292.96</v>
          </cell>
          <cell r="G20">
            <v>103491.33</v>
          </cell>
          <cell r="H20">
            <v>0</v>
          </cell>
          <cell r="I20">
            <v>21271.596533140018</v>
          </cell>
          <cell r="J20">
            <v>24.843000000000004</v>
          </cell>
          <cell r="K20">
            <v>24.843000000000004</v>
          </cell>
          <cell r="L20">
            <v>255.31100000000001</v>
          </cell>
          <cell r="M20">
            <v>0</v>
          </cell>
          <cell r="N20">
            <v>125946107.22913301</v>
          </cell>
          <cell r="O20">
            <v>147544.6</v>
          </cell>
          <cell r="P20">
            <v>147544.6</v>
          </cell>
          <cell r="Q20">
            <v>1344343.2609999999</v>
          </cell>
          <cell r="R20">
            <v>0</v>
          </cell>
          <cell r="S20">
            <v>17583.588</v>
          </cell>
          <cell r="T20">
            <v>0</v>
          </cell>
          <cell r="U20">
            <v>0</v>
          </cell>
          <cell r="V20">
            <v>1572.1</v>
          </cell>
          <cell r="W20">
            <v>0</v>
          </cell>
          <cell r="X20">
            <v>0</v>
          </cell>
          <cell r="Y20">
            <v>0</v>
          </cell>
          <cell r="Z20">
            <v>0</v>
          </cell>
          <cell r="AA20">
            <v>0</v>
          </cell>
          <cell r="AB20">
            <v>0</v>
          </cell>
          <cell r="AC20">
            <v>0</v>
          </cell>
        </row>
        <row r="21">
          <cell r="A21" t="str">
            <v>JUNE</v>
          </cell>
          <cell r="B21" t="str">
            <v>Fab, Prcss &amp; Hvy Indl Mfg</v>
          </cell>
          <cell r="C21">
            <v>121849249</v>
          </cell>
          <cell r="D21">
            <v>121849249</v>
          </cell>
          <cell r="E21">
            <v>1926638.86</v>
          </cell>
          <cell r="F21">
            <v>823235.89</v>
          </cell>
          <cell r="G21">
            <v>8670612.9699999988</v>
          </cell>
          <cell r="H21">
            <v>0</v>
          </cell>
          <cell r="I21">
            <v>69225.227525006732</v>
          </cell>
          <cell r="J21">
            <v>147.48600000000002</v>
          </cell>
          <cell r="K21">
            <v>25.098000000000013</v>
          </cell>
          <cell r="L21">
            <v>9733.9030000000002</v>
          </cell>
          <cell r="M21">
            <v>0</v>
          </cell>
          <cell r="N21">
            <v>475376401.45399302</v>
          </cell>
          <cell r="O21">
            <v>1433123.06</v>
          </cell>
          <cell r="P21">
            <v>748205.22</v>
          </cell>
          <cell r="Q21">
            <v>89910548.00999999</v>
          </cell>
          <cell r="R21">
            <v>0</v>
          </cell>
          <cell r="S21">
            <v>18198035.099455945</v>
          </cell>
          <cell r="T21">
            <v>499093</v>
          </cell>
          <cell r="U21">
            <v>499093</v>
          </cell>
          <cell r="V21">
            <v>1847740.0160000001</v>
          </cell>
          <cell r="W21">
            <v>0</v>
          </cell>
          <cell r="X21">
            <v>0</v>
          </cell>
          <cell r="Y21">
            <v>0</v>
          </cell>
          <cell r="Z21">
            <v>0</v>
          </cell>
          <cell r="AA21">
            <v>0</v>
          </cell>
          <cell r="AB21">
            <v>0</v>
          </cell>
          <cell r="AC21">
            <v>0</v>
          </cell>
        </row>
        <row r="22">
          <cell r="A22" t="str">
            <v>JUNE</v>
          </cell>
          <cell r="B22" t="str">
            <v>Hi-Tech Facilities</v>
          </cell>
          <cell r="C22">
            <v>11759803</v>
          </cell>
          <cell r="D22">
            <v>11759803</v>
          </cell>
          <cell r="E22">
            <v>663723.1</v>
          </cell>
          <cell r="F22">
            <v>172847.74</v>
          </cell>
          <cell r="G22">
            <v>648390.74</v>
          </cell>
          <cell r="H22">
            <v>0</v>
          </cell>
          <cell r="I22">
            <v>6532.0886490478697</v>
          </cell>
          <cell r="J22">
            <v>46.55</v>
          </cell>
          <cell r="K22">
            <v>46.55</v>
          </cell>
          <cell r="L22">
            <v>1109.1500000000001</v>
          </cell>
          <cell r="M22">
            <v>0</v>
          </cell>
          <cell r="N22">
            <v>44364926.587099597</v>
          </cell>
          <cell r="O22">
            <v>232370.6</v>
          </cell>
          <cell r="P22">
            <v>232370.6</v>
          </cell>
          <cell r="Q22">
            <v>13645256.441</v>
          </cell>
          <cell r="R22">
            <v>0</v>
          </cell>
          <cell r="S22">
            <v>25523.813309561065</v>
          </cell>
          <cell r="T22">
            <v>0</v>
          </cell>
          <cell r="U22">
            <v>0</v>
          </cell>
          <cell r="V22">
            <v>113338.38</v>
          </cell>
          <cell r="W22">
            <v>0</v>
          </cell>
          <cell r="X22">
            <v>0</v>
          </cell>
          <cell r="Y22">
            <v>0</v>
          </cell>
          <cell r="Z22">
            <v>0</v>
          </cell>
          <cell r="AA22">
            <v>0</v>
          </cell>
          <cell r="AB22">
            <v>0</v>
          </cell>
          <cell r="AC22">
            <v>0</v>
          </cell>
        </row>
        <row r="23">
          <cell r="A23" t="str">
            <v>JUNE</v>
          </cell>
          <cell r="B23" t="str">
            <v>Medical Facilities</v>
          </cell>
          <cell r="C23">
            <v>21407152</v>
          </cell>
          <cell r="D23">
            <v>21407152</v>
          </cell>
          <cell r="E23">
            <v>325349.45</v>
          </cell>
          <cell r="F23">
            <v>67859.850000000006</v>
          </cell>
          <cell r="G23">
            <v>244451.28</v>
          </cell>
          <cell r="H23">
            <v>0</v>
          </cell>
          <cell r="I23">
            <v>27753.153177169657</v>
          </cell>
          <cell r="J23">
            <v>0</v>
          </cell>
          <cell r="K23">
            <v>0</v>
          </cell>
          <cell r="L23">
            <v>107.8</v>
          </cell>
          <cell r="M23">
            <v>0</v>
          </cell>
          <cell r="N23">
            <v>68661112.057484001</v>
          </cell>
          <cell r="O23">
            <v>0</v>
          </cell>
          <cell r="P23">
            <v>0</v>
          </cell>
          <cell r="Q23">
            <v>1202485.2</v>
          </cell>
          <cell r="R23">
            <v>0</v>
          </cell>
          <cell r="S23">
            <v>494605</v>
          </cell>
          <cell r="T23">
            <v>0</v>
          </cell>
          <cell r="U23">
            <v>0</v>
          </cell>
          <cell r="V23">
            <v>6978.3</v>
          </cell>
          <cell r="W23">
            <v>0</v>
          </cell>
          <cell r="X23">
            <v>0</v>
          </cell>
          <cell r="Y23">
            <v>0</v>
          </cell>
          <cell r="Z23">
            <v>0</v>
          </cell>
          <cell r="AA23">
            <v>0</v>
          </cell>
          <cell r="AB23">
            <v>0</v>
          </cell>
          <cell r="AC23">
            <v>0</v>
          </cell>
        </row>
        <row r="24">
          <cell r="A24" t="str">
            <v>JUNE</v>
          </cell>
          <cell r="B24" t="str">
            <v>Large Commercial</v>
          </cell>
          <cell r="C24">
            <v>68595302</v>
          </cell>
          <cell r="D24">
            <v>68595302</v>
          </cell>
          <cell r="E24">
            <v>1584523.81</v>
          </cell>
          <cell r="F24">
            <v>370930.25</v>
          </cell>
          <cell r="G24">
            <v>1627157.56</v>
          </cell>
          <cell r="H24">
            <v>0</v>
          </cell>
          <cell r="I24">
            <v>73838.296918087362</v>
          </cell>
          <cell r="J24">
            <v>10.152000000000001</v>
          </cell>
          <cell r="K24">
            <v>10.152000000000001</v>
          </cell>
          <cell r="L24">
            <v>2988.2520000000004</v>
          </cell>
          <cell r="M24">
            <v>0</v>
          </cell>
          <cell r="N24">
            <v>219609296.0400379</v>
          </cell>
          <cell r="O24">
            <v>520488.64</v>
          </cell>
          <cell r="P24">
            <v>520488.64</v>
          </cell>
          <cell r="Q24">
            <v>12993769.58</v>
          </cell>
          <cell r="R24">
            <v>0</v>
          </cell>
          <cell r="S24">
            <v>2224825.1578322467</v>
          </cell>
          <cell r="T24">
            <v>0</v>
          </cell>
          <cell r="U24">
            <v>0</v>
          </cell>
          <cell r="V24">
            <v>338882.74</v>
          </cell>
          <cell r="W24">
            <v>0</v>
          </cell>
          <cell r="X24">
            <v>0</v>
          </cell>
          <cell r="Y24">
            <v>0</v>
          </cell>
          <cell r="Z24">
            <v>0</v>
          </cell>
          <cell r="AA24">
            <v>0</v>
          </cell>
          <cell r="AB24">
            <v>0</v>
          </cell>
          <cell r="AC24">
            <v>0</v>
          </cell>
        </row>
        <row r="25">
          <cell r="A25" t="str">
            <v>JUNE</v>
          </cell>
          <cell r="B25" t="str">
            <v>Hospitality Facilities</v>
          </cell>
          <cell r="C25">
            <v>11793097</v>
          </cell>
          <cell r="D25">
            <v>11793097</v>
          </cell>
          <cell r="E25">
            <v>576775.5</v>
          </cell>
          <cell r="F25">
            <v>111322.28</v>
          </cell>
          <cell r="G25">
            <v>8710</v>
          </cell>
          <cell r="H25">
            <v>0</v>
          </cell>
          <cell r="I25">
            <v>7577.0826254285475</v>
          </cell>
          <cell r="J25">
            <v>0</v>
          </cell>
          <cell r="K25">
            <v>0</v>
          </cell>
          <cell r="L25">
            <v>5.2480000000000002</v>
          </cell>
          <cell r="M25">
            <v>0</v>
          </cell>
          <cell r="N25">
            <v>37330060.295922801</v>
          </cell>
          <cell r="O25">
            <v>0</v>
          </cell>
          <cell r="P25">
            <v>0</v>
          </cell>
          <cell r="Q25">
            <v>97002.94</v>
          </cell>
          <cell r="R25">
            <v>0</v>
          </cell>
          <cell r="S25">
            <v>33302.25</v>
          </cell>
          <cell r="T25">
            <v>0</v>
          </cell>
          <cell r="U25">
            <v>0</v>
          </cell>
          <cell r="V25">
            <v>992.04</v>
          </cell>
          <cell r="W25">
            <v>0</v>
          </cell>
          <cell r="X25">
            <v>0</v>
          </cell>
          <cell r="Y25">
            <v>0</v>
          </cell>
          <cell r="Z25">
            <v>0</v>
          </cell>
          <cell r="AA25">
            <v>0</v>
          </cell>
          <cell r="AB25">
            <v>0</v>
          </cell>
          <cell r="AC25">
            <v>0</v>
          </cell>
        </row>
        <row r="26">
          <cell r="A26" t="str">
            <v>JUNE</v>
          </cell>
          <cell r="B26" t="str">
            <v>Res New Construction</v>
          </cell>
          <cell r="C26">
            <v>26264217</v>
          </cell>
          <cell r="D26">
            <v>26264217</v>
          </cell>
          <cell r="E26">
            <v>1045732.4</v>
          </cell>
          <cell r="F26">
            <v>137640.6</v>
          </cell>
          <cell r="G26">
            <v>1074610</v>
          </cell>
          <cell r="H26">
            <v>0</v>
          </cell>
          <cell r="I26">
            <v>9015.1305056540205</v>
          </cell>
          <cell r="J26">
            <v>0.18152000000000001</v>
          </cell>
          <cell r="K26">
            <v>0.18152000000000001</v>
          </cell>
          <cell r="L26">
            <v>109.55737120000001</v>
          </cell>
          <cell r="M26">
            <v>0</v>
          </cell>
          <cell r="N26">
            <v>13357136.488374671</v>
          </cell>
          <cell r="O26">
            <v>600.79999999999995</v>
          </cell>
          <cell r="P26">
            <v>600.79999999999995</v>
          </cell>
          <cell r="Q26">
            <v>584399.19999999995</v>
          </cell>
          <cell r="R26">
            <v>0</v>
          </cell>
          <cell r="S26">
            <v>2454487.1347570699</v>
          </cell>
          <cell r="T26">
            <v>45.776000000000003</v>
          </cell>
          <cell r="U26">
            <v>45.776000000000003</v>
          </cell>
          <cell r="V26">
            <v>197618.4</v>
          </cell>
          <cell r="W26">
            <v>0</v>
          </cell>
          <cell r="X26">
            <v>0</v>
          </cell>
          <cell r="Y26">
            <v>0</v>
          </cell>
          <cell r="Z26">
            <v>0</v>
          </cell>
          <cell r="AA26">
            <v>0</v>
          </cell>
          <cell r="AB26">
            <v>0</v>
          </cell>
          <cell r="AC26">
            <v>0</v>
          </cell>
        </row>
        <row r="27">
          <cell r="A27" t="str">
            <v>JUNE</v>
          </cell>
          <cell r="B27" t="str">
            <v>Education &amp; Training</v>
          </cell>
          <cell r="C27">
            <v>41154602</v>
          </cell>
          <cell r="D27">
            <v>41154602</v>
          </cell>
          <cell r="E27">
            <v>3653537.3</v>
          </cell>
          <cell r="F27">
            <v>332528.43</v>
          </cell>
          <cell r="G27" t="str">
            <v>N/A</v>
          </cell>
          <cell r="H27">
            <v>0</v>
          </cell>
          <cell r="I27" t="str">
            <v>N/A</v>
          </cell>
          <cell r="J27" t="str">
            <v>N/A</v>
          </cell>
          <cell r="K27" t="str">
            <v>N/A</v>
          </cell>
          <cell r="L27" t="str">
            <v>N/A</v>
          </cell>
          <cell r="M27">
            <v>0</v>
          </cell>
          <cell r="N27" t="str">
            <v>N/A</v>
          </cell>
          <cell r="O27" t="str">
            <v>N/A</v>
          </cell>
          <cell r="P27" t="str">
            <v>N/A</v>
          </cell>
          <cell r="Q27" t="str">
            <v>N/A</v>
          </cell>
          <cell r="R27">
            <v>0</v>
          </cell>
          <cell r="S27" t="str">
            <v>N/A</v>
          </cell>
          <cell r="T27" t="str">
            <v>N/A</v>
          </cell>
          <cell r="U27" t="str">
            <v>N/A</v>
          </cell>
          <cell r="V27" t="str">
            <v>N/A</v>
          </cell>
          <cell r="W27">
            <v>0</v>
          </cell>
          <cell r="X27">
            <v>0</v>
          </cell>
          <cell r="Y27">
            <v>0</v>
          </cell>
          <cell r="Z27">
            <v>0</v>
          </cell>
          <cell r="AA27">
            <v>0</v>
          </cell>
          <cell r="AB27">
            <v>0</v>
          </cell>
          <cell r="AC27">
            <v>0</v>
          </cell>
        </row>
        <row r="28">
          <cell r="A28" t="str">
            <v>JUNE</v>
          </cell>
          <cell r="B28" t="str">
            <v>Codes &amp; Standards</v>
          </cell>
          <cell r="C28">
            <v>4635754</v>
          </cell>
          <cell r="D28">
            <v>4635754</v>
          </cell>
          <cell r="E28">
            <v>469282.68</v>
          </cell>
          <cell r="F28">
            <v>96701.5</v>
          </cell>
          <cell r="G28" t="str">
            <v>N/A</v>
          </cell>
          <cell r="H28">
            <v>0</v>
          </cell>
          <cell r="I28" t="str">
            <v>N/A</v>
          </cell>
          <cell r="J28" t="str">
            <v>N/A</v>
          </cell>
          <cell r="K28" t="str">
            <v>N/A</v>
          </cell>
          <cell r="L28" t="str">
            <v>N/A</v>
          </cell>
          <cell r="M28">
            <v>0</v>
          </cell>
          <cell r="N28" t="str">
            <v>N/A</v>
          </cell>
          <cell r="O28" t="str">
            <v>N/A</v>
          </cell>
          <cell r="P28" t="str">
            <v>N/A</v>
          </cell>
          <cell r="Q28" t="str">
            <v>N/A</v>
          </cell>
          <cell r="R28">
            <v>0</v>
          </cell>
          <cell r="S28" t="str">
            <v>N/A</v>
          </cell>
          <cell r="T28" t="str">
            <v>N/A</v>
          </cell>
          <cell r="U28" t="str">
            <v>N/A</v>
          </cell>
          <cell r="V28" t="str">
            <v>N/A</v>
          </cell>
          <cell r="W28">
            <v>0</v>
          </cell>
          <cell r="X28">
            <v>0</v>
          </cell>
          <cell r="Y28">
            <v>0</v>
          </cell>
          <cell r="Z28">
            <v>0</v>
          </cell>
          <cell r="AA28">
            <v>0</v>
          </cell>
          <cell r="AB28">
            <v>0</v>
          </cell>
          <cell r="AC28">
            <v>0</v>
          </cell>
        </row>
        <row r="29">
          <cell r="A29" t="str">
            <v>JUNE</v>
          </cell>
          <cell r="B29" t="str">
            <v>Emerging Technologies</v>
          </cell>
          <cell r="C29">
            <v>11260376</v>
          </cell>
          <cell r="D29">
            <v>11260376</v>
          </cell>
          <cell r="E29">
            <v>389360.51</v>
          </cell>
          <cell r="F29">
            <v>79729.990000000005</v>
          </cell>
          <cell r="G29" t="str">
            <v>N/A</v>
          </cell>
          <cell r="H29">
            <v>0</v>
          </cell>
          <cell r="I29" t="str">
            <v>N/A</v>
          </cell>
          <cell r="J29" t="str">
            <v>N/A</v>
          </cell>
          <cell r="K29" t="str">
            <v>N/A</v>
          </cell>
          <cell r="L29" t="str">
            <v>N/A</v>
          </cell>
          <cell r="M29">
            <v>0</v>
          </cell>
          <cell r="N29" t="str">
            <v>N/A</v>
          </cell>
          <cell r="O29" t="str">
            <v>N/A</v>
          </cell>
          <cell r="P29" t="str">
            <v>N/A</v>
          </cell>
          <cell r="Q29" t="str">
            <v>N/A</v>
          </cell>
          <cell r="R29">
            <v>0</v>
          </cell>
          <cell r="S29" t="str">
            <v>N/A</v>
          </cell>
          <cell r="T29" t="str">
            <v>N/A</v>
          </cell>
          <cell r="U29" t="str">
            <v>N/A</v>
          </cell>
          <cell r="V29" t="str">
            <v>N/A</v>
          </cell>
          <cell r="W29">
            <v>0</v>
          </cell>
          <cell r="X29">
            <v>0</v>
          </cell>
          <cell r="Y29">
            <v>0</v>
          </cell>
          <cell r="Z29">
            <v>0</v>
          </cell>
          <cell r="AA29">
            <v>0</v>
          </cell>
          <cell r="AB29">
            <v>0</v>
          </cell>
          <cell r="AC29">
            <v>0</v>
          </cell>
        </row>
        <row r="30">
          <cell r="A30" t="str">
            <v>JUNE</v>
          </cell>
          <cell r="B30" t="str">
            <v>Statewide Marketing &amp; Info</v>
          </cell>
          <cell r="C30">
            <v>26948382</v>
          </cell>
          <cell r="D30">
            <v>26948382</v>
          </cell>
          <cell r="E30">
            <v>-403.74</v>
          </cell>
          <cell r="F30">
            <v>-2884.22</v>
          </cell>
          <cell r="G30" t="str">
            <v>N/A</v>
          </cell>
          <cell r="H30">
            <v>0</v>
          </cell>
          <cell r="I30" t="str">
            <v>N/A</v>
          </cell>
          <cell r="J30" t="str">
            <v>N/A</v>
          </cell>
          <cell r="K30" t="str">
            <v>N/A</v>
          </cell>
          <cell r="L30" t="str">
            <v>N/A</v>
          </cell>
          <cell r="M30">
            <v>0</v>
          </cell>
          <cell r="N30" t="str">
            <v>N/A</v>
          </cell>
          <cell r="O30" t="str">
            <v>N/A</v>
          </cell>
          <cell r="P30" t="str">
            <v>N/A</v>
          </cell>
          <cell r="Q30" t="str">
            <v>N/A</v>
          </cell>
          <cell r="R30">
            <v>0</v>
          </cell>
          <cell r="S30" t="str">
            <v>N/A</v>
          </cell>
          <cell r="T30" t="str">
            <v>N/A</v>
          </cell>
          <cell r="U30" t="str">
            <v>N/A</v>
          </cell>
          <cell r="V30" t="str">
            <v>N/A</v>
          </cell>
          <cell r="W30">
            <v>0</v>
          </cell>
          <cell r="X30">
            <v>0</v>
          </cell>
          <cell r="Y30">
            <v>0</v>
          </cell>
          <cell r="Z30">
            <v>0</v>
          </cell>
          <cell r="AA30">
            <v>0</v>
          </cell>
          <cell r="AB30">
            <v>0</v>
          </cell>
          <cell r="AC30">
            <v>0</v>
          </cell>
        </row>
        <row r="31">
          <cell r="A31" t="str">
            <v>JUNE</v>
          </cell>
          <cell r="B31" t="str">
            <v>Low Income EE (3)  (1 YR Budgets/Goals)</v>
          </cell>
          <cell r="C31">
            <v>68760669</v>
          </cell>
          <cell r="D31">
            <v>68760669</v>
          </cell>
          <cell r="E31">
            <v>37014260</v>
          </cell>
          <cell r="F31">
            <v>6568640</v>
          </cell>
          <cell r="G31" t="str">
            <v>N/A</v>
          </cell>
          <cell r="H31">
            <v>0</v>
          </cell>
          <cell r="I31">
            <v>5551</v>
          </cell>
          <cell r="J31">
            <v>2590.0702306499998</v>
          </cell>
          <cell r="K31">
            <v>254.28301354000041</v>
          </cell>
          <cell r="L31" t="str">
            <v>N/A</v>
          </cell>
          <cell r="M31">
            <v>0</v>
          </cell>
          <cell r="N31">
            <v>26282000</v>
          </cell>
          <cell r="O31">
            <v>11673714.880000001</v>
          </cell>
          <cell r="P31">
            <v>1167443.3500000001</v>
          </cell>
          <cell r="Q31" t="str">
            <v>N/A</v>
          </cell>
          <cell r="R31">
            <v>0</v>
          </cell>
          <cell r="S31">
            <v>1370000</v>
          </cell>
          <cell r="T31">
            <v>595392.63</v>
          </cell>
          <cell r="U31">
            <v>174615.11</v>
          </cell>
          <cell r="V31" t="str">
            <v>N/A</v>
          </cell>
          <cell r="W31">
            <v>0</v>
          </cell>
          <cell r="X31">
            <v>0</v>
          </cell>
          <cell r="Y31">
            <v>0</v>
          </cell>
          <cell r="Z31">
            <v>0</v>
          </cell>
          <cell r="AA31">
            <v>0</v>
          </cell>
          <cell r="AB31">
            <v>0</v>
          </cell>
          <cell r="AC31">
            <v>0</v>
          </cell>
        </row>
        <row r="32">
          <cell r="A32" t="str">
            <v>JUL</v>
          </cell>
          <cell r="B32" t="str">
            <v>Mass Market</v>
          </cell>
          <cell r="C32">
            <v>405857712</v>
          </cell>
          <cell r="D32">
            <v>405857712</v>
          </cell>
          <cell r="E32">
            <v>26038882.591199998</v>
          </cell>
          <cell r="F32">
            <v>7290532.2612000015</v>
          </cell>
          <cell r="G32">
            <v>4657081.33</v>
          </cell>
          <cell r="H32">
            <v>0</v>
          </cell>
          <cell r="I32">
            <v>334053.85427348199</v>
          </cell>
          <cell r="J32">
            <v>35112.870000000003</v>
          </cell>
          <cell r="K32">
            <v>16139.570962470501</v>
          </cell>
          <cell r="L32">
            <v>2729.0267265318003</v>
          </cell>
          <cell r="M32">
            <v>0</v>
          </cell>
          <cell r="N32">
            <v>1728133316.3078108</v>
          </cell>
          <cell r="O32">
            <v>169678958.25999999</v>
          </cell>
          <cell r="P32">
            <v>81545394.282951623</v>
          </cell>
          <cell r="Q32">
            <v>15092397.755989883</v>
          </cell>
          <cell r="R32">
            <v>0</v>
          </cell>
          <cell r="S32">
            <v>15871656.841610486</v>
          </cell>
          <cell r="T32">
            <v>814840.35</v>
          </cell>
          <cell r="U32">
            <v>294822.19829500001</v>
          </cell>
          <cell r="V32">
            <v>207327.36981200002</v>
          </cell>
          <cell r="W32">
            <v>0</v>
          </cell>
          <cell r="X32">
            <v>0</v>
          </cell>
          <cell r="Y32">
            <v>0</v>
          </cell>
          <cell r="Z32">
            <v>0</v>
          </cell>
          <cell r="AA32">
            <v>0</v>
          </cell>
          <cell r="AB32">
            <v>0</v>
          </cell>
          <cell r="AC32">
            <v>0</v>
          </cell>
        </row>
        <row r="33">
          <cell r="A33" t="str">
            <v>JUL</v>
          </cell>
          <cell r="B33" t="str">
            <v>Ag &amp; Food Processing</v>
          </cell>
          <cell r="C33">
            <v>47523134</v>
          </cell>
          <cell r="D33">
            <v>47523134</v>
          </cell>
          <cell r="E33">
            <v>1558896.8176</v>
          </cell>
          <cell r="F33">
            <v>293678.0576</v>
          </cell>
          <cell r="G33">
            <v>1826397.46</v>
          </cell>
          <cell r="H33">
            <v>0</v>
          </cell>
          <cell r="I33">
            <v>22797.08846466984</v>
          </cell>
          <cell r="J33">
            <v>36.99</v>
          </cell>
          <cell r="K33">
            <v>0</v>
          </cell>
          <cell r="L33">
            <v>3634.1330000000003</v>
          </cell>
          <cell r="M33">
            <v>0</v>
          </cell>
          <cell r="N33">
            <v>164346860.9940128</v>
          </cell>
          <cell r="O33">
            <v>579917.16</v>
          </cell>
          <cell r="P33">
            <v>0</v>
          </cell>
          <cell r="Q33">
            <v>10465017.670000002</v>
          </cell>
          <cell r="R33">
            <v>0</v>
          </cell>
          <cell r="S33">
            <v>3082951.7327311719</v>
          </cell>
          <cell r="T33">
            <v>5103</v>
          </cell>
          <cell r="U33">
            <v>5103</v>
          </cell>
          <cell r="V33">
            <v>941717.76</v>
          </cell>
          <cell r="W33">
            <v>0</v>
          </cell>
          <cell r="X33">
            <v>0</v>
          </cell>
          <cell r="Y33">
            <v>0</v>
          </cell>
          <cell r="Z33">
            <v>0</v>
          </cell>
          <cell r="AA33">
            <v>0</v>
          </cell>
          <cell r="AB33">
            <v>0</v>
          </cell>
          <cell r="AC33">
            <v>0</v>
          </cell>
        </row>
        <row r="34">
          <cell r="A34" t="str">
            <v>JUL</v>
          </cell>
          <cell r="B34" t="str">
            <v>Schools &amp; Colleges</v>
          </cell>
          <cell r="C34">
            <v>47568591</v>
          </cell>
          <cell r="D34">
            <v>47568591</v>
          </cell>
          <cell r="E34">
            <v>1205666.5547999998</v>
          </cell>
          <cell r="F34">
            <v>266701.59479999996</v>
          </cell>
          <cell r="G34">
            <v>157338.32</v>
          </cell>
          <cell r="H34">
            <v>0</v>
          </cell>
          <cell r="I34">
            <v>28892.278794176014</v>
          </cell>
          <cell r="J34">
            <v>75.849999999999994</v>
          </cell>
          <cell r="K34">
            <v>75.849999999999994</v>
          </cell>
          <cell r="L34">
            <v>216.095</v>
          </cell>
          <cell r="M34">
            <v>0</v>
          </cell>
          <cell r="N34">
            <v>128046825.56012681</v>
          </cell>
          <cell r="O34">
            <v>131613.28</v>
          </cell>
          <cell r="P34">
            <v>131613.28</v>
          </cell>
          <cell r="Q34">
            <v>1091623.24</v>
          </cell>
          <cell r="R34">
            <v>0</v>
          </cell>
          <cell r="S34">
            <v>2635794.0523105087</v>
          </cell>
          <cell r="T34">
            <v>0</v>
          </cell>
          <cell r="U34">
            <v>0</v>
          </cell>
          <cell r="V34">
            <v>-3057.74</v>
          </cell>
          <cell r="W34">
            <v>0</v>
          </cell>
          <cell r="X34">
            <v>0</v>
          </cell>
          <cell r="Y34">
            <v>0</v>
          </cell>
          <cell r="Z34">
            <v>0</v>
          </cell>
          <cell r="AA34">
            <v>0</v>
          </cell>
          <cell r="AB34">
            <v>0</v>
          </cell>
          <cell r="AC34">
            <v>0</v>
          </cell>
        </row>
        <row r="35">
          <cell r="A35" t="str">
            <v>JUL</v>
          </cell>
          <cell r="B35" t="str">
            <v>Retail Stores</v>
          </cell>
          <cell r="C35">
            <v>20850872</v>
          </cell>
          <cell r="D35">
            <v>20850872</v>
          </cell>
          <cell r="E35">
            <v>737515.66919999989</v>
          </cell>
          <cell r="F35">
            <v>145664.27919999999</v>
          </cell>
          <cell r="G35">
            <v>106737.11</v>
          </cell>
          <cell r="H35">
            <v>0</v>
          </cell>
          <cell r="I35">
            <v>21271.596533140018</v>
          </cell>
          <cell r="J35">
            <v>33.78</v>
          </cell>
          <cell r="K35">
            <v>8.9369999999999976</v>
          </cell>
          <cell r="L35">
            <v>319.88499999999999</v>
          </cell>
          <cell r="M35">
            <v>0</v>
          </cell>
          <cell r="N35">
            <v>125946107.22913301</v>
          </cell>
          <cell r="O35">
            <v>391719.65</v>
          </cell>
          <cell r="P35">
            <v>244175.05</v>
          </cell>
          <cell r="Q35">
            <v>1454449.1609999998</v>
          </cell>
          <cell r="R35">
            <v>0</v>
          </cell>
          <cell r="S35">
            <v>17583.588</v>
          </cell>
          <cell r="T35">
            <v>3103.1</v>
          </cell>
          <cell r="U35">
            <v>3103.1</v>
          </cell>
          <cell r="V35">
            <v>-1188</v>
          </cell>
          <cell r="W35">
            <v>0</v>
          </cell>
          <cell r="X35">
            <v>0</v>
          </cell>
          <cell r="Y35">
            <v>0</v>
          </cell>
          <cell r="Z35">
            <v>0</v>
          </cell>
          <cell r="AA35">
            <v>0</v>
          </cell>
          <cell r="AB35">
            <v>0</v>
          </cell>
          <cell r="AC35">
            <v>0</v>
          </cell>
        </row>
        <row r="36">
          <cell r="A36" t="str">
            <v>JUL</v>
          </cell>
          <cell r="B36" t="str">
            <v>Fab, Prcss &amp; Hvy Indl Mfg</v>
          </cell>
          <cell r="C36">
            <v>121849249</v>
          </cell>
          <cell r="D36">
            <v>121849249</v>
          </cell>
          <cell r="E36">
            <v>2290013.7784000002</v>
          </cell>
          <cell r="F36">
            <v>363374.91840000002</v>
          </cell>
          <cell r="G36">
            <v>9498544.3099999987</v>
          </cell>
          <cell r="H36">
            <v>0</v>
          </cell>
          <cell r="I36">
            <v>69225.227525006732</v>
          </cell>
          <cell r="J36">
            <v>242.75</v>
          </cell>
          <cell r="K36">
            <v>95.263999999999982</v>
          </cell>
          <cell r="L36">
            <v>10398.02</v>
          </cell>
          <cell r="M36">
            <v>0</v>
          </cell>
          <cell r="N36">
            <v>475376401.45399302</v>
          </cell>
          <cell r="O36">
            <v>1885114.22</v>
          </cell>
          <cell r="P36">
            <v>451991.16</v>
          </cell>
          <cell r="Q36">
            <v>96398727.201999992</v>
          </cell>
          <cell r="R36">
            <v>0</v>
          </cell>
          <cell r="S36">
            <v>18198035.099455945</v>
          </cell>
          <cell r="T36">
            <v>499093</v>
          </cell>
          <cell r="U36">
            <v>0</v>
          </cell>
          <cell r="V36">
            <v>2029921.456</v>
          </cell>
          <cell r="W36">
            <v>0</v>
          </cell>
          <cell r="X36">
            <v>0</v>
          </cell>
          <cell r="Y36">
            <v>0</v>
          </cell>
          <cell r="Z36">
            <v>0</v>
          </cell>
          <cell r="AA36">
            <v>0</v>
          </cell>
          <cell r="AB36">
            <v>0</v>
          </cell>
          <cell r="AC36">
            <v>0</v>
          </cell>
        </row>
        <row r="37">
          <cell r="A37" t="str">
            <v>JUL</v>
          </cell>
          <cell r="B37" t="str">
            <v>Hi-Tech Facilities</v>
          </cell>
          <cell r="C37">
            <v>11759803</v>
          </cell>
          <cell r="D37">
            <v>11759803</v>
          </cell>
          <cell r="E37">
            <v>855391.85159999994</v>
          </cell>
          <cell r="F37">
            <v>191668.75159999999</v>
          </cell>
          <cell r="G37">
            <v>791077.64</v>
          </cell>
          <cell r="H37">
            <v>0</v>
          </cell>
          <cell r="I37">
            <v>6532.0886490478697</v>
          </cell>
          <cell r="J37">
            <v>46.55</v>
          </cell>
          <cell r="K37">
            <v>0</v>
          </cell>
          <cell r="L37">
            <v>1293.28</v>
          </cell>
          <cell r="M37">
            <v>0</v>
          </cell>
          <cell r="N37">
            <v>44364926.587099597</v>
          </cell>
          <cell r="O37">
            <v>232370.6</v>
          </cell>
          <cell r="P37">
            <v>0</v>
          </cell>
          <cell r="Q37">
            <v>15606447.452</v>
          </cell>
          <cell r="R37">
            <v>0</v>
          </cell>
          <cell r="S37">
            <v>25523.813309561065</v>
          </cell>
          <cell r="T37">
            <v>0</v>
          </cell>
          <cell r="U37">
            <v>0</v>
          </cell>
          <cell r="V37">
            <v>128778.63</v>
          </cell>
          <cell r="W37">
            <v>0</v>
          </cell>
          <cell r="X37">
            <v>0</v>
          </cell>
          <cell r="Y37">
            <v>0</v>
          </cell>
          <cell r="Z37">
            <v>0</v>
          </cell>
          <cell r="AA37">
            <v>0</v>
          </cell>
          <cell r="AB37">
            <v>0</v>
          </cell>
          <cell r="AC37">
            <v>0</v>
          </cell>
        </row>
        <row r="38">
          <cell r="A38" t="str">
            <v>JUL</v>
          </cell>
          <cell r="B38" t="str">
            <v>Medical Facilities</v>
          </cell>
          <cell r="C38">
            <v>21407152</v>
          </cell>
          <cell r="D38">
            <v>21407152</v>
          </cell>
          <cell r="E38">
            <v>392996.87320000003</v>
          </cell>
          <cell r="F38">
            <v>67647.423200000005</v>
          </cell>
          <cell r="G38">
            <v>293493.28000000003</v>
          </cell>
          <cell r="H38">
            <v>0</v>
          </cell>
          <cell r="I38">
            <v>27753.153177169657</v>
          </cell>
          <cell r="J38">
            <v>0</v>
          </cell>
          <cell r="K38">
            <v>0</v>
          </cell>
          <cell r="L38">
            <v>110.53</v>
          </cell>
          <cell r="M38">
            <v>0</v>
          </cell>
          <cell r="N38">
            <v>68661112.057484001</v>
          </cell>
          <cell r="O38">
            <v>0</v>
          </cell>
          <cell r="P38">
            <v>0</v>
          </cell>
          <cell r="Q38">
            <v>1447695.2</v>
          </cell>
          <cell r="R38">
            <v>0</v>
          </cell>
          <cell r="S38">
            <v>494605</v>
          </cell>
          <cell r="T38">
            <v>0</v>
          </cell>
          <cell r="U38">
            <v>0</v>
          </cell>
          <cell r="V38">
            <v>6978.3</v>
          </cell>
          <cell r="W38">
            <v>0</v>
          </cell>
          <cell r="X38">
            <v>0</v>
          </cell>
          <cell r="Y38">
            <v>0</v>
          </cell>
          <cell r="Z38">
            <v>0</v>
          </cell>
          <cell r="AA38">
            <v>0</v>
          </cell>
          <cell r="AB38">
            <v>0</v>
          </cell>
          <cell r="AC38">
            <v>0</v>
          </cell>
        </row>
        <row r="39">
          <cell r="A39" t="str">
            <v>JUL</v>
          </cell>
          <cell r="B39" t="str">
            <v>Large Commercial</v>
          </cell>
          <cell r="C39">
            <v>68595302</v>
          </cell>
          <cell r="D39">
            <v>68595302</v>
          </cell>
          <cell r="E39">
            <v>2052493.4264000002</v>
          </cell>
          <cell r="F39">
            <v>467969.6164</v>
          </cell>
          <cell r="G39">
            <v>1582401.51</v>
          </cell>
          <cell r="H39">
            <v>0</v>
          </cell>
          <cell r="I39">
            <v>73838.296918087362</v>
          </cell>
          <cell r="J39">
            <v>172.27</v>
          </cell>
          <cell r="K39">
            <v>162.11799999999999</v>
          </cell>
          <cell r="L39">
            <v>2833.9320000000002</v>
          </cell>
          <cell r="M39">
            <v>0</v>
          </cell>
          <cell r="N39">
            <v>219609296.0400379</v>
          </cell>
          <cell r="O39">
            <v>1195051.27</v>
          </cell>
          <cell r="P39">
            <v>674562.63</v>
          </cell>
          <cell r="Q39">
            <v>11880864.49</v>
          </cell>
          <cell r="R39">
            <v>0</v>
          </cell>
          <cell r="S39">
            <v>2224825.1578322467</v>
          </cell>
          <cell r="T39">
            <v>3919.3</v>
          </cell>
          <cell r="U39">
            <v>3919.3</v>
          </cell>
          <cell r="V39">
            <v>424467.74</v>
          </cell>
          <cell r="W39">
            <v>0</v>
          </cell>
          <cell r="X39">
            <v>0</v>
          </cell>
          <cell r="Y39">
            <v>0</v>
          </cell>
          <cell r="Z39">
            <v>0</v>
          </cell>
          <cell r="AA39">
            <v>0</v>
          </cell>
          <cell r="AB39">
            <v>0</v>
          </cell>
          <cell r="AC39">
            <v>0</v>
          </cell>
        </row>
        <row r="40">
          <cell r="A40" t="str">
            <v>JUL</v>
          </cell>
          <cell r="B40" t="str">
            <v>Hospitality Facilities</v>
          </cell>
          <cell r="C40">
            <v>11793097</v>
          </cell>
          <cell r="D40">
            <v>11793097</v>
          </cell>
          <cell r="E40">
            <v>666814.93800000008</v>
          </cell>
          <cell r="F40">
            <v>90039.438000000009</v>
          </cell>
          <cell r="G40">
            <v>49997.67</v>
          </cell>
          <cell r="H40">
            <v>0</v>
          </cell>
          <cell r="I40">
            <v>7577.0826254285475</v>
          </cell>
          <cell r="J40">
            <v>0</v>
          </cell>
          <cell r="K40">
            <v>0</v>
          </cell>
          <cell r="L40">
            <v>11.058</v>
          </cell>
          <cell r="M40">
            <v>0</v>
          </cell>
          <cell r="N40">
            <v>37330060.295922801</v>
          </cell>
          <cell r="O40">
            <v>0</v>
          </cell>
          <cell r="P40">
            <v>0</v>
          </cell>
          <cell r="Q40">
            <v>395764.06</v>
          </cell>
          <cell r="R40">
            <v>0</v>
          </cell>
          <cell r="S40">
            <v>33302.25</v>
          </cell>
          <cell r="T40">
            <v>437.5</v>
          </cell>
          <cell r="U40">
            <v>437.5</v>
          </cell>
          <cell r="V40">
            <v>10222.793000000001</v>
          </cell>
          <cell r="W40">
            <v>0</v>
          </cell>
          <cell r="X40">
            <v>0</v>
          </cell>
          <cell r="Y40">
            <v>0</v>
          </cell>
          <cell r="Z40">
            <v>0</v>
          </cell>
          <cell r="AA40">
            <v>0</v>
          </cell>
          <cell r="AB40">
            <v>0</v>
          </cell>
          <cell r="AC40">
            <v>0</v>
          </cell>
        </row>
        <row r="41">
          <cell r="A41" t="str">
            <v>JUL</v>
          </cell>
          <cell r="B41" t="str">
            <v>Res New Construction</v>
          </cell>
          <cell r="C41">
            <v>26264217</v>
          </cell>
          <cell r="D41">
            <v>26264217</v>
          </cell>
          <cell r="E41">
            <v>1229010.1664000002</v>
          </cell>
          <cell r="F41">
            <v>183277.76639999999</v>
          </cell>
          <cell r="G41">
            <v>1485610</v>
          </cell>
          <cell r="H41">
            <v>0</v>
          </cell>
          <cell r="I41">
            <v>9015.1305056540205</v>
          </cell>
          <cell r="J41">
            <v>0.18</v>
          </cell>
          <cell r="K41">
            <v>0</v>
          </cell>
          <cell r="L41">
            <v>414.39981280000012</v>
          </cell>
          <cell r="M41">
            <v>0</v>
          </cell>
          <cell r="N41">
            <v>13357136.488374671</v>
          </cell>
          <cell r="O41">
            <v>600.79999999999995</v>
          </cell>
          <cell r="P41">
            <v>0</v>
          </cell>
          <cell r="Q41">
            <v>886354.4</v>
          </cell>
          <cell r="R41">
            <v>0</v>
          </cell>
          <cell r="S41">
            <v>2454487.1347570699</v>
          </cell>
          <cell r="T41">
            <v>45.78</v>
          </cell>
          <cell r="U41">
            <v>3.9999999999977831E-3</v>
          </cell>
          <cell r="V41">
            <v>310628.8</v>
          </cell>
          <cell r="W41">
            <v>0</v>
          </cell>
          <cell r="X41">
            <v>0</v>
          </cell>
          <cell r="Y41">
            <v>0</v>
          </cell>
          <cell r="Z41">
            <v>0</v>
          </cell>
          <cell r="AA41">
            <v>0</v>
          </cell>
          <cell r="AB41">
            <v>0</v>
          </cell>
          <cell r="AC41">
            <v>0</v>
          </cell>
        </row>
        <row r="42">
          <cell r="A42" t="str">
            <v>JUL</v>
          </cell>
          <cell r="B42" t="str">
            <v>Education &amp; Training</v>
          </cell>
          <cell r="C42">
            <v>41154602</v>
          </cell>
          <cell r="D42">
            <v>41154602</v>
          </cell>
          <cell r="E42">
            <v>4235551.2531999992</v>
          </cell>
          <cell r="F42">
            <v>582013.95319999999</v>
          </cell>
          <cell r="G42" t="str">
            <v>N/A</v>
          </cell>
          <cell r="H42">
            <v>0</v>
          </cell>
          <cell r="I42" t="str">
            <v>N/A</v>
          </cell>
          <cell r="J42" t="str">
            <v>N/A</v>
          </cell>
          <cell r="K42" t="str">
            <v>N/A</v>
          </cell>
          <cell r="L42" t="str">
            <v>N/A</v>
          </cell>
          <cell r="M42">
            <v>0</v>
          </cell>
          <cell r="N42" t="str">
            <v>N/A</v>
          </cell>
          <cell r="O42" t="str">
            <v>N/A</v>
          </cell>
          <cell r="P42" t="str">
            <v>N/A</v>
          </cell>
          <cell r="Q42" t="str">
            <v>N/A</v>
          </cell>
          <cell r="R42">
            <v>0</v>
          </cell>
          <cell r="S42" t="str">
            <v>N/A</v>
          </cell>
          <cell r="T42" t="str">
            <v>N/A</v>
          </cell>
          <cell r="U42" t="str">
            <v>N/A</v>
          </cell>
          <cell r="V42" t="str">
            <v>N/A</v>
          </cell>
          <cell r="W42">
            <v>0</v>
          </cell>
          <cell r="X42">
            <v>0</v>
          </cell>
          <cell r="Y42">
            <v>0</v>
          </cell>
          <cell r="Z42">
            <v>0</v>
          </cell>
          <cell r="AA42">
            <v>0</v>
          </cell>
          <cell r="AB42">
            <v>0</v>
          </cell>
          <cell r="AC42">
            <v>0</v>
          </cell>
        </row>
        <row r="43">
          <cell r="A43" t="str">
            <v>JUL</v>
          </cell>
          <cell r="B43" t="str">
            <v>Codes &amp; Standards</v>
          </cell>
          <cell r="C43">
            <v>4635754</v>
          </cell>
          <cell r="D43">
            <v>4635754</v>
          </cell>
          <cell r="E43">
            <v>560259.21</v>
          </cell>
          <cell r="F43">
            <v>90976.53</v>
          </cell>
          <cell r="G43" t="str">
            <v>N/A</v>
          </cell>
          <cell r="H43">
            <v>0</v>
          </cell>
          <cell r="I43" t="str">
            <v>N/A</v>
          </cell>
          <cell r="J43" t="str">
            <v>N/A</v>
          </cell>
          <cell r="K43" t="str">
            <v>N/A</v>
          </cell>
          <cell r="L43" t="str">
            <v>N/A</v>
          </cell>
          <cell r="M43">
            <v>0</v>
          </cell>
          <cell r="N43" t="str">
            <v>N/A</v>
          </cell>
          <cell r="O43" t="str">
            <v>N/A</v>
          </cell>
          <cell r="P43" t="str">
            <v>N/A</v>
          </cell>
          <cell r="Q43" t="str">
            <v>N/A</v>
          </cell>
          <cell r="R43">
            <v>0</v>
          </cell>
          <cell r="S43" t="str">
            <v>N/A</v>
          </cell>
          <cell r="T43" t="str">
            <v>N/A</v>
          </cell>
          <cell r="U43" t="str">
            <v>N/A</v>
          </cell>
          <cell r="V43" t="str">
            <v>N/A</v>
          </cell>
          <cell r="W43">
            <v>0</v>
          </cell>
          <cell r="X43">
            <v>0</v>
          </cell>
          <cell r="Y43">
            <v>0</v>
          </cell>
          <cell r="Z43">
            <v>0</v>
          </cell>
          <cell r="AA43">
            <v>0</v>
          </cell>
          <cell r="AB43">
            <v>0</v>
          </cell>
          <cell r="AC43">
            <v>0</v>
          </cell>
        </row>
        <row r="44">
          <cell r="A44" t="str">
            <v>JUL</v>
          </cell>
          <cell r="B44" t="str">
            <v>Emerging Technologies</v>
          </cell>
          <cell r="C44">
            <v>11260376</v>
          </cell>
          <cell r="D44">
            <v>11260376</v>
          </cell>
          <cell r="E44">
            <v>468894.89</v>
          </cell>
          <cell r="F44">
            <v>79534.38</v>
          </cell>
          <cell r="G44" t="str">
            <v>N/A</v>
          </cell>
          <cell r="H44">
            <v>0</v>
          </cell>
          <cell r="I44" t="str">
            <v>N/A</v>
          </cell>
          <cell r="J44" t="str">
            <v>N/A</v>
          </cell>
          <cell r="K44" t="str">
            <v>N/A</v>
          </cell>
          <cell r="L44" t="str">
            <v>N/A</v>
          </cell>
          <cell r="M44">
            <v>0</v>
          </cell>
          <cell r="N44" t="str">
            <v>N/A</v>
          </cell>
          <cell r="O44" t="str">
            <v>N/A</v>
          </cell>
          <cell r="P44" t="str">
            <v>N/A</v>
          </cell>
          <cell r="Q44" t="str">
            <v>N/A</v>
          </cell>
          <cell r="R44">
            <v>0</v>
          </cell>
          <cell r="S44" t="str">
            <v>N/A</v>
          </cell>
          <cell r="T44" t="str">
            <v>N/A</v>
          </cell>
          <cell r="U44" t="str">
            <v>N/A</v>
          </cell>
          <cell r="V44" t="str">
            <v>N/A</v>
          </cell>
          <cell r="W44">
            <v>0</v>
          </cell>
          <cell r="X44">
            <v>0</v>
          </cell>
          <cell r="Y44">
            <v>0</v>
          </cell>
          <cell r="Z44">
            <v>0</v>
          </cell>
          <cell r="AA44">
            <v>0</v>
          </cell>
          <cell r="AB44">
            <v>0</v>
          </cell>
          <cell r="AC44">
            <v>0</v>
          </cell>
        </row>
        <row r="45">
          <cell r="A45" t="str">
            <v>JUL</v>
          </cell>
          <cell r="B45" t="str">
            <v>Statewide Marketing &amp; Info</v>
          </cell>
          <cell r="C45">
            <v>26948382</v>
          </cell>
          <cell r="D45">
            <v>26948382</v>
          </cell>
          <cell r="E45">
            <v>-257.77999999999997</v>
          </cell>
          <cell r="F45">
            <v>145.96</v>
          </cell>
          <cell r="G45" t="str">
            <v>N/A</v>
          </cell>
          <cell r="H45">
            <v>0</v>
          </cell>
          <cell r="I45" t="str">
            <v>N/A</v>
          </cell>
          <cell r="J45" t="str">
            <v>N/A</v>
          </cell>
          <cell r="K45" t="str">
            <v>N/A</v>
          </cell>
          <cell r="L45" t="str">
            <v>N/A</v>
          </cell>
          <cell r="M45">
            <v>0</v>
          </cell>
          <cell r="N45" t="str">
            <v>N/A</v>
          </cell>
          <cell r="O45" t="str">
            <v>N/A</v>
          </cell>
          <cell r="P45" t="str">
            <v>N/A</v>
          </cell>
          <cell r="Q45" t="str">
            <v>N/A</v>
          </cell>
          <cell r="R45">
            <v>0</v>
          </cell>
          <cell r="S45" t="str">
            <v>N/A</v>
          </cell>
          <cell r="T45" t="str">
            <v>N/A</v>
          </cell>
          <cell r="U45" t="str">
            <v>N/A</v>
          </cell>
          <cell r="V45" t="str">
            <v>N/A</v>
          </cell>
          <cell r="W45">
            <v>0</v>
          </cell>
          <cell r="X45">
            <v>0</v>
          </cell>
          <cell r="Y45">
            <v>0</v>
          </cell>
          <cell r="Z45">
            <v>0</v>
          </cell>
          <cell r="AA45">
            <v>0</v>
          </cell>
          <cell r="AB45">
            <v>0</v>
          </cell>
          <cell r="AC45">
            <v>0</v>
          </cell>
        </row>
        <row r="46">
          <cell r="A46" t="str">
            <v>JUL</v>
          </cell>
          <cell r="B46" t="str">
            <v>Low Income EE (3)  (1 YR Budgets/Goals)</v>
          </cell>
          <cell r="C46">
            <v>68760669</v>
          </cell>
          <cell r="D46">
            <v>68760669</v>
          </cell>
          <cell r="E46">
            <v>45723901</v>
          </cell>
          <cell r="F46">
            <v>8709641</v>
          </cell>
          <cell r="G46" t="str">
            <v>N/A</v>
          </cell>
          <cell r="H46">
            <v>0</v>
          </cell>
          <cell r="I46">
            <v>5551</v>
          </cell>
          <cell r="J46">
            <v>3242.2459243600001</v>
          </cell>
          <cell r="K46">
            <v>658.09318242000018</v>
          </cell>
          <cell r="L46" t="str">
            <v>N/A</v>
          </cell>
          <cell r="M46">
            <v>0</v>
          </cell>
          <cell r="N46">
            <v>26282000</v>
          </cell>
          <cell r="O46">
            <v>14583894.85</v>
          </cell>
          <cell r="P46">
            <v>2937047.72</v>
          </cell>
          <cell r="Q46" t="str">
            <v>N/A</v>
          </cell>
          <cell r="R46">
            <v>0</v>
          </cell>
          <cell r="S46">
            <v>1370000</v>
          </cell>
          <cell r="T46">
            <v>727512.56</v>
          </cell>
          <cell r="U46">
            <v>139654.31</v>
          </cell>
          <cell r="V46" t="str">
            <v>N/A</v>
          </cell>
          <cell r="W46">
            <v>0</v>
          </cell>
          <cell r="X46">
            <v>0</v>
          </cell>
          <cell r="Y46">
            <v>0</v>
          </cell>
          <cell r="Z46">
            <v>0</v>
          </cell>
          <cell r="AA46">
            <v>0</v>
          </cell>
          <cell r="AB46">
            <v>0</v>
          </cell>
          <cell r="AC46">
            <v>0</v>
          </cell>
        </row>
        <row r="47">
          <cell r="A47" t="str">
            <v>AUG</v>
          </cell>
          <cell r="B47" t="str">
            <v>Mass Market</v>
          </cell>
          <cell r="C47">
            <v>405857712</v>
          </cell>
          <cell r="D47">
            <v>405857712</v>
          </cell>
          <cell r="E47">
            <v>34277982.011999995</v>
          </cell>
          <cell r="F47">
            <v>8239099.4207999995</v>
          </cell>
          <cell r="G47">
            <v>4292136.01</v>
          </cell>
          <cell r="H47">
            <v>0</v>
          </cell>
          <cell r="I47">
            <v>334053.85427348199</v>
          </cell>
          <cell r="J47">
            <v>52006.54</v>
          </cell>
          <cell r="K47">
            <v>16893.669999999998</v>
          </cell>
          <cell r="L47">
            <v>2615.8883703600004</v>
          </cell>
          <cell r="M47">
            <v>0</v>
          </cell>
          <cell r="N47">
            <v>1728133316.3078108</v>
          </cell>
          <cell r="O47">
            <v>273136443.60000002</v>
          </cell>
          <cell r="P47">
            <v>103457485.34000003</v>
          </cell>
          <cell r="Q47">
            <v>15341883.276973773</v>
          </cell>
          <cell r="R47">
            <v>0</v>
          </cell>
          <cell r="S47">
            <v>15871656.841610486</v>
          </cell>
          <cell r="T47">
            <v>1084387.71</v>
          </cell>
          <cell r="U47">
            <v>269547.36</v>
          </cell>
          <cell r="V47">
            <v>119958.627301</v>
          </cell>
          <cell r="W47">
            <v>0</v>
          </cell>
          <cell r="X47">
            <v>23611810.849999998</v>
          </cell>
          <cell r="Y47">
            <v>4292136.01</v>
          </cell>
          <cell r="Z47">
            <v>0</v>
          </cell>
          <cell r="AA47">
            <v>35112.870000000003</v>
          </cell>
          <cell r="AB47">
            <v>169678958.25999999</v>
          </cell>
          <cell r="AC47">
            <v>814840.35</v>
          </cell>
        </row>
        <row r="48">
          <cell r="A48" t="str">
            <v>AUG</v>
          </cell>
          <cell r="B48" t="str">
            <v>Ag &amp; Food Processing</v>
          </cell>
          <cell r="C48">
            <v>47523134</v>
          </cell>
          <cell r="D48">
            <v>47523134</v>
          </cell>
          <cell r="E48">
            <v>1971240.1984999997</v>
          </cell>
          <cell r="F48">
            <v>412343.38089999999</v>
          </cell>
          <cell r="G48">
            <v>2130474.2000000002</v>
          </cell>
          <cell r="H48">
            <v>0</v>
          </cell>
          <cell r="I48">
            <v>22797.08846466984</v>
          </cell>
          <cell r="J48">
            <v>155.97999999999999</v>
          </cell>
          <cell r="K48">
            <v>118.99</v>
          </cell>
          <cell r="L48">
            <v>3884.3809999999999</v>
          </cell>
          <cell r="M48">
            <v>0</v>
          </cell>
          <cell r="N48">
            <v>164346860.9940128</v>
          </cell>
          <cell r="O48">
            <v>1533900.66</v>
          </cell>
          <cell r="P48">
            <v>953983.5</v>
          </cell>
          <cell r="Q48">
            <v>11986031.710000001</v>
          </cell>
          <cell r="R48">
            <v>0</v>
          </cell>
          <cell r="S48">
            <v>3082951.7327311719</v>
          </cell>
          <cell r="T48">
            <v>5103</v>
          </cell>
          <cell r="U48">
            <v>0</v>
          </cell>
          <cell r="V48">
            <v>1118820.3600000001</v>
          </cell>
          <cell r="W48">
            <v>0</v>
          </cell>
          <cell r="X48">
            <v>114243.93</v>
          </cell>
          <cell r="Y48">
            <v>2130474.2000000002</v>
          </cell>
          <cell r="Z48">
            <v>0</v>
          </cell>
          <cell r="AA48">
            <v>36.99</v>
          </cell>
          <cell r="AB48">
            <v>579917.16</v>
          </cell>
          <cell r="AC48">
            <v>5103</v>
          </cell>
        </row>
        <row r="49">
          <cell r="A49" t="str">
            <v>AUG</v>
          </cell>
          <cell r="B49" t="str">
            <v>Schools &amp; Colleges</v>
          </cell>
          <cell r="C49">
            <v>47568591</v>
          </cell>
          <cell r="D49">
            <v>47568591</v>
          </cell>
          <cell r="E49">
            <v>1420198.2905000001</v>
          </cell>
          <cell r="F49">
            <v>214531.73570000002</v>
          </cell>
          <cell r="G49">
            <v>144444.32</v>
          </cell>
          <cell r="H49">
            <v>0</v>
          </cell>
          <cell r="I49">
            <v>28892.278794176014</v>
          </cell>
          <cell r="J49">
            <v>113.98</v>
          </cell>
          <cell r="K49">
            <v>38.130000000000003</v>
          </cell>
          <cell r="L49">
            <v>179.19499999999999</v>
          </cell>
          <cell r="M49">
            <v>0</v>
          </cell>
          <cell r="N49">
            <v>128046825.56012681</v>
          </cell>
          <cell r="O49">
            <v>201480.56</v>
          </cell>
          <cell r="P49">
            <v>69867.28</v>
          </cell>
          <cell r="Q49">
            <v>1022404.58</v>
          </cell>
          <cell r="R49">
            <v>0</v>
          </cell>
          <cell r="S49">
            <v>2635794.0523105087</v>
          </cell>
          <cell r="T49">
            <v>-38.54</v>
          </cell>
          <cell r="U49">
            <v>-38.54</v>
          </cell>
          <cell r="V49">
            <v>-3039.7</v>
          </cell>
          <cell r="W49">
            <v>0</v>
          </cell>
          <cell r="X49">
            <v>49956</v>
          </cell>
          <cell r="Y49">
            <v>144444.32</v>
          </cell>
          <cell r="Z49">
            <v>0</v>
          </cell>
          <cell r="AA49">
            <v>75.849999999999994</v>
          </cell>
          <cell r="AB49">
            <v>131613.28</v>
          </cell>
          <cell r="AC49">
            <v>0</v>
          </cell>
        </row>
        <row r="50">
          <cell r="A50" t="str">
            <v>AUG</v>
          </cell>
          <cell r="B50" t="str">
            <v>Retail Stores</v>
          </cell>
          <cell r="C50">
            <v>20850872</v>
          </cell>
          <cell r="D50">
            <v>20850872</v>
          </cell>
          <cell r="E50">
            <v>884694.01199999987</v>
          </cell>
          <cell r="F50">
            <v>147178.34279999998</v>
          </cell>
          <cell r="G50">
            <v>143758.18</v>
          </cell>
          <cell r="H50">
            <v>0</v>
          </cell>
          <cell r="I50">
            <v>21271.596533140018</v>
          </cell>
          <cell r="J50">
            <v>77.180000000000007</v>
          </cell>
          <cell r="K50">
            <v>43.4</v>
          </cell>
          <cell r="L50">
            <v>514.50799999999992</v>
          </cell>
          <cell r="M50">
            <v>0</v>
          </cell>
          <cell r="N50">
            <v>125946107.22913301</v>
          </cell>
          <cell r="O50">
            <v>566047.69999999995</v>
          </cell>
          <cell r="P50">
            <v>174328.05</v>
          </cell>
          <cell r="Q50">
            <v>1909476.9210000001</v>
          </cell>
          <cell r="R50">
            <v>0</v>
          </cell>
          <cell r="S50">
            <v>17583.588</v>
          </cell>
          <cell r="T50">
            <v>3103.1</v>
          </cell>
          <cell r="U50">
            <v>0</v>
          </cell>
          <cell r="V50">
            <v>-1955.22</v>
          </cell>
          <cell r="W50">
            <v>0</v>
          </cell>
          <cell r="X50">
            <v>48464.99</v>
          </cell>
          <cell r="Y50">
            <v>143758.18</v>
          </cell>
          <cell r="Z50">
            <v>0</v>
          </cell>
          <cell r="AA50">
            <v>33.78</v>
          </cell>
          <cell r="AB50">
            <v>391719.65</v>
          </cell>
          <cell r="AC50">
            <v>3103.1</v>
          </cell>
        </row>
        <row r="51">
          <cell r="A51" t="str">
            <v>AUG</v>
          </cell>
          <cell r="B51" t="str">
            <v>Fab, Prcss &amp; Hvy Indl Mfg</v>
          </cell>
          <cell r="C51">
            <v>121849249</v>
          </cell>
          <cell r="D51">
            <v>121849249</v>
          </cell>
          <cell r="E51">
            <v>2592576.7240000004</v>
          </cell>
          <cell r="F51">
            <v>302562.94559999998</v>
          </cell>
          <cell r="G51">
            <v>7520118.7400000002</v>
          </cell>
          <cell r="H51">
            <v>0</v>
          </cell>
          <cell r="I51">
            <v>69225.227525006732</v>
          </cell>
          <cell r="J51">
            <v>242.75</v>
          </cell>
          <cell r="K51">
            <v>0</v>
          </cell>
          <cell r="L51">
            <v>10791.164000000001</v>
          </cell>
          <cell r="M51">
            <v>0</v>
          </cell>
          <cell r="N51">
            <v>475376401.45399302</v>
          </cell>
          <cell r="O51">
            <v>1885114.22</v>
          </cell>
          <cell r="P51">
            <v>0</v>
          </cell>
          <cell r="Q51">
            <v>73538767.942000002</v>
          </cell>
          <cell r="R51">
            <v>0</v>
          </cell>
          <cell r="S51">
            <v>18198035.099455945</v>
          </cell>
          <cell r="T51">
            <v>499093</v>
          </cell>
          <cell r="U51">
            <v>0</v>
          </cell>
          <cell r="V51">
            <v>3016866.8559999997</v>
          </cell>
          <cell r="W51">
            <v>0</v>
          </cell>
          <cell r="X51">
            <v>482705.65</v>
          </cell>
          <cell r="Y51">
            <v>7520118.7400000002</v>
          </cell>
          <cell r="Z51">
            <v>0</v>
          </cell>
          <cell r="AA51">
            <v>242.75</v>
          </cell>
          <cell r="AB51">
            <v>1885114.22</v>
          </cell>
          <cell r="AC51">
            <v>499093</v>
          </cell>
        </row>
        <row r="52">
          <cell r="A52" t="str">
            <v>AUG</v>
          </cell>
          <cell r="B52" t="str">
            <v>Hi-Tech Facilities</v>
          </cell>
          <cell r="C52">
            <v>11759803</v>
          </cell>
          <cell r="D52">
            <v>11759803</v>
          </cell>
          <cell r="E52">
            <v>1047315.8735</v>
          </cell>
          <cell r="F52">
            <v>191924.02189999999</v>
          </cell>
          <cell r="G52">
            <v>865241.8</v>
          </cell>
          <cell r="H52">
            <v>0</v>
          </cell>
          <cell r="I52">
            <v>6532.0886490478697</v>
          </cell>
          <cell r="J52">
            <v>46.55</v>
          </cell>
          <cell r="K52">
            <v>0</v>
          </cell>
          <cell r="L52">
            <v>1306.748</v>
          </cell>
          <cell r="M52">
            <v>0</v>
          </cell>
          <cell r="N52">
            <v>44364926.587099597</v>
          </cell>
          <cell r="O52">
            <v>232370.6</v>
          </cell>
          <cell r="P52">
            <v>0</v>
          </cell>
          <cell r="Q52">
            <v>16375879.432</v>
          </cell>
          <cell r="R52">
            <v>0</v>
          </cell>
          <cell r="S52">
            <v>25523.813309561065</v>
          </cell>
          <cell r="T52">
            <v>0</v>
          </cell>
          <cell r="U52">
            <v>0</v>
          </cell>
          <cell r="V52">
            <v>128778.63</v>
          </cell>
          <cell r="W52">
            <v>0</v>
          </cell>
          <cell r="X52">
            <v>24155.5</v>
          </cell>
          <cell r="Y52">
            <v>865241.8</v>
          </cell>
          <cell r="Z52">
            <v>0</v>
          </cell>
          <cell r="AA52">
            <v>46.55</v>
          </cell>
          <cell r="AB52">
            <v>232370.6</v>
          </cell>
          <cell r="AC52">
            <v>0</v>
          </cell>
        </row>
        <row r="53">
          <cell r="A53" t="str">
            <v>AUG</v>
          </cell>
          <cell r="B53" t="str">
            <v>Medical Facilities</v>
          </cell>
          <cell r="C53">
            <v>21407152</v>
          </cell>
          <cell r="D53">
            <v>21407152</v>
          </cell>
          <cell r="E53">
            <v>466603.57699999999</v>
          </cell>
          <cell r="F53">
            <v>73606.703799999988</v>
          </cell>
          <cell r="G53">
            <v>302506.34000000003</v>
          </cell>
          <cell r="H53">
            <v>0</v>
          </cell>
          <cell r="I53">
            <v>27753.153177169657</v>
          </cell>
          <cell r="J53">
            <v>0</v>
          </cell>
          <cell r="K53">
            <v>0</v>
          </cell>
          <cell r="L53">
            <v>120.82</v>
          </cell>
          <cell r="M53">
            <v>0</v>
          </cell>
          <cell r="N53">
            <v>68661112.057484001</v>
          </cell>
          <cell r="O53">
            <v>0</v>
          </cell>
          <cell r="P53">
            <v>0</v>
          </cell>
          <cell r="Q53">
            <v>1492760.5</v>
          </cell>
          <cell r="R53">
            <v>0</v>
          </cell>
          <cell r="S53">
            <v>494605</v>
          </cell>
          <cell r="T53">
            <v>0</v>
          </cell>
          <cell r="U53">
            <v>0</v>
          </cell>
          <cell r="V53">
            <v>6978.3</v>
          </cell>
          <cell r="W53">
            <v>0</v>
          </cell>
          <cell r="X53">
            <v>0</v>
          </cell>
          <cell r="Y53">
            <v>302506.34000000003</v>
          </cell>
          <cell r="Z53">
            <v>0</v>
          </cell>
          <cell r="AA53">
            <v>0</v>
          </cell>
          <cell r="AB53">
            <v>0</v>
          </cell>
          <cell r="AC53">
            <v>0</v>
          </cell>
        </row>
        <row r="54">
          <cell r="A54" t="str">
            <v>AUG</v>
          </cell>
          <cell r="B54" t="str">
            <v>Large Commercial</v>
          </cell>
          <cell r="C54">
            <v>68595302</v>
          </cell>
          <cell r="D54">
            <v>68595302</v>
          </cell>
          <cell r="E54">
            <v>2445949.743999999</v>
          </cell>
          <cell r="F54">
            <v>393456.31760000001</v>
          </cell>
          <cell r="G54">
            <v>2402742.17</v>
          </cell>
          <cell r="H54">
            <v>0</v>
          </cell>
          <cell r="I54">
            <v>73838.296918087362</v>
          </cell>
          <cell r="J54">
            <v>198.02</v>
          </cell>
          <cell r="K54">
            <v>25.75</v>
          </cell>
          <cell r="L54">
            <v>3544.9059999999995</v>
          </cell>
          <cell r="M54">
            <v>0</v>
          </cell>
          <cell r="N54">
            <v>219609296.0400379</v>
          </cell>
          <cell r="O54">
            <v>1348040.47</v>
          </cell>
          <cell r="P54">
            <v>152989.20000000001</v>
          </cell>
          <cell r="Q54">
            <v>14077233.262</v>
          </cell>
          <cell r="R54">
            <v>0</v>
          </cell>
          <cell r="S54">
            <v>2224825.1578322467</v>
          </cell>
          <cell r="T54">
            <v>3919.3</v>
          </cell>
          <cell r="U54">
            <v>0</v>
          </cell>
          <cell r="V54">
            <v>685694.92</v>
          </cell>
          <cell r="W54">
            <v>0</v>
          </cell>
          <cell r="X54">
            <v>174436.52</v>
          </cell>
          <cell r="Y54">
            <v>2402742.17</v>
          </cell>
          <cell r="Z54">
            <v>0</v>
          </cell>
          <cell r="AA54">
            <v>172.27</v>
          </cell>
          <cell r="AB54">
            <v>1195051.27</v>
          </cell>
          <cell r="AC54">
            <v>3919.3</v>
          </cell>
        </row>
        <row r="55">
          <cell r="A55" t="str">
            <v>AUG</v>
          </cell>
          <cell r="B55" t="str">
            <v>Hospitality Facilities</v>
          </cell>
          <cell r="C55">
            <v>11793097</v>
          </cell>
          <cell r="D55">
            <v>11793097</v>
          </cell>
          <cell r="E55">
            <v>785629.05749999988</v>
          </cell>
          <cell r="F55">
            <v>118814.1195</v>
          </cell>
          <cell r="G55">
            <v>85280.18</v>
          </cell>
          <cell r="H55">
            <v>0</v>
          </cell>
          <cell r="I55">
            <v>7577.0826254285475</v>
          </cell>
          <cell r="J55">
            <v>0</v>
          </cell>
          <cell r="K55">
            <v>0</v>
          </cell>
          <cell r="L55">
            <v>40.01</v>
          </cell>
          <cell r="M55">
            <v>0</v>
          </cell>
          <cell r="N55">
            <v>37330060.295922801</v>
          </cell>
          <cell r="O55">
            <v>0</v>
          </cell>
          <cell r="P55">
            <v>0</v>
          </cell>
          <cell r="Q55">
            <v>636466.96</v>
          </cell>
          <cell r="R55">
            <v>0</v>
          </cell>
          <cell r="S55">
            <v>33302.25</v>
          </cell>
          <cell r="T55">
            <v>437.5</v>
          </cell>
          <cell r="U55">
            <v>0</v>
          </cell>
          <cell r="V55">
            <v>10331.033000000001</v>
          </cell>
          <cell r="W55">
            <v>0</v>
          </cell>
          <cell r="X55">
            <v>75</v>
          </cell>
          <cell r="Y55">
            <v>85280.18</v>
          </cell>
          <cell r="Z55">
            <v>0</v>
          </cell>
          <cell r="AA55">
            <v>0</v>
          </cell>
          <cell r="AB55">
            <v>0</v>
          </cell>
          <cell r="AC55">
            <v>437.5</v>
          </cell>
        </row>
        <row r="56">
          <cell r="A56" t="str">
            <v>AUG</v>
          </cell>
          <cell r="B56" t="str">
            <v>Res New Construction</v>
          </cell>
          <cell r="C56">
            <v>26264217</v>
          </cell>
          <cell r="D56">
            <v>26264217</v>
          </cell>
          <cell r="E56">
            <v>1517996.6939999997</v>
          </cell>
          <cell r="F56">
            <v>288986.52760000003</v>
          </cell>
          <cell r="G56">
            <v>1476680</v>
          </cell>
          <cell r="H56">
            <v>0</v>
          </cell>
          <cell r="I56">
            <v>9015.1305056540205</v>
          </cell>
          <cell r="J56">
            <v>0.18</v>
          </cell>
          <cell r="K56">
            <v>0</v>
          </cell>
          <cell r="L56">
            <v>881.09011999999996</v>
          </cell>
          <cell r="M56">
            <v>0</v>
          </cell>
          <cell r="N56">
            <v>13357136.488374671</v>
          </cell>
          <cell r="O56">
            <v>600.79999999999995</v>
          </cell>
          <cell r="P56">
            <v>0</v>
          </cell>
          <cell r="Q56">
            <v>971890.4</v>
          </cell>
          <cell r="R56">
            <v>0</v>
          </cell>
          <cell r="S56">
            <v>2454487.1347570699</v>
          </cell>
          <cell r="T56">
            <v>46.37</v>
          </cell>
          <cell r="U56">
            <v>0.58999999999999631</v>
          </cell>
          <cell r="V56">
            <v>328115.74400000001</v>
          </cell>
          <cell r="W56">
            <v>0</v>
          </cell>
          <cell r="X56">
            <v>29520</v>
          </cell>
          <cell r="Y56">
            <v>1476680</v>
          </cell>
          <cell r="Z56">
            <v>0</v>
          </cell>
          <cell r="AA56">
            <v>0.18</v>
          </cell>
          <cell r="AB56">
            <v>600.79999999999995</v>
          </cell>
          <cell r="AC56">
            <v>45.78</v>
          </cell>
        </row>
        <row r="57">
          <cell r="A57" t="str">
            <v>AUG</v>
          </cell>
          <cell r="B57" t="str">
            <v>Education &amp; Training</v>
          </cell>
          <cell r="C57">
            <v>41154602</v>
          </cell>
          <cell r="D57">
            <v>41154602</v>
          </cell>
          <cell r="E57">
            <v>5351447.017</v>
          </cell>
          <cell r="F57">
            <v>1115895.7637999998</v>
          </cell>
          <cell r="G57" t="str">
            <v>N/A</v>
          </cell>
          <cell r="H57">
            <v>0</v>
          </cell>
          <cell r="I57" t="str">
            <v>N/A</v>
          </cell>
          <cell r="J57" t="str">
            <v>N/A</v>
          </cell>
          <cell r="K57" t="str">
            <v>N/A</v>
          </cell>
          <cell r="L57" t="str">
            <v>N/A</v>
          </cell>
          <cell r="M57">
            <v>0</v>
          </cell>
          <cell r="N57" t="str">
            <v>N/A</v>
          </cell>
          <cell r="O57" t="str">
            <v>N/A</v>
          </cell>
          <cell r="P57" t="str">
            <v>N/A</v>
          </cell>
          <cell r="Q57" t="str">
            <v>N/A</v>
          </cell>
          <cell r="R57">
            <v>0</v>
          </cell>
          <cell r="S57" t="str">
            <v>N/A</v>
          </cell>
          <cell r="T57" t="str">
            <v>N/A</v>
          </cell>
          <cell r="U57" t="str">
            <v>N/A</v>
          </cell>
          <cell r="V57" t="str">
            <v>N/A</v>
          </cell>
          <cell r="W57">
            <v>0</v>
          </cell>
          <cell r="X57" t="str">
            <v>N/A</v>
          </cell>
          <cell r="Y57" t="str">
            <v>N/A</v>
          </cell>
          <cell r="Z57">
            <v>0</v>
          </cell>
          <cell r="AA57" t="str">
            <v>N/A</v>
          </cell>
          <cell r="AB57" t="str">
            <v>N/A</v>
          </cell>
          <cell r="AC57" t="str">
            <v>N/A</v>
          </cell>
        </row>
        <row r="58">
          <cell r="A58" t="str">
            <v>AUG</v>
          </cell>
          <cell r="B58" t="str">
            <v>Codes &amp; Standards</v>
          </cell>
          <cell r="C58">
            <v>4635754</v>
          </cell>
          <cell r="D58">
            <v>4635754</v>
          </cell>
          <cell r="E58">
            <v>690371.36</v>
          </cell>
          <cell r="F58">
            <v>130112.15</v>
          </cell>
          <cell r="G58" t="str">
            <v>N/A</v>
          </cell>
          <cell r="H58">
            <v>0</v>
          </cell>
          <cell r="I58" t="str">
            <v>N/A</v>
          </cell>
          <cell r="J58" t="str">
            <v>N/A</v>
          </cell>
          <cell r="K58" t="str">
            <v>N/A</v>
          </cell>
          <cell r="L58" t="str">
            <v>N/A</v>
          </cell>
          <cell r="M58">
            <v>0</v>
          </cell>
          <cell r="N58" t="str">
            <v>N/A</v>
          </cell>
          <cell r="O58" t="str">
            <v>N/A</v>
          </cell>
          <cell r="P58" t="str">
            <v>N/A</v>
          </cell>
          <cell r="Q58" t="str">
            <v>N/A</v>
          </cell>
          <cell r="R58">
            <v>0</v>
          </cell>
          <cell r="S58" t="str">
            <v>N/A</v>
          </cell>
          <cell r="T58" t="str">
            <v>N/A</v>
          </cell>
          <cell r="U58" t="str">
            <v>N/A</v>
          </cell>
          <cell r="V58" t="str">
            <v>N/A</v>
          </cell>
          <cell r="W58">
            <v>0</v>
          </cell>
          <cell r="X58" t="str">
            <v>N/A</v>
          </cell>
          <cell r="Y58" t="str">
            <v>N/A</v>
          </cell>
          <cell r="Z58">
            <v>0</v>
          </cell>
          <cell r="AA58" t="str">
            <v>N/A</v>
          </cell>
          <cell r="AB58" t="str">
            <v>N/A</v>
          </cell>
          <cell r="AC58" t="str">
            <v>N/A</v>
          </cell>
        </row>
        <row r="59">
          <cell r="A59" t="str">
            <v>AUG</v>
          </cell>
          <cell r="B59" t="str">
            <v>Emerging Technologies</v>
          </cell>
          <cell r="C59">
            <v>11260376</v>
          </cell>
          <cell r="D59">
            <v>11260376</v>
          </cell>
          <cell r="E59">
            <v>630891.18000000005</v>
          </cell>
          <cell r="F59">
            <v>161996.29</v>
          </cell>
          <cell r="G59" t="str">
            <v>N/A</v>
          </cell>
          <cell r="H59">
            <v>0</v>
          </cell>
          <cell r="I59" t="str">
            <v>N/A</v>
          </cell>
          <cell r="J59" t="str">
            <v>N/A</v>
          </cell>
          <cell r="K59" t="str">
            <v>N/A</v>
          </cell>
          <cell r="L59" t="str">
            <v>N/A</v>
          </cell>
          <cell r="M59">
            <v>0</v>
          </cell>
          <cell r="N59" t="str">
            <v>N/A</v>
          </cell>
          <cell r="O59" t="str">
            <v>N/A</v>
          </cell>
          <cell r="P59" t="str">
            <v>N/A</v>
          </cell>
          <cell r="Q59" t="str">
            <v>N/A</v>
          </cell>
          <cell r="R59">
            <v>0</v>
          </cell>
          <cell r="S59" t="str">
            <v>N/A</v>
          </cell>
          <cell r="T59" t="str">
            <v>N/A</v>
          </cell>
          <cell r="U59" t="str">
            <v>N/A</v>
          </cell>
          <cell r="V59" t="str">
            <v>N/A</v>
          </cell>
          <cell r="W59">
            <v>0</v>
          </cell>
          <cell r="X59" t="str">
            <v>N/A</v>
          </cell>
          <cell r="Y59" t="str">
            <v>N/A</v>
          </cell>
          <cell r="Z59">
            <v>0</v>
          </cell>
          <cell r="AA59" t="str">
            <v>N/A</v>
          </cell>
          <cell r="AB59" t="str">
            <v>N/A</v>
          </cell>
          <cell r="AC59" t="str">
            <v>N/A</v>
          </cell>
        </row>
        <row r="60">
          <cell r="A60" t="str">
            <v>AUG</v>
          </cell>
          <cell r="B60" t="str">
            <v>Statewide Marketing &amp; Info</v>
          </cell>
          <cell r="C60">
            <v>26948382</v>
          </cell>
          <cell r="D60">
            <v>26948382</v>
          </cell>
          <cell r="E60">
            <v>-257.77999999999997</v>
          </cell>
          <cell r="F60">
            <v>0</v>
          </cell>
          <cell r="G60" t="str">
            <v>N/A</v>
          </cell>
          <cell r="H60">
            <v>0</v>
          </cell>
          <cell r="I60" t="str">
            <v>N/A</v>
          </cell>
          <cell r="J60" t="str">
            <v>N/A</v>
          </cell>
          <cell r="K60" t="str">
            <v>N/A</v>
          </cell>
          <cell r="L60" t="str">
            <v>N/A</v>
          </cell>
          <cell r="M60">
            <v>0</v>
          </cell>
          <cell r="N60" t="str">
            <v>N/A</v>
          </cell>
          <cell r="O60" t="str">
            <v>N/A</v>
          </cell>
          <cell r="P60" t="str">
            <v>N/A</v>
          </cell>
          <cell r="Q60" t="str">
            <v>N/A</v>
          </cell>
          <cell r="R60">
            <v>0</v>
          </cell>
          <cell r="S60" t="str">
            <v>N/A</v>
          </cell>
          <cell r="T60" t="str">
            <v>N/A</v>
          </cell>
          <cell r="U60" t="str">
            <v>N/A</v>
          </cell>
          <cell r="V60" t="str">
            <v>N/A</v>
          </cell>
          <cell r="W60">
            <v>0</v>
          </cell>
          <cell r="X60" t="str">
            <v>N/A</v>
          </cell>
          <cell r="Y60" t="str">
            <v>N/A</v>
          </cell>
          <cell r="Z60">
            <v>0</v>
          </cell>
          <cell r="AA60" t="str">
            <v>N/A</v>
          </cell>
          <cell r="AB60" t="str">
            <v>N/A</v>
          </cell>
          <cell r="AC60" t="str">
            <v>N/A</v>
          </cell>
        </row>
        <row r="61">
          <cell r="A61" t="str">
            <v>AUG</v>
          </cell>
          <cell r="B61" t="str">
            <v>Low Income EE (3)  (1 YR Budgets/Goals)</v>
          </cell>
          <cell r="C61">
            <v>90094498</v>
          </cell>
          <cell r="D61">
            <v>90094498</v>
          </cell>
          <cell r="E61">
            <v>53829090.329999998</v>
          </cell>
          <cell r="F61">
            <v>8105189.0999999996</v>
          </cell>
          <cell r="G61" t="str">
            <v>N/A</v>
          </cell>
          <cell r="H61">
            <v>0</v>
          </cell>
          <cell r="I61">
            <v>5551</v>
          </cell>
          <cell r="J61">
            <v>3807.1372814199999</v>
          </cell>
          <cell r="K61">
            <v>576.62369693000028</v>
          </cell>
          <cell r="L61" t="str">
            <v>N/A</v>
          </cell>
          <cell r="M61">
            <v>0</v>
          </cell>
          <cell r="N61">
            <v>26282000</v>
          </cell>
          <cell r="O61">
            <v>17218215.84</v>
          </cell>
          <cell r="P61">
            <v>2694761.7</v>
          </cell>
          <cell r="Q61" t="str">
            <v>N/A</v>
          </cell>
          <cell r="R61">
            <v>0</v>
          </cell>
          <cell r="S61">
            <v>1370000</v>
          </cell>
          <cell r="T61">
            <v>863456.93</v>
          </cell>
          <cell r="U61">
            <v>139432.26999999999</v>
          </cell>
          <cell r="V61" t="str">
            <v>N/A</v>
          </cell>
          <cell r="W61">
            <v>0</v>
          </cell>
          <cell r="X61" t="str">
            <v>N/A</v>
          </cell>
          <cell r="Y61" t="str">
            <v>N/A</v>
          </cell>
          <cell r="Z61">
            <v>0</v>
          </cell>
          <cell r="AA61">
            <v>3230.5135844899996</v>
          </cell>
          <cell r="AB61">
            <v>14523454.140000001</v>
          </cell>
          <cell r="AC61">
            <v>724024.66</v>
          </cell>
        </row>
        <row r="62">
          <cell r="A62" t="str">
            <v>SEPT</v>
          </cell>
          <cell r="B62" t="str">
            <v>Mass Market</v>
          </cell>
          <cell r="C62">
            <v>405857712</v>
          </cell>
          <cell r="D62">
            <v>405857712</v>
          </cell>
          <cell r="E62">
            <v>42818840.755199999</v>
          </cell>
          <cell r="F62">
            <v>8119340.6316</v>
          </cell>
          <cell r="G62">
            <v>5217562.8099999996</v>
          </cell>
          <cell r="H62">
            <v>0</v>
          </cell>
          <cell r="I62">
            <v>334053.85427348199</v>
          </cell>
          <cell r="J62">
            <v>66729.039999999994</v>
          </cell>
          <cell r="K62">
            <v>14722.5</v>
          </cell>
          <cell r="L62">
            <v>3772.5993255931003</v>
          </cell>
          <cell r="M62">
            <v>0</v>
          </cell>
          <cell r="N62">
            <v>1728133316.3078108</v>
          </cell>
          <cell r="O62">
            <v>361917899.5399999</v>
          </cell>
          <cell r="P62">
            <v>88781455.939999878</v>
          </cell>
          <cell r="Q62">
            <v>22096673.345600158</v>
          </cell>
          <cell r="R62">
            <v>0</v>
          </cell>
          <cell r="S62">
            <v>15871656.841610486</v>
          </cell>
          <cell r="T62">
            <v>1254399.18</v>
          </cell>
          <cell r="U62">
            <v>170011.47</v>
          </cell>
          <cell r="V62">
            <v>239905.62005299999</v>
          </cell>
          <cell r="W62">
            <v>0</v>
          </cell>
          <cell r="X62">
            <v>29343976.699999999</v>
          </cell>
          <cell r="Y62">
            <v>5217562.8099999996</v>
          </cell>
          <cell r="Z62">
            <v>0</v>
          </cell>
          <cell r="AA62">
            <v>52006.54</v>
          </cell>
          <cell r="AB62">
            <v>273136443.60000002</v>
          </cell>
          <cell r="AC62">
            <v>1084387.71</v>
          </cell>
        </row>
        <row r="63">
          <cell r="A63" t="str">
            <v>SEPT</v>
          </cell>
          <cell r="B63" t="str">
            <v>Ag &amp; Food Processing</v>
          </cell>
          <cell r="C63">
            <v>47523134</v>
          </cell>
          <cell r="D63">
            <v>47523134</v>
          </cell>
          <cell r="E63">
            <v>2256618.8420999995</v>
          </cell>
          <cell r="F63">
            <v>354317.48180000001</v>
          </cell>
          <cell r="G63">
            <v>2322850.9700000002</v>
          </cell>
          <cell r="H63">
            <v>0</v>
          </cell>
          <cell r="I63">
            <v>22797.08846466984</v>
          </cell>
          <cell r="J63">
            <v>262.98</v>
          </cell>
          <cell r="K63">
            <v>107</v>
          </cell>
          <cell r="L63">
            <v>3822.4110000000005</v>
          </cell>
          <cell r="M63">
            <v>0</v>
          </cell>
          <cell r="N63">
            <v>164346860.9940128</v>
          </cell>
          <cell r="O63">
            <v>2236908.84</v>
          </cell>
          <cell r="P63">
            <v>703008.18</v>
          </cell>
          <cell r="Q63">
            <v>10939039.649999999</v>
          </cell>
          <cell r="R63">
            <v>0</v>
          </cell>
          <cell r="S63">
            <v>3082951.7327311719</v>
          </cell>
          <cell r="T63">
            <v>-6702.54</v>
          </cell>
          <cell r="U63">
            <v>-11805.54</v>
          </cell>
          <cell r="V63">
            <v>1606145.84</v>
          </cell>
          <cell r="W63">
            <v>0</v>
          </cell>
          <cell r="X63">
            <v>183057.53</v>
          </cell>
          <cell r="Y63">
            <v>2322850.9700000002</v>
          </cell>
          <cell r="Z63">
            <v>0</v>
          </cell>
          <cell r="AA63">
            <v>155.97999999999999</v>
          </cell>
          <cell r="AB63">
            <v>1533900.66</v>
          </cell>
          <cell r="AC63">
            <v>5103</v>
          </cell>
        </row>
        <row r="64">
          <cell r="A64" t="str">
            <v>SEPT</v>
          </cell>
          <cell r="B64" t="str">
            <v>Schools &amp; Colleges</v>
          </cell>
          <cell r="C64">
            <v>47568591</v>
          </cell>
          <cell r="D64">
            <v>47568591</v>
          </cell>
          <cell r="E64">
            <v>1657170.5933000001</v>
          </cell>
          <cell r="F64">
            <v>273824.15140000003</v>
          </cell>
          <cell r="G64">
            <v>1512787.88</v>
          </cell>
          <cell r="H64">
            <v>0</v>
          </cell>
          <cell r="I64">
            <v>28892.278794176014</v>
          </cell>
          <cell r="J64">
            <v>113.98</v>
          </cell>
          <cell r="K64">
            <v>0</v>
          </cell>
          <cell r="L64">
            <v>2299.5949999999998</v>
          </cell>
          <cell r="M64">
            <v>0</v>
          </cell>
          <cell r="N64">
            <v>128046825.56012681</v>
          </cell>
          <cell r="O64">
            <v>201480.56</v>
          </cell>
          <cell r="P64">
            <v>0</v>
          </cell>
          <cell r="Q64">
            <v>4939893.1399999997</v>
          </cell>
          <cell r="R64">
            <v>0</v>
          </cell>
          <cell r="S64">
            <v>2635794.0523105087</v>
          </cell>
          <cell r="T64">
            <v>-38.54</v>
          </cell>
          <cell r="U64">
            <v>0</v>
          </cell>
          <cell r="V64">
            <v>284526.2</v>
          </cell>
          <cell r="W64">
            <v>0</v>
          </cell>
          <cell r="X64">
            <v>49956</v>
          </cell>
          <cell r="Y64">
            <v>1512787.88</v>
          </cell>
          <cell r="Z64">
            <v>0</v>
          </cell>
          <cell r="AA64">
            <v>113.98</v>
          </cell>
          <cell r="AB64">
            <v>201480.56</v>
          </cell>
          <cell r="AC64">
            <v>-38.54</v>
          </cell>
        </row>
        <row r="65">
          <cell r="A65" t="str">
            <v>SEPT</v>
          </cell>
          <cell r="B65" t="str">
            <v>Retail Stores</v>
          </cell>
          <cell r="C65">
            <v>20850872</v>
          </cell>
          <cell r="D65">
            <v>20850872</v>
          </cell>
          <cell r="E65">
            <v>951631.33319999999</v>
          </cell>
          <cell r="F65">
            <v>109733.55560000001</v>
          </cell>
          <cell r="G65">
            <v>158445.03</v>
          </cell>
          <cell r="H65">
            <v>0</v>
          </cell>
          <cell r="I65">
            <v>21271.596533140018</v>
          </cell>
          <cell r="J65">
            <v>84.23</v>
          </cell>
          <cell r="K65">
            <v>7.05</v>
          </cell>
          <cell r="L65">
            <v>553.09</v>
          </cell>
          <cell r="M65">
            <v>0</v>
          </cell>
          <cell r="N65">
            <v>125946107.22913301</v>
          </cell>
          <cell r="O65">
            <v>582307.48</v>
          </cell>
          <cell r="P65">
            <v>16259.78</v>
          </cell>
          <cell r="Q65">
            <v>2101850.4010000001</v>
          </cell>
          <cell r="R65">
            <v>0</v>
          </cell>
          <cell r="S65">
            <v>17583.588</v>
          </cell>
          <cell r="T65">
            <v>3167.88</v>
          </cell>
          <cell r="U65">
            <v>64.7800000000002</v>
          </cell>
          <cell r="V65">
            <v>-2439.42</v>
          </cell>
          <cell r="W65">
            <v>0</v>
          </cell>
          <cell r="X65">
            <v>50938.99</v>
          </cell>
          <cell r="Y65">
            <v>158445.03</v>
          </cell>
          <cell r="Z65">
            <v>0</v>
          </cell>
          <cell r="AA65">
            <v>77.180000000000007</v>
          </cell>
          <cell r="AB65">
            <v>566047.69999999995</v>
          </cell>
          <cell r="AC65">
            <v>3103.1</v>
          </cell>
        </row>
        <row r="66">
          <cell r="A66" t="str">
            <v>SEPT</v>
          </cell>
          <cell r="B66" t="str">
            <v>Fab, Prcss &amp; Hvy Indl Mfg</v>
          </cell>
          <cell r="C66">
            <v>121849249</v>
          </cell>
          <cell r="D66">
            <v>121849249</v>
          </cell>
          <cell r="E66">
            <v>3356556.0463999999</v>
          </cell>
          <cell r="F66">
            <v>833293.96120000002</v>
          </cell>
          <cell r="G66">
            <v>8030752.6199999992</v>
          </cell>
          <cell r="H66">
            <v>0</v>
          </cell>
          <cell r="I66">
            <v>69225.227525006732</v>
          </cell>
          <cell r="J66">
            <v>392.49</v>
          </cell>
          <cell r="K66">
            <v>149.74</v>
          </cell>
          <cell r="L66">
            <v>7638.5230000000001</v>
          </cell>
          <cell r="M66">
            <v>0</v>
          </cell>
          <cell r="N66">
            <v>475376401.45399302</v>
          </cell>
          <cell r="O66">
            <v>2948525.94</v>
          </cell>
          <cell r="P66">
            <v>1063411.72</v>
          </cell>
          <cell r="Q66">
            <v>83161971.497999996</v>
          </cell>
          <cell r="R66">
            <v>0</v>
          </cell>
          <cell r="S66">
            <v>18198035.099455945</v>
          </cell>
          <cell r="T66">
            <v>884267.44</v>
          </cell>
          <cell r="U66">
            <v>385174.44</v>
          </cell>
          <cell r="V66">
            <v>2119064.9160000002</v>
          </cell>
          <cell r="W66">
            <v>0</v>
          </cell>
          <cell r="X66">
            <v>958888.38</v>
          </cell>
          <cell r="Y66">
            <v>8030752.6199999992</v>
          </cell>
          <cell r="Z66">
            <v>0</v>
          </cell>
          <cell r="AA66">
            <v>242.75</v>
          </cell>
          <cell r="AB66">
            <v>1885114.22</v>
          </cell>
          <cell r="AC66">
            <v>499093</v>
          </cell>
        </row>
        <row r="67">
          <cell r="A67" t="str">
            <v>SEPT</v>
          </cell>
          <cell r="B67" t="str">
            <v>Hi-Tech Facilities</v>
          </cell>
          <cell r="C67">
            <v>11759803</v>
          </cell>
          <cell r="D67">
            <v>11759803</v>
          </cell>
          <cell r="E67">
            <v>1287333.6110999999</v>
          </cell>
          <cell r="F67">
            <v>272735.80380000005</v>
          </cell>
          <cell r="G67">
            <v>758873.59999999998</v>
          </cell>
          <cell r="H67">
            <v>0</v>
          </cell>
          <cell r="I67">
            <v>6532.0886490478697</v>
          </cell>
          <cell r="J67">
            <v>60.37</v>
          </cell>
          <cell r="K67">
            <v>13.82</v>
          </cell>
          <cell r="L67">
            <v>1213.6880000000001</v>
          </cell>
          <cell r="M67">
            <v>0</v>
          </cell>
          <cell r="N67">
            <v>44364926.587099597</v>
          </cell>
          <cell r="O67">
            <v>692681.88</v>
          </cell>
          <cell r="P67">
            <v>460311.28</v>
          </cell>
          <cell r="Q67">
            <v>15287602.852</v>
          </cell>
          <cell r="R67">
            <v>0</v>
          </cell>
          <cell r="S67">
            <v>25523.813309561065</v>
          </cell>
          <cell r="T67">
            <v>11088</v>
          </cell>
          <cell r="U67">
            <v>11088</v>
          </cell>
          <cell r="V67">
            <v>121386.63</v>
          </cell>
          <cell r="W67">
            <v>0</v>
          </cell>
          <cell r="X67">
            <v>83476.460000000006</v>
          </cell>
          <cell r="Y67">
            <v>758873.59999999998</v>
          </cell>
          <cell r="Z67">
            <v>0</v>
          </cell>
          <cell r="AA67">
            <v>46.55</v>
          </cell>
          <cell r="AB67">
            <v>232370.6</v>
          </cell>
          <cell r="AC67">
            <v>0</v>
          </cell>
        </row>
        <row r="68">
          <cell r="A68" t="str">
            <v>SEPT</v>
          </cell>
          <cell r="B68" t="str">
            <v>Medical Facilities</v>
          </cell>
          <cell r="C68">
            <v>21407152</v>
          </cell>
          <cell r="D68">
            <v>21407152</v>
          </cell>
          <cell r="E68">
            <v>610818.44220000005</v>
          </cell>
          <cell r="F68">
            <v>164927.06760000001</v>
          </cell>
          <cell r="G68">
            <v>395024.46</v>
          </cell>
          <cell r="H68">
            <v>0</v>
          </cell>
          <cell r="I68">
            <v>27753.153177169657</v>
          </cell>
          <cell r="J68">
            <v>0</v>
          </cell>
          <cell r="K68">
            <v>0</v>
          </cell>
          <cell r="L68">
            <v>274.19</v>
          </cell>
          <cell r="M68">
            <v>0</v>
          </cell>
          <cell r="N68">
            <v>68661112.057484001</v>
          </cell>
          <cell r="O68">
            <v>0</v>
          </cell>
          <cell r="P68">
            <v>0</v>
          </cell>
          <cell r="Q68">
            <v>2006808.3</v>
          </cell>
          <cell r="R68">
            <v>0</v>
          </cell>
          <cell r="S68">
            <v>494605</v>
          </cell>
          <cell r="T68">
            <v>0</v>
          </cell>
          <cell r="U68">
            <v>0</v>
          </cell>
          <cell r="V68">
            <v>6978.3</v>
          </cell>
          <cell r="W68">
            <v>0</v>
          </cell>
          <cell r="X68">
            <v>0</v>
          </cell>
          <cell r="Y68">
            <v>395024.46</v>
          </cell>
          <cell r="Z68">
            <v>0</v>
          </cell>
          <cell r="AA68">
            <v>0</v>
          </cell>
          <cell r="AB68">
            <v>0</v>
          </cell>
          <cell r="AC68">
            <v>0</v>
          </cell>
        </row>
        <row r="69">
          <cell r="A69" t="str">
            <v>SEPT</v>
          </cell>
          <cell r="B69" t="str">
            <v>Large Commercial</v>
          </cell>
          <cell r="C69">
            <v>68595302</v>
          </cell>
          <cell r="D69">
            <v>68595302</v>
          </cell>
          <cell r="E69">
            <v>2905510.6443999996</v>
          </cell>
          <cell r="F69">
            <v>551603.12520000001</v>
          </cell>
          <cell r="G69">
            <v>1641613.49</v>
          </cell>
          <cell r="H69">
            <v>0</v>
          </cell>
          <cell r="I69">
            <v>73838.296918087362</v>
          </cell>
          <cell r="J69">
            <v>378.99</v>
          </cell>
          <cell r="K69">
            <v>180.97</v>
          </cell>
          <cell r="L69">
            <v>2100.5460000000003</v>
          </cell>
          <cell r="M69">
            <v>0</v>
          </cell>
          <cell r="N69">
            <v>219609296.0400379</v>
          </cell>
          <cell r="O69">
            <v>2987475.83</v>
          </cell>
          <cell r="P69">
            <v>1639435.36</v>
          </cell>
          <cell r="Q69">
            <v>13222294.922</v>
          </cell>
          <cell r="R69">
            <v>0</v>
          </cell>
          <cell r="S69">
            <v>2224825.1578322467</v>
          </cell>
          <cell r="T69">
            <v>3919.3</v>
          </cell>
          <cell r="U69">
            <v>0</v>
          </cell>
          <cell r="V69">
            <v>13907.1</v>
          </cell>
          <cell r="W69">
            <v>0</v>
          </cell>
          <cell r="X69">
            <v>277541.59000000003</v>
          </cell>
          <cell r="Y69">
            <v>1641613.49</v>
          </cell>
          <cell r="Z69">
            <v>0</v>
          </cell>
          <cell r="AA69">
            <v>198.02</v>
          </cell>
          <cell r="AB69">
            <v>1348040.47</v>
          </cell>
          <cell r="AC69">
            <v>3919.3</v>
          </cell>
        </row>
        <row r="70">
          <cell r="A70" t="str">
            <v>SEPT</v>
          </cell>
          <cell r="B70" t="str">
            <v>Hospitality Facilities</v>
          </cell>
          <cell r="C70">
            <v>11793097</v>
          </cell>
          <cell r="D70">
            <v>11793097</v>
          </cell>
          <cell r="E70">
            <v>904851.33549999993</v>
          </cell>
          <cell r="F70">
            <v>151745.98899999997</v>
          </cell>
          <cell r="G70">
            <v>111211.72</v>
          </cell>
          <cell r="H70">
            <v>0</v>
          </cell>
          <cell r="I70">
            <v>7577.0826254285475</v>
          </cell>
          <cell r="J70">
            <v>6.23</v>
          </cell>
          <cell r="K70">
            <v>6.23</v>
          </cell>
          <cell r="L70">
            <v>45.253</v>
          </cell>
          <cell r="M70">
            <v>0</v>
          </cell>
          <cell r="N70">
            <v>37330060.295922801</v>
          </cell>
          <cell r="O70">
            <v>12889.58</v>
          </cell>
          <cell r="P70">
            <v>12889.58</v>
          </cell>
          <cell r="Q70">
            <v>855066.54</v>
          </cell>
          <cell r="R70">
            <v>0</v>
          </cell>
          <cell r="S70">
            <v>33302.25</v>
          </cell>
          <cell r="T70">
            <v>1070.8599999999999</v>
          </cell>
          <cell r="U70">
            <v>633.36</v>
          </cell>
          <cell r="V70">
            <v>10583.992999999999</v>
          </cell>
          <cell r="W70">
            <v>0</v>
          </cell>
          <cell r="X70">
            <v>2930.55</v>
          </cell>
          <cell r="Y70">
            <v>111211.72</v>
          </cell>
          <cell r="Z70">
            <v>0</v>
          </cell>
          <cell r="AA70">
            <v>0</v>
          </cell>
          <cell r="AB70">
            <v>0</v>
          </cell>
          <cell r="AC70">
            <v>437.5</v>
          </cell>
        </row>
        <row r="71">
          <cell r="A71" t="str">
            <v>SEPT</v>
          </cell>
          <cell r="B71" t="str">
            <v>Res New Construction</v>
          </cell>
          <cell r="C71">
            <v>26264217</v>
          </cell>
          <cell r="D71">
            <v>26264217</v>
          </cell>
          <cell r="E71">
            <v>1626367.4944</v>
          </cell>
          <cell r="F71">
            <v>122920.80519999999</v>
          </cell>
          <cell r="G71">
            <v>2035210</v>
          </cell>
          <cell r="H71">
            <v>0</v>
          </cell>
          <cell r="I71">
            <v>9015.1305056540205</v>
          </cell>
          <cell r="J71">
            <v>0.18</v>
          </cell>
          <cell r="K71">
            <v>0</v>
          </cell>
          <cell r="L71">
            <v>1182.0275343999999</v>
          </cell>
          <cell r="M71">
            <v>0</v>
          </cell>
          <cell r="N71">
            <v>13357136.488374671</v>
          </cell>
          <cell r="O71">
            <v>600.79999999999995</v>
          </cell>
          <cell r="P71">
            <v>0</v>
          </cell>
          <cell r="Q71">
            <v>1307972</v>
          </cell>
          <cell r="R71">
            <v>0</v>
          </cell>
          <cell r="S71">
            <v>2454487.1347570699</v>
          </cell>
          <cell r="T71">
            <v>46.37</v>
          </cell>
          <cell r="U71">
            <v>0</v>
          </cell>
          <cell r="V71">
            <v>410596.8</v>
          </cell>
          <cell r="W71">
            <v>0</v>
          </cell>
          <cell r="X71">
            <v>30540</v>
          </cell>
          <cell r="Y71">
            <v>2035210</v>
          </cell>
          <cell r="Z71">
            <v>0</v>
          </cell>
          <cell r="AA71">
            <v>0.18</v>
          </cell>
          <cell r="AB71">
            <v>600.79999999999995</v>
          </cell>
          <cell r="AC71">
            <v>46.37</v>
          </cell>
        </row>
        <row r="72">
          <cell r="A72" t="str">
            <v>SEPT</v>
          </cell>
          <cell r="B72" t="str">
            <v>Education &amp; Training</v>
          </cell>
          <cell r="C72">
            <v>41154602</v>
          </cell>
          <cell r="D72">
            <v>41154602</v>
          </cell>
          <cell r="E72">
            <v>6335162.8821999999</v>
          </cell>
          <cell r="F72">
            <v>1001203.4776000001</v>
          </cell>
          <cell r="G72" t="str">
            <v>N/A</v>
          </cell>
          <cell r="H72">
            <v>0</v>
          </cell>
          <cell r="I72" t="str">
            <v>N/A</v>
          </cell>
          <cell r="J72" t="str">
            <v>N/A</v>
          </cell>
          <cell r="K72" t="str">
            <v>N/A</v>
          </cell>
          <cell r="L72" t="str">
            <v>N/A</v>
          </cell>
          <cell r="M72">
            <v>0</v>
          </cell>
          <cell r="N72" t="str">
            <v>N/A</v>
          </cell>
          <cell r="O72" t="str">
            <v>N/A</v>
          </cell>
          <cell r="P72" t="str">
            <v>N/A</v>
          </cell>
          <cell r="Q72" t="str">
            <v>N/A</v>
          </cell>
          <cell r="R72">
            <v>0</v>
          </cell>
          <cell r="S72" t="str">
            <v>N/A</v>
          </cell>
          <cell r="T72" t="str">
            <v>N/A</v>
          </cell>
          <cell r="U72" t="str">
            <v>N/A</v>
          </cell>
          <cell r="V72" t="str">
            <v>N/A</v>
          </cell>
          <cell r="W72">
            <v>0</v>
          </cell>
          <cell r="X72" t="str">
            <v>N/A</v>
          </cell>
          <cell r="Y72" t="str">
            <v>N/A</v>
          </cell>
          <cell r="Z72">
            <v>0</v>
          </cell>
          <cell r="AA72" t="str">
            <v>N/A</v>
          </cell>
          <cell r="AB72" t="str">
            <v>N/A</v>
          </cell>
          <cell r="AC72" t="str">
            <v>N/A</v>
          </cell>
        </row>
        <row r="73">
          <cell r="A73" t="str">
            <v>SEPT</v>
          </cell>
          <cell r="B73" t="str">
            <v>Codes &amp; Standards</v>
          </cell>
          <cell r="C73">
            <v>4635754</v>
          </cell>
          <cell r="D73">
            <v>4635754</v>
          </cell>
          <cell r="E73">
            <v>810281.76</v>
          </cell>
          <cell r="F73">
            <v>123552.35</v>
          </cell>
          <cell r="G73" t="str">
            <v>N/A</v>
          </cell>
          <cell r="H73">
            <v>0</v>
          </cell>
          <cell r="I73" t="str">
            <v>N/A</v>
          </cell>
          <cell r="J73" t="str">
            <v>N/A</v>
          </cell>
          <cell r="K73" t="str">
            <v>N/A</v>
          </cell>
          <cell r="L73" t="str">
            <v>N/A</v>
          </cell>
          <cell r="M73">
            <v>0</v>
          </cell>
          <cell r="N73" t="str">
            <v>N/A</v>
          </cell>
          <cell r="O73" t="str">
            <v>N/A</v>
          </cell>
          <cell r="P73" t="str">
            <v>N/A</v>
          </cell>
          <cell r="Q73" t="str">
            <v>N/A</v>
          </cell>
          <cell r="R73">
            <v>0</v>
          </cell>
          <cell r="S73" t="str">
            <v>N/A</v>
          </cell>
          <cell r="T73" t="str">
            <v>N/A</v>
          </cell>
          <cell r="U73" t="str">
            <v>N/A</v>
          </cell>
          <cell r="V73" t="str">
            <v>N/A</v>
          </cell>
          <cell r="W73">
            <v>0</v>
          </cell>
          <cell r="X73" t="str">
            <v>N/A</v>
          </cell>
          <cell r="Y73" t="str">
            <v>N/A</v>
          </cell>
          <cell r="Z73">
            <v>0</v>
          </cell>
          <cell r="AA73" t="str">
            <v>N/A</v>
          </cell>
          <cell r="AB73" t="str">
            <v>N/A</v>
          </cell>
          <cell r="AC73" t="str">
            <v>N/A</v>
          </cell>
        </row>
        <row r="74">
          <cell r="A74" t="str">
            <v>SEPT</v>
          </cell>
          <cell r="B74" t="str">
            <v>Emerging Technologies</v>
          </cell>
          <cell r="C74">
            <v>11260376</v>
          </cell>
          <cell r="D74">
            <v>11260376</v>
          </cell>
          <cell r="E74">
            <v>700902.22</v>
          </cell>
          <cell r="F74">
            <v>72772.7</v>
          </cell>
          <cell r="G74" t="str">
            <v>N/A</v>
          </cell>
          <cell r="H74">
            <v>0</v>
          </cell>
          <cell r="I74" t="str">
            <v>N/A</v>
          </cell>
          <cell r="J74" t="str">
            <v>N/A</v>
          </cell>
          <cell r="K74" t="str">
            <v>N/A</v>
          </cell>
          <cell r="L74" t="str">
            <v>N/A</v>
          </cell>
          <cell r="M74">
            <v>0</v>
          </cell>
          <cell r="N74" t="str">
            <v>N/A</v>
          </cell>
          <cell r="O74" t="str">
            <v>N/A</v>
          </cell>
          <cell r="P74" t="str">
            <v>N/A</v>
          </cell>
          <cell r="Q74" t="str">
            <v>N/A</v>
          </cell>
          <cell r="R74">
            <v>0</v>
          </cell>
          <cell r="S74" t="str">
            <v>N/A</v>
          </cell>
          <cell r="T74" t="str">
            <v>N/A</v>
          </cell>
          <cell r="U74" t="str">
            <v>N/A</v>
          </cell>
          <cell r="V74" t="str">
            <v>N/A</v>
          </cell>
          <cell r="W74">
            <v>0</v>
          </cell>
          <cell r="X74" t="str">
            <v>N/A</v>
          </cell>
          <cell r="Y74" t="str">
            <v>N/A</v>
          </cell>
          <cell r="Z74">
            <v>0</v>
          </cell>
          <cell r="AA74" t="str">
            <v>N/A</v>
          </cell>
          <cell r="AB74" t="str">
            <v>N/A</v>
          </cell>
          <cell r="AC74" t="str">
            <v>N/A</v>
          </cell>
        </row>
        <row r="75">
          <cell r="A75" t="str">
            <v>SEPT</v>
          </cell>
          <cell r="B75" t="str">
            <v>Statewide Marketing &amp; Info</v>
          </cell>
          <cell r="C75">
            <v>26948382</v>
          </cell>
          <cell r="D75">
            <v>26948382</v>
          </cell>
          <cell r="E75">
            <v>858.72</v>
          </cell>
          <cell r="F75">
            <v>684.52</v>
          </cell>
          <cell r="G75" t="str">
            <v>N/A</v>
          </cell>
          <cell r="H75">
            <v>0</v>
          </cell>
          <cell r="I75" t="str">
            <v>N/A</v>
          </cell>
          <cell r="J75" t="str">
            <v>N/A</v>
          </cell>
          <cell r="K75" t="str">
            <v>N/A</v>
          </cell>
          <cell r="L75" t="str">
            <v>N/A</v>
          </cell>
          <cell r="M75">
            <v>0</v>
          </cell>
          <cell r="N75" t="str">
            <v>N/A</v>
          </cell>
          <cell r="O75" t="str">
            <v>N/A</v>
          </cell>
          <cell r="P75" t="str">
            <v>N/A</v>
          </cell>
          <cell r="Q75" t="str">
            <v>N/A</v>
          </cell>
          <cell r="R75">
            <v>0</v>
          </cell>
          <cell r="S75" t="str">
            <v>N/A</v>
          </cell>
          <cell r="T75" t="str">
            <v>N/A</v>
          </cell>
          <cell r="U75" t="str">
            <v>N/A</v>
          </cell>
          <cell r="V75" t="str">
            <v>N/A</v>
          </cell>
          <cell r="W75">
            <v>0</v>
          </cell>
          <cell r="X75" t="str">
            <v>N/A</v>
          </cell>
          <cell r="Y75" t="str">
            <v>N/A</v>
          </cell>
          <cell r="Z75">
            <v>0</v>
          </cell>
          <cell r="AA75" t="str">
            <v>N/A</v>
          </cell>
          <cell r="AB75" t="str">
            <v>N/A</v>
          </cell>
          <cell r="AC75" t="str">
            <v>N/A</v>
          </cell>
        </row>
        <row r="76">
          <cell r="A76" t="str">
            <v>SEPT</v>
          </cell>
          <cell r="B76" t="str">
            <v>Low Income EE (3)  (1 YR Budgets/Goals)</v>
          </cell>
          <cell r="C76">
            <v>90094498</v>
          </cell>
          <cell r="D76">
            <v>90094498</v>
          </cell>
          <cell r="E76">
            <v>60258542.229999997</v>
          </cell>
          <cell r="F76">
            <v>6322363.5600000005</v>
          </cell>
          <cell r="G76" t="str">
            <v>N/A</v>
          </cell>
          <cell r="H76">
            <v>0</v>
          </cell>
          <cell r="I76">
            <v>5551</v>
          </cell>
          <cell r="J76">
            <v>4217.9467763800012</v>
          </cell>
          <cell r="K76">
            <v>410.8094949600013</v>
          </cell>
          <cell r="L76" t="str">
            <v>N/A</v>
          </cell>
          <cell r="M76">
            <v>0</v>
          </cell>
          <cell r="N76">
            <v>26282000</v>
          </cell>
          <cell r="O76">
            <v>19031669.589999992</v>
          </cell>
          <cell r="P76">
            <v>1813453.7499999925</v>
          </cell>
          <cell r="Q76" t="str">
            <v>N/A</v>
          </cell>
          <cell r="R76">
            <v>0</v>
          </cell>
          <cell r="S76">
            <v>1370000</v>
          </cell>
          <cell r="T76">
            <v>975463.55</v>
          </cell>
          <cell r="U76">
            <v>112006.62</v>
          </cell>
          <cell r="V76" t="str">
            <v>N/A</v>
          </cell>
          <cell r="W76">
            <v>0</v>
          </cell>
          <cell r="X76" t="str">
            <v>N/A</v>
          </cell>
          <cell r="Y76" t="str">
            <v>N/A</v>
          </cell>
          <cell r="Z76">
            <v>0</v>
          </cell>
          <cell r="AA76">
            <v>3807.1372814199999</v>
          </cell>
          <cell r="AB76">
            <v>17218215.84</v>
          </cell>
          <cell r="AC76">
            <v>863456.93</v>
          </cell>
        </row>
        <row r="77">
          <cell r="A77" t="str">
            <v>OCT</v>
          </cell>
          <cell r="B77" t="str">
            <v>Mass Market</v>
          </cell>
          <cell r="C77">
            <v>405857712</v>
          </cell>
          <cell r="D77">
            <v>405857712</v>
          </cell>
          <cell r="E77">
            <v>57231804.605599992</v>
          </cell>
          <cell r="F77">
            <v>14468639.630400002</v>
          </cell>
          <cell r="G77">
            <v>5402879.7300000004</v>
          </cell>
          <cell r="H77">
            <v>0</v>
          </cell>
          <cell r="I77">
            <v>334053.85427348199</v>
          </cell>
          <cell r="J77">
            <v>90824.41</v>
          </cell>
          <cell r="K77">
            <v>24095.37</v>
          </cell>
          <cell r="L77">
            <v>4589.1473811000005</v>
          </cell>
          <cell r="M77">
            <v>0</v>
          </cell>
          <cell r="N77">
            <v>1728133316.3078108</v>
          </cell>
          <cell r="O77">
            <v>529212096.80000007</v>
          </cell>
          <cell r="P77">
            <v>167294197.26000017</v>
          </cell>
          <cell r="Q77">
            <v>23824173.988299999</v>
          </cell>
          <cell r="R77">
            <v>0</v>
          </cell>
          <cell r="S77">
            <v>15871656.841610486</v>
          </cell>
          <cell r="T77">
            <v>1469490.27</v>
          </cell>
          <cell r="U77">
            <v>215091.09</v>
          </cell>
          <cell r="V77">
            <v>183487.74789999999</v>
          </cell>
          <cell r="W77">
            <v>0</v>
          </cell>
          <cell r="X77">
            <v>36767455.030000001</v>
          </cell>
          <cell r="Y77">
            <v>5402879.7300000004</v>
          </cell>
          <cell r="Z77">
            <v>0</v>
          </cell>
          <cell r="AA77">
            <v>66729.039999999994</v>
          </cell>
          <cell r="AB77">
            <v>361917899.5399999</v>
          </cell>
          <cell r="AC77">
            <v>1254399.18</v>
          </cell>
        </row>
        <row r="78">
          <cell r="A78" t="str">
            <v>OCT</v>
          </cell>
          <cell r="B78" t="str">
            <v>Ag &amp; Food Processing</v>
          </cell>
          <cell r="C78">
            <v>47523134</v>
          </cell>
          <cell r="D78">
            <v>47523134</v>
          </cell>
          <cell r="E78">
            <v>3177291.7113000001</v>
          </cell>
          <cell r="F78">
            <v>920672.86919999996</v>
          </cell>
          <cell r="G78">
            <v>2533098.41</v>
          </cell>
          <cell r="H78">
            <v>0</v>
          </cell>
          <cell r="I78">
            <v>22797.08846466984</v>
          </cell>
          <cell r="J78">
            <v>1930.54</v>
          </cell>
          <cell r="K78">
            <v>1667.56</v>
          </cell>
          <cell r="L78">
            <v>2101.4169999999999</v>
          </cell>
          <cell r="M78">
            <v>0</v>
          </cell>
          <cell r="N78">
            <v>164346860.9940128</v>
          </cell>
          <cell r="O78">
            <v>4850348.96</v>
          </cell>
          <cell r="P78">
            <v>2613440.12</v>
          </cell>
          <cell r="Q78">
            <v>44189303.529999994</v>
          </cell>
          <cell r="R78">
            <v>0</v>
          </cell>
          <cell r="S78">
            <v>3082951.7327311719</v>
          </cell>
          <cell r="T78">
            <v>96484.5</v>
          </cell>
          <cell r="U78">
            <v>103187.04</v>
          </cell>
          <cell r="V78">
            <v>1739203.2</v>
          </cell>
          <cell r="W78">
            <v>0</v>
          </cell>
          <cell r="X78">
            <v>544305.79</v>
          </cell>
          <cell r="Y78">
            <v>2533098.41</v>
          </cell>
          <cell r="Z78">
            <v>0</v>
          </cell>
          <cell r="AA78">
            <v>262.98</v>
          </cell>
          <cell r="AB78">
            <v>2236908.84</v>
          </cell>
          <cell r="AC78">
            <v>-6702.54</v>
          </cell>
        </row>
        <row r="79">
          <cell r="A79" t="str">
            <v>OCT</v>
          </cell>
          <cell r="B79" t="str">
            <v>Schools &amp; Colleges</v>
          </cell>
          <cell r="C79">
            <v>47568591</v>
          </cell>
          <cell r="D79">
            <v>47568591</v>
          </cell>
          <cell r="E79">
            <v>2000036.9049</v>
          </cell>
          <cell r="F79">
            <v>342866.31159999996</v>
          </cell>
          <cell r="G79">
            <v>1854676.5</v>
          </cell>
          <cell r="H79">
            <v>0</v>
          </cell>
          <cell r="I79">
            <v>28892.278794176014</v>
          </cell>
          <cell r="J79">
            <v>115.91</v>
          </cell>
          <cell r="K79">
            <v>1.9299999999999926</v>
          </cell>
          <cell r="L79">
            <v>1393.354</v>
          </cell>
          <cell r="M79">
            <v>0</v>
          </cell>
          <cell r="N79">
            <v>128046825.56012681</v>
          </cell>
          <cell r="O79">
            <v>297949.65999999997</v>
          </cell>
          <cell r="P79">
            <v>96469.1</v>
          </cell>
          <cell r="Q79">
            <v>6227079.2080000006</v>
          </cell>
          <cell r="R79">
            <v>0</v>
          </cell>
          <cell r="S79">
            <v>2635794.0523105087</v>
          </cell>
          <cell r="T79">
            <v>-38.54</v>
          </cell>
          <cell r="U79">
            <v>0</v>
          </cell>
          <cell r="V79">
            <v>311405.09999999998</v>
          </cell>
          <cell r="W79">
            <v>0</v>
          </cell>
          <cell r="X79">
            <v>92759.5</v>
          </cell>
          <cell r="Y79">
            <v>1854676.5</v>
          </cell>
          <cell r="Z79">
            <v>0</v>
          </cell>
          <cell r="AA79">
            <v>113.98</v>
          </cell>
          <cell r="AB79">
            <v>201480.56</v>
          </cell>
          <cell r="AC79">
            <v>-38.54</v>
          </cell>
        </row>
        <row r="80">
          <cell r="A80" t="str">
            <v>OCT</v>
          </cell>
          <cell r="B80" t="str">
            <v>Retail Stores</v>
          </cell>
          <cell r="C80">
            <v>20850872</v>
          </cell>
          <cell r="D80">
            <v>20850872</v>
          </cell>
          <cell r="E80">
            <v>1307896.9495999999</v>
          </cell>
          <cell r="F80">
            <v>356265.6164</v>
          </cell>
          <cell r="G80">
            <v>116382.66</v>
          </cell>
          <cell r="H80">
            <v>0</v>
          </cell>
          <cell r="I80">
            <v>21271.596533140018</v>
          </cell>
          <cell r="J80">
            <v>130.38</v>
          </cell>
          <cell r="K80">
            <v>46.15</v>
          </cell>
          <cell r="L80">
            <v>217.64</v>
          </cell>
          <cell r="M80">
            <v>0</v>
          </cell>
          <cell r="N80">
            <v>125946107.22913301</v>
          </cell>
          <cell r="O80">
            <v>751011.7</v>
          </cell>
          <cell r="P80">
            <v>168704.22</v>
          </cell>
          <cell r="Q80">
            <v>1349388.6809999999</v>
          </cell>
          <cell r="R80">
            <v>0</v>
          </cell>
          <cell r="S80">
            <v>17583.588</v>
          </cell>
          <cell r="T80">
            <v>3484.84</v>
          </cell>
          <cell r="U80">
            <v>316.95999999999998</v>
          </cell>
          <cell r="V80">
            <v>-791.3</v>
          </cell>
          <cell r="W80">
            <v>0</v>
          </cell>
          <cell r="X80">
            <v>82451.63</v>
          </cell>
          <cell r="Y80">
            <v>116382.66</v>
          </cell>
          <cell r="Z80">
            <v>0</v>
          </cell>
          <cell r="AA80">
            <v>84.23</v>
          </cell>
          <cell r="AB80">
            <v>582307.48</v>
          </cell>
          <cell r="AC80">
            <v>3167.88</v>
          </cell>
        </row>
        <row r="81">
          <cell r="A81" t="str">
            <v>OCT</v>
          </cell>
          <cell r="B81" t="str">
            <v>Fab, Prcss &amp; Hvy Indl Mfg</v>
          </cell>
          <cell r="C81">
            <v>121849249</v>
          </cell>
          <cell r="D81">
            <v>121849249</v>
          </cell>
          <cell r="E81">
            <v>3984395.5692000007</v>
          </cell>
          <cell r="F81">
            <v>627839.52279999992</v>
          </cell>
          <cell r="G81">
            <v>9603097.6099999994</v>
          </cell>
          <cell r="H81">
            <v>0</v>
          </cell>
          <cell r="I81">
            <v>69225.227525006732</v>
          </cell>
          <cell r="J81">
            <v>540.24</v>
          </cell>
          <cell r="K81">
            <v>147.75</v>
          </cell>
          <cell r="L81">
            <v>10405.830999999998</v>
          </cell>
          <cell r="M81">
            <v>0</v>
          </cell>
          <cell r="N81">
            <v>475376401.45399302</v>
          </cell>
          <cell r="O81">
            <v>4186073.13</v>
          </cell>
          <cell r="P81">
            <v>1237547.19</v>
          </cell>
          <cell r="Q81">
            <v>105838181.09199999</v>
          </cell>
          <cell r="R81">
            <v>0</v>
          </cell>
          <cell r="S81">
            <v>18198035.099455945</v>
          </cell>
          <cell r="T81">
            <v>1412430.04</v>
          </cell>
          <cell r="U81">
            <v>528162.6</v>
          </cell>
          <cell r="V81">
            <v>577704.37600000005</v>
          </cell>
          <cell r="W81">
            <v>0</v>
          </cell>
          <cell r="X81">
            <v>1196464.79</v>
          </cell>
          <cell r="Y81">
            <v>9603097.6099999994</v>
          </cell>
          <cell r="Z81">
            <v>0</v>
          </cell>
          <cell r="AA81">
            <v>392.49</v>
          </cell>
          <cell r="AB81">
            <v>2948525.94</v>
          </cell>
          <cell r="AC81">
            <v>884267.44</v>
          </cell>
        </row>
        <row r="82">
          <cell r="A82" t="str">
            <v>OCT</v>
          </cell>
          <cell r="B82" t="str">
            <v>Hi-Tech Facilities</v>
          </cell>
          <cell r="C82">
            <v>11759803</v>
          </cell>
          <cell r="D82">
            <v>11759803</v>
          </cell>
          <cell r="E82">
            <v>1487697.4783000001</v>
          </cell>
          <cell r="F82">
            <v>200363.86720000001</v>
          </cell>
          <cell r="G82">
            <v>1018077.23</v>
          </cell>
          <cell r="H82">
            <v>0</v>
          </cell>
          <cell r="I82">
            <v>6532.0886490478697</v>
          </cell>
          <cell r="J82">
            <v>141.86000000000001</v>
          </cell>
          <cell r="K82">
            <v>81.489999999999995</v>
          </cell>
          <cell r="L82">
            <v>1432.114</v>
          </cell>
          <cell r="M82">
            <v>0</v>
          </cell>
          <cell r="N82">
            <v>44364926.587099597</v>
          </cell>
          <cell r="O82">
            <v>1406748.58</v>
          </cell>
          <cell r="P82">
            <v>714066.7</v>
          </cell>
          <cell r="Q82">
            <v>16511953.752</v>
          </cell>
          <cell r="R82">
            <v>0</v>
          </cell>
          <cell r="S82">
            <v>25523.813309561065</v>
          </cell>
          <cell r="T82">
            <v>11088</v>
          </cell>
          <cell r="U82">
            <v>0</v>
          </cell>
          <cell r="V82">
            <v>213843.61</v>
          </cell>
          <cell r="W82">
            <v>0</v>
          </cell>
          <cell r="X82">
            <v>133105.94</v>
          </cell>
          <cell r="Y82">
            <v>1018077.23</v>
          </cell>
          <cell r="Z82">
            <v>0</v>
          </cell>
          <cell r="AA82">
            <v>60.37</v>
          </cell>
          <cell r="AB82">
            <v>692681.88</v>
          </cell>
          <cell r="AC82">
            <v>11088</v>
          </cell>
        </row>
        <row r="83">
          <cell r="A83" t="str">
            <v>OCT</v>
          </cell>
          <cell r="B83" t="str">
            <v>Medical Facilities</v>
          </cell>
          <cell r="C83">
            <v>21407152</v>
          </cell>
          <cell r="D83">
            <v>21407152</v>
          </cell>
          <cell r="E83">
            <v>678753.1666</v>
          </cell>
          <cell r="F83">
            <v>67934.724399999992</v>
          </cell>
          <cell r="G83">
            <v>395024.46</v>
          </cell>
          <cell r="H83">
            <v>0</v>
          </cell>
          <cell r="I83">
            <v>27753.153177169657</v>
          </cell>
          <cell r="J83">
            <v>0</v>
          </cell>
          <cell r="K83">
            <v>0</v>
          </cell>
          <cell r="L83">
            <v>274.19</v>
          </cell>
          <cell r="M83">
            <v>0</v>
          </cell>
          <cell r="N83">
            <v>68661112.057484001</v>
          </cell>
          <cell r="O83">
            <v>0</v>
          </cell>
          <cell r="P83">
            <v>0</v>
          </cell>
          <cell r="Q83">
            <v>2006808.3</v>
          </cell>
          <cell r="R83">
            <v>0</v>
          </cell>
          <cell r="S83">
            <v>494605</v>
          </cell>
          <cell r="T83">
            <v>0</v>
          </cell>
          <cell r="U83">
            <v>0</v>
          </cell>
          <cell r="V83">
            <v>6978.3</v>
          </cell>
          <cell r="W83">
            <v>0</v>
          </cell>
          <cell r="X83">
            <v>0</v>
          </cell>
          <cell r="Y83">
            <v>395024.46</v>
          </cell>
          <cell r="Z83">
            <v>0</v>
          </cell>
          <cell r="AA83">
            <v>0</v>
          </cell>
          <cell r="AB83">
            <v>0</v>
          </cell>
          <cell r="AC83">
            <v>0</v>
          </cell>
        </row>
        <row r="84">
          <cell r="A84" t="str">
            <v>OCT</v>
          </cell>
          <cell r="B84" t="str">
            <v>Large Commercial</v>
          </cell>
          <cell r="C84">
            <v>68595302</v>
          </cell>
          <cell r="D84">
            <v>68595302</v>
          </cell>
          <cell r="E84">
            <v>3534675.5632000021</v>
          </cell>
          <cell r="F84">
            <v>633715.09879999992</v>
          </cell>
          <cell r="G84">
            <v>2145849.13</v>
          </cell>
          <cell r="H84">
            <v>0</v>
          </cell>
          <cell r="I84">
            <v>73838.296918087362</v>
          </cell>
          <cell r="J84">
            <v>450.84</v>
          </cell>
          <cell r="K84">
            <v>71.849999999999994</v>
          </cell>
          <cell r="L84">
            <v>2531.181</v>
          </cell>
          <cell r="M84">
            <v>0</v>
          </cell>
          <cell r="N84">
            <v>219609296.0400379</v>
          </cell>
          <cell r="O84">
            <v>3320585.53</v>
          </cell>
          <cell r="P84">
            <v>333109.7</v>
          </cell>
          <cell r="Q84">
            <v>16644988.735999998</v>
          </cell>
          <cell r="R84">
            <v>0</v>
          </cell>
          <cell r="S84">
            <v>2224825.1578322467</v>
          </cell>
          <cell r="T84">
            <v>3919.3</v>
          </cell>
          <cell r="U84">
            <v>0</v>
          </cell>
          <cell r="V84">
            <v>119682.2</v>
          </cell>
          <cell r="W84">
            <v>0</v>
          </cell>
          <cell r="X84">
            <v>301335.14</v>
          </cell>
          <cell r="Y84">
            <v>2145849.13</v>
          </cell>
          <cell r="Z84">
            <v>0</v>
          </cell>
          <cell r="AA84">
            <v>378.99</v>
          </cell>
          <cell r="AB84">
            <v>2987475.83</v>
          </cell>
          <cell r="AC84">
            <v>3919.3</v>
          </cell>
        </row>
        <row r="85">
          <cell r="A85" t="str">
            <v>OCT</v>
          </cell>
          <cell r="B85" t="str">
            <v>Hospitality Facilities</v>
          </cell>
          <cell r="C85">
            <v>11793097</v>
          </cell>
          <cell r="D85">
            <v>11793097</v>
          </cell>
          <cell r="E85">
            <v>1067633.6415000001</v>
          </cell>
          <cell r="F85">
            <v>162782.30600000001</v>
          </cell>
          <cell r="G85">
            <v>91972.58</v>
          </cell>
          <cell r="H85">
            <v>0</v>
          </cell>
          <cell r="I85">
            <v>7577.0826254285475</v>
          </cell>
          <cell r="J85">
            <v>22.82</v>
          </cell>
          <cell r="K85">
            <v>16.59</v>
          </cell>
          <cell r="L85">
            <v>69.941000000000003</v>
          </cell>
          <cell r="M85">
            <v>0</v>
          </cell>
          <cell r="N85">
            <v>37330060.295922801</v>
          </cell>
          <cell r="O85">
            <v>141391.38</v>
          </cell>
          <cell r="P85">
            <v>128501.8</v>
          </cell>
          <cell r="Q85">
            <v>763433.78100000008</v>
          </cell>
          <cell r="R85">
            <v>0</v>
          </cell>
          <cell r="S85">
            <v>33302.25</v>
          </cell>
          <cell r="T85">
            <v>1675.94</v>
          </cell>
          <cell r="U85">
            <v>605.08000000000004</v>
          </cell>
          <cell r="V85">
            <v>9978.92</v>
          </cell>
          <cell r="W85">
            <v>0</v>
          </cell>
          <cell r="X85">
            <v>25778.52</v>
          </cell>
          <cell r="Y85">
            <v>91972.58</v>
          </cell>
          <cell r="Z85">
            <v>0</v>
          </cell>
          <cell r="AA85">
            <v>6.23</v>
          </cell>
          <cell r="AB85">
            <v>12889.58</v>
          </cell>
          <cell r="AC85">
            <v>1070.8599999999999</v>
          </cell>
        </row>
        <row r="86">
          <cell r="A86" t="str">
            <v>OCT</v>
          </cell>
          <cell r="B86" t="str">
            <v>Res New Construction</v>
          </cell>
          <cell r="C86">
            <v>26264217</v>
          </cell>
          <cell r="D86">
            <v>26264217</v>
          </cell>
          <cell r="E86">
            <v>1877234.6732000001</v>
          </cell>
          <cell r="F86">
            <v>250867.17879999999</v>
          </cell>
          <cell r="G86">
            <v>2259130</v>
          </cell>
          <cell r="H86">
            <v>0</v>
          </cell>
          <cell r="I86">
            <v>9015.1305056540205</v>
          </cell>
          <cell r="J86">
            <v>14.65</v>
          </cell>
          <cell r="K86">
            <v>14.47</v>
          </cell>
          <cell r="L86">
            <v>1159.7464096000001</v>
          </cell>
          <cell r="M86">
            <v>0</v>
          </cell>
          <cell r="N86">
            <v>13357136.488374671</v>
          </cell>
          <cell r="O86">
            <v>14300.8</v>
          </cell>
          <cell r="P86">
            <v>13700</v>
          </cell>
          <cell r="Q86">
            <v>1419518.4</v>
          </cell>
          <cell r="R86">
            <v>0</v>
          </cell>
          <cell r="S86">
            <v>2454487.1347570699</v>
          </cell>
          <cell r="T86">
            <v>3174.98</v>
          </cell>
          <cell r="U86">
            <v>3128.61</v>
          </cell>
          <cell r="V86">
            <v>424736.8</v>
          </cell>
          <cell r="W86">
            <v>0</v>
          </cell>
          <cell r="X86">
            <v>140730</v>
          </cell>
          <cell r="Y86">
            <v>2259130</v>
          </cell>
          <cell r="Z86">
            <v>0</v>
          </cell>
          <cell r="AA86">
            <v>0.18</v>
          </cell>
          <cell r="AB86">
            <v>600.79999999999995</v>
          </cell>
          <cell r="AC86">
            <v>46.37</v>
          </cell>
        </row>
        <row r="87">
          <cell r="A87" t="str">
            <v>OCT</v>
          </cell>
          <cell r="B87" t="str">
            <v>Education &amp; Training</v>
          </cell>
          <cell r="C87">
            <v>41154602</v>
          </cell>
          <cell r="D87">
            <v>41154602</v>
          </cell>
          <cell r="E87">
            <v>7296079.3965999996</v>
          </cell>
          <cell r="F87">
            <v>900690.55440000002</v>
          </cell>
          <cell r="G87" t="str">
            <v>N/A</v>
          </cell>
          <cell r="H87">
            <v>0</v>
          </cell>
          <cell r="I87" t="str">
            <v>N/A</v>
          </cell>
          <cell r="J87" t="str">
            <v>N/A</v>
          </cell>
          <cell r="K87" t="str">
            <v>N/A</v>
          </cell>
          <cell r="L87" t="str">
            <v>N/A</v>
          </cell>
          <cell r="M87">
            <v>0</v>
          </cell>
          <cell r="N87" t="str">
            <v>N/A</v>
          </cell>
          <cell r="O87" t="str">
            <v>N/A</v>
          </cell>
          <cell r="P87" t="str">
            <v>N/A</v>
          </cell>
          <cell r="Q87" t="str">
            <v>N/A</v>
          </cell>
          <cell r="R87">
            <v>0</v>
          </cell>
          <cell r="S87" t="str">
            <v>N/A</v>
          </cell>
          <cell r="T87" t="str">
            <v>N/A</v>
          </cell>
          <cell r="U87" t="str">
            <v>N/A</v>
          </cell>
          <cell r="V87" t="str">
            <v>N/A</v>
          </cell>
          <cell r="W87">
            <v>0</v>
          </cell>
          <cell r="X87" t="str">
            <v>N/A</v>
          </cell>
          <cell r="Y87" t="str">
            <v>N/A</v>
          </cell>
          <cell r="Z87">
            <v>0</v>
          </cell>
          <cell r="AA87" t="str">
            <v>N/A</v>
          </cell>
          <cell r="AB87" t="str">
            <v>N/A</v>
          </cell>
          <cell r="AC87" t="str">
            <v>N/A</v>
          </cell>
        </row>
        <row r="88">
          <cell r="A88" t="str">
            <v>OCT</v>
          </cell>
          <cell r="B88" t="str">
            <v>Codes &amp; Standards</v>
          </cell>
          <cell r="C88">
            <v>4635754</v>
          </cell>
          <cell r="D88">
            <v>4635754</v>
          </cell>
          <cell r="E88">
            <v>939511.62</v>
          </cell>
          <cell r="F88">
            <v>129229.86</v>
          </cell>
          <cell r="G88" t="str">
            <v>N/A</v>
          </cell>
          <cell r="H88">
            <v>0</v>
          </cell>
          <cell r="I88" t="str">
            <v>N/A</v>
          </cell>
          <cell r="J88" t="str">
            <v>N/A</v>
          </cell>
          <cell r="K88" t="str">
            <v>N/A</v>
          </cell>
          <cell r="L88" t="str">
            <v>N/A</v>
          </cell>
          <cell r="M88">
            <v>0</v>
          </cell>
          <cell r="N88" t="str">
            <v>N/A</v>
          </cell>
          <cell r="O88" t="str">
            <v>N/A</v>
          </cell>
          <cell r="P88" t="str">
            <v>N/A</v>
          </cell>
          <cell r="Q88" t="str">
            <v>N/A</v>
          </cell>
          <cell r="R88">
            <v>0</v>
          </cell>
          <cell r="S88" t="str">
            <v>N/A</v>
          </cell>
          <cell r="T88" t="str">
            <v>N/A</v>
          </cell>
          <cell r="U88" t="str">
            <v>N/A</v>
          </cell>
          <cell r="V88" t="str">
            <v>N/A</v>
          </cell>
          <cell r="W88">
            <v>0</v>
          </cell>
          <cell r="X88" t="str">
            <v>N/A</v>
          </cell>
          <cell r="Y88" t="str">
            <v>N/A</v>
          </cell>
          <cell r="Z88">
            <v>0</v>
          </cell>
          <cell r="AA88" t="str">
            <v>N/A</v>
          </cell>
          <cell r="AB88" t="str">
            <v>N/A</v>
          </cell>
          <cell r="AC88" t="str">
            <v>N/A</v>
          </cell>
        </row>
        <row r="89">
          <cell r="A89" t="str">
            <v>OCT</v>
          </cell>
          <cell r="B89" t="str">
            <v>Emerging Technologies</v>
          </cell>
          <cell r="C89">
            <v>11260376</v>
          </cell>
          <cell r="D89">
            <v>11260376</v>
          </cell>
          <cell r="E89">
            <v>792969.61</v>
          </cell>
          <cell r="F89">
            <v>92067.39</v>
          </cell>
          <cell r="G89" t="str">
            <v>N/A</v>
          </cell>
          <cell r="H89">
            <v>0</v>
          </cell>
          <cell r="I89" t="str">
            <v>N/A</v>
          </cell>
          <cell r="J89" t="str">
            <v>N/A</v>
          </cell>
          <cell r="K89" t="str">
            <v>N/A</v>
          </cell>
          <cell r="L89" t="str">
            <v>N/A</v>
          </cell>
          <cell r="M89">
            <v>0</v>
          </cell>
          <cell r="N89" t="str">
            <v>N/A</v>
          </cell>
          <cell r="O89" t="str">
            <v>N/A</v>
          </cell>
          <cell r="P89" t="str">
            <v>N/A</v>
          </cell>
          <cell r="Q89" t="str">
            <v>N/A</v>
          </cell>
          <cell r="R89">
            <v>0</v>
          </cell>
          <cell r="S89" t="str">
            <v>N/A</v>
          </cell>
          <cell r="T89" t="str">
            <v>N/A</v>
          </cell>
          <cell r="U89" t="str">
            <v>N/A</v>
          </cell>
          <cell r="V89" t="str">
            <v>N/A</v>
          </cell>
          <cell r="W89">
            <v>0</v>
          </cell>
          <cell r="X89" t="str">
            <v>N/A</v>
          </cell>
          <cell r="Y89" t="str">
            <v>N/A</v>
          </cell>
          <cell r="Z89">
            <v>0</v>
          </cell>
          <cell r="AA89" t="str">
            <v>N/A</v>
          </cell>
          <cell r="AB89" t="str">
            <v>N/A</v>
          </cell>
          <cell r="AC89" t="str">
            <v>N/A</v>
          </cell>
        </row>
        <row r="90">
          <cell r="A90" t="str">
            <v>OCT</v>
          </cell>
          <cell r="B90" t="str">
            <v>Statewide Marketing &amp; Info</v>
          </cell>
          <cell r="C90">
            <v>26948382</v>
          </cell>
          <cell r="D90">
            <v>26948382</v>
          </cell>
          <cell r="E90">
            <v>31.590000000000298</v>
          </cell>
          <cell r="F90">
            <v>-827.13</v>
          </cell>
          <cell r="G90" t="str">
            <v>N/A</v>
          </cell>
          <cell r="H90">
            <v>0</v>
          </cell>
          <cell r="I90" t="str">
            <v>N/A</v>
          </cell>
          <cell r="J90" t="str">
            <v>N/A</v>
          </cell>
          <cell r="K90" t="str">
            <v>N/A</v>
          </cell>
          <cell r="L90" t="str">
            <v>N/A</v>
          </cell>
          <cell r="M90">
            <v>0</v>
          </cell>
          <cell r="N90" t="str">
            <v>N/A</v>
          </cell>
          <cell r="O90" t="str">
            <v>N/A</v>
          </cell>
          <cell r="P90" t="str">
            <v>N/A</v>
          </cell>
          <cell r="Q90" t="str">
            <v>N/A</v>
          </cell>
          <cell r="R90">
            <v>0</v>
          </cell>
          <cell r="S90" t="str">
            <v>N/A</v>
          </cell>
          <cell r="T90" t="str">
            <v>N/A</v>
          </cell>
          <cell r="U90" t="str">
            <v>N/A</v>
          </cell>
          <cell r="V90" t="str">
            <v>N/A</v>
          </cell>
          <cell r="W90">
            <v>0</v>
          </cell>
          <cell r="X90" t="str">
            <v>N/A</v>
          </cell>
          <cell r="Y90" t="str">
            <v>N/A</v>
          </cell>
          <cell r="Z90">
            <v>0</v>
          </cell>
          <cell r="AA90" t="str">
            <v>N/A</v>
          </cell>
          <cell r="AB90" t="str">
            <v>N/A</v>
          </cell>
          <cell r="AC90" t="str">
            <v>N/A</v>
          </cell>
        </row>
        <row r="91">
          <cell r="A91" t="str">
            <v>OCT</v>
          </cell>
          <cell r="B91" t="str">
            <v>Low Income EE (3)  (1 YR Budgets/Goals)</v>
          </cell>
          <cell r="C91">
            <v>90094498</v>
          </cell>
          <cell r="D91">
            <v>90094498</v>
          </cell>
          <cell r="E91">
            <v>68291263.909999996</v>
          </cell>
          <cell r="F91">
            <v>8032721.6799999988</v>
          </cell>
          <cell r="G91" t="str">
            <v>N/A</v>
          </cell>
          <cell r="H91">
            <v>0</v>
          </cell>
          <cell r="I91">
            <v>5551</v>
          </cell>
          <cell r="J91">
            <v>4800.8246831400002</v>
          </cell>
          <cell r="K91">
            <v>582.87790675999895</v>
          </cell>
          <cell r="L91" t="str">
            <v>N/A</v>
          </cell>
          <cell r="M91">
            <v>0</v>
          </cell>
          <cell r="N91">
            <v>26282000</v>
          </cell>
          <cell r="O91">
            <v>21879552.849999998</v>
          </cell>
          <cell r="P91">
            <v>2847883.2600000054</v>
          </cell>
          <cell r="Q91" t="str">
            <v>N/A</v>
          </cell>
          <cell r="R91">
            <v>0</v>
          </cell>
          <cell r="S91">
            <v>1370000</v>
          </cell>
          <cell r="T91">
            <v>1109436.92</v>
          </cell>
          <cell r="U91">
            <v>133973.37</v>
          </cell>
          <cell r="V91" t="str">
            <v>N/A</v>
          </cell>
          <cell r="W91">
            <v>0</v>
          </cell>
          <cell r="X91" t="str">
            <v>N/A</v>
          </cell>
          <cell r="Y91" t="str">
            <v>N/A</v>
          </cell>
          <cell r="Z91">
            <v>0</v>
          </cell>
          <cell r="AA91">
            <v>4217.9467763800012</v>
          </cell>
          <cell r="AB91">
            <v>19031669.589999992</v>
          </cell>
          <cell r="AC91">
            <v>975463.55</v>
          </cell>
        </row>
        <row r="92">
          <cell r="A92" t="str">
            <v>NOV</v>
          </cell>
          <cell r="B92" t="str">
            <v>Mass Market</v>
          </cell>
          <cell r="C92">
            <v>405857712</v>
          </cell>
          <cell r="D92">
            <v>405857712</v>
          </cell>
          <cell r="E92">
            <v>67391660.8292</v>
          </cell>
          <cell r="F92">
            <v>10159856.223600004</v>
          </cell>
          <cell r="G92">
            <v>6415905.4800000004</v>
          </cell>
          <cell r="H92">
            <v>0</v>
          </cell>
          <cell r="I92">
            <v>334053.85427348199</v>
          </cell>
          <cell r="J92">
            <v>119581.63</v>
          </cell>
          <cell r="K92">
            <v>28757.22</v>
          </cell>
          <cell r="L92">
            <v>5475.3430135999997</v>
          </cell>
          <cell r="M92">
            <v>0</v>
          </cell>
          <cell r="N92">
            <v>1728133316.3078108</v>
          </cell>
          <cell r="O92">
            <v>712281103.91999984</v>
          </cell>
          <cell r="P92">
            <v>183069007.11999977</v>
          </cell>
          <cell r="Q92">
            <v>23269994.955500003</v>
          </cell>
          <cell r="R92">
            <v>0</v>
          </cell>
          <cell r="S92">
            <v>15871656.841610486</v>
          </cell>
          <cell r="T92">
            <v>1632164.38</v>
          </cell>
          <cell r="U92">
            <v>162674.10999999999</v>
          </cell>
          <cell r="V92">
            <v>337780.93189999997</v>
          </cell>
          <cell r="W92">
            <v>0</v>
          </cell>
          <cell r="X92">
            <v>44198302.00999999</v>
          </cell>
          <cell r="Y92">
            <v>6415905.4800000004</v>
          </cell>
          <cell r="Z92">
            <v>0</v>
          </cell>
          <cell r="AA92">
            <v>90824.41</v>
          </cell>
          <cell r="AB92">
            <v>529212096.80000007</v>
          </cell>
          <cell r="AC92">
            <v>1469490.27</v>
          </cell>
        </row>
        <row r="93">
          <cell r="A93" t="str">
            <v>NOV</v>
          </cell>
          <cell r="B93" t="str">
            <v>Ag &amp; Food Processing</v>
          </cell>
          <cell r="C93">
            <v>47523134</v>
          </cell>
          <cell r="D93">
            <v>47523134</v>
          </cell>
          <cell r="E93">
            <v>4128066.4166000001</v>
          </cell>
          <cell r="F93">
            <v>950774.70529999991</v>
          </cell>
          <cell r="G93">
            <v>3463654.76</v>
          </cell>
          <cell r="H93">
            <v>0</v>
          </cell>
          <cell r="I93">
            <v>22797.08846466984</v>
          </cell>
          <cell r="J93">
            <v>2192.31</v>
          </cell>
          <cell r="K93">
            <v>261.77</v>
          </cell>
          <cell r="L93">
            <v>3108.6139999999996</v>
          </cell>
          <cell r="M93">
            <v>0</v>
          </cell>
          <cell r="N93">
            <v>164346860.9940128</v>
          </cell>
          <cell r="O93">
            <v>7193432.6100000003</v>
          </cell>
          <cell r="P93">
            <v>2343083.65</v>
          </cell>
          <cell r="Q93">
            <v>17622189.770999998</v>
          </cell>
          <cell r="R93">
            <v>0</v>
          </cell>
          <cell r="S93">
            <v>3082951.7327311719</v>
          </cell>
          <cell r="T93">
            <v>301417.74</v>
          </cell>
          <cell r="U93">
            <v>204933.24</v>
          </cell>
          <cell r="V93">
            <v>1684693.88</v>
          </cell>
          <cell r="W93">
            <v>0</v>
          </cell>
          <cell r="X93">
            <v>1010857.47</v>
          </cell>
          <cell r="Y93">
            <v>3463654.76</v>
          </cell>
          <cell r="Z93">
            <v>0</v>
          </cell>
          <cell r="AA93">
            <v>1930.54</v>
          </cell>
          <cell r="AB93">
            <v>4850348.96</v>
          </cell>
          <cell r="AC93">
            <v>96484.5</v>
          </cell>
        </row>
        <row r="94">
          <cell r="A94" t="str">
            <v>NOV</v>
          </cell>
          <cell r="B94" t="str">
            <v>Schools &amp; Colleges</v>
          </cell>
          <cell r="C94">
            <v>47568591</v>
          </cell>
          <cell r="D94">
            <v>47568591</v>
          </cell>
          <cell r="E94">
            <v>2550104.7418</v>
          </cell>
          <cell r="F94">
            <v>550067.83689999999</v>
          </cell>
          <cell r="G94">
            <v>2799649.3</v>
          </cell>
          <cell r="H94">
            <v>0</v>
          </cell>
          <cell r="I94">
            <v>28892.278794176014</v>
          </cell>
          <cell r="J94">
            <v>134.11000000000001</v>
          </cell>
          <cell r="K94">
            <v>18.2</v>
          </cell>
          <cell r="L94">
            <v>2666.0880000000002</v>
          </cell>
          <cell r="M94">
            <v>0</v>
          </cell>
          <cell r="N94">
            <v>128046825.56012681</v>
          </cell>
          <cell r="O94">
            <v>307728.65999999997</v>
          </cell>
          <cell r="P94">
            <v>9779</v>
          </cell>
          <cell r="Q94">
            <v>8465101.1280000005</v>
          </cell>
          <cell r="R94">
            <v>0</v>
          </cell>
          <cell r="S94">
            <v>2635794.0523105087</v>
          </cell>
          <cell r="T94">
            <v>-9.14</v>
          </cell>
          <cell r="U94">
            <v>29.4</v>
          </cell>
          <cell r="V94">
            <v>454939.28</v>
          </cell>
          <cell r="W94">
            <v>0</v>
          </cell>
          <cell r="X94">
            <v>256685.41</v>
          </cell>
          <cell r="Y94">
            <v>2799649.3</v>
          </cell>
          <cell r="Z94">
            <v>0</v>
          </cell>
          <cell r="AA94">
            <v>115.91</v>
          </cell>
          <cell r="AB94">
            <v>297949.65999999997</v>
          </cell>
          <cell r="AC94">
            <v>-38.54</v>
          </cell>
        </row>
        <row r="95">
          <cell r="A95" t="str">
            <v>NOV</v>
          </cell>
          <cell r="B95" t="str">
            <v>Retail Stores</v>
          </cell>
          <cell r="C95">
            <v>20850872</v>
          </cell>
          <cell r="D95">
            <v>20850872</v>
          </cell>
          <cell r="E95">
            <v>2082988.1972000001</v>
          </cell>
          <cell r="F95">
            <v>775091.2476</v>
          </cell>
          <cell r="G95">
            <v>283813.69</v>
          </cell>
          <cell r="H95">
            <v>0</v>
          </cell>
          <cell r="I95">
            <v>21271.596533140018</v>
          </cell>
          <cell r="J95">
            <v>567.29</v>
          </cell>
          <cell r="K95">
            <v>436.91</v>
          </cell>
          <cell r="L95">
            <v>634.41199999999992</v>
          </cell>
          <cell r="M95">
            <v>0</v>
          </cell>
          <cell r="N95">
            <v>125946107.22913301</v>
          </cell>
          <cell r="O95">
            <v>1521522.74</v>
          </cell>
          <cell r="P95">
            <v>770511.04</v>
          </cell>
          <cell r="Q95">
            <v>2850685.176</v>
          </cell>
          <cell r="R95">
            <v>0</v>
          </cell>
          <cell r="S95">
            <v>17583.588</v>
          </cell>
          <cell r="T95">
            <v>3543.35</v>
          </cell>
          <cell r="U95">
            <v>58.509999999999764</v>
          </cell>
          <cell r="V95">
            <v>825.7</v>
          </cell>
          <cell r="W95">
            <v>0</v>
          </cell>
          <cell r="X95">
            <v>144624.71</v>
          </cell>
          <cell r="Y95">
            <v>283813.69</v>
          </cell>
          <cell r="Z95">
            <v>0</v>
          </cell>
          <cell r="AA95">
            <v>130.38</v>
          </cell>
          <cell r="AB95">
            <v>751011.7</v>
          </cell>
          <cell r="AC95">
            <v>3484.84</v>
          </cell>
        </row>
        <row r="96">
          <cell r="A96" t="str">
            <v>NOV</v>
          </cell>
          <cell r="B96" t="str">
            <v>Fab, Prcss &amp; Hvy Indl Mfg</v>
          </cell>
          <cell r="C96">
            <v>121849249</v>
          </cell>
          <cell r="D96">
            <v>121849249</v>
          </cell>
          <cell r="E96">
            <v>5530647.4443999995</v>
          </cell>
          <cell r="F96">
            <v>1546251.8752000001</v>
          </cell>
          <cell r="G96">
            <v>10409649.98</v>
          </cell>
          <cell r="H96">
            <v>0</v>
          </cell>
          <cell r="I96">
            <v>69225.227525006732</v>
          </cell>
          <cell r="J96">
            <v>1671.11</v>
          </cell>
          <cell r="K96">
            <v>1130.8699999999999</v>
          </cell>
          <cell r="L96">
            <v>10558.698</v>
          </cell>
          <cell r="M96">
            <v>0</v>
          </cell>
          <cell r="N96">
            <v>475376401.45399302</v>
          </cell>
          <cell r="O96">
            <v>14180391.530000001</v>
          </cell>
          <cell r="P96">
            <v>9994318.4000000022</v>
          </cell>
          <cell r="Q96">
            <v>98060853.628000021</v>
          </cell>
          <cell r="R96">
            <v>0</v>
          </cell>
          <cell r="S96">
            <v>18198035.099455945</v>
          </cell>
          <cell r="T96">
            <v>1414176.6</v>
          </cell>
          <cell r="U96">
            <v>1746.5600000000559</v>
          </cell>
          <cell r="V96">
            <v>4915533.7439999999</v>
          </cell>
          <cell r="W96">
            <v>0</v>
          </cell>
          <cell r="X96">
            <v>2240772.9700000002</v>
          </cell>
          <cell r="Y96">
            <v>10409649.98</v>
          </cell>
          <cell r="Z96">
            <v>0</v>
          </cell>
          <cell r="AA96">
            <v>540.24</v>
          </cell>
          <cell r="AB96">
            <v>4186073.13</v>
          </cell>
          <cell r="AC96">
            <v>1412430.04</v>
          </cell>
        </row>
        <row r="97">
          <cell r="A97" t="str">
            <v>NOV</v>
          </cell>
          <cell r="B97" t="str">
            <v>Hi-Tech Facilities</v>
          </cell>
          <cell r="C97">
            <v>11759803</v>
          </cell>
          <cell r="D97">
            <v>11759803</v>
          </cell>
          <cell r="E97">
            <v>1759342.7905999997</v>
          </cell>
          <cell r="F97">
            <v>271645.31230000005</v>
          </cell>
          <cell r="G97">
            <v>1366150.31</v>
          </cell>
          <cell r="H97">
            <v>0</v>
          </cell>
          <cell r="I97">
            <v>6532.0886490478697</v>
          </cell>
          <cell r="J97">
            <v>155.97999999999999</v>
          </cell>
          <cell r="K97">
            <v>14.12</v>
          </cell>
          <cell r="L97">
            <v>1828.6489999999999</v>
          </cell>
          <cell r="M97">
            <v>0</v>
          </cell>
          <cell r="N97">
            <v>44364926.587099597</v>
          </cell>
          <cell r="O97">
            <v>1567046.57</v>
          </cell>
          <cell r="P97">
            <v>160297.99</v>
          </cell>
          <cell r="Q97">
            <v>21352669.561000001</v>
          </cell>
          <cell r="R97">
            <v>0</v>
          </cell>
          <cell r="S97">
            <v>25523.813309561065</v>
          </cell>
          <cell r="T97">
            <v>11088</v>
          </cell>
          <cell r="U97">
            <v>0</v>
          </cell>
          <cell r="V97">
            <v>226731.95</v>
          </cell>
          <cell r="W97">
            <v>0</v>
          </cell>
          <cell r="X97">
            <v>177019.61</v>
          </cell>
          <cell r="Y97">
            <v>1366150.31</v>
          </cell>
          <cell r="Z97">
            <v>0</v>
          </cell>
          <cell r="AA97">
            <v>141.86000000000001</v>
          </cell>
          <cell r="AB97">
            <v>1406748.58</v>
          </cell>
          <cell r="AC97">
            <v>11088</v>
          </cell>
        </row>
        <row r="98">
          <cell r="A98" t="str">
            <v>NOV</v>
          </cell>
          <cell r="B98" t="str">
            <v>Medical Facilities</v>
          </cell>
          <cell r="C98">
            <v>21407152</v>
          </cell>
          <cell r="D98">
            <v>21407152</v>
          </cell>
          <cell r="E98">
            <v>757341.75120000006</v>
          </cell>
          <cell r="F98">
            <v>78588.584600000017</v>
          </cell>
          <cell r="G98">
            <v>420616.44</v>
          </cell>
          <cell r="H98">
            <v>0</v>
          </cell>
          <cell r="I98">
            <v>27753.153177169657</v>
          </cell>
          <cell r="J98">
            <v>0</v>
          </cell>
          <cell r="K98">
            <v>0</v>
          </cell>
          <cell r="L98">
            <v>277.79800000000006</v>
          </cell>
          <cell r="M98">
            <v>0</v>
          </cell>
          <cell r="N98">
            <v>68661112.057484001</v>
          </cell>
          <cell r="O98">
            <v>0</v>
          </cell>
          <cell r="P98">
            <v>0</v>
          </cell>
          <cell r="Q98">
            <v>2174455.56</v>
          </cell>
          <cell r="R98">
            <v>0</v>
          </cell>
          <cell r="S98">
            <v>494605</v>
          </cell>
          <cell r="T98">
            <v>0</v>
          </cell>
          <cell r="U98">
            <v>0</v>
          </cell>
          <cell r="V98">
            <v>8059.8</v>
          </cell>
          <cell r="W98">
            <v>0</v>
          </cell>
          <cell r="X98">
            <v>0</v>
          </cell>
          <cell r="Y98">
            <v>420616.44</v>
          </cell>
          <cell r="Z98">
            <v>0</v>
          </cell>
          <cell r="AA98">
            <v>0</v>
          </cell>
          <cell r="AB98">
            <v>0</v>
          </cell>
          <cell r="AC98">
            <v>0</v>
          </cell>
        </row>
        <row r="99">
          <cell r="A99" t="str">
            <v>NOV</v>
          </cell>
          <cell r="B99" t="str">
            <v>Large Commercial</v>
          </cell>
          <cell r="C99">
            <v>68595302</v>
          </cell>
          <cell r="D99">
            <v>68595302</v>
          </cell>
          <cell r="E99">
            <v>4591858.4023999991</v>
          </cell>
          <cell r="F99">
            <v>1057182.8391999998</v>
          </cell>
          <cell r="G99">
            <v>2094277.94</v>
          </cell>
          <cell r="H99">
            <v>0</v>
          </cell>
          <cell r="I99">
            <v>73838.296918087362</v>
          </cell>
          <cell r="J99">
            <v>671.49</v>
          </cell>
          <cell r="K99">
            <v>220.65</v>
          </cell>
          <cell r="L99">
            <v>2662.9490000000001</v>
          </cell>
          <cell r="M99">
            <v>0</v>
          </cell>
          <cell r="N99">
            <v>219609296.0400379</v>
          </cell>
          <cell r="O99">
            <v>4426696.3499999996</v>
          </cell>
          <cell r="P99">
            <v>1106110.82</v>
          </cell>
          <cell r="Q99">
            <v>16828186.783999998</v>
          </cell>
          <cell r="R99">
            <v>0</v>
          </cell>
          <cell r="S99">
            <v>2224825.1578322467</v>
          </cell>
          <cell r="T99">
            <v>8984.06</v>
          </cell>
          <cell r="U99">
            <v>5064.76</v>
          </cell>
          <cell r="V99">
            <v>46401.68</v>
          </cell>
          <cell r="W99">
            <v>0</v>
          </cell>
          <cell r="X99">
            <v>838482.27</v>
          </cell>
          <cell r="Y99">
            <v>2094277.94</v>
          </cell>
          <cell r="Z99">
            <v>0</v>
          </cell>
          <cell r="AA99">
            <v>450.84</v>
          </cell>
          <cell r="AB99">
            <v>3320585.53</v>
          </cell>
          <cell r="AC99">
            <v>3919.3</v>
          </cell>
        </row>
        <row r="100">
          <cell r="A100" t="str">
            <v>NOV</v>
          </cell>
          <cell r="B100" t="str">
            <v>Hospitality Facilities</v>
          </cell>
          <cell r="C100">
            <v>11793097</v>
          </cell>
          <cell r="D100">
            <v>11793097</v>
          </cell>
          <cell r="E100">
            <v>1172656.2930000001</v>
          </cell>
          <cell r="F100">
            <v>105022.65150000001</v>
          </cell>
          <cell r="G100">
            <v>170246.39</v>
          </cell>
          <cell r="H100">
            <v>0</v>
          </cell>
          <cell r="I100">
            <v>7577.0826254285475</v>
          </cell>
          <cell r="J100">
            <v>40.4</v>
          </cell>
          <cell r="K100">
            <v>17.579999999999998</v>
          </cell>
          <cell r="L100">
            <v>71.984999999999999</v>
          </cell>
          <cell r="M100">
            <v>0</v>
          </cell>
          <cell r="N100">
            <v>37330060.295922801</v>
          </cell>
          <cell r="O100">
            <v>277420.71999999997</v>
          </cell>
          <cell r="P100">
            <v>136029.34</v>
          </cell>
          <cell r="Q100">
            <v>1128932.4409999999</v>
          </cell>
          <cell r="R100">
            <v>0</v>
          </cell>
          <cell r="S100">
            <v>33302.25</v>
          </cell>
          <cell r="T100">
            <v>2813.49</v>
          </cell>
          <cell r="U100">
            <v>1137.55</v>
          </cell>
          <cell r="V100">
            <v>41279.919999999998</v>
          </cell>
          <cell r="W100">
            <v>0</v>
          </cell>
          <cell r="X100">
            <v>38021.26</v>
          </cell>
          <cell r="Y100">
            <v>170246.39</v>
          </cell>
          <cell r="Z100">
            <v>0</v>
          </cell>
          <cell r="AA100">
            <v>22.82</v>
          </cell>
          <cell r="AB100">
            <v>141391.38</v>
          </cell>
          <cell r="AC100">
            <v>1675.94</v>
          </cell>
        </row>
        <row r="101">
          <cell r="A101" t="str">
            <v>NOV</v>
          </cell>
          <cell r="B101" t="str">
            <v>Res New Construction</v>
          </cell>
          <cell r="C101">
            <v>26264217</v>
          </cell>
          <cell r="D101">
            <v>26264217</v>
          </cell>
          <cell r="E101">
            <v>1990262.4524000003</v>
          </cell>
          <cell r="F101">
            <v>113027.77919999999</v>
          </cell>
          <cell r="G101">
            <v>2577925</v>
          </cell>
          <cell r="H101">
            <v>0</v>
          </cell>
          <cell r="I101">
            <v>9015.1305056540205</v>
          </cell>
          <cell r="J101">
            <v>38.770000000000003</v>
          </cell>
          <cell r="K101">
            <v>24.12</v>
          </cell>
          <cell r="L101">
            <v>1206.2935696000002</v>
          </cell>
          <cell r="M101">
            <v>0</v>
          </cell>
          <cell r="N101">
            <v>13357136.488374671</v>
          </cell>
          <cell r="O101">
            <v>36762.400000000001</v>
          </cell>
          <cell r="P101">
            <v>22461.599999999999</v>
          </cell>
          <cell r="Q101">
            <v>1659011.2</v>
          </cell>
          <cell r="R101">
            <v>0</v>
          </cell>
          <cell r="S101">
            <v>2454487.1347570699</v>
          </cell>
          <cell r="T101">
            <v>7798.98</v>
          </cell>
          <cell r="U101">
            <v>4624</v>
          </cell>
          <cell r="V101">
            <v>449065.6</v>
          </cell>
          <cell r="W101">
            <v>0</v>
          </cell>
          <cell r="X101">
            <v>168305</v>
          </cell>
          <cell r="Y101">
            <v>2577925</v>
          </cell>
          <cell r="Z101">
            <v>0</v>
          </cell>
          <cell r="AA101">
            <v>14.65</v>
          </cell>
          <cell r="AB101">
            <v>14300.8</v>
          </cell>
          <cell r="AC101">
            <v>3174.98</v>
          </cell>
        </row>
        <row r="102">
          <cell r="A102" t="str">
            <v>NOV</v>
          </cell>
          <cell r="B102" t="str">
            <v>Education &amp; Training</v>
          </cell>
          <cell r="C102">
            <v>41154602</v>
          </cell>
          <cell r="D102">
            <v>41154602</v>
          </cell>
          <cell r="E102">
            <v>8447311.8112000003</v>
          </cell>
          <cell r="F102">
            <v>1151232.4146</v>
          </cell>
          <cell r="G102" t="str">
            <v>N/A</v>
          </cell>
          <cell r="H102">
            <v>0</v>
          </cell>
          <cell r="I102" t="str">
            <v>N/A</v>
          </cell>
          <cell r="J102" t="str">
            <v>N/A</v>
          </cell>
          <cell r="K102" t="str">
            <v>N/A</v>
          </cell>
          <cell r="L102" t="str">
            <v>N/A</v>
          </cell>
          <cell r="M102">
            <v>0</v>
          </cell>
          <cell r="N102" t="str">
            <v>N/A</v>
          </cell>
          <cell r="O102" t="str">
            <v>N/A</v>
          </cell>
          <cell r="P102" t="str">
            <v>N/A</v>
          </cell>
          <cell r="Q102" t="str">
            <v>N/A</v>
          </cell>
          <cell r="R102">
            <v>0</v>
          </cell>
          <cell r="S102" t="str">
            <v>N/A</v>
          </cell>
          <cell r="T102" t="str">
            <v>N/A</v>
          </cell>
          <cell r="U102" t="str">
            <v>N/A</v>
          </cell>
          <cell r="V102" t="str">
            <v>N/A</v>
          </cell>
          <cell r="W102">
            <v>0</v>
          </cell>
          <cell r="X102" t="str">
            <v>N/A</v>
          </cell>
          <cell r="Y102" t="str">
            <v>N/A</v>
          </cell>
          <cell r="Z102">
            <v>0</v>
          </cell>
          <cell r="AA102" t="str">
            <v>N/A</v>
          </cell>
          <cell r="AB102" t="str">
            <v>N/A</v>
          </cell>
          <cell r="AC102" t="str">
            <v>N/A</v>
          </cell>
        </row>
        <row r="103">
          <cell r="A103" t="str">
            <v>NOV</v>
          </cell>
          <cell r="B103" t="str">
            <v>Codes &amp; Standards</v>
          </cell>
          <cell r="C103">
            <v>4635754</v>
          </cell>
          <cell r="D103">
            <v>4635754</v>
          </cell>
          <cell r="E103">
            <v>1070394.8400000001</v>
          </cell>
          <cell r="F103">
            <v>130883.22</v>
          </cell>
          <cell r="G103" t="str">
            <v>N/A</v>
          </cell>
          <cell r="H103">
            <v>0</v>
          </cell>
          <cell r="I103" t="str">
            <v>N/A</v>
          </cell>
          <cell r="J103" t="str">
            <v>N/A</v>
          </cell>
          <cell r="K103" t="str">
            <v>N/A</v>
          </cell>
          <cell r="L103" t="str">
            <v>N/A</v>
          </cell>
          <cell r="M103">
            <v>0</v>
          </cell>
          <cell r="N103" t="str">
            <v>N/A</v>
          </cell>
          <cell r="O103" t="str">
            <v>N/A</v>
          </cell>
          <cell r="P103" t="str">
            <v>N/A</v>
          </cell>
          <cell r="Q103" t="str">
            <v>N/A</v>
          </cell>
          <cell r="R103">
            <v>0</v>
          </cell>
          <cell r="S103" t="str">
            <v>N/A</v>
          </cell>
          <cell r="T103" t="str">
            <v>N/A</v>
          </cell>
          <cell r="U103" t="str">
            <v>N/A</v>
          </cell>
          <cell r="V103" t="str">
            <v>N/A</v>
          </cell>
          <cell r="W103">
            <v>0</v>
          </cell>
          <cell r="X103" t="str">
            <v>N/A</v>
          </cell>
          <cell r="Y103" t="str">
            <v>N/A</v>
          </cell>
          <cell r="Z103">
            <v>0</v>
          </cell>
          <cell r="AA103" t="str">
            <v>N/A</v>
          </cell>
          <cell r="AB103" t="str">
            <v>N/A</v>
          </cell>
          <cell r="AC103" t="str">
            <v>N/A</v>
          </cell>
        </row>
        <row r="104">
          <cell r="A104" t="str">
            <v>NOV</v>
          </cell>
          <cell r="B104" t="str">
            <v>Emerging Technologies</v>
          </cell>
          <cell r="C104">
            <v>11260376</v>
          </cell>
          <cell r="D104">
            <v>11260376</v>
          </cell>
          <cell r="E104">
            <v>909850.23</v>
          </cell>
          <cell r="F104">
            <v>116880.62</v>
          </cell>
          <cell r="G104" t="str">
            <v>N/A</v>
          </cell>
          <cell r="H104">
            <v>0</v>
          </cell>
          <cell r="I104" t="str">
            <v>N/A</v>
          </cell>
          <cell r="J104" t="str">
            <v>N/A</v>
          </cell>
          <cell r="K104" t="str">
            <v>N/A</v>
          </cell>
          <cell r="L104" t="str">
            <v>N/A</v>
          </cell>
          <cell r="M104">
            <v>0</v>
          </cell>
          <cell r="N104" t="str">
            <v>N/A</v>
          </cell>
          <cell r="O104" t="str">
            <v>N/A</v>
          </cell>
          <cell r="P104" t="str">
            <v>N/A</v>
          </cell>
          <cell r="Q104" t="str">
            <v>N/A</v>
          </cell>
          <cell r="R104">
            <v>0</v>
          </cell>
          <cell r="S104" t="str">
            <v>N/A</v>
          </cell>
          <cell r="T104" t="str">
            <v>N/A</v>
          </cell>
          <cell r="U104" t="str">
            <v>N/A</v>
          </cell>
          <cell r="V104" t="str">
            <v>N/A</v>
          </cell>
          <cell r="W104">
            <v>0</v>
          </cell>
          <cell r="X104" t="str">
            <v>N/A</v>
          </cell>
          <cell r="Y104" t="str">
            <v>N/A</v>
          </cell>
          <cell r="Z104">
            <v>0</v>
          </cell>
          <cell r="AA104" t="str">
            <v>N/A</v>
          </cell>
          <cell r="AB104" t="str">
            <v>N/A</v>
          </cell>
          <cell r="AC104" t="str">
            <v>N/A</v>
          </cell>
        </row>
        <row r="105">
          <cell r="A105" t="str">
            <v>NOV</v>
          </cell>
          <cell r="B105" t="str">
            <v>Statewide Marketing &amp; Info</v>
          </cell>
          <cell r="C105">
            <v>26948382</v>
          </cell>
          <cell r="D105">
            <v>26948382</v>
          </cell>
          <cell r="E105">
            <v>31.59</v>
          </cell>
          <cell r="F105">
            <v>0</v>
          </cell>
          <cell r="G105" t="str">
            <v>N/A</v>
          </cell>
          <cell r="H105">
            <v>0</v>
          </cell>
          <cell r="I105" t="str">
            <v>N/A</v>
          </cell>
          <cell r="J105" t="str">
            <v>N/A</v>
          </cell>
          <cell r="K105" t="str">
            <v>N/A</v>
          </cell>
          <cell r="L105" t="str">
            <v>N/A</v>
          </cell>
          <cell r="M105">
            <v>0</v>
          </cell>
          <cell r="N105" t="str">
            <v>N/A</v>
          </cell>
          <cell r="O105" t="str">
            <v>N/A</v>
          </cell>
          <cell r="P105" t="str">
            <v>N/A</v>
          </cell>
          <cell r="Q105" t="str">
            <v>N/A</v>
          </cell>
          <cell r="R105">
            <v>0</v>
          </cell>
          <cell r="S105" t="str">
            <v>N/A</v>
          </cell>
          <cell r="T105" t="str">
            <v>N/A</v>
          </cell>
          <cell r="U105" t="str">
            <v>N/A</v>
          </cell>
          <cell r="V105" t="str">
            <v>N/A</v>
          </cell>
          <cell r="W105">
            <v>0</v>
          </cell>
          <cell r="X105" t="str">
            <v>N/A</v>
          </cell>
          <cell r="Y105" t="str">
            <v>N/A</v>
          </cell>
          <cell r="Z105">
            <v>0</v>
          </cell>
          <cell r="AA105" t="str">
            <v>N/A</v>
          </cell>
          <cell r="AB105" t="str">
            <v>N/A</v>
          </cell>
          <cell r="AC105" t="str">
            <v>N/A</v>
          </cell>
        </row>
        <row r="106">
          <cell r="A106" t="str">
            <v>NOV</v>
          </cell>
          <cell r="B106" t="str">
            <v>Low Income EE (3)  (1 YR Budgets/Goals)</v>
          </cell>
          <cell r="C106">
            <v>90094498</v>
          </cell>
          <cell r="D106">
            <v>90094498</v>
          </cell>
          <cell r="E106">
            <v>74998760.829999998</v>
          </cell>
          <cell r="F106">
            <v>6707496.9200000009</v>
          </cell>
          <cell r="G106" t="str">
            <v>N/A</v>
          </cell>
          <cell r="H106">
            <v>0</v>
          </cell>
          <cell r="I106">
            <v>5551</v>
          </cell>
          <cell r="J106">
            <v>5179.7727630100007</v>
          </cell>
          <cell r="K106">
            <v>378.94807987000058</v>
          </cell>
          <cell r="L106" t="str">
            <v>N/A</v>
          </cell>
          <cell r="M106">
            <v>0</v>
          </cell>
          <cell r="N106">
            <v>26282000</v>
          </cell>
          <cell r="O106">
            <v>23791394.990000002</v>
          </cell>
          <cell r="P106">
            <v>1911842.14</v>
          </cell>
          <cell r="Q106" t="str">
            <v>N/A</v>
          </cell>
          <cell r="R106">
            <v>0</v>
          </cell>
          <cell r="S106">
            <v>1370000</v>
          </cell>
          <cell r="T106">
            <v>1200944.03</v>
          </cell>
          <cell r="U106">
            <v>91507.10999999987</v>
          </cell>
          <cell r="V106" t="str">
            <v>N/A</v>
          </cell>
          <cell r="W106">
            <v>0</v>
          </cell>
          <cell r="X106" t="str">
            <v>N/A</v>
          </cell>
          <cell r="Y106" t="str">
            <v>N/A</v>
          </cell>
          <cell r="Z106">
            <v>0</v>
          </cell>
          <cell r="AA106">
            <v>4800.8246831400002</v>
          </cell>
          <cell r="AB106">
            <v>21879552.849999998</v>
          </cell>
          <cell r="AC106">
            <v>1109436.92</v>
          </cell>
        </row>
        <row r="107">
          <cell r="A107" t="str">
            <v>DEC</v>
          </cell>
          <cell r="B107" t="str">
            <v>Mass Market</v>
          </cell>
          <cell r="C107">
            <v>405857712</v>
          </cell>
          <cell r="D107">
            <v>405857712</v>
          </cell>
          <cell r="E107">
            <v>83705229.187600002</v>
          </cell>
          <cell r="F107">
            <v>16313568.358399998</v>
          </cell>
          <cell r="G107">
            <v>5635371.4000000004</v>
          </cell>
          <cell r="H107">
            <v>0</v>
          </cell>
          <cell r="I107">
            <v>334053.85427348199</v>
          </cell>
          <cell r="J107">
            <v>134550.84813269999</v>
          </cell>
          <cell r="K107">
            <v>14969.218132699985</v>
          </cell>
          <cell r="L107">
            <v>3818.0863101</v>
          </cell>
          <cell r="M107">
            <v>0</v>
          </cell>
          <cell r="N107">
            <v>1728133316.3078108</v>
          </cell>
          <cell r="O107">
            <v>787764525.20319998</v>
          </cell>
          <cell r="P107">
            <v>75483421.283200145</v>
          </cell>
          <cell r="Q107">
            <v>18481395.405099999</v>
          </cell>
          <cell r="R107">
            <v>0</v>
          </cell>
          <cell r="S107">
            <v>15871656.841610486</v>
          </cell>
          <cell r="T107">
            <v>3054884.9718999998</v>
          </cell>
          <cell r="U107">
            <v>1422720.5918999999</v>
          </cell>
          <cell r="V107">
            <v>91714.428799999994</v>
          </cell>
          <cell r="W107">
            <v>0</v>
          </cell>
          <cell r="X107">
            <v>52171257.509999998</v>
          </cell>
          <cell r="Y107">
            <v>5635371.4000000004</v>
          </cell>
          <cell r="Z107">
            <v>0</v>
          </cell>
          <cell r="AA107">
            <v>119581.63</v>
          </cell>
          <cell r="AB107">
            <v>712281103.91999984</v>
          </cell>
          <cell r="AC107">
            <v>1632164.38</v>
          </cell>
        </row>
        <row r="108">
          <cell r="A108" t="str">
            <v>DEC</v>
          </cell>
          <cell r="B108" t="str">
            <v>Ag &amp; Food Processing</v>
          </cell>
          <cell r="C108">
            <v>47523134</v>
          </cell>
          <cell r="D108">
            <v>47523134</v>
          </cell>
          <cell r="E108">
            <v>6374090.0773</v>
          </cell>
          <cell r="F108">
            <v>2246023.6607000004</v>
          </cell>
          <cell r="G108">
            <v>3187790.57</v>
          </cell>
          <cell r="H108">
            <v>0</v>
          </cell>
          <cell r="I108">
            <v>22797.08846466984</v>
          </cell>
          <cell r="J108">
            <v>3307.567</v>
          </cell>
          <cell r="K108">
            <v>1115.2570000000001</v>
          </cell>
          <cell r="L108">
            <v>3512.3609999999999</v>
          </cell>
          <cell r="M108">
            <v>0</v>
          </cell>
          <cell r="N108">
            <v>164346860.9940128</v>
          </cell>
          <cell r="O108">
            <v>10418546.109999999</v>
          </cell>
          <cell r="P108">
            <v>3225113.5</v>
          </cell>
          <cell r="Q108">
            <v>21501861.487</v>
          </cell>
          <cell r="R108">
            <v>0</v>
          </cell>
          <cell r="S108">
            <v>3082951.7327311719</v>
          </cell>
          <cell r="T108">
            <v>1320746.1399999999</v>
          </cell>
          <cell r="U108">
            <v>1019328.4</v>
          </cell>
          <cell r="V108">
            <v>1101306.22</v>
          </cell>
          <cell r="W108">
            <v>0</v>
          </cell>
          <cell r="X108">
            <v>2206246.11</v>
          </cell>
          <cell r="Y108">
            <v>3187790.57</v>
          </cell>
          <cell r="Z108">
            <v>0</v>
          </cell>
          <cell r="AA108">
            <v>2192.31</v>
          </cell>
          <cell r="AB108">
            <v>7193432.6100000003</v>
          </cell>
          <cell r="AC108">
            <v>301417.74</v>
          </cell>
        </row>
        <row r="109">
          <cell r="A109" t="str">
            <v>DEC</v>
          </cell>
          <cell r="B109" t="str">
            <v>Schools &amp; Colleges</v>
          </cell>
          <cell r="C109">
            <v>47568591</v>
          </cell>
          <cell r="D109">
            <v>47568591</v>
          </cell>
          <cell r="E109">
            <v>4516542.9128999999</v>
          </cell>
          <cell r="F109">
            <v>1966438.1711000002</v>
          </cell>
          <cell r="G109">
            <v>3043061.19</v>
          </cell>
          <cell r="H109">
            <v>0</v>
          </cell>
          <cell r="I109">
            <v>28892.278794176014</v>
          </cell>
          <cell r="J109">
            <v>298.20499999999998</v>
          </cell>
          <cell r="K109">
            <v>164.095</v>
          </cell>
          <cell r="L109">
            <v>3935.1039999999998</v>
          </cell>
          <cell r="M109">
            <v>0</v>
          </cell>
          <cell r="N109">
            <v>128046825.56012681</v>
          </cell>
          <cell r="O109">
            <v>1441889.26</v>
          </cell>
          <cell r="P109">
            <v>1134160.6000000001</v>
          </cell>
          <cell r="Q109">
            <v>9117320.1279999986</v>
          </cell>
          <cell r="R109">
            <v>0</v>
          </cell>
          <cell r="S109">
            <v>2635794.0523105087</v>
          </cell>
          <cell r="T109">
            <v>80034.86</v>
          </cell>
          <cell r="U109">
            <v>80044</v>
          </cell>
          <cell r="V109">
            <v>462348.36</v>
          </cell>
          <cell r="W109">
            <v>0</v>
          </cell>
          <cell r="X109">
            <v>874642.96</v>
          </cell>
          <cell r="Y109">
            <v>3043061.19</v>
          </cell>
          <cell r="Z109">
            <v>0</v>
          </cell>
          <cell r="AA109">
            <v>134.11000000000001</v>
          </cell>
          <cell r="AB109">
            <v>307728.65999999997</v>
          </cell>
          <cell r="AC109">
            <v>-9.14</v>
          </cell>
        </row>
        <row r="110">
          <cell r="A110" t="str">
            <v>DEC</v>
          </cell>
          <cell r="B110" t="str">
            <v>Retail Stores</v>
          </cell>
          <cell r="C110">
            <v>20850872</v>
          </cell>
          <cell r="D110">
            <v>20850872</v>
          </cell>
          <cell r="E110">
            <v>3142025.6816000002</v>
          </cell>
          <cell r="F110">
            <v>1059037.4844000002</v>
          </cell>
          <cell r="G110">
            <v>272074.81</v>
          </cell>
          <cell r="H110">
            <v>0</v>
          </cell>
          <cell r="I110">
            <v>21271.596533140018</v>
          </cell>
          <cell r="J110">
            <v>796.04600000000005</v>
          </cell>
          <cell r="K110">
            <v>228.75600000000009</v>
          </cell>
          <cell r="L110">
            <v>529.43200000000002</v>
          </cell>
          <cell r="M110">
            <v>0</v>
          </cell>
          <cell r="N110">
            <v>125946107.22913301</v>
          </cell>
          <cell r="O110">
            <v>2115449.2000000002</v>
          </cell>
          <cell r="P110">
            <v>593926.46</v>
          </cell>
          <cell r="Q110">
            <v>3370742.1289999997</v>
          </cell>
          <cell r="R110">
            <v>0</v>
          </cell>
          <cell r="S110">
            <v>17583.588</v>
          </cell>
          <cell r="T110">
            <v>6986.51</v>
          </cell>
          <cell r="U110">
            <v>3443.16</v>
          </cell>
          <cell r="V110">
            <v>1183.22</v>
          </cell>
          <cell r="W110">
            <v>0</v>
          </cell>
          <cell r="X110">
            <v>258388.52</v>
          </cell>
          <cell r="Y110">
            <v>272074.81</v>
          </cell>
          <cell r="Z110">
            <v>0</v>
          </cell>
          <cell r="AA110">
            <v>567.29</v>
          </cell>
          <cell r="AB110">
            <v>1521522.74</v>
          </cell>
          <cell r="AC110">
            <v>3543.35</v>
          </cell>
        </row>
        <row r="111">
          <cell r="A111" t="str">
            <v>DEC</v>
          </cell>
          <cell r="B111" t="str">
            <v>Fab, Prcss &amp; Hvy Indl Mfg</v>
          </cell>
          <cell r="C111">
            <v>121849249</v>
          </cell>
          <cell r="D111">
            <v>121849249</v>
          </cell>
          <cell r="E111">
            <v>10314198.5132</v>
          </cell>
          <cell r="F111">
            <v>4783551.0687999995</v>
          </cell>
          <cell r="G111">
            <v>8823807.8800000008</v>
          </cell>
          <cell r="H111">
            <v>0</v>
          </cell>
          <cell r="I111">
            <v>69225.227525006732</v>
          </cell>
          <cell r="J111">
            <v>3771.4679999999998</v>
          </cell>
          <cell r="K111">
            <v>2100.3580000000002</v>
          </cell>
          <cell r="L111">
            <v>8550.5370000000003</v>
          </cell>
          <cell r="M111">
            <v>0</v>
          </cell>
          <cell r="N111">
            <v>475376401.45399302</v>
          </cell>
          <cell r="O111">
            <v>34448673.093999997</v>
          </cell>
          <cell r="P111">
            <v>20268281.563999996</v>
          </cell>
          <cell r="Q111">
            <v>76091752.098000005</v>
          </cell>
          <cell r="R111">
            <v>0</v>
          </cell>
          <cell r="S111">
            <v>18198035.099455945</v>
          </cell>
          <cell r="T111">
            <v>3301966.22</v>
          </cell>
          <cell r="U111">
            <v>1887789.62</v>
          </cell>
          <cell r="V111">
            <v>4321845.1279999996</v>
          </cell>
          <cell r="W111">
            <v>0</v>
          </cell>
          <cell r="X111">
            <v>5360233.57</v>
          </cell>
          <cell r="Y111">
            <v>8823807.8800000008</v>
          </cell>
          <cell r="Z111">
            <v>0</v>
          </cell>
          <cell r="AA111">
            <v>1671.11</v>
          </cell>
          <cell r="AB111">
            <v>14180391.530000001</v>
          </cell>
          <cell r="AC111">
            <v>1414176.6</v>
          </cell>
        </row>
        <row r="112">
          <cell r="A112" t="str">
            <v>DEC</v>
          </cell>
          <cell r="B112" t="str">
            <v>Hi-Tech Facilities</v>
          </cell>
          <cell r="C112">
            <v>11759803</v>
          </cell>
          <cell r="D112">
            <v>11759803</v>
          </cell>
          <cell r="E112">
            <v>2222920.8943000003</v>
          </cell>
          <cell r="F112">
            <v>463578.10369999998</v>
          </cell>
          <cell r="G112">
            <v>1963539.69</v>
          </cell>
          <cell r="H112">
            <v>0</v>
          </cell>
          <cell r="I112">
            <v>6532.0886490478697</v>
          </cell>
          <cell r="J112">
            <v>261.48199999999997</v>
          </cell>
          <cell r="K112">
            <v>105.50199999999998</v>
          </cell>
          <cell r="L112">
            <v>2133.1709999999998</v>
          </cell>
          <cell r="M112">
            <v>0</v>
          </cell>
          <cell r="N112">
            <v>44364926.587099597</v>
          </cell>
          <cell r="O112">
            <v>2523705.67</v>
          </cell>
          <cell r="P112">
            <v>956659.1</v>
          </cell>
          <cell r="Q112">
            <v>24206216.894000001</v>
          </cell>
          <cell r="R112">
            <v>0</v>
          </cell>
          <cell r="S112">
            <v>25523.813309561065</v>
          </cell>
          <cell r="T112">
            <v>38484.949999999997</v>
          </cell>
          <cell r="U112">
            <v>27396.95</v>
          </cell>
          <cell r="V112">
            <v>493980.4</v>
          </cell>
          <cell r="W112">
            <v>0</v>
          </cell>
          <cell r="X112">
            <v>311596.42</v>
          </cell>
          <cell r="Y112">
            <v>1963539.69</v>
          </cell>
          <cell r="Z112">
            <v>0</v>
          </cell>
          <cell r="AA112">
            <v>155.97999999999999</v>
          </cell>
          <cell r="AB112">
            <v>1567046.57</v>
          </cell>
          <cell r="AC112">
            <v>11088</v>
          </cell>
        </row>
        <row r="113">
          <cell r="A113" t="str">
            <v>DEC</v>
          </cell>
          <cell r="B113" t="str">
            <v>Medical Facilities</v>
          </cell>
          <cell r="C113">
            <v>21407152</v>
          </cell>
          <cell r="D113">
            <v>21407152</v>
          </cell>
          <cell r="E113">
            <v>914670.98860000004</v>
          </cell>
          <cell r="F113">
            <v>157329.23740000001</v>
          </cell>
          <cell r="G113">
            <v>478444.44</v>
          </cell>
          <cell r="H113">
            <v>0</v>
          </cell>
          <cell r="I113">
            <v>27753.153177169657</v>
          </cell>
          <cell r="J113">
            <v>0</v>
          </cell>
          <cell r="K113">
            <v>0</v>
          </cell>
          <cell r="L113">
            <v>343.22280000000001</v>
          </cell>
          <cell r="M113">
            <v>0</v>
          </cell>
          <cell r="N113">
            <v>68661112.057484001</v>
          </cell>
          <cell r="O113">
            <v>0</v>
          </cell>
          <cell r="P113">
            <v>0</v>
          </cell>
          <cell r="Q113">
            <v>2467718.824</v>
          </cell>
          <cell r="R113">
            <v>0</v>
          </cell>
          <cell r="S113">
            <v>494605</v>
          </cell>
          <cell r="T113">
            <v>0</v>
          </cell>
          <cell r="U113">
            <v>0</v>
          </cell>
          <cell r="V113">
            <v>25149.53</v>
          </cell>
          <cell r="W113">
            <v>0</v>
          </cell>
          <cell r="X113">
            <v>16035</v>
          </cell>
          <cell r="Y113">
            <v>478444.44</v>
          </cell>
          <cell r="Z113">
            <v>0</v>
          </cell>
          <cell r="AA113">
            <v>0</v>
          </cell>
          <cell r="AB113">
            <v>0</v>
          </cell>
          <cell r="AC113">
            <v>0</v>
          </cell>
        </row>
        <row r="114">
          <cell r="A114" t="str">
            <v>DEC</v>
          </cell>
          <cell r="B114" t="str">
            <v>Large Commercial</v>
          </cell>
          <cell r="C114">
            <v>68595302</v>
          </cell>
          <cell r="D114">
            <v>68595302</v>
          </cell>
          <cell r="E114">
            <v>6407950.9772000005</v>
          </cell>
          <cell r="F114">
            <v>1816092.5747999998</v>
          </cell>
          <cell r="G114">
            <v>2209841.46</v>
          </cell>
          <cell r="H114">
            <v>0</v>
          </cell>
          <cell r="I114">
            <v>73838.296918087362</v>
          </cell>
          <cell r="J114">
            <v>858.02</v>
          </cell>
          <cell r="K114">
            <v>186.53</v>
          </cell>
          <cell r="L114">
            <v>2866.11</v>
          </cell>
          <cell r="M114">
            <v>0</v>
          </cell>
          <cell r="N114">
            <v>219609296.0400379</v>
          </cell>
          <cell r="O114">
            <v>5672999.6500000004</v>
          </cell>
          <cell r="P114">
            <v>1246303.3</v>
          </cell>
          <cell r="Q114">
            <v>18133806.164000001</v>
          </cell>
          <cell r="R114">
            <v>0</v>
          </cell>
          <cell r="S114">
            <v>2224825.1578322467</v>
          </cell>
          <cell r="T114">
            <v>79994.16</v>
          </cell>
          <cell r="U114">
            <v>71010.100000000006</v>
          </cell>
          <cell r="V114">
            <v>42907.28</v>
          </cell>
          <cell r="W114">
            <v>0</v>
          </cell>
          <cell r="X114">
            <v>1301257.6399999999</v>
          </cell>
          <cell r="Y114">
            <v>2209841.46</v>
          </cell>
          <cell r="Z114">
            <v>0</v>
          </cell>
          <cell r="AA114">
            <v>671.49</v>
          </cell>
          <cell r="AB114">
            <v>4426696.3499999996</v>
          </cell>
          <cell r="AC114">
            <v>8984.06</v>
          </cell>
        </row>
        <row r="115">
          <cell r="A115" t="str">
            <v>DEC</v>
          </cell>
          <cell r="B115" t="str">
            <v>Hospitality Facilities</v>
          </cell>
          <cell r="C115">
            <v>11793097</v>
          </cell>
          <cell r="D115">
            <v>11793097</v>
          </cell>
          <cell r="E115">
            <v>1598026.5715000001</v>
          </cell>
          <cell r="F115">
            <v>425370.27850000001</v>
          </cell>
          <cell r="G115">
            <v>143944.22</v>
          </cell>
          <cell r="H115">
            <v>0</v>
          </cell>
          <cell r="I115">
            <v>7577.0826254285475</v>
          </cell>
          <cell r="J115">
            <v>62.559000000000005</v>
          </cell>
          <cell r="K115">
            <v>22.159000000000006</v>
          </cell>
          <cell r="L115">
            <v>71.984999999999999</v>
          </cell>
          <cell r="M115">
            <v>0</v>
          </cell>
          <cell r="N115">
            <v>37330060.295922801</v>
          </cell>
          <cell r="O115">
            <v>395766.85</v>
          </cell>
          <cell r="P115">
            <v>118346.13</v>
          </cell>
          <cell r="Q115">
            <v>968624.321</v>
          </cell>
          <cell r="R115">
            <v>0</v>
          </cell>
          <cell r="S115">
            <v>33302.25</v>
          </cell>
          <cell r="T115">
            <v>16872.503000000001</v>
          </cell>
          <cell r="U115">
            <v>14059.013000000001</v>
          </cell>
          <cell r="V115">
            <v>39307.32</v>
          </cell>
          <cell r="W115">
            <v>0</v>
          </cell>
          <cell r="X115">
            <v>67613.94</v>
          </cell>
          <cell r="Y115">
            <v>143944.22</v>
          </cell>
          <cell r="Z115">
            <v>0</v>
          </cell>
          <cell r="AA115">
            <v>40.4</v>
          </cell>
          <cell r="AB115">
            <v>277420.71999999997</v>
          </cell>
          <cell r="AC115">
            <v>2813.49</v>
          </cell>
        </row>
        <row r="116">
          <cell r="A116" t="str">
            <v>DEC</v>
          </cell>
          <cell r="B116" t="str">
            <v>Res New Construction</v>
          </cell>
          <cell r="C116">
            <v>26264217</v>
          </cell>
          <cell r="D116">
            <v>26264217</v>
          </cell>
          <cell r="E116">
            <v>2402364.3272000002</v>
          </cell>
          <cell r="F116">
            <v>412101.87480000005</v>
          </cell>
          <cell r="G116">
            <v>2426515</v>
          </cell>
          <cell r="H116">
            <v>0</v>
          </cell>
          <cell r="I116">
            <v>9015.1305056540205</v>
          </cell>
          <cell r="J116">
            <v>56.656323199999996</v>
          </cell>
          <cell r="K116">
            <v>17.886323199999993</v>
          </cell>
          <cell r="L116">
            <v>1095.6832672</v>
          </cell>
          <cell r="M116">
            <v>0</v>
          </cell>
          <cell r="N116">
            <v>13357136.488374671</v>
          </cell>
          <cell r="O116">
            <v>81976</v>
          </cell>
          <cell r="P116">
            <v>45213.599999999999</v>
          </cell>
          <cell r="Q116">
            <v>1414298.4</v>
          </cell>
          <cell r="R116">
            <v>0</v>
          </cell>
          <cell r="S116">
            <v>2454487.1347570699</v>
          </cell>
          <cell r="T116">
            <v>11307.776</v>
          </cell>
          <cell r="U116">
            <v>3508.7960000000003</v>
          </cell>
          <cell r="V116">
            <v>432518.40000000002</v>
          </cell>
          <cell r="W116">
            <v>0</v>
          </cell>
          <cell r="X116">
            <v>204515</v>
          </cell>
          <cell r="Y116">
            <v>2426515</v>
          </cell>
          <cell r="Z116">
            <v>0</v>
          </cell>
          <cell r="AA116">
            <v>38.770000000000003</v>
          </cell>
          <cell r="AB116">
            <v>36762.400000000001</v>
          </cell>
          <cell r="AC116">
            <v>7798.98</v>
          </cell>
        </row>
        <row r="117">
          <cell r="A117" t="str">
            <v>DEC</v>
          </cell>
          <cell r="B117" t="str">
            <v>Education &amp; Training</v>
          </cell>
          <cell r="C117">
            <v>41154602</v>
          </cell>
          <cell r="D117">
            <v>41154602</v>
          </cell>
          <cell r="E117">
            <v>9755857.8486000001</v>
          </cell>
          <cell r="F117">
            <v>1308546.0374</v>
          </cell>
          <cell r="G117" t="str">
            <v>N/A</v>
          </cell>
          <cell r="H117">
            <v>0</v>
          </cell>
          <cell r="I117" t="str">
            <v>N/A</v>
          </cell>
          <cell r="J117" t="str">
            <v>N/A</v>
          </cell>
          <cell r="K117" t="str">
            <v>N/A</v>
          </cell>
          <cell r="L117" t="str">
            <v>N/A</v>
          </cell>
          <cell r="M117">
            <v>0</v>
          </cell>
          <cell r="N117" t="str">
            <v>N/A</v>
          </cell>
          <cell r="O117" t="str">
            <v>N/A</v>
          </cell>
          <cell r="P117" t="str">
            <v>N/A</v>
          </cell>
          <cell r="Q117" t="str">
            <v>N/A</v>
          </cell>
          <cell r="R117">
            <v>0</v>
          </cell>
          <cell r="S117" t="str">
            <v>N/A</v>
          </cell>
          <cell r="T117" t="str">
            <v>N/A</v>
          </cell>
          <cell r="U117" t="str">
            <v>N/A</v>
          </cell>
          <cell r="V117" t="str">
            <v>N/A</v>
          </cell>
          <cell r="W117">
            <v>0</v>
          </cell>
          <cell r="X117" t="str">
            <v>N/A</v>
          </cell>
          <cell r="Y117" t="str">
            <v>N/A</v>
          </cell>
          <cell r="Z117">
            <v>0</v>
          </cell>
          <cell r="AA117" t="str">
            <v>N/A</v>
          </cell>
          <cell r="AB117" t="str">
            <v>N/A</v>
          </cell>
          <cell r="AC117" t="str">
            <v>N/A</v>
          </cell>
        </row>
        <row r="118">
          <cell r="A118" t="str">
            <v>DEC</v>
          </cell>
          <cell r="B118" t="str">
            <v>Codes &amp; Standards</v>
          </cell>
          <cell r="C118">
            <v>4635754</v>
          </cell>
          <cell r="D118">
            <v>4635754</v>
          </cell>
          <cell r="E118">
            <v>1006937.13</v>
          </cell>
          <cell r="F118">
            <v>-63457.71</v>
          </cell>
          <cell r="G118" t="str">
            <v>N/A</v>
          </cell>
          <cell r="H118">
            <v>0</v>
          </cell>
          <cell r="I118" t="str">
            <v>N/A</v>
          </cell>
          <cell r="J118">
            <v>11490</v>
          </cell>
          <cell r="K118" t="str">
            <v>N/A</v>
          </cell>
          <cell r="L118" t="str">
            <v>N/A</v>
          </cell>
          <cell r="M118">
            <v>0</v>
          </cell>
          <cell r="N118" t="str">
            <v>N/A</v>
          </cell>
          <cell r="O118">
            <v>38000000</v>
          </cell>
          <cell r="P118" t="str">
            <v>N/A</v>
          </cell>
          <cell r="Q118" t="str">
            <v>N/A</v>
          </cell>
          <cell r="R118">
            <v>0</v>
          </cell>
          <cell r="S118" t="str">
            <v>N/A</v>
          </cell>
          <cell r="T118">
            <v>950000</v>
          </cell>
          <cell r="U118" t="str">
            <v>N/A</v>
          </cell>
          <cell r="V118" t="str">
            <v>N/A</v>
          </cell>
          <cell r="W118">
            <v>0</v>
          </cell>
          <cell r="X118" t="str">
            <v>N/A</v>
          </cell>
          <cell r="Y118" t="str">
            <v>N/A</v>
          </cell>
          <cell r="Z118">
            <v>0</v>
          </cell>
          <cell r="AA118" t="str">
            <v>N/A</v>
          </cell>
          <cell r="AB118" t="str">
            <v>N/A</v>
          </cell>
          <cell r="AC118" t="str">
            <v>N/A</v>
          </cell>
        </row>
        <row r="119">
          <cell r="A119" t="str">
            <v>DEC</v>
          </cell>
          <cell r="B119" t="str">
            <v>Emerging Technologies</v>
          </cell>
          <cell r="C119">
            <v>11260376</v>
          </cell>
          <cell r="D119">
            <v>11260376</v>
          </cell>
          <cell r="E119">
            <v>1171262.0900000001</v>
          </cell>
          <cell r="F119">
            <v>261411.86</v>
          </cell>
          <cell r="G119" t="str">
            <v>N/A</v>
          </cell>
          <cell r="H119">
            <v>0</v>
          </cell>
          <cell r="I119" t="str">
            <v>N/A</v>
          </cell>
          <cell r="J119" t="str">
            <v>N/A</v>
          </cell>
          <cell r="K119" t="str">
            <v>N/A</v>
          </cell>
          <cell r="L119" t="str">
            <v>N/A</v>
          </cell>
          <cell r="M119">
            <v>0</v>
          </cell>
          <cell r="N119" t="str">
            <v>N/A</v>
          </cell>
          <cell r="O119" t="str">
            <v>N/A</v>
          </cell>
          <cell r="P119" t="str">
            <v>N/A</v>
          </cell>
          <cell r="Q119" t="str">
            <v>N/A</v>
          </cell>
          <cell r="R119">
            <v>0</v>
          </cell>
          <cell r="S119" t="str">
            <v>N/A</v>
          </cell>
          <cell r="T119" t="str">
            <v>N/A</v>
          </cell>
          <cell r="U119" t="str">
            <v>N/A</v>
          </cell>
          <cell r="V119" t="str">
            <v>N/A</v>
          </cell>
          <cell r="W119">
            <v>0</v>
          </cell>
          <cell r="X119" t="str">
            <v>N/A</v>
          </cell>
          <cell r="Y119" t="str">
            <v>N/A</v>
          </cell>
          <cell r="Z119">
            <v>0</v>
          </cell>
          <cell r="AA119" t="str">
            <v>N/A</v>
          </cell>
          <cell r="AB119" t="str">
            <v>N/A</v>
          </cell>
          <cell r="AC119" t="str">
            <v>N/A</v>
          </cell>
        </row>
        <row r="120">
          <cell r="A120" t="str">
            <v>DEC</v>
          </cell>
          <cell r="B120" t="str">
            <v>Statewide Marketing &amp; Info</v>
          </cell>
          <cell r="C120">
            <v>26948382</v>
          </cell>
          <cell r="D120">
            <v>26948382</v>
          </cell>
          <cell r="E120">
            <v>8700334.5899999999</v>
          </cell>
          <cell r="F120">
            <v>8700303</v>
          </cell>
          <cell r="G120" t="str">
            <v>N/A</v>
          </cell>
          <cell r="H120">
            <v>0</v>
          </cell>
          <cell r="I120" t="str">
            <v>N/A</v>
          </cell>
          <cell r="J120" t="str">
            <v>N/A</v>
          </cell>
          <cell r="K120" t="str">
            <v>N/A</v>
          </cell>
          <cell r="L120" t="str">
            <v>N/A</v>
          </cell>
          <cell r="M120">
            <v>0</v>
          </cell>
          <cell r="N120" t="str">
            <v>N/A</v>
          </cell>
          <cell r="O120" t="str">
            <v>N/A</v>
          </cell>
          <cell r="P120" t="str">
            <v>N/A</v>
          </cell>
          <cell r="Q120" t="str">
            <v>N/A</v>
          </cell>
          <cell r="R120">
            <v>0</v>
          </cell>
          <cell r="S120" t="str">
            <v>N/A</v>
          </cell>
          <cell r="T120" t="str">
            <v>N/A</v>
          </cell>
          <cell r="U120" t="str">
            <v>N/A</v>
          </cell>
          <cell r="V120" t="str">
            <v>N/A</v>
          </cell>
          <cell r="W120">
            <v>0</v>
          </cell>
          <cell r="X120" t="str">
            <v>N/A</v>
          </cell>
          <cell r="Y120" t="str">
            <v>N/A</v>
          </cell>
          <cell r="Z120">
            <v>0</v>
          </cell>
          <cell r="AA120" t="str">
            <v>N/A</v>
          </cell>
          <cell r="AB120" t="str">
            <v>N/A</v>
          </cell>
          <cell r="AC120" t="str">
            <v>N/A</v>
          </cell>
        </row>
        <row r="121">
          <cell r="A121" t="str">
            <v>DEC</v>
          </cell>
          <cell r="B121" t="str">
            <v>Low Income EE (3)  (1 YR Budgets/Goals)</v>
          </cell>
          <cell r="C121">
            <v>90094498</v>
          </cell>
          <cell r="D121">
            <v>90094498</v>
          </cell>
          <cell r="E121">
            <v>87130107.710000008</v>
          </cell>
          <cell r="F121">
            <v>12131346.880000001</v>
          </cell>
          <cell r="G121" t="str">
            <v>N/A</v>
          </cell>
          <cell r="H121">
            <v>0</v>
          </cell>
          <cell r="I121">
            <v>5551</v>
          </cell>
          <cell r="J121">
            <v>5754.9372810000013</v>
          </cell>
          <cell r="K121">
            <v>575.1645179900006</v>
          </cell>
          <cell r="L121" t="str">
            <v>N/A</v>
          </cell>
          <cell r="M121">
            <v>0</v>
          </cell>
          <cell r="N121">
            <v>26282000</v>
          </cell>
          <cell r="O121">
            <v>26629309.779999994</v>
          </cell>
          <cell r="P121">
            <v>2837914.7899999917</v>
          </cell>
          <cell r="Q121" t="str">
            <v>N/A</v>
          </cell>
          <cell r="R121">
            <v>0</v>
          </cell>
          <cell r="S121">
            <v>1370000</v>
          </cell>
          <cell r="T121">
            <v>1391585.57</v>
          </cell>
          <cell r="U121">
            <v>190641.54</v>
          </cell>
          <cell r="V121" t="str">
            <v>N/A</v>
          </cell>
          <cell r="W121">
            <v>0</v>
          </cell>
          <cell r="X121" t="str">
            <v>N/A</v>
          </cell>
          <cell r="Y121" t="str">
            <v>N/A</v>
          </cell>
          <cell r="Z121">
            <v>0</v>
          </cell>
          <cell r="AA121">
            <v>5179.7727630100007</v>
          </cell>
          <cell r="AB121">
            <v>23791394.990000002</v>
          </cell>
          <cell r="AC121">
            <v>1200944.03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pivot_pge12monthT1.1"/>
      <sheetName val="pge12monthT1.1"/>
    </sheetNames>
    <sheetDataSet>
      <sheetData sheetId="0"/>
      <sheetData sheetId="1"/>
      <sheetData sheetId="2">
        <row r="1">
          <cell r="A1" t="str">
            <v>Report Month</v>
          </cell>
          <cell r="B1" t="str">
            <v>Program Name</v>
          </cell>
          <cell r="C1" t="str">
            <v>Adopted Program Budget 
(3 - Yr)</v>
          </cell>
          <cell r="D1" t="str">
            <v>Program Operating Budget 
(3 - Yr)</v>
          </cell>
          <cell r="E1" t="str">
            <v>Program Expenditures 
(Inception-To-Date)</v>
          </cell>
          <cell r="F1" t="str">
            <v>Program Expenditures 
(Report Month)</v>
          </cell>
          <cell r="G1" t="str">
            <v>Total Commitments 
(Inception-to-Date)</v>
          </cell>
          <cell r="H1">
            <v>0</v>
          </cell>
          <cell r="I1" t="str">
            <v>Demand Reduction (Summer Peak kW) (2) Program Projected 
(Compliance Filing)</v>
          </cell>
          <cell r="J1" t="str">
            <v>Demand Reduction (Summer Peak kW) (2) Installed Savings
(Inception-To-Date)</v>
          </cell>
          <cell r="K1" t="str">
            <v>Demand Reduction (Summer Peak kW) (2) Installed Savings 
(Report Month)</v>
          </cell>
          <cell r="L1" t="str">
            <v>Demand Reduction (Summer Peak kW) (2) Total Commitments 
(Inception-to-Date)</v>
          </cell>
          <cell r="M1">
            <v>0</v>
          </cell>
          <cell r="N1" t="str">
            <v>Energy Savings (Net Annual kWh) (2) Program Projected 
(Compliance Filing)</v>
          </cell>
          <cell r="O1" t="str">
            <v>Energy Savings (Net Annual kWh) (2) Installed Savings
(Inception-To-Date)</v>
          </cell>
          <cell r="P1" t="str">
            <v>Energy Savings (Net Annual kWh) (2) Installed Savings 
(Report Month)</v>
          </cell>
          <cell r="Q1" t="str">
            <v>Energy Savings (Net Annual kWh) (2) Total Commitments 
(Inception-to-Date)</v>
          </cell>
          <cell r="R1">
            <v>0</v>
          </cell>
          <cell r="S1" t="str">
            <v>Gas Savings (Net Annual Therms) (2) Program Projected 
(Compliance Filing)</v>
          </cell>
          <cell r="T1" t="str">
            <v>Gas Savings (Net Annual Therms) (2) Installed Savings
(Inception-To-Date)</v>
          </cell>
          <cell r="U1" t="str">
            <v>Gas Savings (Net Annual Therms) (2) Installed Savings 
(Report Month)</v>
          </cell>
          <cell r="V1" t="str">
            <v>Gas Savings (Net Annual Therms) (2) Total Commitments 
(Inception-to-Date)</v>
          </cell>
          <cell r="W1">
            <v>0</v>
          </cell>
          <cell r="X1" t="str">
            <v>Incentives ( $$$) Installed Incentives (Inception-To-Date)</v>
          </cell>
          <cell r="Y1" t="str">
            <v>Incentives ( $$$) Total Commitments 
(Inception-to-Date)</v>
          </cell>
          <cell r="Z1">
            <v>0</v>
          </cell>
          <cell r="AA1" t="str">
            <v>Paid YTD from Previous Month kw</v>
          </cell>
          <cell r="AB1" t="str">
            <v>Paid YTD from Previous Month kwh</v>
          </cell>
          <cell r="AC1" t="str">
            <v>Paid YTD from Previous Month thm</v>
          </cell>
        </row>
        <row r="2">
          <cell r="A2" t="str">
            <v>MAY</v>
          </cell>
          <cell r="B2" t="str">
            <v>Mass Market</v>
          </cell>
          <cell r="C2">
            <v>405857712</v>
          </cell>
          <cell r="D2">
            <v>405857712</v>
          </cell>
          <cell r="E2">
            <v>12652825.93</v>
          </cell>
          <cell r="F2">
            <v>5306198.5</v>
          </cell>
          <cell r="G2">
            <v>5426134.0500000007</v>
          </cell>
          <cell r="H2">
            <v>0</v>
          </cell>
          <cell r="I2">
            <v>334053.85427348199</v>
          </cell>
          <cell r="J2">
            <v>12000.783724662899</v>
          </cell>
          <cell r="K2">
            <v>5006.6449785834993</v>
          </cell>
          <cell r="L2">
            <v>3920.4307662628003</v>
          </cell>
          <cell r="M2">
            <v>0</v>
          </cell>
          <cell r="N2">
            <v>1728133316.3078108</v>
          </cell>
          <cell r="O2">
            <v>54198800.280904472</v>
          </cell>
          <cell r="P2">
            <v>26966256.752540104</v>
          </cell>
          <cell r="Q2">
            <v>22794077.536543883</v>
          </cell>
          <cell r="R2">
            <v>0</v>
          </cell>
          <cell r="S2">
            <v>15871656.841610486</v>
          </cell>
          <cell r="T2">
            <v>369308.15520900005</v>
          </cell>
          <cell r="U2">
            <v>148489.61516100002</v>
          </cell>
          <cell r="V2">
            <v>153438.503768</v>
          </cell>
          <cell r="W2">
            <v>0</v>
          </cell>
          <cell r="X2">
            <v>7205927.5300000003</v>
          </cell>
          <cell r="Y2">
            <v>5426134.0500000007</v>
          </cell>
          <cell r="Z2">
            <v>0</v>
          </cell>
          <cell r="AA2">
            <v>6994.1387460793994</v>
          </cell>
          <cell r="AB2">
            <v>27232543.528364368</v>
          </cell>
          <cell r="AC2">
            <v>220818.54004800002</v>
          </cell>
        </row>
        <row r="3">
          <cell r="A3" t="str">
            <v>MAY</v>
          </cell>
          <cell r="B3" t="str">
            <v>Ag &amp; Food Processing</v>
          </cell>
          <cell r="C3">
            <v>47523134</v>
          </cell>
          <cell r="D3">
            <v>47523134</v>
          </cell>
          <cell r="E3">
            <v>966543.07</v>
          </cell>
          <cell r="F3">
            <v>226428.18</v>
          </cell>
          <cell r="G3">
            <v>940381.84</v>
          </cell>
          <cell r="H3">
            <v>0</v>
          </cell>
          <cell r="I3">
            <v>22797.08846466984</v>
          </cell>
          <cell r="J3">
            <v>0</v>
          </cell>
          <cell r="K3">
            <v>0</v>
          </cell>
          <cell r="L3">
            <v>3170.098</v>
          </cell>
          <cell r="M3">
            <v>0</v>
          </cell>
          <cell r="N3">
            <v>164346860.9940128</v>
          </cell>
          <cell r="O3">
            <v>0</v>
          </cell>
          <cell r="P3">
            <v>0</v>
          </cell>
          <cell r="Q3">
            <v>4940926.8499999996</v>
          </cell>
          <cell r="R3">
            <v>0</v>
          </cell>
          <cell r="S3">
            <v>3082951.7327311719</v>
          </cell>
          <cell r="T3">
            <v>0</v>
          </cell>
          <cell r="U3">
            <v>0</v>
          </cell>
          <cell r="V3">
            <v>524118.66</v>
          </cell>
          <cell r="W3">
            <v>0</v>
          </cell>
          <cell r="X3">
            <v>0</v>
          </cell>
          <cell r="Y3">
            <v>940381.84</v>
          </cell>
          <cell r="Z3">
            <v>0</v>
          </cell>
          <cell r="AA3">
            <v>0</v>
          </cell>
          <cell r="AB3">
            <v>0</v>
          </cell>
          <cell r="AC3">
            <v>0</v>
          </cell>
        </row>
        <row r="4">
          <cell r="A4" t="str">
            <v>MAY</v>
          </cell>
          <cell r="B4" t="str">
            <v>Schools &amp; Colleges</v>
          </cell>
          <cell r="C4">
            <v>47568591</v>
          </cell>
          <cell r="D4">
            <v>47568591</v>
          </cell>
          <cell r="E4">
            <v>769832.19</v>
          </cell>
          <cell r="F4">
            <v>149522.16</v>
          </cell>
          <cell r="G4">
            <v>58402.01</v>
          </cell>
          <cell r="H4">
            <v>0</v>
          </cell>
          <cell r="I4">
            <v>28892.278794176014</v>
          </cell>
          <cell r="J4">
            <v>0</v>
          </cell>
          <cell r="K4">
            <v>0</v>
          </cell>
          <cell r="L4">
            <v>110.03399999999999</v>
          </cell>
          <cell r="M4">
            <v>0</v>
          </cell>
          <cell r="N4">
            <v>128046825.56012681</v>
          </cell>
          <cell r="O4">
            <v>0</v>
          </cell>
          <cell r="P4">
            <v>0</v>
          </cell>
          <cell r="Q4">
            <v>265433.84000000003</v>
          </cell>
          <cell r="R4">
            <v>0</v>
          </cell>
          <cell r="S4">
            <v>2635794.0523105087</v>
          </cell>
          <cell r="T4">
            <v>0</v>
          </cell>
          <cell r="U4">
            <v>0</v>
          </cell>
          <cell r="V4">
            <v>1957.5</v>
          </cell>
          <cell r="W4">
            <v>0</v>
          </cell>
          <cell r="X4">
            <v>0</v>
          </cell>
          <cell r="Y4">
            <v>58402.01</v>
          </cell>
          <cell r="Z4">
            <v>0</v>
          </cell>
          <cell r="AA4">
            <v>0</v>
          </cell>
          <cell r="AB4">
            <v>0</v>
          </cell>
          <cell r="AC4">
            <v>0</v>
          </cell>
        </row>
        <row r="5">
          <cell r="A5" t="str">
            <v>MAY</v>
          </cell>
          <cell r="B5" t="str">
            <v>Retail Stores</v>
          </cell>
          <cell r="C5">
            <v>20850872</v>
          </cell>
          <cell r="D5">
            <v>20850872</v>
          </cell>
          <cell r="E5">
            <v>417558.43</v>
          </cell>
          <cell r="F5">
            <v>96896.85</v>
          </cell>
          <cell r="G5">
            <v>45911.42</v>
          </cell>
          <cell r="H5">
            <v>0</v>
          </cell>
          <cell r="I5">
            <v>21271.596533140018</v>
          </cell>
          <cell r="J5">
            <v>0</v>
          </cell>
          <cell r="K5">
            <v>0</v>
          </cell>
          <cell r="L5">
            <v>80.236999999999995</v>
          </cell>
          <cell r="M5">
            <v>0</v>
          </cell>
          <cell r="N5">
            <v>125946107.22913301</v>
          </cell>
          <cell r="O5">
            <v>0</v>
          </cell>
          <cell r="P5">
            <v>0</v>
          </cell>
          <cell r="Q5">
            <v>633638.92100000009</v>
          </cell>
          <cell r="R5">
            <v>0</v>
          </cell>
          <cell r="S5">
            <v>17583.588</v>
          </cell>
          <cell r="T5">
            <v>0</v>
          </cell>
          <cell r="U5">
            <v>0</v>
          </cell>
          <cell r="V5">
            <v>-668.3</v>
          </cell>
          <cell r="W5">
            <v>0</v>
          </cell>
          <cell r="X5">
            <v>0</v>
          </cell>
          <cell r="Y5">
            <v>45911.42</v>
          </cell>
          <cell r="Z5">
            <v>0</v>
          </cell>
          <cell r="AA5">
            <v>0</v>
          </cell>
          <cell r="AB5">
            <v>0</v>
          </cell>
          <cell r="AC5">
            <v>0</v>
          </cell>
        </row>
        <row r="6">
          <cell r="A6" t="str">
            <v>MAY</v>
          </cell>
          <cell r="B6" t="str">
            <v>Fab, Prcss &amp; Hvy Indl Mfg</v>
          </cell>
          <cell r="C6">
            <v>121849249</v>
          </cell>
          <cell r="D6">
            <v>121849249</v>
          </cell>
          <cell r="E6">
            <v>1103402.97</v>
          </cell>
          <cell r="F6">
            <v>276235.64</v>
          </cell>
          <cell r="G6">
            <v>3664066.96</v>
          </cell>
          <cell r="H6">
            <v>0</v>
          </cell>
          <cell r="I6">
            <v>69225.227525006732</v>
          </cell>
          <cell r="J6">
            <v>122.38800000000001</v>
          </cell>
          <cell r="K6">
            <v>8.8359999999999985</v>
          </cell>
          <cell r="L6">
            <v>5081.0590000000002</v>
          </cell>
          <cell r="M6">
            <v>0</v>
          </cell>
          <cell r="N6">
            <v>475376401.45399302</v>
          </cell>
          <cell r="O6">
            <v>684917.84</v>
          </cell>
          <cell r="P6">
            <v>107266.22</v>
          </cell>
          <cell r="Q6">
            <v>48838705.399999999</v>
          </cell>
          <cell r="R6">
            <v>0</v>
          </cell>
          <cell r="S6">
            <v>18198035.099455945</v>
          </cell>
          <cell r="T6">
            <v>0</v>
          </cell>
          <cell r="U6">
            <v>0</v>
          </cell>
          <cell r="V6">
            <v>89352.98</v>
          </cell>
          <cell r="W6">
            <v>0</v>
          </cell>
          <cell r="X6">
            <v>55043</v>
          </cell>
          <cell r="Y6">
            <v>3664066.96</v>
          </cell>
          <cell r="Z6">
            <v>0</v>
          </cell>
          <cell r="AA6">
            <v>113.55200000000001</v>
          </cell>
          <cell r="AB6">
            <v>577651.62</v>
          </cell>
          <cell r="AC6">
            <v>0</v>
          </cell>
        </row>
        <row r="7">
          <cell r="A7" t="str">
            <v>MAY</v>
          </cell>
          <cell r="B7" t="str">
            <v>Hi-Tech Facilities</v>
          </cell>
          <cell r="C7">
            <v>11759803</v>
          </cell>
          <cell r="D7">
            <v>11759803</v>
          </cell>
          <cell r="E7">
            <v>490875.36</v>
          </cell>
          <cell r="F7">
            <v>121770.91</v>
          </cell>
          <cell r="G7">
            <v>554690.75</v>
          </cell>
          <cell r="H7">
            <v>0</v>
          </cell>
          <cell r="I7">
            <v>6532.0886490478697</v>
          </cell>
          <cell r="J7">
            <v>0</v>
          </cell>
          <cell r="K7">
            <v>0</v>
          </cell>
          <cell r="L7">
            <v>981.95799999999997</v>
          </cell>
          <cell r="M7">
            <v>0</v>
          </cell>
          <cell r="N7">
            <v>44364926.587099597</v>
          </cell>
          <cell r="O7">
            <v>0</v>
          </cell>
          <cell r="P7">
            <v>0</v>
          </cell>
          <cell r="Q7">
            <v>12800394.615</v>
          </cell>
          <cell r="R7">
            <v>0</v>
          </cell>
          <cell r="S7">
            <v>25523.813309561065</v>
          </cell>
          <cell r="T7">
            <v>0</v>
          </cell>
          <cell r="U7">
            <v>0</v>
          </cell>
          <cell r="V7">
            <v>93878.38</v>
          </cell>
          <cell r="W7">
            <v>0</v>
          </cell>
          <cell r="X7">
            <v>0</v>
          </cell>
          <cell r="Y7">
            <v>554690.75</v>
          </cell>
          <cell r="Z7">
            <v>0</v>
          </cell>
          <cell r="AA7">
            <v>0</v>
          </cell>
          <cell r="AB7">
            <v>0</v>
          </cell>
          <cell r="AC7">
            <v>0</v>
          </cell>
        </row>
        <row r="8">
          <cell r="A8" t="str">
            <v>MAY</v>
          </cell>
          <cell r="B8" t="str">
            <v>Medical Facilities</v>
          </cell>
          <cell r="C8">
            <v>21407152</v>
          </cell>
          <cell r="D8">
            <v>21407152</v>
          </cell>
          <cell r="E8">
            <v>257489.6</v>
          </cell>
          <cell r="F8">
            <v>61962.86</v>
          </cell>
          <cell r="G8">
            <v>244451.28</v>
          </cell>
          <cell r="H8">
            <v>0</v>
          </cell>
          <cell r="I8">
            <v>27753.153177169657</v>
          </cell>
          <cell r="J8">
            <v>0</v>
          </cell>
          <cell r="K8">
            <v>0</v>
          </cell>
          <cell r="L8">
            <v>107.8</v>
          </cell>
          <cell r="M8">
            <v>0</v>
          </cell>
          <cell r="N8">
            <v>68661112.057484001</v>
          </cell>
          <cell r="O8">
            <v>0</v>
          </cell>
          <cell r="P8">
            <v>0</v>
          </cell>
          <cell r="Q8">
            <v>1202485.2</v>
          </cell>
          <cell r="R8">
            <v>0</v>
          </cell>
          <cell r="S8">
            <v>494605</v>
          </cell>
          <cell r="T8">
            <v>0</v>
          </cell>
          <cell r="U8">
            <v>0</v>
          </cell>
          <cell r="V8">
            <v>6978.3</v>
          </cell>
          <cell r="W8">
            <v>0</v>
          </cell>
          <cell r="X8">
            <v>0</v>
          </cell>
          <cell r="Y8">
            <v>244451.28</v>
          </cell>
          <cell r="Z8">
            <v>0</v>
          </cell>
          <cell r="AA8">
            <v>0</v>
          </cell>
          <cell r="AB8">
            <v>0</v>
          </cell>
          <cell r="AC8">
            <v>0</v>
          </cell>
        </row>
        <row r="9">
          <cell r="A9" t="str">
            <v>MAY</v>
          </cell>
          <cell r="B9" t="str">
            <v>Large Commercial</v>
          </cell>
          <cell r="C9">
            <v>68595302</v>
          </cell>
          <cell r="D9">
            <v>68595302</v>
          </cell>
          <cell r="E9">
            <v>1213593.56</v>
          </cell>
          <cell r="F9">
            <v>282835.39</v>
          </cell>
          <cell r="G9">
            <v>790147.85</v>
          </cell>
          <cell r="H9">
            <v>0</v>
          </cell>
          <cell r="I9">
            <v>73838.296918087362</v>
          </cell>
          <cell r="J9">
            <v>0</v>
          </cell>
          <cell r="K9">
            <v>0</v>
          </cell>
          <cell r="L9">
            <v>633.32500000000005</v>
          </cell>
          <cell r="M9">
            <v>0</v>
          </cell>
          <cell r="N9">
            <v>219609296.0400379</v>
          </cell>
          <cell r="O9">
            <v>0</v>
          </cell>
          <cell r="P9">
            <v>0</v>
          </cell>
          <cell r="Q9">
            <v>5971223.4900000002</v>
          </cell>
          <cell r="R9">
            <v>0</v>
          </cell>
          <cell r="S9">
            <v>2224825.1578322467</v>
          </cell>
          <cell r="T9">
            <v>0</v>
          </cell>
          <cell r="U9">
            <v>0</v>
          </cell>
          <cell r="V9">
            <v>121.36</v>
          </cell>
          <cell r="W9">
            <v>0</v>
          </cell>
          <cell r="X9">
            <v>0</v>
          </cell>
          <cell r="Y9">
            <v>790147.85</v>
          </cell>
          <cell r="Z9">
            <v>0</v>
          </cell>
          <cell r="AA9">
            <v>0</v>
          </cell>
          <cell r="AB9">
            <v>0</v>
          </cell>
          <cell r="AC9">
            <v>0</v>
          </cell>
        </row>
        <row r="10">
          <cell r="A10" t="str">
            <v>MAY</v>
          </cell>
          <cell r="B10" t="str">
            <v>Hospitality Facilities</v>
          </cell>
          <cell r="C10">
            <v>11793097</v>
          </cell>
          <cell r="D10">
            <v>11793097</v>
          </cell>
          <cell r="E10">
            <v>465453.22</v>
          </cell>
          <cell r="F10">
            <v>86240.61</v>
          </cell>
          <cell r="G10">
            <v>30583.200000000001</v>
          </cell>
          <cell r="H10">
            <v>0</v>
          </cell>
          <cell r="I10">
            <v>7577.0826254285475</v>
          </cell>
          <cell r="J10">
            <v>0</v>
          </cell>
          <cell r="K10">
            <v>0</v>
          </cell>
          <cell r="L10">
            <v>5.2480000000000002</v>
          </cell>
          <cell r="M10">
            <v>0</v>
          </cell>
          <cell r="N10">
            <v>37330060.295922801</v>
          </cell>
          <cell r="O10">
            <v>0</v>
          </cell>
          <cell r="P10">
            <v>0</v>
          </cell>
          <cell r="Q10">
            <v>379399.04</v>
          </cell>
          <cell r="R10">
            <v>0</v>
          </cell>
          <cell r="S10">
            <v>33302.25</v>
          </cell>
          <cell r="T10">
            <v>0</v>
          </cell>
          <cell r="U10">
            <v>0</v>
          </cell>
          <cell r="V10">
            <v>992.04</v>
          </cell>
          <cell r="W10">
            <v>0</v>
          </cell>
          <cell r="X10">
            <v>0</v>
          </cell>
          <cell r="Y10">
            <v>30583.200000000001</v>
          </cell>
          <cell r="Z10">
            <v>0</v>
          </cell>
          <cell r="AA10">
            <v>0</v>
          </cell>
          <cell r="AB10">
            <v>0</v>
          </cell>
          <cell r="AC10">
            <v>0</v>
          </cell>
        </row>
        <row r="11">
          <cell r="A11" t="str">
            <v>MAY</v>
          </cell>
          <cell r="B11" t="str">
            <v>Res New Construction</v>
          </cell>
          <cell r="C11">
            <v>26264217</v>
          </cell>
          <cell r="D11">
            <v>26264217</v>
          </cell>
          <cell r="E11">
            <v>908091.8</v>
          </cell>
          <cell r="F11">
            <v>111164.77</v>
          </cell>
          <cell r="G11">
            <v>485165</v>
          </cell>
          <cell r="H11">
            <v>0</v>
          </cell>
          <cell r="I11">
            <v>9015.1305056540205</v>
          </cell>
          <cell r="J11">
            <v>0</v>
          </cell>
          <cell r="K11">
            <v>0</v>
          </cell>
          <cell r="L11">
            <v>2345.5939200000003</v>
          </cell>
          <cell r="M11">
            <v>0</v>
          </cell>
          <cell r="N11">
            <v>13357136.488374671</v>
          </cell>
          <cell r="O11">
            <v>0</v>
          </cell>
          <cell r="P11">
            <v>0</v>
          </cell>
          <cell r="Q11">
            <v>510796.79999999999</v>
          </cell>
          <cell r="R11">
            <v>0</v>
          </cell>
          <cell r="S11">
            <v>2454487.1347570699</v>
          </cell>
          <cell r="T11">
            <v>0</v>
          </cell>
          <cell r="U11">
            <v>0</v>
          </cell>
          <cell r="V11">
            <v>103452.8</v>
          </cell>
          <cell r="W11">
            <v>0</v>
          </cell>
          <cell r="X11">
            <v>445</v>
          </cell>
          <cell r="Y11">
            <v>485165</v>
          </cell>
          <cell r="Z11">
            <v>0</v>
          </cell>
          <cell r="AA11">
            <v>0</v>
          </cell>
          <cell r="AB11">
            <v>0</v>
          </cell>
          <cell r="AC11">
            <v>0</v>
          </cell>
        </row>
        <row r="12">
          <cell r="A12" t="str">
            <v>MAY</v>
          </cell>
          <cell r="B12" t="str">
            <v>Education &amp; Training</v>
          </cell>
          <cell r="C12">
            <v>41154602</v>
          </cell>
          <cell r="D12">
            <v>41154602</v>
          </cell>
          <cell r="E12">
            <v>3321008.87</v>
          </cell>
          <cell r="F12">
            <v>1291859.45</v>
          </cell>
          <cell r="G12" t="str">
            <v>N/A</v>
          </cell>
          <cell r="H12">
            <v>0</v>
          </cell>
          <cell r="I12" t="str">
            <v>N/A</v>
          </cell>
          <cell r="J12" t="str">
            <v>N/A</v>
          </cell>
          <cell r="K12" t="str">
            <v>N/A</v>
          </cell>
          <cell r="L12" t="str">
            <v>N/A</v>
          </cell>
          <cell r="M12">
            <v>0</v>
          </cell>
          <cell r="N12" t="str">
            <v>N/A</v>
          </cell>
          <cell r="O12" t="str">
            <v>N/A</v>
          </cell>
          <cell r="P12" t="str">
            <v>N/A</v>
          </cell>
          <cell r="Q12" t="str">
            <v>N/A</v>
          </cell>
          <cell r="R12">
            <v>0</v>
          </cell>
          <cell r="S12" t="str">
            <v>N/A</v>
          </cell>
          <cell r="T12" t="str">
            <v>N/A</v>
          </cell>
          <cell r="U12" t="str">
            <v>N/A</v>
          </cell>
          <cell r="V12" t="str">
            <v>N/A</v>
          </cell>
          <cell r="W12">
            <v>0</v>
          </cell>
          <cell r="X12" t="str">
            <v>N/A</v>
          </cell>
          <cell r="Y12" t="str">
            <v>N/A</v>
          </cell>
          <cell r="Z12">
            <v>0</v>
          </cell>
          <cell r="AA12" t="str">
            <v>N/A</v>
          </cell>
          <cell r="AB12" t="str">
            <v>N/A</v>
          </cell>
          <cell r="AC12" t="str">
            <v>N/A</v>
          </cell>
        </row>
        <row r="13">
          <cell r="A13" t="str">
            <v>MAY</v>
          </cell>
          <cell r="B13" t="str">
            <v>Codes &amp; Standards</v>
          </cell>
          <cell r="C13">
            <v>4635754</v>
          </cell>
          <cell r="D13">
            <v>4635754</v>
          </cell>
          <cell r="E13">
            <v>372581.18</v>
          </cell>
          <cell r="F13">
            <v>84614.53</v>
          </cell>
          <cell r="G13" t="str">
            <v>N/A</v>
          </cell>
          <cell r="H13">
            <v>0</v>
          </cell>
          <cell r="I13" t="str">
            <v>N/A</v>
          </cell>
          <cell r="J13" t="str">
            <v>N/A</v>
          </cell>
          <cell r="K13" t="str">
            <v>N/A</v>
          </cell>
          <cell r="L13" t="str">
            <v>N/A</v>
          </cell>
          <cell r="M13">
            <v>0</v>
          </cell>
          <cell r="N13" t="str">
            <v>N/A</v>
          </cell>
          <cell r="O13" t="str">
            <v>N/A</v>
          </cell>
          <cell r="P13" t="str">
            <v>N/A</v>
          </cell>
          <cell r="Q13" t="str">
            <v>N/A</v>
          </cell>
          <cell r="R13">
            <v>0</v>
          </cell>
          <cell r="S13" t="str">
            <v>N/A</v>
          </cell>
          <cell r="T13" t="str">
            <v>N/A</v>
          </cell>
          <cell r="U13" t="str">
            <v>N/A</v>
          </cell>
          <cell r="V13" t="str">
            <v>N/A</v>
          </cell>
          <cell r="W13">
            <v>0</v>
          </cell>
          <cell r="X13" t="str">
            <v>N/A</v>
          </cell>
          <cell r="Y13" t="str">
            <v>N/A</v>
          </cell>
          <cell r="Z13">
            <v>0</v>
          </cell>
          <cell r="AA13" t="str">
            <v>N/A</v>
          </cell>
          <cell r="AB13" t="str">
            <v>N/A</v>
          </cell>
          <cell r="AC13" t="str">
            <v>N/A</v>
          </cell>
        </row>
        <row r="14">
          <cell r="A14" t="str">
            <v>MAY</v>
          </cell>
          <cell r="B14" t="str">
            <v>Emerging Technologies</v>
          </cell>
          <cell r="C14">
            <v>11260376</v>
          </cell>
          <cell r="D14">
            <v>11260376</v>
          </cell>
          <cell r="E14">
            <v>309630.52</v>
          </cell>
          <cell r="F14">
            <v>141964.81</v>
          </cell>
          <cell r="G14" t="str">
            <v>N/A</v>
          </cell>
          <cell r="H14">
            <v>0</v>
          </cell>
          <cell r="I14" t="str">
            <v>N/A</v>
          </cell>
          <cell r="J14" t="str">
            <v>N/A</v>
          </cell>
          <cell r="K14" t="str">
            <v>N/A</v>
          </cell>
          <cell r="L14" t="str">
            <v>N/A</v>
          </cell>
          <cell r="M14">
            <v>0</v>
          </cell>
          <cell r="N14" t="str">
            <v>N/A</v>
          </cell>
          <cell r="O14" t="str">
            <v>N/A</v>
          </cell>
          <cell r="P14" t="str">
            <v>N/A</v>
          </cell>
          <cell r="Q14" t="str">
            <v>N/A</v>
          </cell>
          <cell r="R14">
            <v>0</v>
          </cell>
          <cell r="S14" t="str">
            <v>N/A</v>
          </cell>
          <cell r="T14" t="str">
            <v>N/A</v>
          </cell>
          <cell r="U14" t="str">
            <v>N/A</v>
          </cell>
          <cell r="V14" t="str">
            <v>N/A</v>
          </cell>
          <cell r="W14">
            <v>0</v>
          </cell>
          <cell r="X14" t="str">
            <v>N/A</v>
          </cell>
          <cell r="Y14" t="str">
            <v>N/A</v>
          </cell>
          <cell r="Z14">
            <v>0</v>
          </cell>
          <cell r="AA14" t="str">
            <v>N/A</v>
          </cell>
          <cell r="AB14" t="str">
            <v>N/A</v>
          </cell>
          <cell r="AC14" t="str">
            <v>N/A</v>
          </cell>
        </row>
        <row r="15">
          <cell r="A15" t="str">
            <v>MAY</v>
          </cell>
          <cell r="B15" t="str">
            <v>Statewide Marketing &amp; Info</v>
          </cell>
          <cell r="C15">
            <v>26948382</v>
          </cell>
          <cell r="D15">
            <v>26948382</v>
          </cell>
          <cell r="E15">
            <v>2480.48</v>
          </cell>
          <cell r="F15">
            <v>0</v>
          </cell>
          <cell r="G15" t="str">
            <v>N/A</v>
          </cell>
          <cell r="H15">
            <v>0</v>
          </cell>
          <cell r="I15" t="str">
            <v>N/A</v>
          </cell>
          <cell r="J15" t="str">
            <v>N/A</v>
          </cell>
          <cell r="K15" t="str">
            <v>N/A</v>
          </cell>
          <cell r="L15" t="str">
            <v>N/A</v>
          </cell>
          <cell r="M15">
            <v>0</v>
          </cell>
          <cell r="N15" t="str">
            <v>N/A</v>
          </cell>
          <cell r="O15" t="str">
            <v>N/A</v>
          </cell>
          <cell r="P15" t="str">
            <v>N/A</v>
          </cell>
          <cell r="Q15" t="str">
            <v>N/A</v>
          </cell>
          <cell r="R15">
            <v>0</v>
          </cell>
          <cell r="S15" t="str">
            <v>N/A</v>
          </cell>
          <cell r="T15" t="str">
            <v>N/A</v>
          </cell>
          <cell r="U15" t="str">
            <v>N/A</v>
          </cell>
          <cell r="V15" t="str">
            <v>N/A</v>
          </cell>
          <cell r="W15">
            <v>0</v>
          </cell>
          <cell r="X15" t="str">
            <v>N/A</v>
          </cell>
          <cell r="Y15" t="str">
            <v>N/A</v>
          </cell>
          <cell r="Z15">
            <v>0</v>
          </cell>
          <cell r="AA15" t="str">
            <v>N/A</v>
          </cell>
          <cell r="AB15" t="str">
            <v>N/A</v>
          </cell>
          <cell r="AC15" t="str">
            <v>N/A</v>
          </cell>
        </row>
        <row r="16">
          <cell r="A16" t="str">
            <v>MAY</v>
          </cell>
          <cell r="B16" t="str">
            <v>Low Income EE (3)  (1 YR Budgets/Goals)</v>
          </cell>
          <cell r="C16">
            <v>68760669</v>
          </cell>
          <cell r="D16">
            <v>68760669</v>
          </cell>
          <cell r="E16">
            <v>30445619.789999999</v>
          </cell>
          <cell r="F16">
            <v>10111344.140000001</v>
          </cell>
          <cell r="G16" t="str">
            <v>N/A</v>
          </cell>
          <cell r="H16">
            <v>0</v>
          </cell>
          <cell r="I16">
            <v>5551</v>
          </cell>
          <cell r="J16">
            <v>2335.7872171099993</v>
          </cell>
          <cell r="K16">
            <v>791.78721710999935</v>
          </cell>
          <cell r="L16" t="str">
            <v>N/A</v>
          </cell>
          <cell r="M16">
            <v>0</v>
          </cell>
          <cell r="N16">
            <v>26282000</v>
          </cell>
          <cell r="O16">
            <v>10506271.530000001</v>
          </cell>
          <cell r="P16">
            <v>3420462.53</v>
          </cell>
          <cell r="Q16" t="str">
            <v>N/A</v>
          </cell>
          <cell r="R16">
            <v>0</v>
          </cell>
          <cell r="S16">
            <v>1370000</v>
          </cell>
          <cell r="T16">
            <v>420777.52</v>
          </cell>
          <cell r="U16">
            <v>63736.52</v>
          </cell>
          <cell r="V16" t="str">
            <v>N/A</v>
          </cell>
          <cell r="W16">
            <v>0</v>
          </cell>
          <cell r="X16" t="str">
            <v>N/A</v>
          </cell>
          <cell r="Y16" t="str">
            <v>N/A</v>
          </cell>
          <cell r="Z16">
            <v>0</v>
          </cell>
          <cell r="AA16">
            <v>1544</v>
          </cell>
          <cell r="AB16">
            <v>7085809</v>
          </cell>
          <cell r="AC16">
            <v>357041</v>
          </cell>
        </row>
        <row r="17">
          <cell r="A17" t="str">
            <v>JUNE</v>
          </cell>
          <cell r="B17" t="str">
            <v>Mass Market</v>
          </cell>
          <cell r="C17">
            <v>405857712</v>
          </cell>
          <cell r="D17">
            <v>405857712</v>
          </cell>
          <cell r="E17">
            <v>18748350.329999998</v>
          </cell>
          <cell r="F17">
            <v>6095524.3999999994</v>
          </cell>
          <cell r="G17">
            <v>5827135.8599999994</v>
          </cell>
          <cell r="H17">
            <v>0</v>
          </cell>
          <cell r="I17">
            <v>334053.85427348199</v>
          </cell>
          <cell r="J17">
            <v>18973.299037529501</v>
          </cell>
          <cell r="K17">
            <v>6972.5153128666025</v>
          </cell>
          <cell r="L17">
            <v>3453.9870033870002</v>
          </cell>
          <cell r="M17">
            <v>0</v>
          </cell>
          <cell r="N17">
            <v>1728133316.3078108</v>
          </cell>
          <cell r="O17">
            <v>88133563.977048367</v>
          </cell>
          <cell r="P17">
            <v>33934763.696143895</v>
          </cell>
          <cell r="Q17">
            <v>22375691.048130639</v>
          </cell>
          <cell r="R17">
            <v>0</v>
          </cell>
          <cell r="S17">
            <v>15871656.841610486</v>
          </cell>
          <cell r="T17">
            <v>520018.15170499997</v>
          </cell>
          <cell r="U17">
            <v>150709.99649599992</v>
          </cell>
          <cell r="V17">
            <v>167143.37689599997</v>
          </cell>
          <cell r="W17">
            <v>0</v>
          </cell>
          <cell r="X17">
            <v>0</v>
          </cell>
          <cell r="Y17">
            <v>0</v>
          </cell>
          <cell r="Z17">
            <v>0</v>
          </cell>
          <cell r="AA17">
            <v>0</v>
          </cell>
          <cell r="AB17">
            <v>0</v>
          </cell>
          <cell r="AC17">
            <v>0</v>
          </cell>
        </row>
        <row r="18">
          <cell r="A18" t="str">
            <v>JUNE</v>
          </cell>
          <cell r="B18" t="str">
            <v>Ag &amp; Food Processing</v>
          </cell>
          <cell r="C18">
            <v>47523134</v>
          </cell>
          <cell r="D18">
            <v>47523134</v>
          </cell>
          <cell r="E18">
            <v>1265218.76</v>
          </cell>
          <cell r="F18">
            <v>298675.69</v>
          </cell>
          <cell r="G18">
            <v>1337133.1100000001</v>
          </cell>
          <cell r="H18">
            <v>0</v>
          </cell>
          <cell r="I18">
            <v>22797.08846466984</v>
          </cell>
          <cell r="J18">
            <v>36.99</v>
          </cell>
          <cell r="K18">
            <v>36.99</v>
          </cell>
          <cell r="L18">
            <v>3562.5990000000002</v>
          </cell>
          <cell r="M18">
            <v>0</v>
          </cell>
          <cell r="N18">
            <v>164346860.9940128</v>
          </cell>
          <cell r="O18">
            <v>579917.16</v>
          </cell>
          <cell r="P18">
            <v>579917.16</v>
          </cell>
          <cell r="Q18">
            <v>9133119.8300000001</v>
          </cell>
          <cell r="R18">
            <v>0</v>
          </cell>
          <cell r="S18">
            <v>3082951.7327311719</v>
          </cell>
          <cell r="T18">
            <v>0</v>
          </cell>
          <cell r="U18">
            <v>0</v>
          </cell>
          <cell r="V18">
            <v>392567.06</v>
          </cell>
          <cell r="W18">
            <v>0</v>
          </cell>
          <cell r="X18">
            <v>0</v>
          </cell>
          <cell r="Y18">
            <v>0</v>
          </cell>
          <cell r="Z18">
            <v>0</v>
          </cell>
          <cell r="AA18">
            <v>0</v>
          </cell>
          <cell r="AB18">
            <v>0</v>
          </cell>
          <cell r="AC18">
            <v>0</v>
          </cell>
        </row>
        <row r="19">
          <cell r="A19" t="str">
            <v>JUNE</v>
          </cell>
          <cell r="B19" t="str">
            <v>Schools &amp; Colleges</v>
          </cell>
          <cell r="C19">
            <v>47568591</v>
          </cell>
          <cell r="D19">
            <v>47568591</v>
          </cell>
          <cell r="E19">
            <v>938964.96</v>
          </cell>
          <cell r="F19">
            <v>169132.77</v>
          </cell>
          <cell r="G19">
            <v>188021.68</v>
          </cell>
          <cell r="H19">
            <v>0</v>
          </cell>
          <cell r="I19">
            <v>28892.278794176014</v>
          </cell>
          <cell r="J19">
            <v>0</v>
          </cell>
          <cell r="K19">
            <v>0</v>
          </cell>
          <cell r="L19">
            <v>273.745</v>
          </cell>
          <cell r="M19">
            <v>0</v>
          </cell>
          <cell r="N19">
            <v>128046825.56012681</v>
          </cell>
          <cell r="O19">
            <v>0</v>
          </cell>
          <cell r="P19">
            <v>0</v>
          </cell>
          <cell r="Q19">
            <v>1208072.42</v>
          </cell>
          <cell r="R19">
            <v>0</v>
          </cell>
          <cell r="S19">
            <v>2635794.0523105087</v>
          </cell>
          <cell r="T19">
            <v>0</v>
          </cell>
          <cell r="U19">
            <v>0</v>
          </cell>
          <cell r="V19">
            <v>-3107.64</v>
          </cell>
          <cell r="W19">
            <v>0</v>
          </cell>
          <cell r="X19">
            <v>0</v>
          </cell>
          <cell r="Y19">
            <v>0</v>
          </cell>
          <cell r="Z19">
            <v>0</v>
          </cell>
          <cell r="AA19">
            <v>0</v>
          </cell>
          <cell r="AB19">
            <v>0</v>
          </cell>
          <cell r="AC19">
            <v>0</v>
          </cell>
        </row>
        <row r="20">
          <cell r="A20" t="str">
            <v>JUNE</v>
          </cell>
          <cell r="B20" t="str">
            <v>Retail Stores</v>
          </cell>
          <cell r="C20">
            <v>20850872</v>
          </cell>
          <cell r="D20">
            <v>20850872</v>
          </cell>
          <cell r="E20">
            <v>591851.39</v>
          </cell>
          <cell r="F20">
            <v>174292.96</v>
          </cell>
          <cell r="G20">
            <v>103491.33</v>
          </cell>
          <cell r="H20">
            <v>0</v>
          </cell>
          <cell r="I20">
            <v>21271.596533140018</v>
          </cell>
          <cell r="J20">
            <v>24.843000000000004</v>
          </cell>
          <cell r="K20">
            <v>24.843000000000004</v>
          </cell>
          <cell r="L20">
            <v>255.31100000000001</v>
          </cell>
          <cell r="M20">
            <v>0</v>
          </cell>
          <cell r="N20">
            <v>125946107.22913301</v>
          </cell>
          <cell r="O20">
            <v>147544.6</v>
          </cell>
          <cell r="P20">
            <v>147544.6</v>
          </cell>
          <cell r="Q20">
            <v>1344343.2609999999</v>
          </cell>
          <cell r="R20">
            <v>0</v>
          </cell>
          <cell r="S20">
            <v>17583.588</v>
          </cell>
          <cell r="T20">
            <v>0</v>
          </cell>
          <cell r="U20">
            <v>0</v>
          </cell>
          <cell r="V20">
            <v>1572.1</v>
          </cell>
          <cell r="W20">
            <v>0</v>
          </cell>
          <cell r="X20">
            <v>0</v>
          </cell>
          <cell r="Y20">
            <v>0</v>
          </cell>
          <cell r="Z20">
            <v>0</v>
          </cell>
          <cell r="AA20">
            <v>0</v>
          </cell>
          <cell r="AB20">
            <v>0</v>
          </cell>
          <cell r="AC20">
            <v>0</v>
          </cell>
        </row>
        <row r="21">
          <cell r="A21" t="str">
            <v>JUNE</v>
          </cell>
          <cell r="B21" t="str">
            <v>Fab, Prcss &amp; Hvy Indl Mfg</v>
          </cell>
          <cell r="C21">
            <v>121849249</v>
          </cell>
          <cell r="D21">
            <v>121849249</v>
          </cell>
          <cell r="E21">
            <v>1926638.86</v>
          </cell>
          <cell r="F21">
            <v>823235.89</v>
          </cell>
          <cell r="G21">
            <v>8670612.9699999988</v>
          </cell>
          <cell r="H21">
            <v>0</v>
          </cell>
          <cell r="I21">
            <v>69225.227525006732</v>
          </cell>
          <cell r="J21">
            <v>147.48600000000002</v>
          </cell>
          <cell r="K21">
            <v>25.098000000000013</v>
          </cell>
          <cell r="L21">
            <v>9733.9030000000002</v>
          </cell>
          <cell r="M21">
            <v>0</v>
          </cell>
          <cell r="N21">
            <v>475376401.45399302</v>
          </cell>
          <cell r="O21">
            <v>1433123.06</v>
          </cell>
          <cell r="P21">
            <v>748205.22</v>
          </cell>
          <cell r="Q21">
            <v>89910548.00999999</v>
          </cell>
          <cell r="R21">
            <v>0</v>
          </cell>
          <cell r="S21">
            <v>18198035.099455945</v>
          </cell>
          <cell r="T21">
            <v>499093</v>
          </cell>
          <cell r="U21">
            <v>499093</v>
          </cell>
          <cell r="V21">
            <v>1847740.0160000001</v>
          </cell>
          <cell r="W21">
            <v>0</v>
          </cell>
          <cell r="X21">
            <v>0</v>
          </cell>
          <cell r="Y21">
            <v>0</v>
          </cell>
          <cell r="Z21">
            <v>0</v>
          </cell>
          <cell r="AA21">
            <v>0</v>
          </cell>
          <cell r="AB21">
            <v>0</v>
          </cell>
          <cell r="AC21">
            <v>0</v>
          </cell>
        </row>
        <row r="22">
          <cell r="A22" t="str">
            <v>JUNE</v>
          </cell>
          <cell r="B22" t="str">
            <v>Hi-Tech Facilities</v>
          </cell>
          <cell r="C22">
            <v>11759803</v>
          </cell>
          <cell r="D22">
            <v>11759803</v>
          </cell>
          <cell r="E22">
            <v>663723.1</v>
          </cell>
          <cell r="F22">
            <v>172847.74</v>
          </cell>
          <cell r="G22">
            <v>648390.74</v>
          </cell>
          <cell r="H22">
            <v>0</v>
          </cell>
          <cell r="I22">
            <v>6532.0886490478697</v>
          </cell>
          <cell r="J22">
            <v>46.55</v>
          </cell>
          <cell r="K22">
            <v>46.55</v>
          </cell>
          <cell r="L22">
            <v>1109.1500000000001</v>
          </cell>
          <cell r="M22">
            <v>0</v>
          </cell>
          <cell r="N22">
            <v>44364926.587099597</v>
          </cell>
          <cell r="O22">
            <v>232370.6</v>
          </cell>
          <cell r="P22">
            <v>232370.6</v>
          </cell>
          <cell r="Q22">
            <v>13645256.441</v>
          </cell>
          <cell r="R22">
            <v>0</v>
          </cell>
          <cell r="S22">
            <v>25523.813309561065</v>
          </cell>
          <cell r="T22">
            <v>0</v>
          </cell>
          <cell r="U22">
            <v>0</v>
          </cell>
          <cell r="V22">
            <v>113338.38</v>
          </cell>
          <cell r="W22">
            <v>0</v>
          </cell>
          <cell r="X22">
            <v>0</v>
          </cell>
          <cell r="Y22">
            <v>0</v>
          </cell>
          <cell r="Z22">
            <v>0</v>
          </cell>
          <cell r="AA22">
            <v>0</v>
          </cell>
          <cell r="AB22">
            <v>0</v>
          </cell>
          <cell r="AC22">
            <v>0</v>
          </cell>
        </row>
        <row r="23">
          <cell r="A23" t="str">
            <v>JUNE</v>
          </cell>
          <cell r="B23" t="str">
            <v>Medical Facilities</v>
          </cell>
          <cell r="C23">
            <v>21407152</v>
          </cell>
          <cell r="D23">
            <v>21407152</v>
          </cell>
          <cell r="E23">
            <v>325349.45</v>
          </cell>
          <cell r="F23">
            <v>67859.850000000006</v>
          </cell>
          <cell r="G23">
            <v>244451.28</v>
          </cell>
          <cell r="H23">
            <v>0</v>
          </cell>
          <cell r="I23">
            <v>27753.153177169657</v>
          </cell>
          <cell r="J23">
            <v>0</v>
          </cell>
          <cell r="K23">
            <v>0</v>
          </cell>
          <cell r="L23">
            <v>107.8</v>
          </cell>
          <cell r="M23">
            <v>0</v>
          </cell>
          <cell r="N23">
            <v>68661112.057484001</v>
          </cell>
          <cell r="O23">
            <v>0</v>
          </cell>
          <cell r="P23">
            <v>0</v>
          </cell>
          <cell r="Q23">
            <v>1202485.2</v>
          </cell>
          <cell r="R23">
            <v>0</v>
          </cell>
          <cell r="S23">
            <v>494605</v>
          </cell>
          <cell r="T23">
            <v>0</v>
          </cell>
          <cell r="U23">
            <v>0</v>
          </cell>
          <cell r="V23">
            <v>6978.3</v>
          </cell>
          <cell r="W23">
            <v>0</v>
          </cell>
          <cell r="X23">
            <v>0</v>
          </cell>
          <cell r="Y23">
            <v>0</v>
          </cell>
          <cell r="Z23">
            <v>0</v>
          </cell>
          <cell r="AA23">
            <v>0</v>
          </cell>
          <cell r="AB23">
            <v>0</v>
          </cell>
          <cell r="AC23">
            <v>0</v>
          </cell>
        </row>
        <row r="24">
          <cell r="A24" t="str">
            <v>JUNE</v>
          </cell>
          <cell r="B24" t="str">
            <v>Large Commercial</v>
          </cell>
          <cell r="C24">
            <v>68595302</v>
          </cell>
          <cell r="D24">
            <v>68595302</v>
          </cell>
          <cell r="E24">
            <v>1584523.81</v>
          </cell>
          <cell r="F24">
            <v>370930.25</v>
          </cell>
          <cell r="G24">
            <v>1627157.56</v>
          </cell>
          <cell r="H24">
            <v>0</v>
          </cell>
          <cell r="I24">
            <v>73838.296918087362</v>
          </cell>
          <cell r="J24">
            <v>10.152000000000001</v>
          </cell>
          <cell r="K24">
            <v>10.152000000000001</v>
          </cell>
          <cell r="L24">
            <v>2988.2520000000004</v>
          </cell>
          <cell r="M24">
            <v>0</v>
          </cell>
          <cell r="N24">
            <v>219609296.0400379</v>
          </cell>
          <cell r="O24">
            <v>520488.64</v>
          </cell>
          <cell r="P24">
            <v>520488.64</v>
          </cell>
          <cell r="Q24">
            <v>12993769.58</v>
          </cell>
          <cell r="R24">
            <v>0</v>
          </cell>
          <cell r="S24">
            <v>2224825.1578322467</v>
          </cell>
          <cell r="T24">
            <v>0</v>
          </cell>
          <cell r="U24">
            <v>0</v>
          </cell>
          <cell r="V24">
            <v>338882.74</v>
          </cell>
          <cell r="W24">
            <v>0</v>
          </cell>
          <cell r="X24">
            <v>0</v>
          </cell>
          <cell r="Y24">
            <v>0</v>
          </cell>
          <cell r="Z24">
            <v>0</v>
          </cell>
          <cell r="AA24">
            <v>0</v>
          </cell>
          <cell r="AB24">
            <v>0</v>
          </cell>
          <cell r="AC24">
            <v>0</v>
          </cell>
        </row>
        <row r="25">
          <cell r="A25" t="str">
            <v>JUNE</v>
          </cell>
          <cell r="B25" t="str">
            <v>Hospitality Facilities</v>
          </cell>
          <cell r="C25">
            <v>11793097</v>
          </cell>
          <cell r="D25">
            <v>11793097</v>
          </cell>
          <cell r="E25">
            <v>576775.5</v>
          </cell>
          <cell r="F25">
            <v>111322.28</v>
          </cell>
          <cell r="G25">
            <v>8710</v>
          </cell>
          <cell r="H25">
            <v>0</v>
          </cell>
          <cell r="I25">
            <v>7577.0826254285475</v>
          </cell>
          <cell r="J25">
            <v>0</v>
          </cell>
          <cell r="K25">
            <v>0</v>
          </cell>
          <cell r="L25">
            <v>5.2480000000000002</v>
          </cell>
          <cell r="M25">
            <v>0</v>
          </cell>
          <cell r="N25">
            <v>37330060.295922801</v>
          </cell>
          <cell r="O25">
            <v>0</v>
          </cell>
          <cell r="P25">
            <v>0</v>
          </cell>
          <cell r="Q25">
            <v>97002.94</v>
          </cell>
          <cell r="R25">
            <v>0</v>
          </cell>
          <cell r="S25">
            <v>33302.25</v>
          </cell>
          <cell r="T25">
            <v>0</v>
          </cell>
          <cell r="U25">
            <v>0</v>
          </cell>
          <cell r="V25">
            <v>992.04</v>
          </cell>
          <cell r="W25">
            <v>0</v>
          </cell>
          <cell r="X25">
            <v>0</v>
          </cell>
          <cell r="Y25">
            <v>0</v>
          </cell>
          <cell r="Z25">
            <v>0</v>
          </cell>
          <cell r="AA25">
            <v>0</v>
          </cell>
          <cell r="AB25">
            <v>0</v>
          </cell>
          <cell r="AC25">
            <v>0</v>
          </cell>
        </row>
        <row r="26">
          <cell r="A26" t="str">
            <v>JUNE</v>
          </cell>
          <cell r="B26" t="str">
            <v>Res New Construction</v>
          </cell>
          <cell r="C26">
            <v>26264217</v>
          </cell>
          <cell r="D26">
            <v>26264217</v>
          </cell>
          <cell r="E26">
            <v>1045732.4</v>
          </cell>
          <cell r="F26">
            <v>137640.6</v>
          </cell>
          <cell r="G26">
            <v>1074610</v>
          </cell>
          <cell r="H26">
            <v>0</v>
          </cell>
          <cell r="I26">
            <v>9015.1305056540205</v>
          </cell>
          <cell r="J26">
            <v>0.18152000000000001</v>
          </cell>
          <cell r="K26">
            <v>0.18152000000000001</v>
          </cell>
          <cell r="L26">
            <v>109.55737120000001</v>
          </cell>
          <cell r="M26">
            <v>0</v>
          </cell>
          <cell r="N26">
            <v>13357136.488374671</v>
          </cell>
          <cell r="O26">
            <v>600.79999999999995</v>
          </cell>
          <cell r="P26">
            <v>600.79999999999995</v>
          </cell>
          <cell r="Q26">
            <v>584399.19999999995</v>
          </cell>
          <cell r="R26">
            <v>0</v>
          </cell>
          <cell r="S26">
            <v>2454487.1347570699</v>
          </cell>
          <cell r="T26">
            <v>45.776000000000003</v>
          </cell>
          <cell r="U26">
            <v>45.776000000000003</v>
          </cell>
          <cell r="V26">
            <v>197618.4</v>
          </cell>
          <cell r="W26">
            <v>0</v>
          </cell>
          <cell r="X26">
            <v>0</v>
          </cell>
          <cell r="Y26">
            <v>0</v>
          </cell>
          <cell r="Z26">
            <v>0</v>
          </cell>
          <cell r="AA26">
            <v>0</v>
          </cell>
          <cell r="AB26">
            <v>0</v>
          </cell>
          <cell r="AC26">
            <v>0</v>
          </cell>
        </row>
        <row r="27">
          <cell r="A27" t="str">
            <v>JUNE</v>
          </cell>
          <cell r="B27" t="str">
            <v>Education &amp; Training</v>
          </cell>
          <cell r="C27">
            <v>41154602</v>
          </cell>
          <cell r="D27">
            <v>41154602</v>
          </cell>
          <cell r="E27">
            <v>3653537.3</v>
          </cell>
          <cell r="F27">
            <v>332528.43</v>
          </cell>
          <cell r="G27" t="str">
            <v>N/A</v>
          </cell>
          <cell r="H27">
            <v>0</v>
          </cell>
          <cell r="I27" t="str">
            <v>N/A</v>
          </cell>
          <cell r="J27" t="str">
            <v>N/A</v>
          </cell>
          <cell r="K27" t="str">
            <v>N/A</v>
          </cell>
          <cell r="L27" t="str">
            <v>N/A</v>
          </cell>
          <cell r="M27">
            <v>0</v>
          </cell>
          <cell r="N27" t="str">
            <v>N/A</v>
          </cell>
          <cell r="O27" t="str">
            <v>N/A</v>
          </cell>
          <cell r="P27" t="str">
            <v>N/A</v>
          </cell>
          <cell r="Q27" t="str">
            <v>N/A</v>
          </cell>
          <cell r="R27">
            <v>0</v>
          </cell>
          <cell r="S27" t="str">
            <v>N/A</v>
          </cell>
          <cell r="T27" t="str">
            <v>N/A</v>
          </cell>
          <cell r="U27" t="str">
            <v>N/A</v>
          </cell>
          <cell r="V27" t="str">
            <v>N/A</v>
          </cell>
          <cell r="W27">
            <v>0</v>
          </cell>
          <cell r="X27">
            <v>0</v>
          </cell>
          <cell r="Y27">
            <v>0</v>
          </cell>
          <cell r="Z27">
            <v>0</v>
          </cell>
          <cell r="AA27">
            <v>0</v>
          </cell>
          <cell r="AB27">
            <v>0</v>
          </cell>
          <cell r="AC27">
            <v>0</v>
          </cell>
        </row>
        <row r="28">
          <cell r="A28" t="str">
            <v>JUNE</v>
          </cell>
          <cell r="B28" t="str">
            <v>Codes &amp; Standards</v>
          </cell>
          <cell r="C28">
            <v>4635754</v>
          </cell>
          <cell r="D28">
            <v>4635754</v>
          </cell>
          <cell r="E28">
            <v>469282.68</v>
          </cell>
          <cell r="F28">
            <v>96701.5</v>
          </cell>
          <cell r="G28" t="str">
            <v>N/A</v>
          </cell>
          <cell r="H28">
            <v>0</v>
          </cell>
          <cell r="I28" t="str">
            <v>N/A</v>
          </cell>
          <cell r="J28" t="str">
            <v>N/A</v>
          </cell>
          <cell r="K28" t="str">
            <v>N/A</v>
          </cell>
          <cell r="L28" t="str">
            <v>N/A</v>
          </cell>
          <cell r="M28">
            <v>0</v>
          </cell>
          <cell r="N28" t="str">
            <v>N/A</v>
          </cell>
          <cell r="O28" t="str">
            <v>N/A</v>
          </cell>
          <cell r="P28" t="str">
            <v>N/A</v>
          </cell>
          <cell r="Q28" t="str">
            <v>N/A</v>
          </cell>
          <cell r="R28">
            <v>0</v>
          </cell>
          <cell r="S28" t="str">
            <v>N/A</v>
          </cell>
          <cell r="T28" t="str">
            <v>N/A</v>
          </cell>
          <cell r="U28" t="str">
            <v>N/A</v>
          </cell>
          <cell r="V28" t="str">
            <v>N/A</v>
          </cell>
          <cell r="W28">
            <v>0</v>
          </cell>
          <cell r="X28">
            <v>0</v>
          </cell>
          <cell r="Y28">
            <v>0</v>
          </cell>
          <cell r="Z28">
            <v>0</v>
          </cell>
          <cell r="AA28">
            <v>0</v>
          </cell>
          <cell r="AB28">
            <v>0</v>
          </cell>
          <cell r="AC28">
            <v>0</v>
          </cell>
        </row>
        <row r="29">
          <cell r="A29" t="str">
            <v>JUNE</v>
          </cell>
          <cell r="B29" t="str">
            <v>Emerging Technologies</v>
          </cell>
          <cell r="C29">
            <v>11260376</v>
          </cell>
          <cell r="D29">
            <v>11260376</v>
          </cell>
          <cell r="E29">
            <v>389360.51</v>
          </cell>
          <cell r="F29">
            <v>79729.990000000005</v>
          </cell>
          <cell r="G29" t="str">
            <v>N/A</v>
          </cell>
          <cell r="H29">
            <v>0</v>
          </cell>
          <cell r="I29" t="str">
            <v>N/A</v>
          </cell>
          <cell r="J29" t="str">
            <v>N/A</v>
          </cell>
          <cell r="K29" t="str">
            <v>N/A</v>
          </cell>
          <cell r="L29" t="str">
            <v>N/A</v>
          </cell>
          <cell r="M29">
            <v>0</v>
          </cell>
          <cell r="N29" t="str">
            <v>N/A</v>
          </cell>
          <cell r="O29" t="str">
            <v>N/A</v>
          </cell>
          <cell r="P29" t="str">
            <v>N/A</v>
          </cell>
          <cell r="Q29" t="str">
            <v>N/A</v>
          </cell>
          <cell r="R29">
            <v>0</v>
          </cell>
          <cell r="S29" t="str">
            <v>N/A</v>
          </cell>
          <cell r="T29" t="str">
            <v>N/A</v>
          </cell>
          <cell r="U29" t="str">
            <v>N/A</v>
          </cell>
          <cell r="V29" t="str">
            <v>N/A</v>
          </cell>
          <cell r="W29">
            <v>0</v>
          </cell>
          <cell r="X29">
            <v>0</v>
          </cell>
          <cell r="Y29">
            <v>0</v>
          </cell>
          <cell r="Z29">
            <v>0</v>
          </cell>
          <cell r="AA29">
            <v>0</v>
          </cell>
          <cell r="AB29">
            <v>0</v>
          </cell>
          <cell r="AC29">
            <v>0</v>
          </cell>
        </row>
        <row r="30">
          <cell r="A30" t="str">
            <v>JUNE</v>
          </cell>
          <cell r="B30" t="str">
            <v>Statewide Marketing &amp; Info</v>
          </cell>
          <cell r="C30">
            <v>26948382</v>
          </cell>
          <cell r="D30">
            <v>26948382</v>
          </cell>
          <cell r="E30">
            <v>-403.74</v>
          </cell>
          <cell r="F30">
            <v>-2884.22</v>
          </cell>
          <cell r="G30" t="str">
            <v>N/A</v>
          </cell>
          <cell r="H30">
            <v>0</v>
          </cell>
          <cell r="I30" t="str">
            <v>N/A</v>
          </cell>
          <cell r="J30" t="str">
            <v>N/A</v>
          </cell>
          <cell r="K30" t="str">
            <v>N/A</v>
          </cell>
          <cell r="L30" t="str">
            <v>N/A</v>
          </cell>
          <cell r="M30">
            <v>0</v>
          </cell>
          <cell r="N30" t="str">
            <v>N/A</v>
          </cell>
          <cell r="O30" t="str">
            <v>N/A</v>
          </cell>
          <cell r="P30" t="str">
            <v>N/A</v>
          </cell>
          <cell r="Q30" t="str">
            <v>N/A</v>
          </cell>
          <cell r="R30">
            <v>0</v>
          </cell>
          <cell r="S30" t="str">
            <v>N/A</v>
          </cell>
          <cell r="T30" t="str">
            <v>N/A</v>
          </cell>
          <cell r="U30" t="str">
            <v>N/A</v>
          </cell>
          <cell r="V30" t="str">
            <v>N/A</v>
          </cell>
          <cell r="W30">
            <v>0</v>
          </cell>
          <cell r="X30">
            <v>0</v>
          </cell>
          <cell r="Y30">
            <v>0</v>
          </cell>
          <cell r="Z30">
            <v>0</v>
          </cell>
          <cell r="AA30">
            <v>0</v>
          </cell>
          <cell r="AB30">
            <v>0</v>
          </cell>
          <cell r="AC30">
            <v>0</v>
          </cell>
        </row>
        <row r="31">
          <cell r="A31" t="str">
            <v>JUNE</v>
          </cell>
          <cell r="B31" t="str">
            <v>Low Income EE (3)  (1 YR Budgets/Goals)</v>
          </cell>
          <cell r="C31">
            <v>68760669</v>
          </cell>
          <cell r="D31">
            <v>68760669</v>
          </cell>
          <cell r="E31">
            <v>37014260</v>
          </cell>
          <cell r="F31">
            <v>6568640</v>
          </cell>
          <cell r="G31" t="str">
            <v>N/A</v>
          </cell>
          <cell r="H31">
            <v>0</v>
          </cell>
          <cell r="I31">
            <v>5551</v>
          </cell>
          <cell r="J31">
            <v>2590.0702306499998</v>
          </cell>
          <cell r="K31">
            <v>254.28301354000041</v>
          </cell>
          <cell r="L31" t="str">
            <v>N/A</v>
          </cell>
          <cell r="M31">
            <v>0</v>
          </cell>
          <cell r="N31">
            <v>26282000</v>
          </cell>
          <cell r="O31">
            <v>11673714.880000001</v>
          </cell>
          <cell r="P31">
            <v>1167443.3500000001</v>
          </cell>
          <cell r="Q31" t="str">
            <v>N/A</v>
          </cell>
          <cell r="R31">
            <v>0</v>
          </cell>
          <cell r="S31">
            <v>1370000</v>
          </cell>
          <cell r="T31">
            <v>595392.63</v>
          </cell>
          <cell r="U31">
            <v>174615.11</v>
          </cell>
          <cell r="V31" t="str">
            <v>N/A</v>
          </cell>
          <cell r="W31">
            <v>0</v>
          </cell>
          <cell r="X31">
            <v>0</v>
          </cell>
          <cell r="Y31">
            <v>0</v>
          </cell>
          <cell r="Z31">
            <v>0</v>
          </cell>
          <cell r="AA31">
            <v>0</v>
          </cell>
          <cell r="AB31">
            <v>0</v>
          </cell>
          <cell r="AC31">
            <v>0</v>
          </cell>
        </row>
        <row r="32">
          <cell r="A32" t="str">
            <v>JUL</v>
          </cell>
          <cell r="B32" t="str">
            <v>Mass Market</v>
          </cell>
          <cell r="C32">
            <v>405857712</v>
          </cell>
          <cell r="D32">
            <v>405857712</v>
          </cell>
          <cell r="E32">
            <v>26038882.591199998</v>
          </cell>
          <cell r="F32">
            <v>7290532.2612000015</v>
          </cell>
          <cell r="G32">
            <v>4657081.33</v>
          </cell>
          <cell r="H32">
            <v>0</v>
          </cell>
          <cell r="I32">
            <v>334053.85427348199</v>
          </cell>
          <cell r="J32">
            <v>35112.870000000003</v>
          </cell>
          <cell r="K32">
            <v>16139.570962470501</v>
          </cell>
          <cell r="L32">
            <v>2729.0267265318003</v>
          </cell>
          <cell r="M32">
            <v>0</v>
          </cell>
          <cell r="N32">
            <v>1728133316.3078108</v>
          </cell>
          <cell r="O32">
            <v>169678958.25999999</v>
          </cell>
          <cell r="P32">
            <v>81545394.282951623</v>
          </cell>
          <cell r="Q32">
            <v>15092397.755989883</v>
          </cell>
          <cell r="R32">
            <v>0</v>
          </cell>
          <cell r="S32">
            <v>15871656.841610486</v>
          </cell>
          <cell r="T32">
            <v>814840.35</v>
          </cell>
          <cell r="U32">
            <v>294822.19829500001</v>
          </cell>
          <cell r="V32">
            <v>207327.36981200002</v>
          </cell>
          <cell r="W32">
            <v>0</v>
          </cell>
          <cell r="X32">
            <v>0</v>
          </cell>
          <cell r="Y32">
            <v>0</v>
          </cell>
          <cell r="Z32">
            <v>0</v>
          </cell>
          <cell r="AA32">
            <v>0</v>
          </cell>
          <cell r="AB32">
            <v>0</v>
          </cell>
          <cell r="AC32">
            <v>0</v>
          </cell>
        </row>
        <row r="33">
          <cell r="A33" t="str">
            <v>JUL</v>
          </cell>
          <cell r="B33" t="str">
            <v>Ag &amp; Food Processing</v>
          </cell>
          <cell r="C33">
            <v>47523134</v>
          </cell>
          <cell r="D33">
            <v>47523134</v>
          </cell>
          <cell r="E33">
            <v>1558896.8176</v>
          </cell>
          <cell r="F33">
            <v>293678.0576</v>
          </cell>
          <cell r="G33">
            <v>1826397.46</v>
          </cell>
          <cell r="H33">
            <v>0</v>
          </cell>
          <cell r="I33">
            <v>22797.08846466984</v>
          </cell>
          <cell r="J33">
            <v>36.99</v>
          </cell>
          <cell r="K33">
            <v>0</v>
          </cell>
          <cell r="L33">
            <v>3634.1330000000003</v>
          </cell>
          <cell r="M33">
            <v>0</v>
          </cell>
          <cell r="N33">
            <v>164346860.9940128</v>
          </cell>
          <cell r="O33">
            <v>579917.16</v>
          </cell>
          <cell r="P33">
            <v>0</v>
          </cell>
          <cell r="Q33">
            <v>10465017.670000002</v>
          </cell>
          <cell r="R33">
            <v>0</v>
          </cell>
          <cell r="S33">
            <v>3082951.7327311719</v>
          </cell>
          <cell r="T33">
            <v>5103</v>
          </cell>
          <cell r="U33">
            <v>5103</v>
          </cell>
          <cell r="V33">
            <v>941717.76</v>
          </cell>
          <cell r="W33">
            <v>0</v>
          </cell>
          <cell r="X33">
            <v>0</v>
          </cell>
          <cell r="Y33">
            <v>0</v>
          </cell>
          <cell r="Z33">
            <v>0</v>
          </cell>
          <cell r="AA33">
            <v>0</v>
          </cell>
          <cell r="AB33">
            <v>0</v>
          </cell>
          <cell r="AC33">
            <v>0</v>
          </cell>
        </row>
        <row r="34">
          <cell r="A34" t="str">
            <v>JUL</v>
          </cell>
          <cell r="B34" t="str">
            <v>Schools &amp; Colleges</v>
          </cell>
          <cell r="C34">
            <v>47568591</v>
          </cell>
          <cell r="D34">
            <v>47568591</v>
          </cell>
          <cell r="E34">
            <v>1205666.5547999998</v>
          </cell>
          <cell r="F34">
            <v>266701.59479999996</v>
          </cell>
          <cell r="G34">
            <v>157338.32</v>
          </cell>
          <cell r="H34">
            <v>0</v>
          </cell>
          <cell r="I34">
            <v>28892.278794176014</v>
          </cell>
          <cell r="J34">
            <v>75.849999999999994</v>
          </cell>
          <cell r="K34">
            <v>75.849999999999994</v>
          </cell>
          <cell r="L34">
            <v>216.095</v>
          </cell>
          <cell r="M34">
            <v>0</v>
          </cell>
          <cell r="N34">
            <v>128046825.56012681</v>
          </cell>
          <cell r="O34">
            <v>131613.28</v>
          </cell>
          <cell r="P34">
            <v>131613.28</v>
          </cell>
          <cell r="Q34">
            <v>1091623.24</v>
          </cell>
          <cell r="R34">
            <v>0</v>
          </cell>
          <cell r="S34">
            <v>2635794.0523105087</v>
          </cell>
          <cell r="T34">
            <v>0</v>
          </cell>
          <cell r="U34">
            <v>0</v>
          </cell>
          <cell r="V34">
            <v>-3057.74</v>
          </cell>
          <cell r="W34">
            <v>0</v>
          </cell>
          <cell r="X34">
            <v>0</v>
          </cell>
          <cell r="Y34">
            <v>0</v>
          </cell>
          <cell r="Z34">
            <v>0</v>
          </cell>
          <cell r="AA34">
            <v>0</v>
          </cell>
          <cell r="AB34">
            <v>0</v>
          </cell>
          <cell r="AC34">
            <v>0</v>
          </cell>
        </row>
        <row r="35">
          <cell r="A35" t="str">
            <v>JUL</v>
          </cell>
          <cell r="B35" t="str">
            <v>Retail Stores</v>
          </cell>
          <cell r="C35">
            <v>20850872</v>
          </cell>
          <cell r="D35">
            <v>20850872</v>
          </cell>
          <cell r="E35">
            <v>737515.66919999989</v>
          </cell>
          <cell r="F35">
            <v>145664.27919999999</v>
          </cell>
          <cell r="G35">
            <v>106737.11</v>
          </cell>
          <cell r="H35">
            <v>0</v>
          </cell>
          <cell r="I35">
            <v>21271.596533140018</v>
          </cell>
          <cell r="J35">
            <v>33.78</v>
          </cell>
          <cell r="K35">
            <v>8.9369999999999976</v>
          </cell>
          <cell r="L35">
            <v>319.88499999999999</v>
          </cell>
          <cell r="M35">
            <v>0</v>
          </cell>
          <cell r="N35">
            <v>125946107.22913301</v>
          </cell>
          <cell r="O35">
            <v>391719.65</v>
          </cell>
          <cell r="P35">
            <v>244175.05</v>
          </cell>
          <cell r="Q35">
            <v>1454449.1609999998</v>
          </cell>
          <cell r="R35">
            <v>0</v>
          </cell>
          <cell r="S35">
            <v>17583.588</v>
          </cell>
          <cell r="T35">
            <v>3103.1</v>
          </cell>
          <cell r="U35">
            <v>3103.1</v>
          </cell>
          <cell r="V35">
            <v>-1188</v>
          </cell>
          <cell r="W35">
            <v>0</v>
          </cell>
          <cell r="X35">
            <v>0</v>
          </cell>
          <cell r="Y35">
            <v>0</v>
          </cell>
          <cell r="Z35">
            <v>0</v>
          </cell>
          <cell r="AA35">
            <v>0</v>
          </cell>
          <cell r="AB35">
            <v>0</v>
          </cell>
          <cell r="AC35">
            <v>0</v>
          </cell>
        </row>
        <row r="36">
          <cell r="A36" t="str">
            <v>JUL</v>
          </cell>
          <cell r="B36" t="str">
            <v>Fab, Prcss &amp; Hvy Indl Mfg</v>
          </cell>
          <cell r="C36">
            <v>121849249</v>
          </cell>
          <cell r="D36">
            <v>121849249</v>
          </cell>
          <cell r="E36">
            <v>2290013.7784000002</v>
          </cell>
          <cell r="F36">
            <v>363374.91840000002</v>
          </cell>
          <cell r="G36">
            <v>9498544.3099999987</v>
          </cell>
          <cell r="H36">
            <v>0</v>
          </cell>
          <cell r="I36">
            <v>69225.227525006732</v>
          </cell>
          <cell r="J36">
            <v>242.75</v>
          </cell>
          <cell r="K36">
            <v>95.263999999999982</v>
          </cell>
          <cell r="L36">
            <v>10398.02</v>
          </cell>
          <cell r="M36">
            <v>0</v>
          </cell>
          <cell r="N36">
            <v>475376401.45399302</v>
          </cell>
          <cell r="O36">
            <v>1885114.22</v>
          </cell>
          <cell r="P36">
            <v>451991.16</v>
          </cell>
          <cell r="Q36">
            <v>96398727.201999992</v>
          </cell>
          <cell r="R36">
            <v>0</v>
          </cell>
          <cell r="S36">
            <v>18198035.099455945</v>
          </cell>
          <cell r="T36">
            <v>499093</v>
          </cell>
          <cell r="U36">
            <v>0</v>
          </cell>
          <cell r="V36">
            <v>2029921.456</v>
          </cell>
          <cell r="W36">
            <v>0</v>
          </cell>
          <cell r="X36">
            <v>0</v>
          </cell>
          <cell r="Y36">
            <v>0</v>
          </cell>
          <cell r="Z36">
            <v>0</v>
          </cell>
          <cell r="AA36">
            <v>0</v>
          </cell>
          <cell r="AB36">
            <v>0</v>
          </cell>
          <cell r="AC36">
            <v>0</v>
          </cell>
        </row>
        <row r="37">
          <cell r="A37" t="str">
            <v>JUL</v>
          </cell>
          <cell r="B37" t="str">
            <v>Hi-Tech Facilities</v>
          </cell>
          <cell r="C37">
            <v>11759803</v>
          </cell>
          <cell r="D37">
            <v>11759803</v>
          </cell>
          <cell r="E37">
            <v>855391.85159999994</v>
          </cell>
          <cell r="F37">
            <v>191668.75159999999</v>
          </cell>
          <cell r="G37">
            <v>791077.64</v>
          </cell>
          <cell r="H37">
            <v>0</v>
          </cell>
          <cell r="I37">
            <v>6532.0886490478697</v>
          </cell>
          <cell r="J37">
            <v>46.55</v>
          </cell>
          <cell r="K37">
            <v>0</v>
          </cell>
          <cell r="L37">
            <v>1293.28</v>
          </cell>
          <cell r="M37">
            <v>0</v>
          </cell>
          <cell r="N37">
            <v>44364926.587099597</v>
          </cell>
          <cell r="O37">
            <v>232370.6</v>
          </cell>
          <cell r="P37">
            <v>0</v>
          </cell>
          <cell r="Q37">
            <v>15606447.452</v>
          </cell>
          <cell r="R37">
            <v>0</v>
          </cell>
          <cell r="S37">
            <v>25523.813309561065</v>
          </cell>
          <cell r="T37">
            <v>0</v>
          </cell>
          <cell r="U37">
            <v>0</v>
          </cell>
          <cell r="V37">
            <v>128778.63</v>
          </cell>
          <cell r="W37">
            <v>0</v>
          </cell>
          <cell r="X37">
            <v>0</v>
          </cell>
          <cell r="Y37">
            <v>0</v>
          </cell>
          <cell r="Z37">
            <v>0</v>
          </cell>
          <cell r="AA37">
            <v>0</v>
          </cell>
          <cell r="AB37">
            <v>0</v>
          </cell>
          <cell r="AC37">
            <v>0</v>
          </cell>
        </row>
        <row r="38">
          <cell r="A38" t="str">
            <v>JUL</v>
          </cell>
          <cell r="B38" t="str">
            <v>Medical Facilities</v>
          </cell>
          <cell r="C38">
            <v>21407152</v>
          </cell>
          <cell r="D38">
            <v>21407152</v>
          </cell>
          <cell r="E38">
            <v>392996.87320000003</v>
          </cell>
          <cell r="F38">
            <v>67647.423200000005</v>
          </cell>
          <cell r="G38">
            <v>293493.28000000003</v>
          </cell>
          <cell r="H38">
            <v>0</v>
          </cell>
          <cell r="I38">
            <v>27753.153177169657</v>
          </cell>
          <cell r="J38">
            <v>0</v>
          </cell>
          <cell r="K38">
            <v>0</v>
          </cell>
          <cell r="L38">
            <v>110.53</v>
          </cell>
          <cell r="M38">
            <v>0</v>
          </cell>
          <cell r="N38">
            <v>68661112.057484001</v>
          </cell>
          <cell r="O38">
            <v>0</v>
          </cell>
          <cell r="P38">
            <v>0</v>
          </cell>
          <cell r="Q38">
            <v>1447695.2</v>
          </cell>
          <cell r="R38">
            <v>0</v>
          </cell>
          <cell r="S38">
            <v>494605</v>
          </cell>
          <cell r="T38">
            <v>0</v>
          </cell>
          <cell r="U38">
            <v>0</v>
          </cell>
          <cell r="V38">
            <v>6978.3</v>
          </cell>
          <cell r="W38">
            <v>0</v>
          </cell>
          <cell r="X38">
            <v>0</v>
          </cell>
          <cell r="Y38">
            <v>0</v>
          </cell>
          <cell r="Z38">
            <v>0</v>
          </cell>
          <cell r="AA38">
            <v>0</v>
          </cell>
          <cell r="AB38">
            <v>0</v>
          </cell>
          <cell r="AC38">
            <v>0</v>
          </cell>
        </row>
        <row r="39">
          <cell r="A39" t="str">
            <v>JUL</v>
          </cell>
          <cell r="B39" t="str">
            <v>Large Commercial</v>
          </cell>
          <cell r="C39">
            <v>68595302</v>
          </cell>
          <cell r="D39">
            <v>68595302</v>
          </cell>
          <cell r="E39">
            <v>2052493.4264000002</v>
          </cell>
          <cell r="F39">
            <v>467969.6164</v>
          </cell>
          <cell r="G39">
            <v>1582401.51</v>
          </cell>
          <cell r="H39">
            <v>0</v>
          </cell>
          <cell r="I39">
            <v>73838.296918087362</v>
          </cell>
          <cell r="J39">
            <v>172.27</v>
          </cell>
          <cell r="K39">
            <v>162.11799999999999</v>
          </cell>
          <cell r="L39">
            <v>2833.9320000000002</v>
          </cell>
          <cell r="M39">
            <v>0</v>
          </cell>
          <cell r="N39">
            <v>219609296.0400379</v>
          </cell>
          <cell r="O39">
            <v>1195051.27</v>
          </cell>
          <cell r="P39">
            <v>674562.63</v>
          </cell>
          <cell r="Q39">
            <v>11880864.49</v>
          </cell>
          <cell r="R39">
            <v>0</v>
          </cell>
          <cell r="S39">
            <v>2224825.1578322467</v>
          </cell>
          <cell r="T39">
            <v>3919.3</v>
          </cell>
          <cell r="U39">
            <v>3919.3</v>
          </cell>
          <cell r="V39">
            <v>424467.74</v>
          </cell>
          <cell r="W39">
            <v>0</v>
          </cell>
          <cell r="X39">
            <v>0</v>
          </cell>
          <cell r="Y39">
            <v>0</v>
          </cell>
          <cell r="Z39">
            <v>0</v>
          </cell>
          <cell r="AA39">
            <v>0</v>
          </cell>
          <cell r="AB39">
            <v>0</v>
          </cell>
          <cell r="AC39">
            <v>0</v>
          </cell>
        </row>
        <row r="40">
          <cell r="A40" t="str">
            <v>JUL</v>
          </cell>
          <cell r="B40" t="str">
            <v>Hospitality Facilities</v>
          </cell>
          <cell r="C40">
            <v>11793097</v>
          </cell>
          <cell r="D40">
            <v>11793097</v>
          </cell>
          <cell r="E40">
            <v>666814.93800000008</v>
          </cell>
          <cell r="F40">
            <v>90039.438000000009</v>
          </cell>
          <cell r="G40">
            <v>49997.67</v>
          </cell>
          <cell r="H40">
            <v>0</v>
          </cell>
          <cell r="I40">
            <v>7577.0826254285475</v>
          </cell>
          <cell r="J40">
            <v>0</v>
          </cell>
          <cell r="K40">
            <v>0</v>
          </cell>
          <cell r="L40">
            <v>11.058</v>
          </cell>
          <cell r="M40">
            <v>0</v>
          </cell>
          <cell r="N40">
            <v>37330060.295922801</v>
          </cell>
          <cell r="O40">
            <v>0</v>
          </cell>
          <cell r="P40">
            <v>0</v>
          </cell>
          <cell r="Q40">
            <v>395764.06</v>
          </cell>
          <cell r="R40">
            <v>0</v>
          </cell>
          <cell r="S40">
            <v>33302.25</v>
          </cell>
          <cell r="T40">
            <v>437.5</v>
          </cell>
          <cell r="U40">
            <v>437.5</v>
          </cell>
          <cell r="V40">
            <v>10222.793000000001</v>
          </cell>
          <cell r="W40">
            <v>0</v>
          </cell>
          <cell r="X40">
            <v>0</v>
          </cell>
          <cell r="Y40">
            <v>0</v>
          </cell>
          <cell r="Z40">
            <v>0</v>
          </cell>
          <cell r="AA40">
            <v>0</v>
          </cell>
          <cell r="AB40">
            <v>0</v>
          </cell>
          <cell r="AC40">
            <v>0</v>
          </cell>
        </row>
        <row r="41">
          <cell r="A41" t="str">
            <v>JUL</v>
          </cell>
          <cell r="B41" t="str">
            <v>Res New Construction</v>
          </cell>
          <cell r="C41">
            <v>26264217</v>
          </cell>
          <cell r="D41">
            <v>26264217</v>
          </cell>
          <cell r="E41">
            <v>1229010.1664000002</v>
          </cell>
          <cell r="F41">
            <v>183277.76639999999</v>
          </cell>
          <cell r="G41">
            <v>1485610</v>
          </cell>
          <cell r="H41">
            <v>0</v>
          </cell>
          <cell r="I41">
            <v>9015.1305056540205</v>
          </cell>
          <cell r="J41">
            <v>0.18</v>
          </cell>
          <cell r="K41">
            <v>0</v>
          </cell>
          <cell r="L41">
            <v>414.39981280000012</v>
          </cell>
          <cell r="M41">
            <v>0</v>
          </cell>
          <cell r="N41">
            <v>13357136.488374671</v>
          </cell>
          <cell r="O41">
            <v>600.79999999999995</v>
          </cell>
          <cell r="P41">
            <v>0</v>
          </cell>
          <cell r="Q41">
            <v>886354.4</v>
          </cell>
          <cell r="R41">
            <v>0</v>
          </cell>
          <cell r="S41">
            <v>2454487.1347570699</v>
          </cell>
          <cell r="T41">
            <v>45.78</v>
          </cell>
          <cell r="U41">
            <v>3.9999999999977831E-3</v>
          </cell>
          <cell r="V41">
            <v>310628.8</v>
          </cell>
          <cell r="W41">
            <v>0</v>
          </cell>
          <cell r="X41">
            <v>0</v>
          </cell>
          <cell r="Y41">
            <v>0</v>
          </cell>
          <cell r="Z41">
            <v>0</v>
          </cell>
          <cell r="AA41">
            <v>0</v>
          </cell>
          <cell r="AB41">
            <v>0</v>
          </cell>
          <cell r="AC41">
            <v>0</v>
          </cell>
        </row>
        <row r="42">
          <cell r="A42" t="str">
            <v>JUL</v>
          </cell>
          <cell r="B42" t="str">
            <v>Education &amp; Training</v>
          </cell>
          <cell r="C42">
            <v>41154602</v>
          </cell>
          <cell r="D42">
            <v>41154602</v>
          </cell>
          <cell r="E42">
            <v>4235551.2531999992</v>
          </cell>
          <cell r="F42">
            <v>582013.95319999999</v>
          </cell>
          <cell r="G42" t="str">
            <v>N/A</v>
          </cell>
          <cell r="H42">
            <v>0</v>
          </cell>
          <cell r="I42" t="str">
            <v>N/A</v>
          </cell>
          <cell r="J42" t="str">
            <v>N/A</v>
          </cell>
          <cell r="K42" t="str">
            <v>N/A</v>
          </cell>
          <cell r="L42" t="str">
            <v>N/A</v>
          </cell>
          <cell r="M42">
            <v>0</v>
          </cell>
          <cell r="N42" t="str">
            <v>N/A</v>
          </cell>
          <cell r="O42" t="str">
            <v>N/A</v>
          </cell>
          <cell r="P42" t="str">
            <v>N/A</v>
          </cell>
          <cell r="Q42" t="str">
            <v>N/A</v>
          </cell>
          <cell r="R42">
            <v>0</v>
          </cell>
          <cell r="S42" t="str">
            <v>N/A</v>
          </cell>
          <cell r="T42" t="str">
            <v>N/A</v>
          </cell>
          <cell r="U42" t="str">
            <v>N/A</v>
          </cell>
          <cell r="V42" t="str">
            <v>N/A</v>
          </cell>
          <cell r="W42">
            <v>0</v>
          </cell>
          <cell r="X42">
            <v>0</v>
          </cell>
          <cell r="Y42">
            <v>0</v>
          </cell>
          <cell r="Z42">
            <v>0</v>
          </cell>
          <cell r="AA42">
            <v>0</v>
          </cell>
          <cell r="AB42">
            <v>0</v>
          </cell>
          <cell r="AC42">
            <v>0</v>
          </cell>
        </row>
        <row r="43">
          <cell r="A43" t="str">
            <v>JUL</v>
          </cell>
          <cell r="B43" t="str">
            <v>Codes &amp; Standards</v>
          </cell>
          <cell r="C43">
            <v>4635754</v>
          </cell>
          <cell r="D43">
            <v>4635754</v>
          </cell>
          <cell r="E43">
            <v>560259.21</v>
          </cell>
          <cell r="F43">
            <v>90976.53</v>
          </cell>
          <cell r="G43" t="str">
            <v>N/A</v>
          </cell>
          <cell r="H43">
            <v>0</v>
          </cell>
          <cell r="I43" t="str">
            <v>N/A</v>
          </cell>
          <cell r="J43" t="str">
            <v>N/A</v>
          </cell>
          <cell r="K43" t="str">
            <v>N/A</v>
          </cell>
          <cell r="L43" t="str">
            <v>N/A</v>
          </cell>
          <cell r="M43">
            <v>0</v>
          </cell>
          <cell r="N43" t="str">
            <v>N/A</v>
          </cell>
          <cell r="O43" t="str">
            <v>N/A</v>
          </cell>
          <cell r="P43" t="str">
            <v>N/A</v>
          </cell>
          <cell r="Q43" t="str">
            <v>N/A</v>
          </cell>
          <cell r="R43">
            <v>0</v>
          </cell>
          <cell r="S43" t="str">
            <v>N/A</v>
          </cell>
          <cell r="T43" t="str">
            <v>N/A</v>
          </cell>
          <cell r="U43" t="str">
            <v>N/A</v>
          </cell>
          <cell r="V43" t="str">
            <v>N/A</v>
          </cell>
          <cell r="W43">
            <v>0</v>
          </cell>
          <cell r="X43">
            <v>0</v>
          </cell>
          <cell r="Y43">
            <v>0</v>
          </cell>
          <cell r="Z43">
            <v>0</v>
          </cell>
          <cell r="AA43">
            <v>0</v>
          </cell>
          <cell r="AB43">
            <v>0</v>
          </cell>
          <cell r="AC43">
            <v>0</v>
          </cell>
        </row>
        <row r="44">
          <cell r="A44" t="str">
            <v>JUL</v>
          </cell>
          <cell r="B44" t="str">
            <v>Emerging Technologies</v>
          </cell>
          <cell r="C44">
            <v>11260376</v>
          </cell>
          <cell r="D44">
            <v>11260376</v>
          </cell>
          <cell r="E44">
            <v>468894.89</v>
          </cell>
          <cell r="F44">
            <v>79534.38</v>
          </cell>
          <cell r="G44" t="str">
            <v>N/A</v>
          </cell>
          <cell r="H44">
            <v>0</v>
          </cell>
          <cell r="I44" t="str">
            <v>N/A</v>
          </cell>
          <cell r="J44" t="str">
            <v>N/A</v>
          </cell>
          <cell r="K44" t="str">
            <v>N/A</v>
          </cell>
          <cell r="L44" t="str">
            <v>N/A</v>
          </cell>
          <cell r="M44">
            <v>0</v>
          </cell>
          <cell r="N44" t="str">
            <v>N/A</v>
          </cell>
          <cell r="O44" t="str">
            <v>N/A</v>
          </cell>
          <cell r="P44" t="str">
            <v>N/A</v>
          </cell>
          <cell r="Q44" t="str">
            <v>N/A</v>
          </cell>
          <cell r="R44">
            <v>0</v>
          </cell>
          <cell r="S44" t="str">
            <v>N/A</v>
          </cell>
          <cell r="T44" t="str">
            <v>N/A</v>
          </cell>
          <cell r="U44" t="str">
            <v>N/A</v>
          </cell>
          <cell r="V44" t="str">
            <v>N/A</v>
          </cell>
          <cell r="W44">
            <v>0</v>
          </cell>
          <cell r="X44">
            <v>0</v>
          </cell>
          <cell r="Y44">
            <v>0</v>
          </cell>
          <cell r="Z44">
            <v>0</v>
          </cell>
          <cell r="AA44">
            <v>0</v>
          </cell>
          <cell r="AB44">
            <v>0</v>
          </cell>
          <cell r="AC44">
            <v>0</v>
          </cell>
        </row>
        <row r="45">
          <cell r="A45" t="str">
            <v>JUL</v>
          </cell>
          <cell r="B45" t="str">
            <v>Statewide Marketing &amp; Info</v>
          </cell>
          <cell r="C45">
            <v>26948382</v>
          </cell>
          <cell r="D45">
            <v>26948382</v>
          </cell>
          <cell r="E45">
            <v>-257.77999999999997</v>
          </cell>
          <cell r="F45">
            <v>145.96</v>
          </cell>
          <cell r="G45" t="str">
            <v>N/A</v>
          </cell>
          <cell r="H45">
            <v>0</v>
          </cell>
          <cell r="I45" t="str">
            <v>N/A</v>
          </cell>
          <cell r="J45" t="str">
            <v>N/A</v>
          </cell>
          <cell r="K45" t="str">
            <v>N/A</v>
          </cell>
          <cell r="L45" t="str">
            <v>N/A</v>
          </cell>
          <cell r="M45">
            <v>0</v>
          </cell>
          <cell r="N45" t="str">
            <v>N/A</v>
          </cell>
          <cell r="O45" t="str">
            <v>N/A</v>
          </cell>
          <cell r="P45" t="str">
            <v>N/A</v>
          </cell>
          <cell r="Q45" t="str">
            <v>N/A</v>
          </cell>
          <cell r="R45">
            <v>0</v>
          </cell>
          <cell r="S45" t="str">
            <v>N/A</v>
          </cell>
          <cell r="T45" t="str">
            <v>N/A</v>
          </cell>
          <cell r="U45" t="str">
            <v>N/A</v>
          </cell>
          <cell r="V45" t="str">
            <v>N/A</v>
          </cell>
          <cell r="W45">
            <v>0</v>
          </cell>
          <cell r="X45">
            <v>0</v>
          </cell>
          <cell r="Y45">
            <v>0</v>
          </cell>
          <cell r="Z45">
            <v>0</v>
          </cell>
          <cell r="AA45">
            <v>0</v>
          </cell>
          <cell r="AB45">
            <v>0</v>
          </cell>
          <cell r="AC45">
            <v>0</v>
          </cell>
        </row>
        <row r="46">
          <cell r="A46" t="str">
            <v>JUL</v>
          </cell>
          <cell r="B46" t="str">
            <v>Low Income EE (3)  (1 YR Budgets/Goals)</v>
          </cell>
          <cell r="C46">
            <v>68760669</v>
          </cell>
          <cell r="D46">
            <v>68760669</v>
          </cell>
          <cell r="E46">
            <v>45723901</v>
          </cell>
          <cell r="F46">
            <v>8709641</v>
          </cell>
          <cell r="G46" t="str">
            <v>N/A</v>
          </cell>
          <cell r="H46">
            <v>0</v>
          </cell>
          <cell r="I46">
            <v>5551</v>
          </cell>
          <cell r="J46">
            <v>3242.2459243600001</v>
          </cell>
          <cell r="K46">
            <v>658.09318242000018</v>
          </cell>
          <cell r="L46" t="str">
            <v>N/A</v>
          </cell>
          <cell r="M46">
            <v>0</v>
          </cell>
          <cell r="N46">
            <v>26282000</v>
          </cell>
          <cell r="O46">
            <v>14583894.85</v>
          </cell>
          <cell r="P46">
            <v>2937047.72</v>
          </cell>
          <cell r="Q46" t="str">
            <v>N/A</v>
          </cell>
          <cell r="R46">
            <v>0</v>
          </cell>
          <cell r="S46">
            <v>1370000</v>
          </cell>
          <cell r="T46">
            <v>727512.56</v>
          </cell>
          <cell r="U46">
            <v>139654.31</v>
          </cell>
          <cell r="V46" t="str">
            <v>N/A</v>
          </cell>
          <cell r="W46">
            <v>0</v>
          </cell>
          <cell r="X46">
            <v>0</v>
          </cell>
          <cell r="Y46">
            <v>0</v>
          </cell>
          <cell r="Z46">
            <v>0</v>
          </cell>
          <cell r="AA46">
            <v>0</v>
          </cell>
          <cell r="AB46">
            <v>0</v>
          </cell>
          <cell r="AC46">
            <v>0</v>
          </cell>
        </row>
        <row r="47">
          <cell r="A47" t="str">
            <v>AUG</v>
          </cell>
          <cell r="B47" t="str">
            <v>Mass Market</v>
          </cell>
          <cell r="C47">
            <v>405857712</v>
          </cell>
          <cell r="D47">
            <v>405857712</v>
          </cell>
          <cell r="E47">
            <v>34277982.011999995</v>
          </cell>
          <cell r="F47">
            <v>8239099.4207999995</v>
          </cell>
          <cell r="G47">
            <v>4292136.01</v>
          </cell>
          <cell r="H47">
            <v>0</v>
          </cell>
          <cell r="I47">
            <v>334053.85427348199</v>
          </cell>
          <cell r="J47">
            <v>52006.54</v>
          </cell>
          <cell r="K47">
            <v>16893.669999999998</v>
          </cell>
          <cell r="L47">
            <v>2615.8883703600004</v>
          </cell>
          <cell r="M47">
            <v>0</v>
          </cell>
          <cell r="N47">
            <v>1728133316.3078108</v>
          </cell>
          <cell r="O47">
            <v>273136443.60000002</v>
          </cell>
          <cell r="P47">
            <v>103457485.34000003</v>
          </cell>
          <cell r="Q47">
            <v>15341883.276973773</v>
          </cell>
          <cell r="R47">
            <v>0</v>
          </cell>
          <cell r="S47">
            <v>15871656.841610486</v>
          </cell>
          <cell r="T47">
            <v>1084387.71</v>
          </cell>
          <cell r="U47">
            <v>269547.36</v>
          </cell>
          <cell r="V47">
            <v>119958.627301</v>
          </cell>
          <cell r="W47">
            <v>0</v>
          </cell>
          <cell r="X47">
            <v>23611810.849999998</v>
          </cell>
          <cell r="Y47">
            <v>4292136.01</v>
          </cell>
          <cell r="Z47">
            <v>0</v>
          </cell>
          <cell r="AA47">
            <v>35112.870000000003</v>
          </cell>
          <cell r="AB47">
            <v>169678958.25999999</v>
          </cell>
          <cell r="AC47">
            <v>814840.35</v>
          </cell>
        </row>
        <row r="48">
          <cell r="A48" t="str">
            <v>AUG</v>
          </cell>
          <cell r="B48" t="str">
            <v>Ag &amp; Food Processing</v>
          </cell>
          <cell r="C48">
            <v>47523134</v>
          </cell>
          <cell r="D48">
            <v>47523134</v>
          </cell>
          <cell r="E48">
            <v>1971240.1984999997</v>
          </cell>
          <cell r="F48">
            <v>412343.38089999999</v>
          </cell>
          <cell r="G48">
            <v>2130474.2000000002</v>
          </cell>
          <cell r="H48">
            <v>0</v>
          </cell>
          <cell r="I48">
            <v>22797.08846466984</v>
          </cell>
          <cell r="J48">
            <v>155.97999999999999</v>
          </cell>
          <cell r="K48">
            <v>118.99</v>
          </cell>
          <cell r="L48">
            <v>3884.3809999999999</v>
          </cell>
          <cell r="M48">
            <v>0</v>
          </cell>
          <cell r="N48">
            <v>164346860.9940128</v>
          </cell>
          <cell r="O48">
            <v>1533900.66</v>
          </cell>
          <cell r="P48">
            <v>953983.5</v>
          </cell>
          <cell r="Q48">
            <v>11986031.710000001</v>
          </cell>
          <cell r="R48">
            <v>0</v>
          </cell>
          <cell r="S48">
            <v>3082951.7327311719</v>
          </cell>
          <cell r="T48">
            <v>5103</v>
          </cell>
          <cell r="U48">
            <v>0</v>
          </cell>
          <cell r="V48">
            <v>1118820.3600000001</v>
          </cell>
          <cell r="W48">
            <v>0</v>
          </cell>
          <cell r="X48">
            <v>114243.93</v>
          </cell>
          <cell r="Y48">
            <v>2130474.2000000002</v>
          </cell>
          <cell r="Z48">
            <v>0</v>
          </cell>
          <cell r="AA48">
            <v>36.99</v>
          </cell>
          <cell r="AB48">
            <v>579917.16</v>
          </cell>
          <cell r="AC48">
            <v>5103</v>
          </cell>
        </row>
        <row r="49">
          <cell r="A49" t="str">
            <v>AUG</v>
          </cell>
          <cell r="B49" t="str">
            <v>Schools &amp; Colleges</v>
          </cell>
          <cell r="C49">
            <v>47568591</v>
          </cell>
          <cell r="D49">
            <v>47568591</v>
          </cell>
          <cell r="E49">
            <v>1420198.2905000001</v>
          </cell>
          <cell r="F49">
            <v>214531.73570000002</v>
          </cell>
          <cell r="G49">
            <v>144444.32</v>
          </cell>
          <cell r="H49">
            <v>0</v>
          </cell>
          <cell r="I49">
            <v>28892.278794176014</v>
          </cell>
          <cell r="J49">
            <v>113.98</v>
          </cell>
          <cell r="K49">
            <v>38.130000000000003</v>
          </cell>
          <cell r="L49">
            <v>179.19499999999999</v>
          </cell>
          <cell r="M49">
            <v>0</v>
          </cell>
          <cell r="N49">
            <v>128046825.56012681</v>
          </cell>
          <cell r="O49">
            <v>201480.56</v>
          </cell>
          <cell r="P49">
            <v>69867.28</v>
          </cell>
          <cell r="Q49">
            <v>1022404.58</v>
          </cell>
          <cell r="R49">
            <v>0</v>
          </cell>
          <cell r="S49">
            <v>2635794.0523105087</v>
          </cell>
          <cell r="T49">
            <v>-38.54</v>
          </cell>
          <cell r="U49">
            <v>-38.54</v>
          </cell>
          <cell r="V49">
            <v>-3039.7</v>
          </cell>
          <cell r="W49">
            <v>0</v>
          </cell>
          <cell r="X49">
            <v>49956</v>
          </cell>
          <cell r="Y49">
            <v>144444.32</v>
          </cell>
          <cell r="Z49">
            <v>0</v>
          </cell>
          <cell r="AA49">
            <v>75.849999999999994</v>
          </cell>
          <cell r="AB49">
            <v>131613.28</v>
          </cell>
          <cell r="AC49">
            <v>0</v>
          </cell>
        </row>
        <row r="50">
          <cell r="A50" t="str">
            <v>AUG</v>
          </cell>
          <cell r="B50" t="str">
            <v>Retail Stores</v>
          </cell>
          <cell r="C50">
            <v>20850872</v>
          </cell>
          <cell r="D50">
            <v>20850872</v>
          </cell>
          <cell r="E50">
            <v>884694.01199999987</v>
          </cell>
          <cell r="F50">
            <v>147178.34279999998</v>
          </cell>
          <cell r="G50">
            <v>143758.18</v>
          </cell>
          <cell r="H50">
            <v>0</v>
          </cell>
          <cell r="I50">
            <v>21271.596533140018</v>
          </cell>
          <cell r="J50">
            <v>77.180000000000007</v>
          </cell>
          <cell r="K50">
            <v>43.4</v>
          </cell>
          <cell r="L50">
            <v>514.50799999999992</v>
          </cell>
          <cell r="M50">
            <v>0</v>
          </cell>
          <cell r="N50">
            <v>125946107.22913301</v>
          </cell>
          <cell r="O50">
            <v>566047.69999999995</v>
          </cell>
          <cell r="P50">
            <v>174328.05</v>
          </cell>
          <cell r="Q50">
            <v>1909476.9210000001</v>
          </cell>
          <cell r="R50">
            <v>0</v>
          </cell>
          <cell r="S50">
            <v>17583.588</v>
          </cell>
          <cell r="T50">
            <v>3103.1</v>
          </cell>
          <cell r="U50">
            <v>0</v>
          </cell>
          <cell r="V50">
            <v>-1955.22</v>
          </cell>
          <cell r="W50">
            <v>0</v>
          </cell>
          <cell r="X50">
            <v>48464.99</v>
          </cell>
          <cell r="Y50">
            <v>143758.18</v>
          </cell>
          <cell r="Z50">
            <v>0</v>
          </cell>
          <cell r="AA50">
            <v>33.78</v>
          </cell>
          <cell r="AB50">
            <v>391719.65</v>
          </cell>
          <cell r="AC50">
            <v>3103.1</v>
          </cell>
        </row>
        <row r="51">
          <cell r="A51" t="str">
            <v>AUG</v>
          </cell>
          <cell r="B51" t="str">
            <v>Fab, Prcss &amp; Hvy Indl Mfg</v>
          </cell>
          <cell r="C51">
            <v>121849249</v>
          </cell>
          <cell r="D51">
            <v>121849249</v>
          </cell>
          <cell r="E51">
            <v>2592576.7240000004</v>
          </cell>
          <cell r="F51">
            <v>302562.94559999998</v>
          </cell>
          <cell r="G51">
            <v>7520118.7400000002</v>
          </cell>
          <cell r="H51">
            <v>0</v>
          </cell>
          <cell r="I51">
            <v>69225.227525006732</v>
          </cell>
          <cell r="J51">
            <v>242.75</v>
          </cell>
          <cell r="K51">
            <v>0</v>
          </cell>
          <cell r="L51">
            <v>10791.164000000001</v>
          </cell>
          <cell r="M51">
            <v>0</v>
          </cell>
          <cell r="N51">
            <v>475376401.45399302</v>
          </cell>
          <cell r="O51">
            <v>1885114.22</v>
          </cell>
          <cell r="P51">
            <v>0</v>
          </cell>
          <cell r="Q51">
            <v>73538767.942000002</v>
          </cell>
          <cell r="R51">
            <v>0</v>
          </cell>
          <cell r="S51">
            <v>18198035.099455945</v>
          </cell>
          <cell r="T51">
            <v>499093</v>
          </cell>
          <cell r="U51">
            <v>0</v>
          </cell>
          <cell r="V51">
            <v>3016866.8559999997</v>
          </cell>
          <cell r="W51">
            <v>0</v>
          </cell>
          <cell r="X51">
            <v>482705.65</v>
          </cell>
          <cell r="Y51">
            <v>7520118.7400000002</v>
          </cell>
          <cell r="Z51">
            <v>0</v>
          </cell>
          <cell r="AA51">
            <v>242.75</v>
          </cell>
          <cell r="AB51">
            <v>1885114.22</v>
          </cell>
          <cell r="AC51">
            <v>499093</v>
          </cell>
        </row>
        <row r="52">
          <cell r="A52" t="str">
            <v>AUG</v>
          </cell>
          <cell r="B52" t="str">
            <v>Hi-Tech Facilities</v>
          </cell>
          <cell r="C52">
            <v>11759803</v>
          </cell>
          <cell r="D52">
            <v>11759803</v>
          </cell>
          <cell r="E52">
            <v>1047315.8735</v>
          </cell>
          <cell r="F52">
            <v>191924.02189999999</v>
          </cell>
          <cell r="G52">
            <v>865241.8</v>
          </cell>
          <cell r="H52">
            <v>0</v>
          </cell>
          <cell r="I52">
            <v>6532.0886490478697</v>
          </cell>
          <cell r="J52">
            <v>46.55</v>
          </cell>
          <cell r="K52">
            <v>0</v>
          </cell>
          <cell r="L52">
            <v>1306.748</v>
          </cell>
          <cell r="M52">
            <v>0</v>
          </cell>
          <cell r="N52">
            <v>44364926.587099597</v>
          </cell>
          <cell r="O52">
            <v>232370.6</v>
          </cell>
          <cell r="P52">
            <v>0</v>
          </cell>
          <cell r="Q52">
            <v>16375879.432</v>
          </cell>
          <cell r="R52">
            <v>0</v>
          </cell>
          <cell r="S52">
            <v>25523.813309561065</v>
          </cell>
          <cell r="T52">
            <v>0</v>
          </cell>
          <cell r="U52">
            <v>0</v>
          </cell>
          <cell r="V52">
            <v>128778.63</v>
          </cell>
          <cell r="W52">
            <v>0</v>
          </cell>
          <cell r="X52">
            <v>24155.5</v>
          </cell>
          <cell r="Y52">
            <v>865241.8</v>
          </cell>
          <cell r="Z52">
            <v>0</v>
          </cell>
          <cell r="AA52">
            <v>46.55</v>
          </cell>
          <cell r="AB52">
            <v>232370.6</v>
          </cell>
          <cell r="AC52">
            <v>0</v>
          </cell>
        </row>
        <row r="53">
          <cell r="A53" t="str">
            <v>AUG</v>
          </cell>
          <cell r="B53" t="str">
            <v>Medical Facilities</v>
          </cell>
          <cell r="C53">
            <v>21407152</v>
          </cell>
          <cell r="D53">
            <v>21407152</v>
          </cell>
          <cell r="E53">
            <v>466603.57699999999</v>
          </cell>
          <cell r="F53">
            <v>73606.703799999988</v>
          </cell>
          <cell r="G53">
            <v>302506.34000000003</v>
          </cell>
          <cell r="H53">
            <v>0</v>
          </cell>
          <cell r="I53">
            <v>27753.153177169657</v>
          </cell>
          <cell r="J53">
            <v>0</v>
          </cell>
          <cell r="K53">
            <v>0</v>
          </cell>
          <cell r="L53">
            <v>120.82</v>
          </cell>
          <cell r="M53">
            <v>0</v>
          </cell>
          <cell r="N53">
            <v>68661112.057484001</v>
          </cell>
          <cell r="O53">
            <v>0</v>
          </cell>
          <cell r="P53">
            <v>0</v>
          </cell>
          <cell r="Q53">
            <v>1492760.5</v>
          </cell>
          <cell r="R53">
            <v>0</v>
          </cell>
          <cell r="S53">
            <v>494605</v>
          </cell>
          <cell r="T53">
            <v>0</v>
          </cell>
          <cell r="U53">
            <v>0</v>
          </cell>
          <cell r="V53">
            <v>6978.3</v>
          </cell>
          <cell r="W53">
            <v>0</v>
          </cell>
          <cell r="X53">
            <v>0</v>
          </cell>
          <cell r="Y53">
            <v>302506.34000000003</v>
          </cell>
          <cell r="Z53">
            <v>0</v>
          </cell>
          <cell r="AA53">
            <v>0</v>
          </cell>
          <cell r="AB53">
            <v>0</v>
          </cell>
          <cell r="AC53">
            <v>0</v>
          </cell>
        </row>
        <row r="54">
          <cell r="A54" t="str">
            <v>AUG</v>
          </cell>
          <cell r="B54" t="str">
            <v>Large Commercial</v>
          </cell>
          <cell r="C54">
            <v>68595302</v>
          </cell>
          <cell r="D54">
            <v>68595302</v>
          </cell>
          <cell r="E54">
            <v>2445949.743999999</v>
          </cell>
          <cell r="F54">
            <v>393456.31760000001</v>
          </cell>
          <cell r="G54">
            <v>2402742.17</v>
          </cell>
          <cell r="H54">
            <v>0</v>
          </cell>
          <cell r="I54">
            <v>73838.296918087362</v>
          </cell>
          <cell r="J54">
            <v>198.02</v>
          </cell>
          <cell r="K54">
            <v>25.75</v>
          </cell>
          <cell r="L54">
            <v>3544.9059999999995</v>
          </cell>
          <cell r="M54">
            <v>0</v>
          </cell>
          <cell r="N54">
            <v>219609296.0400379</v>
          </cell>
          <cell r="O54">
            <v>1348040.47</v>
          </cell>
          <cell r="P54">
            <v>152989.20000000001</v>
          </cell>
          <cell r="Q54">
            <v>14077233.262</v>
          </cell>
          <cell r="R54">
            <v>0</v>
          </cell>
          <cell r="S54">
            <v>2224825.1578322467</v>
          </cell>
          <cell r="T54">
            <v>3919.3</v>
          </cell>
          <cell r="U54">
            <v>0</v>
          </cell>
          <cell r="V54">
            <v>685694.92</v>
          </cell>
          <cell r="W54">
            <v>0</v>
          </cell>
          <cell r="X54">
            <v>174436.52</v>
          </cell>
          <cell r="Y54">
            <v>2402742.17</v>
          </cell>
          <cell r="Z54">
            <v>0</v>
          </cell>
          <cell r="AA54">
            <v>172.27</v>
          </cell>
          <cell r="AB54">
            <v>1195051.27</v>
          </cell>
          <cell r="AC54">
            <v>3919.3</v>
          </cell>
        </row>
        <row r="55">
          <cell r="A55" t="str">
            <v>AUG</v>
          </cell>
          <cell r="B55" t="str">
            <v>Hospitality Facilities</v>
          </cell>
          <cell r="C55">
            <v>11793097</v>
          </cell>
          <cell r="D55">
            <v>11793097</v>
          </cell>
          <cell r="E55">
            <v>785629.05749999988</v>
          </cell>
          <cell r="F55">
            <v>118814.1195</v>
          </cell>
          <cell r="G55">
            <v>85280.18</v>
          </cell>
          <cell r="H55">
            <v>0</v>
          </cell>
          <cell r="I55">
            <v>7577.0826254285475</v>
          </cell>
          <cell r="J55">
            <v>0</v>
          </cell>
          <cell r="K55">
            <v>0</v>
          </cell>
          <cell r="L55">
            <v>40.01</v>
          </cell>
          <cell r="M55">
            <v>0</v>
          </cell>
          <cell r="N55">
            <v>37330060.295922801</v>
          </cell>
          <cell r="O55">
            <v>0</v>
          </cell>
          <cell r="P55">
            <v>0</v>
          </cell>
          <cell r="Q55">
            <v>636466.96</v>
          </cell>
          <cell r="R55">
            <v>0</v>
          </cell>
          <cell r="S55">
            <v>33302.25</v>
          </cell>
          <cell r="T55">
            <v>437.5</v>
          </cell>
          <cell r="U55">
            <v>0</v>
          </cell>
          <cell r="V55">
            <v>10331.033000000001</v>
          </cell>
          <cell r="W55">
            <v>0</v>
          </cell>
          <cell r="X55">
            <v>75</v>
          </cell>
          <cell r="Y55">
            <v>85280.18</v>
          </cell>
          <cell r="Z55">
            <v>0</v>
          </cell>
          <cell r="AA55">
            <v>0</v>
          </cell>
          <cell r="AB55">
            <v>0</v>
          </cell>
          <cell r="AC55">
            <v>437.5</v>
          </cell>
        </row>
        <row r="56">
          <cell r="A56" t="str">
            <v>AUG</v>
          </cell>
          <cell r="B56" t="str">
            <v>Res New Construction</v>
          </cell>
          <cell r="C56">
            <v>26264217</v>
          </cell>
          <cell r="D56">
            <v>26264217</v>
          </cell>
          <cell r="E56">
            <v>1517996.6939999997</v>
          </cell>
          <cell r="F56">
            <v>288986.52760000003</v>
          </cell>
          <cell r="G56">
            <v>1476680</v>
          </cell>
          <cell r="H56">
            <v>0</v>
          </cell>
          <cell r="I56">
            <v>9015.1305056540205</v>
          </cell>
          <cell r="J56">
            <v>0.18</v>
          </cell>
          <cell r="K56">
            <v>0</v>
          </cell>
          <cell r="L56">
            <v>881.09011999999996</v>
          </cell>
          <cell r="M56">
            <v>0</v>
          </cell>
          <cell r="N56">
            <v>13357136.488374671</v>
          </cell>
          <cell r="O56">
            <v>600.79999999999995</v>
          </cell>
          <cell r="P56">
            <v>0</v>
          </cell>
          <cell r="Q56">
            <v>971890.4</v>
          </cell>
          <cell r="R56">
            <v>0</v>
          </cell>
          <cell r="S56">
            <v>2454487.1347570699</v>
          </cell>
          <cell r="T56">
            <v>46.37</v>
          </cell>
          <cell r="U56">
            <v>0.58999999999999631</v>
          </cell>
          <cell r="V56">
            <v>328115.74400000001</v>
          </cell>
          <cell r="W56">
            <v>0</v>
          </cell>
          <cell r="X56">
            <v>29520</v>
          </cell>
          <cell r="Y56">
            <v>1476680</v>
          </cell>
          <cell r="Z56">
            <v>0</v>
          </cell>
          <cell r="AA56">
            <v>0.18</v>
          </cell>
          <cell r="AB56">
            <v>600.79999999999995</v>
          </cell>
          <cell r="AC56">
            <v>45.78</v>
          </cell>
        </row>
        <row r="57">
          <cell r="A57" t="str">
            <v>AUG</v>
          </cell>
          <cell r="B57" t="str">
            <v>Education &amp; Training</v>
          </cell>
          <cell r="C57">
            <v>41154602</v>
          </cell>
          <cell r="D57">
            <v>41154602</v>
          </cell>
          <cell r="E57">
            <v>5351447.017</v>
          </cell>
          <cell r="F57">
            <v>1115895.7637999998</v>
          </cell>
          <cell r="G57" t="str">
            <v>N/A</v>
          </cell>
          <cell r="H57">
            <v>0</v>
          </cell>
          <cell r="I57" t="str">
            <v>N/A</v>
          </cell>
          <cell r="J57" t="str">
            <v>N/A</v>
          </cell>
          <cell r="K57" t="str">
            <v>N/A</v>
          </cell>
          <cell r="L57" t="str">
            <v>N/A</v>
          </cell>
          <cell r="M57">
            <v>0</v>
          </cell>
          <cell r="N57" t="str">
            <v>N/A</v>
          </cell>
          <cell r="O57" t="str">
            <v>N/A</v>
          </cell>
          <cell r="P57" t="str">
            <v>N/A</v>
          </cell>
          <cell r="Q57" t="str">
            <v>N/A</v>
          </cell>
          <cell r="R57">
            <v>0</v>
          </cell>
          <cell r="S57" t="str">
            <v>N/A</v>
          </cell>
          <cell r="T57" t="str">
            <v>N/A</v>
          </cell>
          <cell r="U57" t="str">
            <v>N/A</v>
          </cell>
          <cell r="V57" t="str">
            <v>N/A</v>
          </cell>
          <cell r="W57">
            <v>0</v>
          </cell>
          <cell r="X57" t="str">
            <v>N/A</v>
          </cell>
          <cell r="Y57" t="str">
            <v>N/A</v>
          </cell>
          <cell r="Z57">
            <v>0</v>
          </cell>
          <cell r="AA57" t="str">
            <v>N/A</v>
          </cell>
          <cell r="AB57" t="str">
            <v>N/A</v>
          </cell>
          <cell r="AC57" t="str">
            <v>N/A</v>
          </cell>
        </row>
        <row r="58">
          <cell r="A58" t="str">
            <v>AUG</v>
          </cell>
          <cell r="B58" t="str">
            <v>Codes &amp; Standards</v>
          </cell>
          <cell r="C58">
            <v>4635754</v>
          </cell>
          <cell r="D58">
            <v>4635754</v>
          </cell>
          <cell r="E58">
            <v>690371.36</v>
          </cell>
          <cell r="F58">
            <v>130112.15</v>
          </cell>
          <cell r="G58" t="str">
            <v>N/A</v>
          </cell>
          <cell r="H58">
            <v>0</v>
          </cell>
          <cell r="I58" t="str">
            <v>N/A</v>
          </cell>
          <cell r="J58" t="str">
            <v>N/A</v>
          </cell>
          <cell r="K58" t="str">
            <v>N/A</v>
          </cell>
          <cell r="L58" t="str">
            <v>N/A</v>
          </cell>
          <cell r="M58">
            <v>0</v>
          </cell>
          <cell r="N58" t="str">
            <v>N/A</v>
          </cell>
          <cell r="O58" t="str">
            <v>N/A</v>
          </cell>
          <cell r="P58" t="str">
            <v>N/A</v>
          </cell>
          <cell r="Q58" t="str">
            <v>N/A</v>
          </cell>
          <cell r="R58">
            <v>0</v>
          </cell>
          <cell r="S58" t="str">
            <v>N/A</v>
          </cell>
          <cell r="T58" t="str">
            <v>N/A</v>
          </cell>
          <cell r="U58" t="str">
            <v>N/A</v>
          </cell>
          <cell r="V58" t="str">
            <v>N/A</v>
          </cell>
          <cell r="W58">
            <v>0</v>
          </cell>
          <cell r="X58" t="str">
            <v>N/A</v>
          </cell>
          <cell r="Y58" t="str">
            <v>N/A</v>
          </cell>
          <cell r="Z58">
            <v>0</v>
          </cell>
          <cell r="AA58" t="str">
            <v>N/A</v>
          </cell>
          <cell r="AB58" t="str">
            <v>N/A</v>
          </cell>
          <cell r="AC58" t="str">
            <v>N/A</v>
          </cell>
        </row>
        <row r="59">
          <cell r="A59" t="str">
            <v>AUG</v>
          </cell>
          <cell r="B59" t="str">
            <v>Emerging Technologies</v>
          </cell>
          <cell r="C59">
            <v>11260376</v>
          </cell>
          <cell r="D59">
            <v>11260376</v>
          </cell>
          <cell r="E59">
            <v>630891.18000000005</v>
          </cell>
          <cell r="F59">
            <v>161996.29</v>
          </cell>
          <cell r="G59" t="str">
            <v>N/A</v>
          </cell>
          <cell r="H59">
            <v>0</v>
          </cell>
          <cell r="I59" t="str">
            <v>N/A</v>
          </cell>
          <cell r="J59" t="str">
            <v>N/A</v>
          </cell>
          <cell r="K59" t="str">
            <v>N/A</v>
          </cell>
          <cell r="L59" t="str">
            <v>N/A</v>
          </cell>
          <cell r="M59">
            <v>0</v>
          </cell>
          <cell r="N59" t="str">
            <v>N/A</v>
          </cell>
          <cell r="O59" t="str">
            <v>N/A</v>
          </cell>
          <cell r="P59" t="str">
            <v>N/A</v>
          </cell>
          <cell r="Q59" t="str">
            <v>N/A</v>
          </cell>
          <cell r="R59">
            <v>0</v>
          </cell>
          <cell r="S59" t="str">
            <v>N/A</v>
          </cell>
          <cell r="T59" t="str">
            <v>N/A</v>
          </cell>
          <cell r="U59" t="str">
            <v>N/A</v>
          </cell>
          <cell r="V59" t="str">
            <v>N/A</v>
          </cell>
          <cell r="W59">
            <v>0</v>
          </cell>
          <cell r="X59" t="str">
            <v>N/A</v>
          </cell>
          <cell r="Y59" t="str">
            <v>N/A</v>
          </cell>
          <cell r="Z59">
            <v>0</v>
          </cell>
          <cell r="AA59" t="str">
            <v>N/A</v>
          </cell>
          <cell r="AB59" t="str">
            <v>N/A</v>
          </cell>
          <cell r="AC59" t="str">
            <v>N/A</v>
          </cell>
        </row>
        <row r="60">
          <cell r="A60" t="str">
            <v>AUG</v>
          </cell>
          <cell r="B60" t="str">
            <v>Statewide Marketing &amp; Info</v>
          </cell>
          <cell r="C60">
            <v>26948382</v>
          </cell>
          <cell r="D60">
            <v>26948382</v>
          </cell>
          <cell r="E60">
            <v>-257.77999999999997</v>
          </cell>
          <cell r="F60">
            <v>0</v>
          </cell>
          <cell r="G60" t="str">
            <v>N/A</v>
          </cell>
          <cell r="H60">
            <v>0</v>
          </cell>
          <cell r="I60" t="str">
            <v>N/A</v>
          </cell>
          <cell r="J60" t="str">
            <v>N/A</v>
          </cell>
          <cell r="K60" t="str">
            <v>N/A</v>
          </cell>
          <cell r="L60" t="str">
            <v>N/A</v>
          </cell>
          <cell r="M60">
            <v>0</v>
          </cell>
          <cell r="N60" t="str">
            <v>N/A</v>
          </cell>
          <cell r="O60" t="str">
            <v>N/A</v>
          </cell>
          <cell r="P60" t="str">
            <v>N/A</v>
          </cell>
          <cell r="Q60" t="str">
            <v>N/A</v>
          </cell>
          <cell r="R60">
            <v>0</v>
          </cell>
          <cell r="S60" t="str">
            <v>N/A</v>
          </cell>
          <cell r="T60" t="str">
            <v>N/A</v>
          </cell>
          <cell r="U60" t="str">
            <v>N/A</v>
          </cell>
          <cell r="V60" t="str">
            <v>N/A</v>
          </cell>
          <cell r="W60">
            <v>0</v>
          </cell>
          <cell r="X60" t="str">
            <v>N/A</v>
          </cell>
          <cell r="Y60" t="str">
            <v>N/A</v>
          </cell>
          <cell r="Z60">
            <v>0</v>
          </cell>
          <cell r="AA60" t="str">
            <v>N/A</v>
          </cell>
          <cell r="AB60" t="str">
            <v>N/A</v>
          </cell>
          <cell r="AC60" t="str">
            <v>N/A</v>
          </cell>
        </row>
        <row r="61">
          <cell r="A61" t="str">
            <v>AUG</v>
          </cell>
          <cell r="B61" t="str">
            <v>Low Income EE (3)  (1 YR Budgets/Goals)</v>
          </cell>
          <cell r="C61">
            <v>90094498</v>
          </cell>
          <cell r="D61">
            <v>90094498</v>
          </cell>
          <cell r="E61">
            <v>53829090.329999998</v>
          </cell>
          <cell r="F61">
            <v>8105189.0999999996</v>
          </cell>
          <cell r="G61" t="str">
            <v>N/A</v>
          </cell>
          <cell r="H61">
            <v>0</v>
          </cell>
          <cell r="I61">
            <v>5551</v>
          </cell>
          <cell r="J61">
            <v>3807.1372814199999</v>
          </cell>
          <cell r="K61">
            <v>576.62369693000028</v>
          </cell>
          <cell r="L61" t="str">
            <v>N/A</v>
          </cell>
          <cell r="M61">
            <v>0</v>
          </cell>
          <cell r="N61">
            <v>26282000</v>
          </cell>
          <cell r="O61">
            <v>17218215.84</v>
          </cell>
          <cell r="P61">
            <v>2694761.7</v>
          </cell>
          <cell r="Q61" t="str">
            <v>N/A</v>
          </cell>
          <cell r="R61">
            <v>0</v>
          </cell>
          <cell r="S61">
            <v>1370000</v>
          </cell>
          <cell r="T61">
            <v>863456.93</v>
          </cell>
          <cell r="U61">
            <v>139432.26999999999</v>
          </cell>
          <cell r="V61" t="str">
            <v>N/A</v>
          </cell>
          <cell r="W61">
            <v>0</v>
          </cell>
          <cell r="X61" t="str">
            <v>N/A</v>
          </cell>
          <cell r="Y61" t="str">
            <v>N/A</v>
          </cell>
          <cell r="Z61">
            <v>0</v>
          </cell>
          <cell r="AA61">
            <v>3230.5135844899996</v>
          </cell>
          <cell r="AB61">
            <v>14523454.140000001</v>
          </cell>
          <cell r="AC61">
            <v>724024.66</v>
          </cell>
        </row>
        <row r="62">
          <cell r="A62" t="str">
            <v>SEPT</v>
          </cell>
          <cell r="B62" t="str">
            <v>Mass Market</v>
          </cell>
          <cell r="C62">
            <v>405857712</v>
          </cell>
          <cell r="D62">
            <v>405857712</v>
          </cell>
          <cell r="E62">
            <v>42818840.755199999</v>
          </cell>
          <cell r="F62">
            <v>8119340.6316</v>
          </cell>
          <cell r="G62">
            <v>5217562.8099999996</v>
          </cell>
          <cell r="H62">
            <v>0</v>
          </cell>
          <cell r="I62">
            <v>334053.85427348199</v>
          </cell>
          <cell r="J62">
            <v>66729.039999999994</v>
          </cell>
          <cell r="K62">
            <v>14722.5</v>
          </cell>
          <cell r="L62">
            <v>3772.5993255931003</v>
          </cell>
          <cell r="M62">
            <v>0</v>
          </cell>
          <cell r="N62">
            <v>1728133316.3078108</v>
          </cell>
          <cell r="O62">
            <v>361917899.5399999</v>
          </cell>
          <cell r="P62">
            <v>88781455.939999878</v>
          </cell>
          <cell r="Q62">
            <v>22096673.345600158</v>
          </cell>
          <cell r="R62">
            <v>0</v>
          </cell>
          <cell r="S62">
            <v>15871656.841610486</v>
          </cell>
          <cell r="T62">
            <v>1254399.18</v>
          </cell>
          <cell r="U62">
            <v>170011.47</v>
          </cell>
          <cell r="V62">
            <v>239905.62005299999</v>
          </cell>
          <cell r="W62">
            <v>0</v>
          </cell>
          <cell r="X62">
            <v>29343976.699999999</v>
          </cell>
          <cell r="Y62">
            <v>5217562.8099999996</v>
          </cell>
          <cell r="Z62">
            <v>0</v>
          </cell>
          <cell r="AA62">
            <v>52006.54</v>
          </cell>
          <cell r="AB62">
            <v>273136443.60000002</v>
          </cell>
          <cell r="AC62">
            <v>1084387.71</v>
          </cell>
        </row>
        <row r="63">
          <cell r="A63" t="str">
            <v>SEPT</v>
          </cell>
          <cell r="B63" t="str">
            <v>Ag &amp; Food Processing</v>
          </cell>
          <cell r="C63">
            <v>47523134</v>
          </cell>
          <cell r="D63">
            <v>47523134</v>
          </cell>
          <cell r="E63">
            <v>2256618.8420999995</v>
          </cell>
          <cell r="F63">
            <v>354317.48180000001</v>
          </cell>
          <cell r="G63">
            <v>2322850.9700000002</v>
          </cell>
          <cell r="H63">
            <v>0</v>
          </cell>
          <cell r="I63">
            <v>22797.08846466984</v>
          </cell>
          <cell r="J63">
            <v>262.98</v>
          </cell>
          <cell r="K63">
            <v>107</v>
          </cell>
          <cell r="L63">
            <v>3822.4110000000005</v>
          </cell>
          <cell r="M63">
            <v>0</v>
          </cell>
          <cell r="N63">
            <v>164346860.9940128</v>
          </cell>
          <cell r="O63">
            <v>2236908.84</v>
          </cell>
          <cell r="P63">
            <v>703008.18</v>
          </cell>
          <cell r="Q63">
            <v>10939039.649999999</v>
          </cell>
          <cell r="R63">
            <v>0</v>
          </cell>
          <cell r="S63">
            <v>3082951.7327311719</v>
          </cell>
          <cell r="T63">
            <v>-6702.54</v>
          </cell>
          <cell r="U63">
            <v>-11805.54</v>
          </cell>
          <cell r="V63">
            <v>1606145.84</v>
          </cell>
          <cell r="W63">
            <v>0</v>
          </cell>
          <cell r="X63">
            <v>183057.53</v>
          </cell>
          <cell r="Y63">
            <v>2322850.9700000002</v>
          </cell>
          <cell r="Z63">
            <v>0</v>
          </cell>
          <cell r="AA63">
            <v>155.97999999999999</v>
          </cell>
          <cell r="AB63">
            <v>1533900.66</v>
          </cell>
          <cell r="AC63">
            <v>5103</v>
          </cell>
        </row>
        <row r="64">
          <cell r="A64" t="str">
            <v>SEPT</v>
          </cell>
          <cell r="B64" t="str">
            <v>Schools &amp; Colleges</v>
          </cell>
          <cell r="C64">
            <v>47568591</v>
          </cell>
          <cell r="D64">
            <v>47568591</v>
          </cell>
          <cell r="E64">
            <v>1657170.5933000001</v>
          </cell>
          <cell r="F64">
            <v>273824.15140000003</v>
          </cell>
          <cell r="G64">
            <v>1512787.88</v>
          </cell>
          <cell r="H64">
            <v>0</v>
          </cell>
          <cell r="I64">
            <v>28892.278794176014</v>
          </cell>
          <cell r="J64">
            <v>113.98</v>
          </cell>
          <cell r="K64">
            <v>0</v>
          </cell>
          <cell r="L64">
            <v>2299.5949999999998</v>
          </cell>
          <cell r="M64">
            <v>0</v>
          </cell>
          <cell r="N64">
            <v>128046825.56012681</v>
          </cell>
          <cell r="O64">
            <v>201480.56</v>
          </cell>
          <cell r="P64">
            <v>0</v>
          </cell>
          <cell r="Q64">
            <v>4939893.1399999997</v>
          </cell>
          <cell r="R64">
            <v>0</v>
          </cell>
          <cell r="S64">
            <v>2635794.0523105087</v>
          </cell>
          <cell r="T64">
            <v>-38.54</v>
          </cell>
          <cell r="U64">
            <v>0</v>
          </cell>
          <cell r="V64">
            <v>284526.2</v>
          </cell>
          <cell r="W64">
            <v>0</v>
          </cell>
          <cell r="X64">
            <v>49956</v>
          </cell>
          <cell r="Y64">
            <v>1512787.88</v>
          </cell>
          <cell r="Z64">
            <v>0</v>
          </cell>
          <cell r="AA64">
            <v>113.98</v>
          </cell>
          <cell r="AB64">
            <v>201480.56</v>
          </cell>
          <cell r="AC64">
            <v>-38.54</v>
          </cell>
        </row>
        <row r="65">
          <cell r="A65" t="str">
            <v>SEPT</v>
          </cell>
          <cell r="B65" t="str">
            <v>Retail Stores</v>
          </cell>
          <cell r="C65">
            <v>20850872</v>
          </cell>
          <cell r="D65">
            <v>20850872</v>
          </cell>
          <cell r="E65">
            <v>951631.33319999999</v>
          </cell>
          <cell r="F65">
            <v>109733.55560000001</v>
          </cell>
          <cell r="G65">
            <v>158445.03</v>
          </cell>
          <cell r="H65">
            <v>0</v>
          </cell>
          <cell r="I65">
            <v>21271.596533140018</v>
          </cell>
          <cell r="J65">
            <v>84.23</v>
          </cell>
          <cell r="K65">
            <v>7.05</v>
          </cell>
          <cell r="L65">
            <v>553.09</v>
          </cell>
          <cell r="M65">
            <v>0</v>
          </cell>
          <cell r="N65">
            <v>125946107.22913301</v>
          </cell>
          <cell r="O65">
            <v>582307.48</v>
          </cell>
          <cell r="P65">
            <v>16259.78</v>
          </cell>
          <cell r="Q65">
            <v>2101850.4010000001</v>
          </cell>
          <cell r="R65">
            <v>0</v>
          </cell>
          <cell r="S65">
            <v>17583.588</v>
          </cell>
          <cell r="T65">
            <v>3167.88</v>
          </cell>
          <cell r="U65">
            <v>64.7800000000002</v>
          </cell>
          <cell r="V65">
            <v>-2439.42</v>
          </cell>
          <cell r="W65">
            <v>0</v>
          </cell>
          <cell r="X65">
            <v>50938.99</v>
          </cell>
          <cell r="Y65">
            <v>158445.03</v>
          </cell>
          <cell r="Z65">
            <v>0</v>
          </cell>
          <cell r="AA65">
            <v>77.180000000000007</v>
          </cell>
          <cell r="AB65">
            <v>566047.69999999995</v>
          </cell>
          <cell r="AC65">
            <v>3103.1</v>
          </cell>
        </row>
        <row r="66">
          <cell r="A66" t="str">
            <v>SEPT</v>
          </cell>
          <cell r="B66" t="str">
            <v>Fab, Prcss &amp; Hvy Indl Mfg</v>
          </cell>
          <cell r="C66">
            <v>121849249</v>
          </cell>
          <cell r="D66">
            <v>121849249</v>
          </cell>
          <cell r="E66">
            <v>3356556.0463999999</v>
          </cell>
          <cell r="F66">
            <v>833293.96120000002</v>
          </cell>
          <cell r="G66">
            <v>8030752.6199999992</v>
          </cell>
          <cell r="H66">
            <v>0</v>
          </cell>
          <cell r="I66">
            <v>69225.227525006732</v>
          </cell>
          <cell r="J66">
            <v>392.49</v>
          </cell>
          <cell r="K66">
            <v>149.74</v>
          </cell>
          <cell r="L66">
            <v>7638.5230000000001</v>
          </cell>
          <cell r="M66">
            <v>0</v>
          </cell>
          <cell r="N66">
            <v>475376401.45399302</v>
          </cell>
          <cell r="O66">
            <v>2948525.94</v>
          </cell>
          <cell r="P66">
            <v>1063411.72</v>
          </cell>
          <cell r="Q66">
            <v>83161971.497999996</v>
          </cell>
          <cell r="R66">
            <v>0</v>
          </cell>
          <cell r="S66">
            <v>18198035.099455945</v>
          </cell>
          <cell r="T66">
            <v>884267.44</v>
          </cell>
          <cell r="U66">
            <v>385174.44</v>
          </cell>
          <cell r="V66">
            <v>2119064.9160000002</v>
          </cell>
          <cell r="W66">
            <v>0</v>
          </cell>
          <cell r="X66">
            <v>958888.38</v>
          </cell>
          <cell r="Y66">
            <v>8030752.6199999992</v>
          </cell>
          <cell r="Z66">
            <v>0</v>
          </cell>
          <cell r="AA66">
            <v>242.75</v>
          </cell>
          <cell r="AB66">
            <v>1885114.22</v>
          </cell>
          <cell r="AC66">
            <v>499093</v>
          </cell>
        </row>
        <row r="67">
          <cell r="A67" t="str">
            <v>SEPT</v>
          </cell>
          <cell r="B67" t="str">
            <v>Hi-Tech Facilities</v>
          </cell>
          <cell r="C67">
            <v>11759803</v>
          </cell>
          <cell r="D67">
            <v>11759803</v>
          </cell>
          <cell r="E67">
            <v>1287333.6110999999</v>
          </cell>
          <cell r="F67">
            <v>272735.80380000005</v>
          </cell>
          <cell r="G67">
            <v>758873.59999999998</v>
          </cell>
          <cell r="H67">
            <v>0</v>
          </cell>
          <cell r="I67">
            <v>6532.0886490478697</v>
          </cell>
          <cell r="J67">
            <v>60.37</v>
          </cell>
          <cell r="K67">
            <v>13.82</v>
          </cell>
          <cell r="L67">
            <v>1213.6880000000001</v>
          </cell>
          <cell r="M67">
            <v>0</v>
          </cell>
          <cell r="N67">
            <v>44364926.587099597</v>
          </cell>
          <cell r="O67">
            <v>692681.88</v>
          </cell>
          <cell r="P67">
            <v>460311.28</v>
          </cell>
          <cell r="Q67">
            <v>15287602.852</v>
          </cell>
          <cell r="R67">
            <v>0</v>
          </cell>
          <cell r="S67">
            <v>25523.813309561065</v>
          </cell>
          <cell r="T67">
            <v>11088</v>
          </cell>
          <cell r="U67">
            <v>11088</v>
          </cell>
          <cell r="V67">
            <v>121386.63</v>
          </cell>
          <cell r="W67">
            <v>0</v>
          </cell>
          <cell r="X67">
            <v>83476.460000000006</v>
          </cell>
          <cell r="Y67">
            <v>758873.59999999998</v>
          </cell>
          <cell r="Z67">
            <v>0</v>
          </cell>
          <cell r="AA67">
            <v>46.55</v>
          </cell>
          <cell r="AB67">
            <v>232370.6</v>
          </cell>
          <cell r="AC67">
            <v>0</v>
          </cell>
        </row>
        <row r="68">
          <cell r="A68" t="str">
            <v>SEPT</v>
          </cell>
          <cell r="B68" t="str">
            <v>Medical Facilities</v>
          </cell>
          <cell r="C68">
            <v>21407152</v>
          </cell>
          <cell r="D68">
            <v>21407152</v>
          </cell>
          <cell r="E68">
            <v>610818.44220000005</v>
          </cell>
          <cell r="F68">
            <v>164927.06760000001</v>
          </cell>
          <cell r="G68">
            <v>395024.46</v>
          </cell>
          <cell r="H68">
            <v>0</v>
          </cell>
          <cell r="I68">
            <v>27753.153177169657</v>
          </cell>
          <cell r="J68">
            <v>0</v>
          </cell>
          <cell r="K68">
            <v>0</v>
          </cell>
          <cell r="L68">
            <v>274.19</v>
          </cell>
          <cell r="M68">
            <v>0</v>
          </cell>
          <cell r="N68">
            <v>68661112.057484001</v>
          </cell>
          <cell r="O68">
            <v>0</v>
          </cell>
          <cell r="P68">
            <v>0</v>
          </cell>
          <cell r="Q68">
            <v>2006808.3</v>
          </cell>
          <cell r="R68">
            <v>0</v>
          </cell>
          <cell r="S68">
            <v>494605</v>
          </cell>
          <cell r="T68">
            <v>0</v>
          </cell>
          <cell r="U68">
            <v>0</v>
          </cell>
          <cell r="V68">
            <v>6978.3</v>
          </cell>
          <cell r="W68">
            <v>0</v>
          </cell>
          <cell r="X68">
            <v>0</v>
          </cell>
          <cell r="Y68">
            <v>395024.46</v>
          </cell>
          <cell r="Z68">
            <v>0</v>
          </cell>
          <cell r="AA68">
            <v>0</v>
          </cell>
          <cell r="AB68">
            <v>0</v>
          </cell>
          <cell r="AC68">
            <v>0</v>
          </cell>
        </row>
        <row r="69">
          <cell r="A69" t="str">
            <v>SEPT</v>
          </cell>
          <cell r="B69" t="str">
            <v>Large Commercial</v>
          </cell>
          <cell r="C69">
            <v>68595302</v>
          </cell>
          <cell r="D69">
            <v>68595302</v>
          </cell>
          <cell r="E69">
            <v>2905510.6443999996</v>
          </cell>
          <cell r="F69">
            <v>551603.12520000001</v>
          </cell>
          <cell r="G69">
            <v>1641613.49</v>
          </cell>
          <cell r="H69">
            <v>0</v>
          </cell>
          <cell r="I69">
            <v>73838.296918087362</v>
          </cell>
          <cell r="J69">
            <v>378.99</v>
          </cell>
          <cell r="K69">
            <v>180.97</v>
          </cell>
          <cell r="L69">
            <v>2100.5460000000003</v>
          </cell>
          <cell r="M69">
            <v>0</v>
          </cell>
          <cell r="N69">
            <v>219609296.0400379</v>
          </cell>
          <cell r="O69">
            <v>2987475.83</v>
          </cell>
          <cell r="P69">
            <v>1639435.36</v>
          </cell>
          <cell r="Q69">
            <v>13222294.922</v>
          </cell>
          <cell r="R69">
            <v>0</v>
          </cell>
          <cell r="S69">
            <v>2224825.1578322467</v>
          </cell>
          <cell r="T69">
            <v>3919.3</v>
          </cell>
          <cell r="U69">
            <v>0</v>
          </cell>
          <cell r="V69">
            <v>13907.1</v>
          </cell>
          <cell r="W69">
            <v>0</v>
          </cell>
          <cell r="X69">
            <v>277541.59000000003</v>
          </cell>
          <cell r="Y69">
            <v>1641613.49</v>
          </cell>
          <cell r="Z69">
            <v>0</v>
          </cell>
          <cell r="AA69">
            <v>198.02</v>
          </cell>
          <cell r="AB69">
            <v>1348040.47</v>
          </cell>
          <cell r="AC69">
            <v>3919.3</v>
          </cell>
        </row>
        <row r="70">
          <cell r="A70" t="str">
            <v>SEPT</v>
          </cell>
          <cell r="B70" t="str">
            <v>Hospitality Facilities</v>
          </cell>
          <cell r="C70">
            <v>11793097</v>
          </cell>
          <cell r="D70">
            <v>11793097</v>
          </cell>
          <cell r="E70">
            <v>904851.33549999993</v>
          </cell>
          <cell r="F70">
            <v>151745.98899999997</v>
          </cell>
          <cell r="G70">
            <v>111211.72</v>
          </cell>
          <cell r="H70">
            <v>0</v>
          </cell>
          <cell r="I70">
            <v>7577.0826254285475</v>
          </cell>
          <cell r="J70">
            <v>6.23</v>
          </cell>
          <cell r="K70">
            <v>6.23</v>
          </cell>
          <cell r="L70">
            <v>45.253</v>
          </cell>
          <cell r="M70">
            <v>0</v>
          </cell>
          <cell r="N70">
            <v>37330060.295922801</v>
          </cell>
          <cell r="O70">
            <v>12889.58</v>
          </cell>
          <cell r="P70">
            <v>12889.58</v>
          </cell>
          <cell r="Q70">
            <v>855066.54</v>
          </cell>
          <cell r="R70">
            <v>0</v>
          </cell>
          <cell r="S70">
            <v>33302.25</v>
          </cell>
          <cell r="T70">
            <v>1070.8599999999999</v>
          </cell>
          <cell r="U70">
            <v>633.36</v>
          </cell>
          <cell r="V70">
            <v>10583.992999999999</v>
          </cell>
          <cell r="W70">
            <v>0</v>
          </cell>
          <cell r="X70">
            <v>2930.55</v>
          </cell>
          <cell r="Y70">
            <v>111211.72</v>
          </cell>
          <cell r="Z70">
            <v>0</v>
          </cell>
          <cell r="AA70">
            <v>0</v>
          </cell>
          <cell r="AB70">
            <v>0</v>
          </cell>
          <cell r="AC70">
            <v>437.5</v>
          </cell>
        </row>
        <row r="71">
          <cell r="A71" t="str">
            <v>SEPT</v>
          </cell>
          <cell r="B71" t="str">
            <v>Res New Construction</v>
          </cell>
          <cell r="C71">
            <v>26264217</v>
          </cell>
          <cell r="D71">
            <v>26264217</v>
          </cell>
          <cell r="E71">
            <v>1626367.4944</v>
          </cell>
          <cell r="F71">
            <v>122920.80519999999</v>
          </cell>
          <cell r="G71">
            <v>2035210</v>
          </cell>
          <cell r="H71">
            <v>0</v>
          </cell>
          <cell r="I71">
            <v>9015.1305056540205</v>
          </cell>
          <cell r="J71">
            <v>0.18</v>
          </cell>
          <cell r="K71">
            <v>0</v>
          </cell>
          <cell r="L71">
            <v>1182.0275343999999</v>
          </cell>
          <cell r="M71">
            <v>0</v>
          </cell>
          <cell r="N71">
            <v>13357136.488374671</v>
          </cell>
          <cell r="O71">
            <v>600.79999999999995</v>
          </cell>
          <cell r="P71">
            <v>0</v>
          </cell>
          <cell r="Q71">
            <v>1307972</v>
          </cell>
          <cell r="R71">
            <v>0</v>
          </cell>
          <cell r="S71">
            <v>2454487.1347570699</v>
          </cell>
          <cell r="T71">
            <v>46.37</v>
          </cell>
          <cell r="U71">
            <v>0</v>
          </cell>
          <cell r="V71">
            <v>410596.8</v>
          </cell>
          <cell r="W71">
            <v>0</v>
          </cell>
          <cell r="X71">
            <v>30540</v>
          </cell>
          <cell r="Y71">
            <v>2035210</v>
          </cell>
          <cell r="Z71">
            <v>0</v>
          </cell>
          <cell r="AA71">
            <v>0.18</v>
          </cell>
          <cell r="AB71">
            <v>600.79999999999995</v>
          </cell>
          <cell r="AC71">
            <v>46.37</v>
          </cell>
        </row>
        <row r="72">
          <cell r="A72" t="str">
            <v>SEPT</v>
          </cell>
          <cell r="B72" t="str">
            <v>Education &amp; Training</v>
          </cell>
          <cell r="C72">
            <v>41154602</v>
          </cell>
          <cell r="D72">
            <v>41154602</v>
          </cell>
          <cell r="E72">
            <v>6335162.8821999999</v>
          </cell>
          <cell r="F72">
            <v>1001203.4776000001</v>
          </cell>
          <cell r="G72" t="str">
            <v>N/A</v>
          </cell>
          <cell r="H72">
            <v>0</v>
          </cell>
          <cell r="I72" t="str">
            <v>N/A</v>
          </cell>
          <cell r="J72" t="str">
            <v>N/A</v>
          </cell>
          <cell r="K72" t="str">
            <v>N/A</v>
          </cell>
          <cell r="L72" t="str">
            <v>N/A</v>
          </cell>
          <cell r="M72">
            <v>0</v>
          </cell>
          <cell r="N72" t="str">
            <v>N/A</v>
          </cell>
          <cell r="O72" t="str">
            <v>N/A</v>
          </cell>
          <cell r="P72" t="str">
            <v>N/A</v>
          </cell>
          <cell r="Q72" t="str">
            <v>N/A</v>
          </cell>
          <cell r="R72">
            <v>0</v>
          </cell>
          <cell r="S72" t="str">
            <v>N/A</v>
          </cell>
          <cell r="T72" t="str">
            <v>N/A</v>
          </cell>
          <cell r="U72" t="str">
            <v>N/A</v>
          </cell>
          <cell r="V72" t="str">
            <v>N/A</v>
          </cell>
          <cell r="W72">
            <v>0</v>
          </cell>
          <cell r="X72" t="str">
            <v>N/A</v>
          </cell>
          <cell r="Y72" t="str">
            <v>N/A</v>
          </cell>
          <cell r="Z72">
            <v>0</v>
          </cell>
          <cell r="AA72" t="str">
            <v>N/A</v>
          </cell>
          <cell r="AB72" t="str">
            <v>N/A</v>
          </cell>
          <cell r="AC72" t="str">
            <v>N/A</v>
          </cell>
        </row>
        <row r="73">
          <cell r="A73" t="str">
            <v>SEPT</v>
          </cell>
          <cell r="B73" t="str">
            <v>Codes &amp; Standards</v>
          </cell>
          <cell r="C73">
            <v>4635754</v>
          </cell>
          <cell r="D73">
            <v>4635754</v>
          </cell>
          <cell r="E73">
            <v>810281.76</v>
          </cell>
          <cell r="F73">
            <v>123552.35</v>
          </cell>
          <cell r="G73" t="str">
            <v>N/A</v>
          </cell>
          <cell r="H73">
            <v>0</v>
          </cell>
          <cell r="I73" t="str">
            <v>N/A</v>
          </cell>
          <cell r="J73" t="str">
            <v>N/A</v>
          </cell>
          <cell r="K73" t="str">
            <v>N/A</v>
          </cell>
          <cell r="L73" t="str">
            <v>N/A</v>
          </cell>
          <cell r="M73">
            <v>0</v>
          </cell>
          <cell r="N73" t="str">
            <v>N/A</v>
          </cell>
          <cell r="O73" t="str">
            <v>N/A</v>
          </cell>
          <cell r="P73" t="str">
            <v>N/A</v>
          </cell>
          <cell r="Q73" t="str">
            <v>N/A</v>
          </cell>
          <cell r="R73">
            <v>0</v>
          </cell>
          <cell r="S73" t="str">
            <v>N/A</v>
          </cell>
          <cell r="T73" t="str">
            <v>N/A</v>
          </cell>
          <cell r="U73" t="str">
            <v>N/A</v>
          </cell>
          <cell r="V73" t="str">
            <v>N/A</v>
          </cell>
          <cell r="W73">
            <v>0</v>
          </cell>
          <cell r="X73" t="str">
            <v>N/A</v>
          </cell>
          <cell r="Y73" t="str">
            <v>N/A</v>
          </cell>
          <cell r="Z73">
            <v>0</v>
          </cell>
          <cell r="AA73" t="str">
            <v>N/A</v>
          </cell>
          <cell r="AB73" t="str">
            <v>N/A</v>
          </cell>
          <cell r="AC73" t="str">
            <v>N/A</v>
          </cell>
        </row>
        <row r="74">
          <cell r="A74" t="str">
            <v>SEPT</v>
          </cell>
          <cell r="B74" t="str">
            <v>Emerging Technologies</v>
          </cell>
          <cell r="C74">
            <v>11260376</v>
          </cell>
          <cell r="D74">
            <v>11260376</v>
          </cell>
          <cell r="E74">
            <v>700902.22</v>
          </cell>
          <cell r="F74">
            <v>72772.7</v>
          </cell>
          <cell r="G74" t="str">
            <v>N/A</v>
          </cell>
          <cell r="H74">
            <v>0</v>
          </cell>
          <cell r="I74" t="str">
            <v>N/A</v>
          </cell>
          <cell r="J74" t="str">
            <v>N/A</v>
          </cell>
          <cell r="K74" t="str">
            <v>N/A</v>
          </cell>
          <cell r="L74" t="str">
            <v>N/A</v>
          </cell>
          <cell r="M74">
            <v>0</v>
          </cell>
          <cell r="N74" t="str">
            <v>N/A</v>
          </cell>
          <cell r="O74" t="str">
            <v>N/A</v>
          </cell>
          <cell r="P74" t="str">
            <v>N/A</v>
          </cell>
          <cell r="Q74" t="str">
            <v>N/A</v>
          </cell>
          <cell r="R74">
            <v>0</v>
          </cell>
          <cell r="S74" t="str">
            <v>N/A</v>
          </cell>
          <cell r="T74" t="str">
            <v>N/A</v>
          </cell>
          <cell r="U74" t="str">
            <v>N/A</v>
          </cell>
          <cell r="V74" t="str">
            <v>N/A</v>
          </cell>
          <cell r="W74">
            <v>0</v>
          </cell>
          <cell r="X74" t="str">
            <v>N/A</v>
          </cell>
          <cell r="Y74" t="str">
            <v>N/A</v>
          </cell>
          <cell r="Z74">
            <v>0</v>
          </cell>
          <cell r="AA74" t="str">
            <v>N/A</v>
          </cell>
          <cell r="AB74" t="str">
            <v>N/A</v>
          </cell>
          <cell r="AC74" t="str">
            <v>N/A</v>
          </cell>
        </row>
        <row r="75">
          <cell r="A75" t="str">
            <v>SEPT</v>
          </cell>
          <cell r="B75" t="str">
            <v>Statewide Marketing &amp; Info</v>
          </cell>
          <cell r="C75">
            <v>26948382</v>
          </cell>
          <cell r="D75">
            <v>26948382</v>
          </cell>
          <cell r="E75">
            <v>858.72</v>
          </cell>
          <cell r="F75">
            <v>684.52</v>
          </cell>
          <cell r="G75" t="str">
            <v>N/A</v>
          </cell>
          <cell r="H75">
            <v>0</v>
          </cell>
          <cell r="I75" t="str">
            <v>N/A</v>
          </cell>
          <cell r="J75" t="str">
            <v>N/A</v>
          </cell>
          <cell r="K75" t="str">
            <v>N/A</v>
          </cell>
          <cell r="L75" t="str">
            <v>N/A</v>
          </cell>
          <cell r="M75">
            <v>0</v>
          </cell>
          <cell r="N75" t="str">
            <v>N/A</v>
          </cell>
          <cell r="O75" t="str">
            <v>N/A</v>
          </cell>
          <cell r="P75" t="str">
            <v>N/A</v>
          </cell>
          <cell r="Q75" t="str">
            <v>N/A</v>
          </cell>
          <cell r="R75">
            <v>0</v>
          </cell>
          <cell r="S75" t="str">
            <v>N/A</v>
          </cell>
          <cell r="T75" t="str">
            <v>N/A</v>
          </cell>
          <cell r="U75" t="str">
            <v>N/A</v>
          </cell>
          <cell r="V75" t="str">
            <v>N/A</v>
          </cell>
          <cell r="W75">
            <v>0</v>
          </cell>
          <cell r="X75" t="str">
            <v>N/A</v>
          </cell>
          <cell r="Y75" t="str">
            <v>N/A</v>
          </cell>
          <cell r="Z75">
            <v>0</v>
          </cell>
          <cell r="AA75" t="str">
            <v>N/A</v>
          </cell>
          <cell r="AB75" t="str">
            <v>N/A</v>
          </cell>
          <cell r="AC75" t="str">
            <v>N/A</v>
          </cell>
        </row>
        <row r="76">
          <cell r="A76" t="str">
            <v>SEPT</v>
          </cell>
          <cell r="B76" t="str">
            <v>Low Income EE (3)  (1 YR Budgets/Goals)</v>
          </cell>
          <cell r="C76">
            <v>90094498</v>
          </cell>
          <cell r="D76">
            <v>90094498</v>
          </cell>
          <cell r="E76">
            <v>60258542.229999997</v>
          </cell>
          <cell r="F76">
            <v>6322363.5600000005</v>
          </cell>
          <cell r="G76" t="str">
            <v>N/A</v>
          </cell>
          <cell r="H76">
            <v>0</v>
          </cell>
          <cell r="I76">
            <v>5551</v>
          </cell>
          <cell r="J76">
            <v>4217.9467763800012</v>
          </cell>
          <cell r="K76">
            <v>410.8094949600013</v>
          </cell>
          <cell r="L76" t="str">
            <v>N/A</v>
          </cell>
          <cell r="M76">
            <v>0</v>
          </cell>
          <cell r="N76">
            <v>26282000</v>
          </cell>
          <cell r="O76">
            <v>19031669.589999992</v>
          </cell>
          <cell r="P76">
            <v>1813453.7499999925</v>
          </cell>
          <cell r="Q76" t="str">
            <v>N/A</v>
          </cell>
          <cell r="R76">
            <v>0</v>
          </cell>
          <cell r="S76">
            <v>1370000</v>
          </cell>
          <cell r="T76">
            <v>975463.55</v>
          </cell>
          <cell r="U76">
            <v>112006.62</v>
          </cell>
          <cell r="V76" t="str">
            <v>N/A</v>
          </cell>
          <cell r="W76">
            <v>0</v>
          </cell>
          <cell r="X76" t="str">
            <v>N/A</v>
          </cell>
          <cell r="Y76" t="str">
            <v>N/A</v>
          </cell>
          <cell r="Z76">
            <v>0</v>
          </cell>
          <cell r="AA76">
            <v>3807.1372814199999</v>
          </cell>
          <cell r="AB76">
            <v>17218215.84</v>
          </cell>
          <cell r="AC76">
            <v>863456.93</v>
          </cell>
        </row>
        <row r="77">
          <cell r="A77" t="str">
            <v>OCT</v>
          </cell>
          <cell r="B77" t="str">
            <v>Mass Market</v>
          </cell>
          <cell r="C77">
            <v>405857712</v>
          </cell>
          <cell r="D77">
            <v>405857712</v>
          </cell>
          <cell r="E77">
            <v>57231804.605599992</v>
          </cell>
          <cell r="F77">
            <v>14468639.630400002</v>
          </cell>
          <cell r="G77">
            <v>5402879.7300000004</v>
          </cell>
          <cell r="H77">
            <v>0</v>
          </cell>
          <cell r="I77">
            <v>334053.85427348199</v>
          </cell>
          <cell r="J77">
            <v>90824.41</v>
          </cell>
          <cell r="K77">
            <v>24095.37</v>
          </cell>
          <cell r="L77">
            <v>4589.1473811000005</v>
          </cell>
          <cell r="M77">
            <v>0</v>
          </cell>
          <cell r="N77">
            <v>1728133316.3078108</v>
          </cell>
          <cell r="O77">
            <v>529212096.80000007</v>
          </cell>
          <cell r="P77">
            <v>167294197.26000017</v>
          </cell>
          <cell r="Q77">
            <v>23824173.988299999</v>
          </cell>
          <cell r="R77">
            <v>0</v>
          </cell>
          <cell r="S77">
            <v>15871656.841610486</v>
          </cell>
          <cell r="T77">
            <v>1469490.27</v>
          </cell>
          <cell r="U77">
            <v>215091.09</v>
          </cell>
          <cell r="V77">
            <v>183487.74789999999</v>
          </cell>
          <cell r="W77">
            <v>0</v>
          </cell>
          <cell r="X77">
            <v>36767455.030000001</v>
          </cell>
          <cell r="Y77">
            <v>5402879.7300000004</v>
          </cell>
          <cell r="Z77">
            <v>0</v>
          </cell>
          <cell r="AA77">
            <v>66729.039999999994</v>
          </cell>
          <cell r="AB77">
            <v>361917899.5399999</v>
          </cell>
          <cell r="AC77">
            <v>1254399.18</v>
          </cell>
        </row>
        <row r="78">
          <cell r="A78" t="str">
            <v>OCT</v>
          </cell>
          <cell r="B78" t="str">
            <v>Ag &amp; Food Processing</v>
          </cell>
          <cell r="C78">
            <v>47523134</v>
          </cell>
          <cell r="D78">
            <v>47523134</v>
          </cell>
          <cell r="E78">
            <v>3177291.7113000001</v>
          </cell>
          <cell r="F78">
            <v>920672.86919999996</v>
          </cell>
          <cell r="G78">
            <v>2533098.41</v>
          </cell>
          <cell r="H78">
            <v>0</v>
          </cell>
          <cell r="I78">
            <v>22797.08846466984</v>
          </cell>
          <cell r="J78">
            <v>1930.54</v>
          </cell>
          <cell r="K78">
            <v>1667.56</v>
          </cell>
          <cell r="L78">
            <v>2101.4169999999999</v>
          </cell>
          <cell r="M78">
            <v>0</v>
          </cell>
          <cell r="N78">
            <v>164346860.9940128</v>
          </cell>
          <cell r="O78">
            <v>4850348.96</v>
          </cell>
          <cell r="P78">
            <v>2613440.12</v>
          </cell>
          <cell r="Q78">
            <v>44189303.529999994</v>
          </cell>
          <cell r="R78">
            <v>0</v>
          </cell>
          <cell r="S78">
            <v>3082951.7327311719</v>
          </cell>
          <cell r="T78">
            <v>96484.5</v>
          </cell>
          <cell r="U78">
            <v>103187.04</v>
          </cell>
          <cell r="V78">
            <v>1739203.2</v>
          </cell>
          <cell r="W78">
            <v>0</v>
          </cell>
          <cell r="X78">
            <v>544305.79</v>
          </cell>
          <cell r="Y78">
            <v>2533098.41</v>
          </cell>
          <cell r="Z78">
            <v>0</v>
          </cell>
          <cell r="AA78">
            <v>262.98</v>
          </cell>
          <cell r="AB78">
            <v>2236908.84</v>
          </cell>
          <cell r="AC78">
            <v>-6702.54</v>
          </cell>
        </row>
        <row r="79">
          <cell r="A79" t="str">
            <v>OCT</v>
          </cell>
          <cell r="B79" t="str">
            <v>Schools &amp; Colleges</v>
          </cell>
          <cell r="C79">
            <v>47568591</v>
          </cell>
          <cell r="D79">
            <v>47568591</v>
          </cell>
          <cell r="E79">
            <v>2000036.9049</v>
          </cell>
          <cell r="F79">
            <v>342866.31159999996</v>
          </cell>
          <cell r="G79">
            <v>1854676.5</v>
          </cell>
          <cell r="H79">
            <v>0</v>
          </cell>
          <cell r="I79">
            <v>28892.278794176014</v>
          </cell>
          <cell r="J79">
            <v>115.91</v>
          </cell>
          <cell r="K79">
            <v>1.9299999999999926</v>
          </cell>
          <cell r="L79">
            <v>1393.354</v>
          </cell>
          <cell r="M79">
            <v>0</v>
          </cell>
          <cell r="N79">
            <v>128046825.56012681</v>
          </cell>
          <cell r="O79">
            <v>297949.65999999997</v>
          </cell>
          <cell r="P79">
            <v>96469.1</v>
          </cell>
          <cell r="Q79">
            <v>6227079.2080000006</v>
          </cell>
          <cell r="R79">
            <v>0</v>
          </cell>
          <cell r="S79">
            <v>2635794.0523105087</v>
          </cell>
          <cell r="T79">
            <v>-38.54</v>
          </cell>
          <cell r="U79">
            <v>0</v>
          </cell>
          <cell r="V79">
            <v>311405.09999999998</v>
          </cell>
          <cell r="W79">
            <v>0</v>
          </cell>
          <cell r="X79">
            <v>92759.5</v>
          </cell>
          <cell r="Y79">
            <v>1854676.5</v>
          </cell>
          <cell r="Z79">
            <v>0</v>
          </cell>
          <cell r="AA79">
            <v>113.98</v>
          </cell>
          <cell r="AB79">
            <v>201480.56</v>
          </cell>
          <cell r="AC79">
            <v>-38.54</v>
          </cell>
        </row>
        <row r="80">
          <cell r="A80" t="str">
            <v>OCT</v>
          </cell>
          <cell r="B80" t="str">
            <v>Retail Stores</v>
          </cell>
          <cell r="C80">
            <v>20850872</v>
          </cell>
          <cell r="D80">
            <v>20850872</v>
          </cell>
          <cell r="E80">
            <v>1307896.9495999999</v>
          </cell>
          <cell r="F80">
            <v>356265.6164</v>
          </cell>
          <cell r="G80">
            <v>116382.66</v>
          </cell>
          <cell r="H80">
            <v>0</v>
          </cell>
          <cell r="I80">
            <v>21271.596533140018</v>
          </cell>
          <cell r="J80">
            <v>130.38</v>
          </cell>
          <cell r="K80">
            <v>46.15</v>
          </cell>
          <cell r="L80">
            <v>217.64</v>
          </cell>
          <cell r="M80">
            <v>0</v>
          </cell>
          <cell r="N80">
            <v>125946107.22913301</v>
          </cell>
          <cell r="O80">
            <v>751011.7</v>
          </cell>
          <cell r="P80">
            <v>168704.22</v>
          </cell>
          <cell r="Q80">
            <v>1349388.6809999999</v>
          </cell>
          <cell r="R80">
            <v>0</v>
          </cell>
          <cell r="S80">
            <v>17583.588</v>
          </cell>
          <cell r="T80">
            <v>3484.84</v>
          </cell>
          <cell r="U80">
            <v>316.95999999999998</v>
          </cell>
          <cell r="V80">
            <v>-791.3</v>
          </cell>
          <cell r="W80">
            <v>0</v>
          </cell>
          <cell r="X80">
            <v>82451.63</v>
          </cell>
          <cell r="Y80">
            <v>116382.66</v>
          </cell>
          <cell r="Z80">
            <v>0</v>
          </cell>
          <cell r="AA80">
            <v>84.23</v>
          </cell>
          <cell r="AB80">
            <v>582307.48</v>
          </cell>
          <cell r="AC80">
            <v>3167.88</v>
          </cell>
        </row>
        <row r="81">
          <cell r="A81" t="str">
            <v>OCT</v>
          </cell>
          <cell r="B81" t="str">
            <v>Fab, Prcss &amp; Hvy Indl Mfg</v>
          </cell>
          <cell r="C81">
            <v>121849249</v>
          </cell>
          <cell r="D81">
            <v>121849249</v>
          </cell>
          <cell r="E81">
            <v>3984395.5692000007</v>
          </cell>
          <cell r="F81">
            <v>627839.52279999992</v>
          </cell>
          <cell r="G81">
            <v>9603097.6099999994</v>
          </cell>
          <cell r="H81">
            <v>0</v>
          </cell>
          <cell r="I81">
            <v>69225.227525006732</v>
          </cell>
          <cell r="J81">
            <v>540.24</v>
          </cell>
          <cell r="K81">
            <v>147.75</v>
          </cell>
          <cell r="L81">
            <v>10405.830999999998</v>
          </cell>
          <cell r="M81">
            <v>0</v>
          </cell>
          <cell r="N81">
            <v>475376401.45399302</v>
          </cell>
          <cell r="O81">
            <v>4186073.13</v>
          </cell>
          <cell r="P81">
            <v>1237547.19</v>
          </cell>
          <cell r="Q81">
            <v>105838181.09199999</v>
          </cell>
          <cell r="R81">
            <v>0</v>
          </cell>
          <cell r="S81">
            <v>18198035.099455945</v>
          </cell>
          <cell r="T81">
            <v>1412430.04</v>
          </cell>
          <cell r="U81">
            <v>528162.6</v>
          </cell>
          <cell r="V81">
            <v>577704.37600000005</v>
          </cell>
          <cell r="W81">
            <v>0</v>
          </cell>
          <cell r="X81">
            <v>1196464.79</v>
          </cell>
          <cell r="Y81">
            <v>9603097.6099999994</v>
          </cell>
          <cell r="Z81">
            <v>0</v>
          </cell>
          <cell r="AA81">
            <v>392.49</v>
          </cell>
          <cell r="AB81">
            <v>2948525.94</v>
          </cell>
          <cell r="AC81">
            <v>884267.44</v>
          </cell>
        </row>
        <row r="82">
          <cell r="A82" t="str">
            <v>OCT</v>
          </cell>
          <cell r="B82" t="str">
            <v>Hi-Tech Facilities</v>
          </cell>
          <cell r="C82">
            <v>11759803</v>
          </cell>
          <cell r="D82">
            <v>11759803</v>
          </cell>
          <cell r="E82">
            <v>1487697.4783000001</v>
          </cell>
          <cell r="F82">
            <v>200363.86720000001</v>
          </cell>
          <cell r="G82">
            <v>1018077.23</v>
          </cell>
          <cell r="H82">
            <v>0</v>
          </cell>
          <cell r="I82">
            <v>6532.0886490478697</v>
          </cell>
          <cell r="J82">
            <v>141.86000000000001</v>
          </cell>
          <cell r="K82">
            <v>81.489999999999995</v>
          </cell>
          <cell r="L82">
            <v>1432.114</v>
          </cell>
          <cell r="M82">
            <v>0</v>
          </cell>
          <cell r="N82">
            <v>44364926.587099597</v>
          </cell>
          <cell r="O82">
            <v>1406748.58</v>
          </cell>
          <cell r="P82">
            <v>714066.7</v>
          </cell>
          <cell r="Q82">
            <v>16511953.752</v>
          </cell>
          <cell r="R82">
            <v>0</v>
          </cell>
          <cell r="S82">
            <v>25523.813309561065</v>
          </cell>
          <cell r="T82">
            <v>11088</v>
          </cell>
          <cell r="U82">
            <v>0</v>
          </cell>
          <cell r="V82">
            <v>213843.61</v>
          </cell>
          <cell r="W82">
            <v>0</v>
          </cell>
          <cell r="X82">
            <v>133105.94</v>
          </cell>
          <cell r="Y82">
            <v>1018077.23</v>
          </cell>
          <cell r="Z82">
            <v>0</v>
          </cell>
          <cell r="AA82">
            <v>60.37</v>
          </cell>
          <cell r="AB82">
            <v>692681.88</v>
          </cell>
          <cell r="AC82">
            <v>11088</v>
          </cell>
        </row>
        <row r="83">
          <cell r="A83" t="str">
            <v>OCT</v>
          </cell>
          <cell r="B83" t="str">
            <v>Medical Facilities</v>
          </cell>
          <cell r="C83">
            <v>21407152</v>
          </cell>
          <cell r="D83">
            <v>21407152</v>
          </cell>
          <cell r="E83">
            <v>678753.1666</v>
          </cell>
          <cell r="F83">
            <v>67934.724399999992</v>
          </cell>
          <cell r="G83">
            <v>395024.46</v>
          </cell>
          <cell r="H83">
            <v>0</v>
          </cell>
          <cell r="I83">
            <v>27753.153177169657</v>
          </cell>
          <cell r="J83">
            <v>0</v>
          </cell>
          <cell r="K83">
            <v>0</v>
          </cell>
          <cell r="L83">
            <v>274.19</v>
          </cell>
          <cell r="M83">
            <v>0</v>
          </cell>
          <cell r="N83">
            <v>68661112.057484001</v>
          </cell>
          <cell r="O83">
            <v>0</v>
          </cell>
          <cell r="P83">
            <v>0</v>
          </cell>
          <cell r="Q83">
            <v>2006808.3</v>
          </cell>
          <cell r="R83">
            <v>0</v>
          </cell>
          <cell r="S83">
            <v>494605</v>
          </cell>
          <cell r="T83">
            <v>0</v>
          </cell>
          <cell r="U83">
            <v>0</v>
          </cell>
          <cell r="V83">
            <v>6978.3</v>
          </cell>
          <cell r="W83">
            <v>0</v>
          </cell>
          <cell r="X83">
            <v>0</v>
          </cell>
          <cell r="Y83">
            <v>395024.46</v>
          </cell>
          <cell r="Z83">
            <v>0</v>
          </cell>
          <cell r="AA83">
            <v>0</v>
          </cell>
          <cell r="AB83">
            <v>0</v>
          </cell>
          <cell r="AC83">
            <v>0</v>
          </cell>
        </row>
        <row r="84">
          <cell r="A84" t="str">
            <v>OCT</v>
          </cell>
          <cell r="B84" t="str">
            <v>Large Commercial</v>
          </cell>
          <cell r="C84">
            <v>68595302</v>
          </cell>
          <cell r="D84">
            <v>68595302</v>
          </cell>
          <cell r="E84">
            <v>3534675.5632000021</v>
          </cell>
          <cell r="F84">
            <v>633715.09879999992</v>
          </cell>
          <cell r="G84">
            <v>2145849.13</v>
          </cell>
          <cell r="H84">
            <v>0</v>
          </cell>
          <cell r="I84">
            <v>73838.296918087362</v>
          </cell>
          <cell r="J84">
            <v>450.84</v>
          </cell>
          <cell r="K84">
            <v>71.849999999999994</v>
          </cell>
          <cell r="L84">
            <v>2531.181</v>
          </cell>
          <cell r="M84">
            <v>0</v>
          </cell>
          <cell r="N84">
            <v>219609296.0400379</v>
          </cell>
          <cell r="O84">
            <v>3320585.53</v>
          </cell>
          <cell r="P84">
            <v>333109.7</v>
          </cell>
          <cell r="Q84">
            <v>16644988.735999998</v>
          </cell>
          <cell r="R84">
            <v>0</v>
          </cell>
          <cell r="S84">
            <v>2224825.1578322467</v>
          </cell>
          <cell r="T84">
            <v>3919.3</v>
          </cell>
          <cell r="U84">
            <v>0</v>
          </cell>
          <cell r="V84">
            <v>119682.2</v>
          </cell>
          <cell r="W84">
            <v>0</v>
          </cell>
          <cell r="X84">
            <v>301335.14</v>
          </cell>
          <cell r="Y84">
            <v>2145849.13</v>
          </cell>
          <cell r="Z84">
            <v>0</v>
          </cell>
          <cell r="AA84">
            <v>378.99</v>
          </cell>
          <cell r="AB84">
            <v>2987475.83</v>
          </cell>
          <cell r="AC84">
            <v>3919.3</v>
          </cell>
        </row>
        <row r="85">
          <cell r="A85" t="str">
            <v>OCT</v>
          </cell>
          <cell r="B85" t="str">
            <v>Hospitality Facilities</v>
          </cell>
          <cell r="C85">
            <v>11793097</v>
          </cell>
          <cell r="D85">
            <v>11793097</v>
          </cell>
          <cell r="E85">
            <v>1067633.6415000001</v>
          </cell>
          <cell r="F85">
            <v>162782.30600000001</v>
          </cell>
          <cell r="G85">
            <v>91972.58</v>
          </cell>
          <cell r="H85">
            <v>0</v>
          </cell>
          <cell r="I85">
            <v>7577.0826254285475</v>
          </cell>
          <cell r="J85">
            <v>22.82</v>
          </cell>
          <cell r="K85">
            <v>16.59</v>
          </cell>
          <cell r="L85">
            <v>69.941000000000003</v>
          </cell>
          <cell r="M85">
            <v>0</v>
          </cell>
          <cell r="N85">
            <v>37330060.295922801</v>
          </cell>
          <cell r="O85">
            <v>141391.38</v>
          </cell>
          <cell r="P85">
            <v>128501.8</v>
          </cell>
          <cell r="Q85">
            <v>763433.78100000008</v>
          </cell>
          <cell r="R85">
            <v>0</v>
          </cell>
          <cell r="S85">
            <v>33302.25</v>
          </cell>
          <cell r="T85">
            <v>1675.94</v>
          </cell>
          <cell r="U85">
            <v>605.08000000000004</v>
          </cell>
          <cell r="V85">
            <v>9978.92</v>
          </cell>
          <cell r="W85">
            <v>0</v>
          </cell>
          <cell r="X85">
            <v>25778.52</v>
          </cell>
          <cell r="Y85">
            <v>91972.58</v>
          </cell>
          <cell r="Z85">
            <v>0</v>
          </cell>
          <cell r="AA85">
            <v>6.23</v>
          </cell>
          <cell r="AB85">
            <v>12889.58</v>
          </cell>
          <cell r="AC85">
            <v>1070.8599999999999</v>
          </cell>
        </row>
        <row r="86">
          <cell r="A86" t="str">
            <v>OCT</v>
          </cell>
          <cell r="B86" t="str">
            <v>Res New Construction</v>
          </cell>
          <cell r="C86">
            <v>26264217</v>
          </cell>
          <cell r="D86">
            <v>26264217</v>
          </cell>
          <cell r="E86">
            <v>1877234.6732000001</v>
          </cell>
          <cell r="F86">
            <v>250867.17879999999</v>
          </cell>
          <cell r="G86">
            <v>2259130</v>
          </cell>
          <cell r="H86">
            <v>0</v>
          </cell>
          <cell r="I86">
            <v>9015.1305056540205</v>
          </cell>
          <cell r="J86">
            <v>14.65</v>
          </cell>
          <cell r="K86">
            <v>14.47</v>
          </cell>
          <cell r="L86">
            <v>1159.7464096000001</v>
          </cell>
          <cell r="M86">
            <v>0</v>
          </cell>
          <cell r="N86">
            <v>13357136.488374671</v>
          </cell>
          <cell r="O86">
            <v>14300.8</v>
          </cell>
          <cell r="P86">
            <v>13700</v>
          </cell>
          <cell r="Q86">
            <v>1419518.4</v>
          </cell>
          <cell r="R86">
            <v>0</v>
          </cell>
          <cell r="S86">
            <v>2454487.1347570699</v>
          </cell>
          <cell r="T86">
            <v>3174.98</v>
          </cell>
          <cell r="U86">
            <v>3128.61</v>
          </cell>
          <cell r="V86">
            <v>424736.8</v>
          </cell>
          <cell r="W86">
            <v>0</v>
          </cell>
          <cell r="X86">
            <v>140730</v>
          </cell>
          <cell r="Y86">
            <v>2259130</v>
          </cell>
          <cell r="Z86">
            <v>0</v>
          </cell>
          <cell r="AA86">
            <v>0.18</v>
          </cell>
          <cell r="AB86">
            <v>600.79999999999995</v>
          </cell>
          <cell r="AC86">
            <v>46.37</v>
          </cell>
        </row>
        <row r="87">
          <cell r="A87" t="str">
            <v>OCT</v>
          </cell>
          <cell r="B87" t="str">
            <v>Education &amp; Training</v>
          </cell>
          <cell r="C87">
            <v>41154602</v>
          </cell>
          <cell r="D87">
            <v>41154602</v>
          </cell>
          <cell r="E87">
            <v>7296079.3965999996</v>
          </cell>
          <cell r="F87">
            <v>900690.55440000002</v>
          </cell>
          <cell r="G87" t="str">
            <v>N/A</v>
          </cell>
          <cell r="H87">
            <v>0</v>
          </cell>
          <cell r="I87" t="str">
            <v>N/A</v>
          </cell>
          <cell r="J87" t="str">
            <v>N/A</v>
          </cell>
          <cell r="K87" t="str">
            <v>N/A</v>
          </cell>
          <cell r="L87" t="str">
            <v>N/A</v>
          </cell>
          <cell r="M87">
            <v>0</v>
          </cell>
          <cell r="N87" t="str">
            <v>N/A</v>
          </cell>
          <cell r="O87" t="str">
            <v>N/A</v>
          </cell>
          <cell r="P87" t="str">
            <v>N/A</v>
          </cell>
          <cell r="Q87" t="str">
            <v>N/A</v>
          </cell>
          <cell r="R87">
            <v>0</v>
          </cell>
          <cell r="S87" t="str">
            <v>N/A</v>
          </cell>
          <cell r="T87" t="str">
            <v>N/A</v>
          </cell>
          <cell r="U87" t="str">
            <v>N/A</v>
          </cell>
          <cell r="V87" t="str">
            <v>N/A</v>
          </cell>
          <cell r="W87">
            <v>0</v>
          </cell>
          <cell r="X87" t="str">
            <v>N/A</v>
          </cell>
          <cell r="Y87" t="str">
            <v>N/A</v>
          </cell>
          <cell r="Z87">
            <v>0</v>
          </cell>
          <cell r="AA87" t="str">
            <v>N/A</v>
          </cell>
          <cell r="AB87" t="str">
            <v>N/A</v>
          </cell>
          <cell r="AC87" t="str">
            <v>N/A</v>
          </cell>
        </row>
        <row r="88">
          <cell r="A88" t="str">
            <v>OCT</v>
          </cell>
          <cell r="B88" t="str">
            <v>Codes &amp; Standards</v>
          </cell>
          <cell r="C88">
            <v>4635754</v>
          </cell>
          <cell r="D88">
            <v>4635754</v>
          </cell>
          <cell r="E88">
            <v>939511.62</v>
          </cell>
          <cell r="F88">
            <v>129229.86</v>
          </cell>
          <cell r="G88" t="str">
            <v>N/A</v>
          </cell>
          <cell r="H88">
            <v>0</v>
          </cell>
          <cell r="I88" t="str">
            <v>N/A</v>
          </cell>
          <cell r="J88" t="str">
            <v>N/A</v>
          </cell>
          <cell r="K88" t="str">
            <v>N/A</v>
          </cell>
          <cell r="L88" t="str">
            <v>N/A</v>
          </cell>
          <cell r="M88">
            <v>0</v>
          </cell>
          <cell r="N88" t="str">
            <v>N/A</v>
          </cell>
          <cell r="O88" t="str">
            <v>N/A</v>
          </cell>
          <cell r="P88" t="str">
            <v>N/A</v>
          </cell>
          <cell r="Q88" t="str">
            <v>N/A</v>
          </cell>
          <cell r="R88">
            <v>0</v>
          </cell>
          <cell r="S88" t="str">
            <v>N/A</v>
          </cell>
          <cell r="T88" t="str">
            <v>N/A</v>
          </cell>
          <cell r="U88" t="str">
            <v>N/A</v>
          </cell>
          <cell r="V88" t="str">
            <v>N/A</v>
          </cell>
          <cell r="W88">
            <v>0</v>
          </cell>
          <cell r="X88" t="str">
            <v>N/A</v>
          </cell>
          <cell r="Y88" t="str">
            <v>N/A</v>
          </cell>
          <cell r="Z88">
            <v>0</v>
          </cell>
          <cell r="AA88" t="str">
            <v>N/A</v>
          </cell>
          <cell r="AB88" t="str">
            <v>N/A</v>
          </cell>
          <cell r="AC88" t="str">
            <v>N/A</v>
          </cell>
        </row>
        <row r="89">
          <cell r="A89" t="str">
            <v>OCT</v>
          </cell>
          <cell r="B89" t="str">
            <v>Emerging Technologies</v>
          </cell>
          <cell r="C89">
            <v>11260376</v>
          </cell>
          <cell r="D89">
            <v>11260376</v>
          </cell>
          <cell r="E89">
            <v>792969.61</v>
          </cell>
          <cell r="F89">
            <v>92067.39</v>
          </cell>
          <cell r="G89" t="str">
            <v>N/A</v>
          </cell>
          <cell r="H89">
            <v>0</v>
          </cell>
          <cell r="I89" t="str">
            <v>N/A</v>
          </cell>
          <cell r="J89" t="str">
            <v>N/A</v>
          </cell>
          <cell r="K89" t="str">
            <v>N/A</v>
          </cell>
          <cell r="L89" t="str">
            <v>N/A</v>
          </cell>
          <cell r="M89">
            <v>0</v>
          </cell>
          <cell r="N89" t="str">
            <v>N/A</v>
          </cell>
          <cell r="O89" t="str">
            <v>N/A</v>
          </cell>
          <cell r="P89" t="str">
            <v>N/A</v>
          </cell>
          <cell r="Q89" t="str">
            <v>N/A</v>
          </cell>
          <cell r="R89">
            <v>0</v>
          </cell>
          <cell r="S89" t="str">
            <v>N/A</v>
          </cell>
          <cell r="T89" t="str">
            <v>N/A</v>
          </cell>
          <cell r="U89" t="str">
            <v>N/A</v>
          </cell>
          <cell r="V89" t="str">
            <v>N/A</v>
          </cell>
          <cell r="W89">
            <v>0</v>
          </cell>
          <cell r="X89" t="str">
            <v>N/A</v>
          </cell>
          <cell r="Y89" t="str">
            <v>N/A</v>
          </cell>
          <cell r="Z89">
            <v>0</v>
          </cell>
          <cell r="AA89" t="str">
            <v>N/A</v>
          </cell>
          <cell r="AB89" t="str">
            <v>N/A</v>
          </cell>
          <cell r="AC89" t="str">
            <v>N/A</v>
          </cell>
        </row>
        <row r="90">
          <cell r="A90" t="str">
            <v>OCT</v>
          </cell>
          <cell r="B90" t="str">
            <v>Statewide Marketing &amp; Info</v>
          </cell>
          <cell r="C90">
            <v>26948382</v>
          </cell>
          <cell r="D90">
            <v>26948382</v>
          </cell>
          <cell r="E90">
            <v>31.590000000000298</v>
          </cell>
          <cell r="F90">
            <v>-827.13</v>
          </cell>
          <cell r="G90" t="str">
            <v>N/A</v>
          </cell>
          <cell r="H90">
            <v>0</v>
          </cell>
          <cell r="I90" t="str">
            <v>N/A</v>
          </cell>
          <cell r="J90" t="str">
            <v>N/A</v>
          </cell>
          <cell r="K90" t="str">
            <v>N/A</v>
          </cell>
          <cell r="L90" t="str">
            <v>N/A</v>
          </cell>
          <cell r="M90">
            <v>0</v>
          </cell>
          <cell r="N90" t="str">
            <v>N/A</v>
          </cell>
          <cell r="O90" t="str">
            <v>N/A</v>
          </cell>
          <cell r="P90" t="str">
            <v>N/A</v>
          </cell>
          <cell r="Q90" t="str">
            <v>N/A</v>
          </cell>
          <cell r="R90">
            <v>0</v>
          </cell>
          <cell r="S90" t="str">
            <v>N/A</v>
          </cell>
          <cell r="T90" t="str">
            <v>N/A</v>
          </cell>
          <cell r="U90" t="str">
            <v>N/A</v>
          </cell>
          <cell r="V90" t="str">
            <v>N/A</v>
          </cell>
          <cell r="W90">
            <v>0</v>
          </cell>
          <cell r="X90" t="str">
            <v>N/A</v>
          </cell>
          <cell r="Y90" t="str">
            <v>N/A</v>
          </cell>
          <cell r="Z90">
            <v>0</v>
          </cell>
          <cell r="AA90" t="str">
            <v>N/A</v>
          </cell>
          <cell r="AB90" t="str">
            <v>N/A</v>
          </cell>
          <cell r="AC90" t="str">
            <v>N/A</v>
          </cell>
        </row>
        <row r="91">
          <cell r="A91" t="str">
            <v>OCT</v>
          </cell>
          <cell r="B91" t="str">
            <v>Low Income EE (3)  (1 YR Budgets/Goals)</v>
          </cell>
          <cell r="C91">
            <v>90094498</v>
          </cell>
          <cell r="D91">
            <v>90094498</v>
          </cell>
          <cell r="E91">
            <v>68291263.909999996</v>
          </cell>
          <cell r="F91">
            <v>8032721.6799999988</v>
          </cell>
          <cell r="G91" t="str">
            <v>N/A</v>
          </cell>
          <cell r="H91">
            <v>0</v>
          </cell>
          <cell r="I91">
            <v>5551</v>
          </cell>
          <cell r="J91">
            <v>4800.8246831400002</v>
          </cell>
          <cell r="K91">
            <v>582.87790675999895</v>
          </cell>
          <cell r="L91" t="str">
            <v>N/A</v>
          </cell>
          <cell r="M91">
            <v>0</v>
          </cell>
          <cell r="N91">
            <v>26282000</v>
          </cell>
          <cell r="O91">
            <v>21879552.849999998</v>
          </cell>
          <cell r="P91">
            <v>2847883.2600000054</v>
          </cell>
          <cell r="Q91" t="str">
            <v>N/A</v>
          </cell>
          <cell r="R91">
            <v>0</v>
          </cell>
          <cell r="S91">
            <v>1370000</v>
          </cell>
          <cell r="T91">
            <v>1109436.92</v>
          </cell>
          <cell r="U91">
            <v>133973.37</v>
          </cell>
          <cell r="V91" t="str">
            <v>N/A</v>
          </cell>
          <cell r="W91">
            <v>0</v>
          </cell>
          <cell r="X91" t="str">
            <v>N/A</v>
          </cell>
          <cell r="Y91" t="str">
            <v>N/A</v>
          </cell>
          <cell r="Z91">
            <v>0</v>
          </cell>
          <cell r="AA91">
            <v>4217.9467763800012</v>
          </cell>
          <cell r="AB91">
            <v>19031669.589999992</v>
          </cell>
          <cell r="AC91">
            <v>975463.55</v>
          </cell>
        </row>
        <row r="92">
          <cell r="A92" t="str">
            <v>NOV</v>
          </cell>
          <cell r="B92" t="str">
            <v>Mass Market</v>
          </cell>
          <cell r="C92">
            <v>405857712</v>
          </cell>
          <cell r="D92">
            <v>405857712</v>
          </cell>
          <cell r="E92">
            <v>67391660.8292</v>
          </cell>
          <cell r="F92">
            <v>10159856.223600004</v>
          </cell>
          <cell r="G92">
            <v>6415905.4800000004</v>
          </cell>
          <cell r="H92">
            <v>0</v>
          </cell>
          <cell r="I92">
            <v>334053.85427348199</v>
          </cell>
          <cell r="J92">
            <v>119581.63</v>
          </cell>
          <cell r="K92">
            <v>28757.22</v>
          </cell>
          <cell r="L92">
            <v>5475.3430135999997</v>
          </cell>
          <cell r="M92">
            <v>0</v>
          </cell>
          <cell r="N92">
            <v>1728133316.3078108</v>
          </cell>
          <cell r="O92">
            <v>712281103.91999984</v>
          </cell>
          <cell r="P92">
            <v>183069007.11999977</v>
          </cell>
          <cell r="Q92">
            <v>23269994.955500003</v>
          </cell>
          <cell r="R92">
            <v>0</v>
          </cell>
          <cell r="S92">
            <v>15871656.841610486</v>
          </cell>
          <cell r="T92">
            <v>1632164.38</v>
          </cell>
          <cell r="U92">
            <v>162674.10999999999</v>
          </cell>
          <cell r="V92">
            <v>337780.93189999997</v>
          </cell>
          <cell r="W92">
            <v>0</v>
          </cell>
          <cell r="X92">
            <v>44198302.00999999</v>
          </cell>
          <cell r="Y92">
            <v>6415905.4800000004</v>
          </cell>
          <cell r="Z92">
            <v>0</v>
          </cell>
          <cell r="AA92">
            <v>90824.41</v>
          </cell>
          <cell r="AB92">
            <v>529212096.80000007</v>
          </cell>
          <cell r="AC92">
            <v>1469490.27</v>
          </cell>
        </row>
        <row r="93">
          <cell r="A93" t="str">
            <v>NOV</v>
          </cell>
          <cell r="B93" t="str">
            <v>Ag &amp; Food Processing</v>
          </cell>
          <cell r="C93">
            <v>47523134</v>
          </cell>
          <cell r="D93">
            <v>47523134</v>
          </cell>
          <cell r="E93">
            <v>4128066.4166000001</v>
          </cell>
          <cell r="F93">
            <v>950774.70529999991</v>
          </cell>
          <cell r="G93">
            <v>3463654.76</v>
          </cell>
          <cell r="H93">
            <v>0</v>
          </cell>
          <cell r="I93">
            <v>22797.08846466984</v>
          </cell>
          <cell r="J93">
            <v>2192.31</v>
          </cell>
          <cell r="K93">
            <v>261.77</v>
          </cell>
          <cell r="L93">
            <v>3108.6139999999996</v>
          </cell>
          <cell r="M93">
            <v>0</v>
          </cell>
          <cell r="N93">
            <v>164346860.9940128</v>
          </cell>
          <cell r="O93">
            <v>7193432.6100000003</v>
          </cell>
          <cell r="P93">
            <v>2343083.65</v>
          </cell>
          <cell r="Q93">
            <v>17622189.770999998</v>
          </cell>
          <cell r="R93">
            <v>0</v>
          </cell>
          <cell r="S93">
            <v>3082951.7327311719</v>
          </cell>
          <cell r="T93">
            <v>301417.74</v>
          </cell>
          <cell r="U93">
            <v>204933.24</v>
          </cell>
          <cell r="V93">
            <v>1684693.88</v>
          </cell>
          <cell r="W93">
            <v>0</v>
          </cell>
          <cell r="X93">
            <v>1010857.47</v>
          </cell>
          <cell r="Y93">
            <v>3463654.76</v>
          </cell>
          <cell r="Z93">
            <v>0</v>
          </cell>
          <cell r="AA93">
            <v>1930.54</v>
          </cell>
          <cell r="AB93">
            <v>4850348.96</v>
          </cell>
          <cell r="AC93">
            <v>96484.5</v>
          </cell>
        </row>
        <row r="94">
          <cell r="A94" t="str">
            <v>NOV</v>
          </cell>
          <cell r="B94" t="str">
            <v>Schools &amp; Colleges</v>
          </cell>
          <cell r="C94">
            <v>47568591</v>
          </cell>
          <cell r="D94">
            <v>47568591</v>
          </cell>
          <cell r="E94">
            <v>2550104.7418</v>
          </cell>
          <cell r="F94">
            <v>550067.83689999999</v>
          </cell>
          <cell r="G94">
            <v>2799649.3</v>
          </cell>
          <cell r="H94">
            <v>0</v>
          </cell>
          <cell r="I94">
            <v>28892.278794176014</v>
          </cell>
          <cell r="J94">
            <v>134.11000000000001</v>
          </cell>
          <cell r="K94">
            <v>18.2</v>
          </cell>
          <cell r="L94">
            <v>2666.0880000000002</v>
          </cell>
          <cell r="M94">
            <v>0</v>
          </cell>
          <cell r="N94">
            <v>128046825.56012681</v>
          </cell>
          <cell r="O94">
            <v>307728.65999999997</v>
          </cell>
          <cell r="P94">
            <v>9779</v>
          </cell>
          <cell r="Q94">
            <v>8465101.1280000005</v>
          </cell>
          <cell r="R94">
            <v>0</v>
          </cell>
          <cell r="S94">
            <v>2635794.0523105087</v>
          </cell>
          <cell r="T94">
            <v>-9.14</v>
          </cell>
          <cell r="U94">
            <v>29.4</v>
          </cell>
          <cell r="V94">
            <v>454939.28</v>
          </cell>
          <cell r="W94">
            <v>0</v>
          </cell>
          <cell r="X94">
            <v>256685.41</v>
          </cell>
          <cell r="Y94">
            <v>2799649.3</v>
          </cell>
          <cell r="Z94">
            <v>0</v>
          </cell>
          <cell r="AA94">
            <v>115.91</v>
          </cell>
          <cell r="AB94">
            <v>297949.65999999997</v>
          </cell>
          <cell r="AC94">
            <v>-38.54</v>
          </cell>
        </row>
        <row r="95">
          <cell r="A95" t="str">
            <v>NOV</v>
          </cell>
          <cell r="B95" t="str">
            <v>Retail Stores</v>
          </cell>
          <cell r="C95">
            <v>20850872</v>
          </cell>
          <cell r="D95">
            <v>20850872</v>
          </cell>
          <cell r="E95">
            <v>2082988.1972000001</v>
          </cell>
          <cell r="F95">
            <v>775091.2476</v>
          </cell>
          <cell r="G95">
            <v>283813.69</v>
          </cell>
          <cell r="H95">
            <v>0</v>
          </cell>
          <cell r="I95">
            <v>21271.596533140018</v>
          </cell>
          <cell r="J95">
            <v>567.29</v>
          </cell>
          <cell r="K95">
            <v>436.91</v>
          </cell>
          <cell r="L95">
            <v>634.41199999999992</v>
          </cell>
          <cell r="M95">
            <v>0</v>
          </cell>
          <cell r="N95">
            <v>125946107.22913301</v>
          </cell>
          <cell r="O95">
            <v>1521522.74</v>
          </cell>
          <cell r="P95">
            <v>770511.04</v>
          </cell>
          <cell r="Q95">
            <v>2850685.176</v>
          </cell>
          <cell r="R95">
            <v>0</v>
          </cell>
          <cell r="S95">
            <v>17583.588</v>
          </cell>
          <cell r="T95">
            <v>3543.35</v>
          </cell>
          <cell r="U95">
            <v>58.509999999999764</v>
          </cell>
          <cell r="V95">
            <v>825.7</v>
          </cell>
          <cell r="W95">
            <v>0</v>
          </cell>
          <cell r="X95">
            <v>144624.71</v>
          </cell>
          <cell r="Y95">
            <v>283813.69</v>
          </cell>
          <cell r="Z95">
            <v>0</v>
          </cell>
          <cell r="AA95">
            <v>130.38</v>
          </cell>
          <cell r="AB95">
            <v>751011.7</v>
          </cell>
          <cell r="AC95">
            <v>3484.84</v>
          </cell>
        </row>
        <row r="96">
          <cell r="A96" t="str">
            <v>NOV</v>
          </cell>
          <cell r="B96" t="str">
            <v>Fab, Prcss &amp; Hvy Indl Mfg</v>
          </cell>
          <cell r="C96">
            <v>121849249</v>
          </cell>
          <cell r="D96">
            <v>121849249</v>
          </cell>
          <cell r="E96">
            <v>5530647.4443999995</v>
          </cell>
          <cell r="F96">
            <v>1546251.8752000001</v>
          </cell>
          <cell r="G96">
            <v>10409649.98</v>
          </cell>
          <cell r="H96">
            <v>0</v>
          </cell>
          <cell r="I96">
            <v>69225.227525006732</v>
          </cell>
          <cell r="J96">
            <v>1671.11</v>
          </cell>
          <cell r="K96">
            <v>1130.8699999999999</v>
          </cell>
          <cell r="L96">
            <v>10558.698</v>
          </cell>
          <cell r="M96">
            <v>0</v>
          </cell>
          <cell r="N96">
            <v>475376401.45399302</v>
          </cell>
          <cell r="O96">
            <v>14180391.530000001</v>
          </cell>
          <cell r="P96">
            <v>9994318.4000000022</v>
          </cell>
          <cell r="Q96">
            <v>98060853.628000021</v>
          </cell>
          <cell r="R96">
            <v>0</v>
          </cell>
          <cell r="S96">
            <v>18198035.099455945</v>
          </cell>
          <cell r="T96">
            <v>1414176.6</v>
          </cell>
          <cell r="U96">
            <v>1746.5600000000559</v>
          </cell>
          <cell r="V96">
            <v>4915533.7439999999</v>
          </cell>
          <cell r="W96">
            <v>0</v>
          </cell>
          <cell r="X96">
            <v>2240772.9700000002</v>
          </cell>
          <cell r="Y96">
            <v>10409649.98</v>
          </cell>
          <cell r="Z96">
            <v>0</v>
          </cell>
          <cell r="AA96">
            <v>540.24</v>
          </cell>
          <cell r="AB96">
            <v>4186073.13</v>
          </cell>
          <cell r="AC96">
            <v>1412430.04</v>
          </cell>
        </row>
        <row r="97">
          <cell r="A97" t="str">
            <v>NOV</v>
          </cell>
          <cell r="B97" t="str">
            <v>Hi-Tech Facilities</v>
          </cell>
          <cell r="C97">
            <v>11759803</v>
          </cell>
          <cell r="D97">
            <v>11759803</v>
          </cell>
          <cell r="E97">
            <v>1759342.7905999997</v>
          </cell>
          <cell r="F97">
            <v>271645.31230000005</v>
          </cell>
          <cell r="G97">
            <v>1366150.31</v>
          </cell>
          <cell r="H97">
            <v>0</v>
          </cell>
          <cell r="I97">
            <v>6532.0886490478697</v>
          </cell>
          <cell r="J97">
            <v>155.97999999999999</v>
          </cell>
          <cell r="K97">
            <v>14.12</v>
          </cell>
          <cell r="L97">
            <v>1828.6489999999999</v>
          </cell>
          <cell r="M97">
            <v>0</v>
          </cell>
          <cell r="N97">
            <v>44364926.587099597</v>
          </cell>
          <cell r="O97">
            <v>1567046.57</v>
          </cell>
          <cell r="P97">
            <v>160297.99</v>
          </cell>
          <cell r="Q97">
            <v>21352669.561000001</v>
          </cell>
          <cell r="R97">
            <v>0</v>
          </cell>
          <cell r="S97">
            <v>25523.813309561065</v>
          </cell>
          <cell r="T97">
            <v>11088</v>
          </cell>
          <cell r="U97">
            <v>0</v>
          </cell>
          <cell r="V97">
            <v>226731.95</v>
          </cell>
          <cell r="W97">
            <v>0</v>
          </cell>
          <cell r="X97">
            <v>177019.61</v>
          </cell>
          <cell r="Y97">
            <v>1366150.31</v>
          </cell>
          <cell r="Z97">
            <v>0</v>
          </cell>
          <cell r="AA97">
            <v>141.86000000000001</v>
          </cell>
          <cell r="AB97">
            <v>1406748.58</v>
          </cell>
          <cell r="AC97">
            <v>11088</v>
          </cell>
        </row>
        <row r="98">
          <cell r="A98" t="str">
            <v>NOV</v>
          </cell>
          <cell r="B98" t="str">
            <v>Medical Facilities</v>
          </cell>
          <cell r="C98">
            <v>21407152</v>
          </cell>
          <cell r="D98">
            <v>21407152</v>
          </cell>
          <cell r="E98">
            <v>757341.75120000006</v>
          </cell>
          <cell r="F98">
            <v>78588.584600000017</v>
          </cell>
          <cell r="G98">
            <v>420616.44</v>
          </cell>
          <cell r="H98">
            <v>0</v>
          </cell>
          <cell r="I98">
            <v>27753.153177169657</v>
          </cell>
          <cell r="J98">
            <v>0</v>
          </cell>
          <cell r="K98">
            <v>0</v>
          </cell>
          <cell r="L98">
            <v>277.79800000000006</v>
          </cell>
          <cell r="M98">
            <v>0</v>
          </cell>
          <cell r="N98">
            <v>68661112.057484001</v>
          </cell>
          <cell r="O98">
            <v>0</v>
          </cell>
          <cell r="P98">
            <v>0</v>
          </cell>
          <cell r="Q98">
            <v>2174455.56</v>
          </cell>
          <cell r="R98">
            <v>0</v>
          </cell>
          <cell r="S98">
            <v>494605</v>
          </cell>
          <cell r="T98">
            <v>0</v>
          </cell>
          <cell r="U98">
            <v>0</v>
          </cell>
          <cell r="V98">
            <v>8059.8</v>
          </cell>
          <cell r="W98">
            <v>0</v>
          </cell>
          <cell r="X98">
            <v>0</v>
          </cell>
          <cell r="Y98">
            <v>420616.44</v>
          </cell>
          <cell r="Z98">
            <v>0</v>
          </cell>
          <cell r="AA98">
            <v>0</v>
          </cell>
          <cell r="AB98">
            <v>0</v>
          </cell>
          <cell r="AC98">
            <v>0</v>
          </cell>
        </row>
        <row r="99">
          <cell r="A99" t="str">
            <v>NOV</v>
          </cell>
          <cell r="B99" t="str">
            <v>Large Commercial</v>
          </cell>
          <cell r="C99">
            <v>68595302</v>
          </cell>
          <cell r="D99">
            <v>68595302</v>
          </cell>
          <cell r="E99">
            <v>4591858.4023999991</v>
          </cell>
          <cell r="F99">
            <v>1057182.8391999998</v>
          </cell>
          <cell r="G99">
            <v>2094277.94</v>
          </cell>
          <cell r="H99">
            <v>0</v>
          </cell>
          <cell r="I99">
            <v>73838.296918087362</v>
          </cell>
          <cell r="J99">
            <v>671.49</v>
          </cell>
          <cell r="K99">
            <v>220.65</v>
          </cell>
          <cell r="L99">
            <v>2662.9490000000001</v>
          </cell>
          <cell r="M99">
            <v>0</v>
          </cell>
          <cell r="N99">
            <v>219609296.0400379</v>
          </cell>
          <cell r="O99">
            <v>4426696.3499999996</v>
          </cell>
          <cell r="P99">
            <v>1106110.82</v>
          </cell>
          <cell r="Q99">
            <v>16828186.783999998</v>
          </cell>
          <cell r="R99">
            <v>0</v>
          </cell>
          <cell r="S99">
            <v>2224825.1578322467</v>
          </cell>
          <cell r="T99">
            <v>8984.06</v>
          </cell>
          <cell r="U99">
            <v>5064.76</v>
          </cell>
          <cell r="V99">
            <v>46401.68</v>
          </cell>
          <cell r="W99">
            <v>0</v>
          </cell>
          <cell r="X99">
            <v>838482.27</v>
          </cell>
          <cell r="Y99">
            <v>2094277.94</v>
          </cell>
          <cell r="Z99">
            <v>0</v>
          </cell>
          <cell r="AA99">
            <v>450.84</v>
          </cell>
          <cell r="AB99">
            <v>3320585.53</v>
          </cell>
          <cell r="AC99">
            <v>3919.3</v>
          </cell>
        </row>
        <row r="100">
          <cell r="A100" t="str">
            <v>NOV</v>
          </cell>
          <cell r="B100" t="str">
            <v>Hospitality Facilities</v>
          </cell>
          <cell r="C100">
            <v>11793097</v>
          </cell>
          <cell r="D100">
            <v>11793097</v>
          </cell>
          <cell r="E100">
            <v>1172656.2930000001</v>
          </cell>
          <cell r="F100">
            <v>105022.65150000001</v>
          </cell>
          <cell r="G100">
            <v>170246.39</v>
          </cell>
          <cell r="H100">
            <v>0</v>
          </cell>
          <cell r="I100">
            <v>7577.0826254285475</v>
          </cell>
          <cell r="J100">
            <v>40.4</v>
          </cell>
          <cell r="K100">
            <v>17.579999999999998</v>
          </cell>
          <cell r="L100">
            <v>71.984999999999999</v>
          </cell>
          <cell r="M100">
            <v>0</v>
          </cell>
          <cell r="N100">
            <v>37330060.295922801</v>
          </cell>
          <cell r="O100">
            <v>277420.71999999997</v>
          </cell>
          <cell r="P100">
            <v>136029.34</v>
          </cell>
          <cell r="Q100">
            <v>1128932.4409999999</v>
          </cell>
          <cell r="R100">
            <v>0</v>
          </cell>
          <cell r="S100">
            <v>33302.25</v>
          </cell>
          <cell r="T100">
            <v>2813.49</v>
          </cell>
          <cell r="U100">
            <v>1137.55</v>
          </cell>
          <cell r="V100">
            <v>41279.919999999998</v>
          </cell>
          <cell r="W100">
            <v>0</v>
          </cell>
          <cell r="X100">
            <v>38021.26</v>
          </cell>
          <cell r="Y100">
            <v>170246.39</v>
          </cell>
          <cell r="Z100">
            <v>0</v>
          </cell>
          <cell r="AA100">
            <v>22.82</v>
          </cell>
          <cell r="AB100">
            <v>141391.38</v>
          </cell>
          <cell r="AC100">
            <v>1675.94</v>
          </cell>
        </row>
        <row r="101">
          <cell r="A101" t="str">
            <v>NOV</v>
          </cell>
          <cell r="B101" t="str">
            <v>Res New Construction</v>
          </cell>
          <cell r="C101">
            <v>26264217</v>
          </cell>
          <cell r="D101">
            <v>26264217</v>
          </cell>
          <cell r="E101">
            <v>1990262.4524000003</v>
          </cell>
          <cell r="F101">
            <v>113027.77919999999</v>
          </cell>
          <cell r="G101">
            <v>2577925</v>
          </cell>
          <cell r="H101">
            <v>0</v>
          </cell>
          <cell r="I101">
            <v>9015.1305056540205</v>
          </cell>
          <cell r="J101">
            <v>38.770000000000003</v>
          </cell>
          <cell r="K101">
            <v>24.12</v>
          </cell>
          <cell r="L101">
            <v>1206.2935696000002</v>
          </cell>
          <cell r="M101">
            <v>0</v>
          </cell>
          <cell r="N101">
            <v>13357136.488374671</v>
          </cell>
          <cell r="O101">
            <v>36762.400000000001</v>
          </cell>
          <cell r="P101">
            <v>22461.599999999999</v>
          </cell>
          <cell r="Q101">
            <v>1659011.2</v>
          </cell>
          <cell r="R101">
            <v>0</v>
          </cell>
          <cell r="S101">
            <v>2454487.1347570699</v>
          </cell>
          <cell r="T101">
            <v>7798.98</v>
          </cell>
          <cell r="U101">
            <v>4624</v>
          </cell>
          <cell r="V101">
            <v>449065.6</v>
          </cell>
          <cell r="W101">
            <v>0</v>
          </cell>
          <cell r="X101">
            <v>168305</v>
          </cell>
          <cell r="Y101">
            <v>2577925</v>
          </cell>
          <cell r="Z101">
            <v>0</v>
          </cell>
          <cell r="AA101">
            <v>14.65</v>
          </cell>
          <cell r="AB101">
            <v>14300.8</v>
          </cell>
          <cell r="AC101">
            <v>3174.98</v>
          </cell>
        </row>
        <row r="102">
          <cell r="A102" t="str">
            <v>NOV</v>
          </cell>
          <cell r="B102" t="str">
            <v>Education &amp; Training</v>
          </cell>
          <cell r="C102">
            <v>41154602</v>
          </cell>
          <cell r="D102">
            <v>41154602</v>
          </cell>
          <cell r="E102">
            <v>8447311.8112000003</v>
          </cell>
          <cell r="F102">
            <v>1151232.4146</v>
          </cell>
          <cell r="G102" t="str">
            <v>N/A</v>
          </cell>
          <cell r="H102">
            <v>0</v>
          </cell>
          <cell r="I102" t="str">
            <v>N/A</v>
          </cell>
          <cell r="J102" t="str">
            <v>N/A</v>
          </cell>
          <cell r="K102" t="str">
            <v>N/A</v>
          </cell>
          <cell r="L102" t="str">
            <v>N/A</v>
          </cell>
          <cell r="M102">
            <v>0</v>
          </cell>
          <cell r="N102" t="str">
            <v>N/A</v>
          </cell>
          <cell r="O102" t="str">
            <v>N/A</v>
          </cell>
          <cell r="P102" t="str">
            <v>N/A</v>
          </cell>
          <cell r="Q102" t="str">
            <v>N/A</v>
          </cell>
          <cell r="R102">
            <v>0</v>
          </cell>
          <cell r="S102" t="str">
            <v>N/A</v>
          </cell>
          <cell r="T102" t="str">
            <v>N/A</v>
          </cell>
          <cell r="U102" t="str">
            <v>N/A</v>
          </cell>
          <cell r="V102" t="str">
            <v>N/A</v>
          </cell>
          <cell r="W102">
            <v>0</v>
          </cell>
          <cell r="X102" t="str">
            <v>N/A</v>
          </cell>
          <cell r="Y102" t="str">
            <v>N/A</v>
          </cell>
          <cell r="Z102">
            <v>0</v>
          </cell>
          <cell r="AA102" t="str">
            <v>N/A</v>
          </cell>
          <cell r="AB102" t="str">
            <v>N/A</v>
          </cell>
          <cell r="AC102" t="str">
            <v>N/A</v>
          </cell>
        </row>
        <row r="103">
          <cell r="A103" t="str">
            <v>NOV</v>
          </cell>
          <cell r="B103" t="str">
            <v>Codes &amp; Standards</v>
          </cell>
          <cell r="C103">
            <v>4635754</v>
          </cell>
          <cell r="D103">
            <v>4635754</v>
          </cell>
          <cell r="E103">
            <v>1070394.8400000001</v>
          </cell>
          <cell r="F103">
            <v>130883.22</v>
          </cell>
          <cell r="G103" t="str">
            <v>N/A</v>
          </cell>
          <cell r="H103">
            <v>0</v>
          </cell>
          <cell r="I103" t="str">
            <v>N/A</v>
          </cell>
          <cell r="J103" t="str">
            <v>N/A</v>
          </cell>
          <cell r="K103" t="str">
            <v>N/A</v>
          </cell>
          <cell r="L103" t="str">
            <v>N/A</v>
          </cell>
          <cell r="M103">
            <v>0</v>
          </cell>
          <cell r="N103" t="str">
            <v>N/A</v>
          </cell>
          <cell r="O103" t="str">
            <v>N/A</v>
          </cell>
          <cell r="P103" t="str">
            <v>N/A</v>
          </cell>
          <cell r="Q103" t="str">
            <v>N/A</v>
          </cell>
          <cell r="R103">
            <v>0</v>
          </cell>
          <cell r="S103" t="str">
            <v>N/A</v>
          </cell>
          <cell r="T103" t="str">
            <v>N/A</v>
          </cell>
          <cell r="U103" t="str">
            <v>N/A</v>
          </cell>
          <cell r="V103" t="str">
            <v>N/A</v>
          </cell>
          <cell r="W103">
            <v>0</v>
          </cell>
          <cell r="X103" t="str">
            <v>N/A</v>
          </cell>
          <cell r="Y103" t="str">
            <v>N/A</v>
          </cell>
          <cell r="Z103">
            <v>0</v>
          </cell>
          <cell r="AA103" t="str">
            <v>N/A</v>
          </cell>
          <cell r="AB103" t="str">
            <v>N/A</v>
          </cell>
          <cell r="AC103" t="str">
            <v>N/A</v>
          </cell>
        </row>
        <row r="104">
          <cell r="A104" t="str">
            <v>NOV</v>
          </cell>
          <cell r="B104" t="str">
            <v>Emerging Technologies</v>
          </cell>
          <cell r="C104">
            <v>11260376</v>
          </cell>
          <cell r="D104">
            <v>11260376</v>
          </cell>
          <cell r="E104">
            <v>909850.23</v>
          </cell>
          <cell r="F104">
            <v>116880.62</v>
          </cell>
          <cell r="G104" t="str">
            <v>N/A</v>
          </cell>
          <cell r="H104">
            <v>0</v>
          </cell>
          <cell r="I104" t="str">
            <v>N/A</v>
          </cell>
          <cell r="J104" t="str">
            <v>N/A</v>
          </cell>
          <cell r="K104" t="str">
            <v>N/A</v>
          </cell>
          <cell r="L104" t="str">
            <v>N/A</v>
          </cell>
          <cell r="M104">
            <v>0</v>
          </cell>
          <cell r="N104" t="str">
            <v>N/A</v>
          </cell>
          <cell r="O104" t="str">
            <v>N/A</v>
          </cell>
          <cell r="P104" t="str">
            <v>N/A</v>
          </cell>
          <cell r="Q104" t="str">
            <v>N/A</v>
          </cell>
          <cell r="R104">
            <v>0</v>
          </cell>
          <cell r="S104" t="str">
            <v>N/A</v>
          </cell>
          <cell r="T104" t="str">
            <v>N/A</v>
          </cell>
          <cell r="U104" t="str">
            <v>N/A</v>
          </cell>
          <cell r="V104" t="str">
            <v>N/A</v>
          </cell>
          <cell r="W104">
            <v>0</v>
          </cell>
          <cell r="X104" t="str">
            <v>N/A</v>
          </cell>
          <cell r="Y104" t="str">
            <v>N/A</v>
          </cell>
          <cell r="Z104">
            <v>0</v>
          </cell>
          <cell r="AA104" t="str">
            <v>N/A</v>
          </cell>
          <cell r="AB104" t="str">
            <v>N/A</v>
          </cell>
          <cell r="AC104" t="str">
            <v>N/A</v>
          </cell>
        </row>
        <row r="105">
          <cell r="A105" t="str">
            <v>NOV</v>
          </cell>
          <cell r="B105" t="str">
            <v>Statewide Marketing &amp; Info</v>
          </cell>
          <cell r="C105">
            <v>26948382</v>
          </cell>
          <cell r="D105">
            <v>26948382</v>
          </cell>
          <cell r="E105">
            <v>31.59</v>
          </cell>
          <cell r="F105">
            <v>0</v>
          </cell>
          <cell r="G105" t="str">
            <v>N/A</v>
          </cell>
          <cell r="H105">
            <v>0</v>
          </cell>
          <cell r="I105" t="str">
            <v>N/A</v>
          </cell>
          <cell r="J105" t="str">
            <v>N/A</v>
          </cell>
          <cell r="K105" t="str">
            <v>N/A</v>
          </cell>
          <cell r="L105" t="str">
            <v>N/A</v>
          </cell>
          <cell r="M105">
            <v>0</v>
          </cell>
          <cell r="N105" t="str">
            <v>N/A</v>
          </cell>
          <cell r="O105" t="str">
            <v>N/A</v>
          </cell>
          <cell r="P105" t="str">
            <v>N/A</v>
          </cell>
          <cell r="Q105" t="str">
            <v>N/A</v>
          </cell>
          <cell r="R105">
            <v>0</v>
          </cell>
          <cell r="S105" t="str">
            <v>N/A</v>
          </cell>
          <cell r="T105" t="str">
            <v>N/A</v>
          </cell>
          <cell r="U105" t="str">
            <v>N/A</v>
          </cell>
          <cell r="V105" t="str">
            <v>N/A</v>
          </cell>
          <cell r="W105">
            <v>0</v>
          </cell>
          <cell r="X105" t="str">
            <v>N/A</v>
          </cell>
          <cell r="Y105" t="str">
            <v>N/A</v>
          </cell>
          <cell r="Z105">
            <v>0</v>
          </cell>
          <cell r="AA105" t="str">
            <v>N/A</v>
          </cell>
          <cell r="AB105" t="str">
            <v>N/A</v>
          </cell>
          <cell r="AC105" t="str">
            <v>N/A</v>
          </cell>
        </row>
        <row r="106">
          <cell r="A106" t="str">
            <v>NOV</v>
          </cell>
          <cell r="B106" t="str">
            <v>Low Income EE (3)  (1 YR Budgets/Goals)</v>
          </cell>
          <cell r="C106">
            <v>90094498</v>
          </cell>
          <cell r="D106">
            <v>90094498</v>
          </cell>
          <cell r="E106">
            <v>74998760.829999998</v>
          </cell>
          <cell r="F106">
            <v>6707496.9200000009</v>
          </cell>
          <cell r="G106" t="str">
            <v>N/A</v>
          </cell>
          <cell r="H106">
            <v>0</v>
          </cell>
          <cell r="I106">
            <v>5551</v>
          </cell>
          <cell r="J106">
            <v>5179.7727630100007</v>
          </cell>
          <cell r="K106">
            <v>378.94807987000058</v>
          </cell>
          <cell r="L106" t="str">
            <v>N/A</v>
          </cell>
          <cell r="M106">
            <v>0</v>
          </cell>
          <cell r="N106">
            <v>26282000</v>
          </cell>
          <cell r="O106">
            <v>23791394.990000002</v>
          </cell>
          <cell r="P106">
            <v>1911842.14</v>
          </cell>
          <cell r="Q106" t="str">
            <v>N/A</v>
          </cell>
          <cell r="R106">
            <v>0</v>
          </cell>
          <cell r="S106">
            <v>1370000</v>
          </cell>
          <cell r="T106">
            <v>1200944.03</v>
          </cell>
          <cell r="U106">
            <v>91507.10999999987</v>
          </cell>
          <cell r="V106" t="str">
            <v>N/A</v>
          </cell>
          <cell r="W106">
            <v>0</v>
          </cell>
          <cell r="X106" t="str">
            <v>N/A</v>
          </cell>
          <cell r="Y106" t="str">
            <v>N/A</v>
          </cell>
          <cell r="Z106">
            <v>0</v>
          </cell>
          <cell r="AA106">
            <v>4800.8246831400002</v>
          </cell>
          <cell r="AB106">
            <v>21879552.849999998</v>
          </cell>
          <cell r="AC106">
            <v>1109436.92</v>
          </cell>
        </row>
        <row r="107">
          <cell r="A107" t="str">
            <v>DEC</v>
          </cell>
          <cell r="B107" t="str">
            <v>Mass Market</v>
          </cell>
          <cell r="C107">
            <v>405857712</v>
          </cell>
          <cell r="D107">
            <v>405857712</v>
          </cell>
          <cell r="E107">
            <v>83705229.187600002</v>
          </cell>
          <cell r="F107">
            <v>16313568.358399998</v>
          </cell>
          <cell r="G107">
            <v>5635371.4000000004</v>
          </cell>
          <cell r="H107">
            <v>0</v>
          </cell>
          <cell r="I107">
            <v>334053.85427348199</v>
          </cell>
          <cell r="J107">
            <v>134550.84813269999</v>
          </cell>
          <cell r="K107">
            <v>14969.218132699985</v>
          </cell>
          <cell r="L107">
            <v>3818.0863101</v>
          </cell>
          <cell r="M107">
            <v>0</v>
          </cell>
          <cell r="N107">
            <v>1728133316.3078108</v>
          </cell>
          <cell r="O107">
            <v>787764525.20319998</v>
          </cell>
          <cell r="P107">
            <v>75483421.283200145</v>
          </cell>
          <cell r="Q107">
            <v>18481395.405099999</v>
          </cell>
          <cell r="R107">
            <v>0</v>
          </cell>
          <cell r="S107">
            <v>15871656.841610486</v>
          </cell>
          <cell r="T107">
            <v>3054884.9718999998</v>
          </cell>
          <cell r="U107">
            <v>1422720.5918999999</v>
          </cell>
          <cell r="V107">
            <v>91714.428799999994</v>
          </cell>
          <cell r="W107">
            <v>0</v>
          </cell>
          <cell r="X107">
            <v>52171257.509999998</v>
          </cell>
          <cell r="Y107">
            <v>5635371.4000000004</v>
          </cell>
          <cell r="Z107">
            <v>0</v>
          </cell>
          <cell r="AA107">
            <v>119581.63</v>
          </cell>
          <cell r="AB107">
            <v>712281103.91999984</v>
          </cell>
          <cell r="AC107">
            <v>1632164.38</v>
          </cell>
        </row>
        <row r="108">
          <cell r="A108" t="str">
            <v>DEC</v>
          </cell>
          <cell r="B108" t="str">
            <v>Ag &amp; Food Processing</v>
          </cell>
          <cell r="C108">
            <v>47523134</v>
          </cell>
          <cell r="D108">
            <v>47523134</v>
          </cell>
          <cell r="E108">
            <v>6374090.0773</v>
          </cell>
          <cell r="F108">
            <v>2246023.6607000004</v>
          </cell>
          <cell r="G108">
            <v>3187790.57</v>
          </cell>
          <cell r="H108">
            <v>0</v>
          </cell>
          <cell r="I108">
            <v>22797.08846466984</v>
          </cell>
          <cell r="J108">
            <v>3307.567</v>
          </cell>
          <cell r="K108">
            <v>1115.2570000000001</v>
          </cell>
          <cell r="L108">
            <v>3512.3609999999999</v>
          </cell>
          <cell r="M108">
            <v>0</v>
          </cell>
          <cell r="N108">
            <v>164346860.9940128</v>
          </cell>
          <cell r="O108">
            <v>10418546.109999999</v>
          </cell>
          <cell r="P108">
            <v>3225113.5</v>
          </cell>
          <cell r="Q108">
            <v>21501861.487</v>
          </cell>
          <cell r="R108">
            <v>0</v>
          </cell>
          <cell r="S108">
            <v>3082951.7327311719</v>
          </cell>
          <cell r="T108">
            <v>1320746.1399999999</v>
          </cell>
          <cell r="U108">
            <v>1019328.4</v>
          </cell>
          <cell r="V108">
            <v>1101306.22</v>
          </cell>
          <cell r="W108">
            <v>0</v>
          </cell>
          <cell r="X108">
            <v>2206246.11</v>
          </cell>
          <cell r="Y108">
            <v>3187790.57</v>
          </cell>
          <cell r="Z108">
            <v>0</v>
          </cell>
          <cell r="AA108">
            <v>2192.31</v>
          </cell>
          <cell r="AB108">
            <v>7193432.6100000003</v>
          </cell>
          <cell r="AC108">
            <v>301417.74</v>
          </cell>
        </row>
        <row r="109">
          <cell r="A109" t="str">
            <v>DEC</v>
          </cell>
          <cell r="B109" t="str">
            <v>Schools &amp; Colleges</v>
          </cell>
          <cell r="C109">
            <v>47568591</v>
          </cell>
          <cell r="D109">
            <v>47568591</v>
          </cell>
          <cell r="E109">
            <v>4516542.9128999999</v>
          </cell>
          <cell r="F109">
            <v>1966438.1711000002</v>
          </cell>
          <cell r="G109">
            <v>3043061.19</v>
          </cell>
          <cell r="H109">
            <v>0</v>
          </cell>
          <cell r="I109">
            <v>28892.278794176014</v>
          </cell>
          <cell r="J109">
            <v>298.20499999999998</v>
          </cell>
          <cell r="K109">
            <v>164.095</v>
          </cell>
          <cell r="L109">
            <v>3935.1039999999998</v>
          </cell>
          <cell r="M109">
            <v>0</v>
          </cell>
          <cell r="N109">
            <v>128046825.56012681</v>
          </cell>
          <cell r="O109">
            <v>1441889.26</v>
          </cell>
          <cell r="P109">
            <v>1134160.6000000001</v>
          </cell>
          <cell r="Q109">
            <v>9117320.1279999986</v>
          </cell>
          <cell r="R109">
            <v>0</v>
          </cell>
          <cell r="S109">
            <v>2635794.0523105087</v>
          </cell>
          <cell r="T109">
            <v>80034.86</v>
          </cell>
          <cell r="U109">
            <v>80044</v>
          </cell>
          <cell r="V109">
            <v>462348.36</v>
          </cell>
          <cell r="W109">
            <v>0</v>
          </cell>
          <cell r="X109">
            <v>874642.96</v>
          </cell>
          <cell r="Y109">
            <v>3043061.19</v>
          </cell>
          <cell r="Z109">
            <v>0</v>
          </cell>
          <cell r="AA109">
            <v>134.11000000000001</v>
          </cell>
          <cell r="AB109">
            <v>307728.65999999997</v>
          </cell>
          <cell r="AC109">
            <v>-9.14</v>
          </cell>
        </row>
        <row r="110">
          <cell r="A110" t="str">
            <v>DEC</v>
          </cell>
          <cell r="B110" t="str">
            <v>Retail Stores</v>
          </cell>
          <cell r="C110">
            <v>20850872</v>
          </cell>
          <cell r="D110">
            <v>20850872</v>
          </cell>
          <cell r="E110">
            <v>3142025.6816000002</v>
          </cell>
          <cell r="F110">
            <v>1059037.4844000002</v>
          </cell>
          <cell r="G110">
            <v>272074.81</v>
          </cell>
          <cell r="H110">
            <v>0</v>
          </cell>
          <cell r="I110">
            <v>21271.596533140018</v>
          </cell>
          <cell r="J110">
            <v>796.04600000000005</v>
          </cell>
          <cell r="K110">
            <v>228.75600000000009</v>
          </cell>
          <cell r="L110">
            <v>529.43200000000002</v>
          </cell>
          <cell r="M110">
            <v>0</v>
          </cell>
          <cell r="N110">
            <v>125946107.22913301</v>
          </cell>
          <cell r="O110">
            <v>2115449.2000000002</v>
          </cell>
          <cell r="P110">
            <v>593926.46</v>
          </cell>
          <cell r="Q110">
            <v>3370742.1289999997</v>
          </cell>
          <cell r="R110">
            <v>0</v>
          </cell>
          <cell r="S110">
            <v>17583.588</v>
          </cell>
          <cell r="T110">
            <v>6986.51</v>
          </cell>
          <cell r="U110">
            <v>3443.16</v>
          </cell>
          <cell r="V110">
            <v>1183.22</v>
          </cell>
          <cell r="W110">
            <v>0</v>
          </cell>
          <cell r="X110">
            <v>258388.52</v>
          </cell>
          <cell r="Y110">
            <v>272074.81</v>
          </cell>
          <cell r="Z110">
            <v>0</v>
          </cell>
          <cell r="AA110">
            <v>567.29</v>
          </cell>
          <cell r="AB110">
            <v>1521522.74</v>
          </cell>
          <cell r="AC110">
            <v>3543.35</v>
          </cell>
        </row>
        <row r="111">
          <cell r="A111" t="str">
            <v>DEC</v>
          </cell>
          <cell r="B111" t="str">
            <v>Fab, Prcss &amp; Hvy Indl Mfg</v>
          </cell>
          <cell r="C111">
            <v>121849249</v>
          </cell>
          <cell r="D111">
            <v>121849249</v>
          </cell>
          <cell r="E111">
            <v>10314198.5132</v>
          </cell>
          <cell r="F111">
            <v>4783551.0687999995</v>
          </cell>
          <cell r="G111">
            <v>8823807.8800000008</v>
          </cell>
          <cell r="H111">
            <v>0</v>
          </cell>
          <cell r="I111">
            <v>69225.227525006732</v>
          </cell>
          <cell r="J111">
            <v>3771.4679999999998</v>
          </cell>
          <cell r="K111">
            <v>2100.3580000000002</v>
          </cell>
          <cell r="L111">
            <v>8550.5370000000003</v>
          </cell>
          <cell r="M111">
            <v>0</v>
          </cell>
          <cell r="N111">
            <v>475376401.45399302</v>
          </cell>
          <cell r="O111">
            <v>34448673.093999997</v>
          </cell>
          <cell r="P111">
            <v>20268281.563999996</v>
          </cell>
          <cell r="Q111">
            <v>76091752.098000005</v>
          </cell>
          <cell r="R111">
            <v>0</v>
          </cell>
          <cell r="S111">
            <v>18198035.099455945</v>
          </cell>
          <cell r="T111">
            <v>3301966.22</v>
          </cell>
          <cell r="U111">
            <v>1887789.62</v>
          </cell>
          <cell r="V111">
            <v>4321845.1279999996</v>
          </cell>
          <cell r="W111">
            <v>0</v>
          </cell>
          <cell r="X111">
            <v>5360233.57</v>
          </cell>
          <cell r="Y111">
            <v>8823807.8800000008</v>
          </cell>
          <cell r="Z111">
            <v>0</v>
          </cell>
          <cell r="AA111">
            <v>1671.11</v>
          </cell>
          <cell r="AB111">
            <v>14180391.530000001</v>
          </cell>
          <cell r="AC111">
            <v>1414176.6</v>
          </cell>
        </row>
        <row r="112">
          <cell r="A112" t="str">
            <v>DEC</v>
          </cell>
          <cell r="B112" t="str">
            <v>Hi-Tech Facilities</v>
          </cell>
          <cell r="C112">
            <v>11759803</v>
          </cell>
          <cell r="D112">
            <v>11759803</v>
          </cell>
          <cell r="E112">
            <v>2222920.8943000003</v>
          </cell>
          <cell r="F112">
            <v>463578.10369999998</v>
          </cell>
          <cell r="G112">
            <v>1963539.69</v>
          </cell>
          <cell r="H112">
            <v>0</v>
          </cell>
          <cell r="I112">
            <v>6532.0886490478697</v>
          </cell>
          <cell r="J112">
            <v>261.48199999999997</v>
          </cell>
          <cell r="K112">
            <v>105.50199999999998</v>
          </cell>
          <cell r="L112">
            <v>2133.1709999999998</v>
          </cell>
          <cell r="M112">
            <v>0</v>
          </cell>
          <cell r="N112">
            <v>44364926.587099597</v>
          </cell>
          <cell r="O112">
            <v>2523705.67</v>
          </cell>
          <cell r="P112">
            <v>956659.1</v>
          </cell>
          <cell r="Q112">
            <v>24206216.894000001</v>
          </cell>
          <cell r="R112">
            <v>0</v>
          </cell>
          <cell r="S112">
            <v>25523.813309561065</v>
          </cell>
          <cell r="T112">
            <v>38484.949999999997</v>
          </cell>
          <cell r="U112">
            <v>27396.95</v>
          </cell>
          <cell r="V112">
            <v>493980.4</v>
          </cell>
          <cell r="W112">
            <v>0</v>
          </cell>
          <cell r="X112">
            <v>311596.42</v>
          </cell>
          <cell r="Y112">
            <v>1963539.69</v>
          </cell>
          <cell r="Z112">
            <v>0</v>
          </cell>
          <cell r="AA112">
            <v>155.97999999999999</v>
          </cell>
          <cell r="AB112">
            <v>1567046.57</v>
          </cell>
          <cell r="AC112">
            <v>11088</v>
          </cell>
        </row>
        <row r="113">
          <cell r="A113" t="str">
            <v>DEC</v>
          </cell>
          <cell r="B113" t="str">
            <v>Medical Facilities</v>
          </cell>
          <cell r="C113">
            <v>21407152</v>
          </cell>
          <cell r="D113">
            <v>21407152</v>
          </cell>
          <cell r="E113">
            <v>914670.98860000004</v>
          </cell>
          <cell r="F113">
            <v>157329.23740000001</v>
          </cell>
          <cell r="G113">
            <v>478444.44</v>
          </cell>
          <cell r="H113">
            <v>0</v>
          </cell>
          <cell r="I113">
            <v>27753.153177169657</v>
          </cell>
          <cell r="J113">
            <v>0</v>
          </cell>
          <cell r="K113">
            <v>0</v>
          </cell>
          <cell r="L113">
            <v>343.22280000000001</v>
          </cell>
          <cell r="M113">
            <v>0</v>
          </cell>
          <cell r="N113">
            <v>68661112.057484001</v>
          </cell>
          <cell r="O113">
            <v>0</v>
          </cell>
          <cell r="P113">
            <v>0</v>
          </cell>
          <cell r="Q113">
            <v>2467718.824</v>
          </cell>
          <cell r="R113">
            <v>0</v>
          </cell>
          <cell r="S113">
            <v>494605</v>
          </cell>
          <cell r="T113">
            <v>0</v>
          </cell>
          <cell r="U113">
            <v>0</v>
          </cell>
          <cell r="V113">
            <v>25149.53</v>
          </cell>
          <cell r="W113">
            <v>0</v>
          </cell>
          <cell r="X113">
            <v>16035</v>
          </cell>
          <cell r="Y113">
            <v>478444.44</v>
          </cell>
          <cell r="Z113">
            <v>0</v>
          </cell>
          <cell r="AA113">
            <v>0</v>
          </cell>
          <cell r="AB113">
            <v>0</v>
          </cell>
          <cell r="AC113">
            <v>0</v>
          </cell>
        </row>
        <row r="114">
          <cell r="A114" t="str">
            <v>DEC</v>
          </cell>
          <cell r="B114" t="str">
            <v>Large Commercial</v>
          </cell>
          <cell r="C114">
            <v>68595302</v>
          </cell>
          <cell r="D114">
            <v>68595302</v>
          </cell>
          <cell r="E114">
            <v>6407950.9772000005</v>
          </cell>
          <cell r="F114">
            <v>1816092.5747999998</v>
          </cell>
          <cell r="G114">
            <v>2209841.46</v>
          </cell>
          <cell r="H114">
            <v>0</v>
          </cell>
          <cell r="I114">
            <v>73838.296918087362</v>
          </cell>
          <cell r="J114">
            <v>858.02</v>
          </cell>
          <cell r="K114">
            <v>186.53</v>
          </cell>
          <cell r="L114">
            <v>2866.11</v>
          </cell>
          <cell r="M114">
            <v>0</v>
          </cell>
          <cell r="N114">
            <v>219609296.0400379</v>
          </cell>
          <cell r="O114">
            <v>5672999.6500000004</v>
          </cell>
          <cell r="P114">
            <v>1246303.3</v>
          </cell>
          <cell r="Q114">
            <v>18133806.164000001</v>
          </cell>
          <cell r="R114">
            <v>0</v>
          </cell>
          <cell r="S114">
            <v>2224825.1578322467</v>
          </cell>
          <cell r="T114">
            <v>79994.16</v>
          </cell>
          <cell r="U114">
            <v>71010.100000000006</v>
          </cell>
          <cell r="V114">
            <v>42907.28</v>
          </cell>
          <cell r="W114">
            <v>0</v>
          </cell>
          <cell r="X114">
            <v>1301257.6399999999</v>
          </cell>
          <cell r="Y114">
            <v>2209841.46</v>
          </cell>
          <cell r="Z114">
            <v>0</v>
          </cell>
          <cell r="AA114">
            <v>671.49</v>
          </cell>
          <cell r="AB114">
            <v>4426696.3499999996</v>
          </cell>
          <cell r="AC114">
            <v>8984.06</v>
          </cell>
        </row>
        <row r="115">
          <cell r="A115" t="str">
            <v>DEC</v>
          </cell>
          <cell r="B115" t="str">
            <v>Hospitality Facilities</v>
          </cell>
          <cell r="C115">
            <v>11793097</v>
          </cell>
          <cell r="D115">
            <v>11793097</v>
          </cell>
          <cell r="E115">
            <v>1598026.5715000001</v>
          </cell>
          <cell r="F115">
            <v>425370.27850000001</v>
          </cell>
          <cell r="G115">
            <v>143944.22</v>
          </cell>
          <cell r="H115">
            <v>0</v>
          </cell>
          <cell r="I115">
            <v>7577.0826254285475</v>
          </cell>
          <cell r="J115">
            <v>62.559000000000005</v>
          </cell>
          <cell r="K115">
            <v>22.159000000000006</v>
          </cell>
          <cell r="L115">
            <v>71.984999999999999</v>
          </cell>
          <cell r="M115">
            <v>0</v>
          </cell>
          <cell r="N115">
            <v>37330060.295922801</v>
          </cell>
          <cell r="O115">
            <v>395766.85</v>
          </cell>
          <cell r="P115">
            <v>118346.13</v>
          </cell>
          <cell r="Q115">
            <v>968624.321</v>
          </cell>
          <cell r="R115">
            <v>0</v>
          </cell>
          <cell r="S115">
            <v>33302.25</v>
          </cell>
          <cell r="T115">
            <v>16872.503000000001</v>
          </cell>
          <cell r="U115">
            <v>14059.013000000001</v>
          </cell>
          <cell r="V115">
            <v>39307.32</v>
          </cell>
          <cell r="W115">
            <v>0</v>
          </cell>
          <cell r="X115">
            <v>67613.94</v>
          </cell>
          <cell r="Y115">
            <v>143944.22</v>
          </cell>
          <cell r="Z115">
            <v>0</v>
          </cell>
          <cell r="AA115">
            <v>40.4</v>
          </cell>
          <cell r="AB115">
            <v>277420.71999999997</v>
          </cell>
          <cell r="AC115">
            <v>2813.49</v>
          </cell>
        </row>
        <row r="116">
          <cell r="A116" t="str">
            <v>DEC</v>
          </cell>
          <cell r="B116" t="str">
            <v>Res New Construction</v>
          </cell>
          <cell r="C116">
            <v>26264217</v>
          </cell>
          <cell r="D116">
            <v>26264217</v>
          </cell>
          <cell r="E116">
            <v>2402364.3272000002</v>
          </cell>
          <cell r="F116">
            <v>412101.87480000005</v>
          </cell>
          <cell r="G116">
            <v>2426515</v>
          </cell>
          <cell r="H116">
            <v>0</v>
          </cell>
          <cell r="I116">
            <v>9015.1305056540205</v>
          </cell>
          <cell r="J116">
            <v>56.656323199999996</v>
          </cell>
          <cell r="K116">
            <v>17.886323199999993</v>
          </cell>
          <cell r="L116">
            <v>1095.6832672</v>
          </cell>
          <cell r="M116">
            <v>0</v>
          </cell>
          <cell r="N116">
            <v>13357136.488374671</v>
          </cell>
          <cell r="O116">
            <v>81976</v>
          </cell>
          <cell r="P116">
            <v>45213.599999999999</v>
          </cell>
          <cell r="Q116">
            <v>1414298.4</v>
          </cell>
          <cell r="R116">
            <v>0</v>
          </cell>
          <cell r="S116">
            <v>2454487.1347570699</v>
          </cell>
          <cell r="T116">
            <v>11307.776</v>
          </cell>
          <cell r="U116">
            <v>3508.7960000000003</v>
          </cell>
          <cell r="V116">
            <v>432518.40000000002</v>
          </cell>
          <cell r="W116">
            <v>0</v>
          </cell>
          <cell r="X116">
            <v>204515</v>
          </cell>
          <cell r="Y116">
            <v>2426515</v>
          </cell>
          <cell r="Z116">
            <v>0</v>
          </cell>
          <cell r="AA116">
            <v>38.770000000000003</v>
          </cell>
          <cell r="AB116">
            <v>36762.400000000001</v>
          </cell>
          <cell r="AC116">
            <v>7798.98</v>
          </cell>
        </row>
        <row r="117">
          <cell r="A117" t="str">
            <v>DEC</v>
          </cell>
          <cell r="B117" t="str">
            <v>Education &amp; Training</v>
          </cell>
          <cell r="C117">
            <v>41154602</v>
          </cell>
          <cell r="D117">
            <v>41154602</v>
          </cell>
          <cell r="E117">
            <v>9755857.8486000001</v>
          </cell>
          <cell r="F117">
            <v>1308546.0374</v>
          </cell>
          <cell r="G117" t="str">
            <v>N/A</v>
          </cell>
          <cell r="H117">
            <v>0</v>
          </cell>
          <cell r="I117" t="str">
            <v>N/A</v>
          </cell>
          <cell r="J117" t="str">
            <v>N/A</v>
          </cell>
          <cell r="K117" t="str">
            <v>N/A</v>
          </cell>
          <cell r="L117" t="str">
            <v>N/A</v>
          </cell>
          <cell r="M117">
            <v>0</v>
          </cell>
          <cell r="N117" t="str">
            <v>N/A</v>
          </cell>
          <cell r="O117" t="str">
            <v>N/A</v>
          </cell>
          <cell r="P117" t="str">
            <v>N/A</v>
          </cell>
          <cell r="Q117" t="str">
            <v>N/A</v>
          </cell>
          <cell r="R117">
            <v>0</v>
          </cell>
          <cell r="S117" t="str">
            <v>N/A</v>
          </cell>
          <cell r="T117" t="str">
            <v>N/A</v>
          </cell>
          <cell r="U117" t="str">
            <v>N/A</v>
          </cell>
          <cell r="V117" t="str">
            <v>N/A</v>
          </cell>
          <cell r="W117">
            <v>0</v>
          </cell>
          <cell r="X117" t="str">
            <v>N/A</v>
          </cell>
          <cell r="Y117" t="str">
            <v>N/A</v>
          </cell>
          <cell r="Z117">
            <v>0</v>
          </cell>
          <cell r="AA117" t="str">
            <v>N/A</v>
          </cell>
          <cell r="AB117" t="str">
            <v>N/A</v>
          </cell>
          <cell r="AC117" t="str">
            <v>N/A</v>
          </cell>
        </row>
        <row r="118">
          <cell r="A118" t="str">
            <v>DEC</v>
          </cell>
          <cell r="B118" t="str">
            <v>Codes &amp; Standards</v>
          </cell>
          <cell r="C118">
            <v>4635754</v>
          </cell>
          <cell r="D118">
            <v>4635754</v>
          </cell>
          <cell r="E118">
            <v>1006937.13</v>
          </cell>
          <cell r="F118">
            <v>-63457.71</v>
          </cell>
          <cell r="G118" t="str">
            <v>N/A</v>
          </cell>
          <cell r="H118">
            <v>0</v>
          </cell>
          <cell r="I118" t="str">
            <v>N/A</v>
          </cell>
          <cell r="J118">
            <v>11490</v>
          </cell>
          <cell r="K118" t="str">
            <v>N/A</v>
          </cell>
          <cell r="L118" t="str">
            <v>N/A</v>
          </cell>
          <cell r="M118">
            <v>0</v>
          </cell>
          <cell r="N118" t="str">
            <v>N/A</v>
          </cell>
          <cell r="O118">
            <v>38000000</v>
          </cell>
          <cell r="P118" t="str">
            <v>N/A</v>
          </cell>
          <cell r="Q118" t="str">
            <v>N/A</v>
          </cell>
          <cell r="R118">
            <v>0</v>
          </cell>
          <cell r="S118" t="str">
            <v>N/A</v>
          </cell>
          <cell r="T118">
            <v>950000</v>
          </cell>
          <cell r="U118" t="str">
            <v>N/A</v>
          </cell>
          <cell r="V118" t="str">
            <v>N/A</v>
          </cell>
          <cell r="W118">
            <v>0</v>
          </cell>
          <cell r="X118" t="str">
            <v>N/A</v>
          </cell>
          <cell r="Y118" t="str">
            <v>N/A</v>
          </cell>
          <cell r="Z118">
            <v>0</v>
          </cell>
          <cell r="AA118" t="str">
            <v>N/A</v>
          </cell>
          <cell r="AB118" t="str">
            <v>N/A</v>
          </cell>
          <cell r="AC118" t="str">
            <v>N/A</v>
          </cell>
        </row>
        <row r="119">
          <cell r="A119" t="str">
            <v>DEC</v>
          </cell>
          <cell r="B119" t="str">
            <v>Emerging Technologies</v>
          </cell>
          <cell r="C119">
            <v>11260376</v>
          </cell>
          <cell r="D119">
            <v>11260376</v>
          </cell>
          <cell r="E119">
            <v>1171262.0900000001</v>
          </cell>
          <cell r="F119">
            <v>261411.86</v>
          </cell>
          <cell r="G119" t="str">
            <v>N/A</v>
          </cell>
          <cell r="H119">
            <v>0</v>
          </cell>
          <cell r="I119" t="str">
            <v>N/A</v>
          </cell>
          <cell r="J119" t="str">
            <v>N/A</v>
          </cell>
          <cell r="K119" t="str">
            <v>N/A</v>
          </cell>
          <cell r="L119" t="str">
            <v>N/A</v>
          </cell>
          <cell r="M119">
            <v>0</v>
          </cell>
          <cell r="N119" t="str">
            <v>N/A</v>
          </cell>
          <cell r="O119" t="str">
            <v>N/A</v>
          </cell>
          <cell r="P119" t="str">
            <v>N/A</v>
          </cell>
          <cell r="Q119" t="str">
            <v>N/A</v>
          </cell>
          <cell r="R119">
            <v>0</v>
          </cell>
          <cell r="S119" t="str">
            <v>N/A</v>
          </cell>
          <cell r="T119" t="str">
            <v>N/A</v>
          </cell>
          <cell r="U119" t="str">
            <v>N/A</v>
          </cell>
          <cell r="V119" t="str">
            <v>N/A</v>
          </cell>
          <cell r="W119">
            <v>0</v>
          </cell>
          <cell r="X119" t="str">
            <v>N/A</v>
          </cell>
          <cell r="Y119" t="str">
            <v>N/A</v>
          </cell>
          <cell r="Z119">
            <v>0</v>
          </cell>
          <cell r="AA119" t="str">
            <v>N/A</v>
          </cell>
          <cell r="AB119" t="str">
            <v>N/A</v>
          </cell>
          <cell r="AC119" t="str">
            <v>N/A</v>
          </cell>
        </row>
        <row r="120">
          <cell r="A120" t="str">
            <v>DEC</v>
          </cell>
          <cell r="B120" t="str">
            <v>Statewide Marketing &amp; Info</v>
          </cell>
          <cell r="C120">
            <v>26948382</v>
          </cell>
          <cell r="D120">
            <v>26948382</v>
          </cell>
          <cell r="E120">
            <v>8700334.5899999999</v>
          </cell>
          <cell r="F120">
            <v>8700303</v>
          </cell>
          <cell r="G120" t="str">
            <v>N/A</v>
          </cell>
          <cell r="H120">
            <v>0</v>
          </cell>
          <cell r="I120" t="str">
            <v>N/A</v>
          </cell>
          <cell r="J120" t="str">
            <v>N/A</v>
          </cell>
          <cell r="K120" t="str">
            <v>N/A</v>
          </cell>
          <cell r="L120" t="str">
            <v>N/A</v>
          </cell>
          <cell r="M120">
            <v>0</v>
          </cell>
          <cell r="N120" t="str">
            <v>N/A</v>
          </cell>
          <cell r="O120" t="str">
            <v>N/A</v>
          </cell>
          <cell r="P120" t="str">
            <v>N/A</v>
          </cell>
          <cell r="Q120" t="str">
            <v>N/A</v>
          </cell>
          <cell r="R120">
            <v>0</v>
          </cell>
          <cell r="S120" t="str">
            <v>N/A</v>
          </cell>
          <cell r="T120" t="str">
            <v>N/A</v>
          </cell>
          <cell r="U120" t="str">
            <v>N/A</v>
          </cell>
          <cell r="V120" t="str">
            <v>N/A</v>
          </cell>
          <cell r="W120">
            <v>0</v>
          </cell>
          <cell r="X120" t="str">
            <v>N/A</v>
          </cell>
          <cell r="Y120" t="str">
            <v>N/A</v>
          </cell>
          <cell r="Z120">
            <v>0</v>
          </cell>
          <cell r="AA120" t="str">
            <v>N/A</v>
          </cell>
          <cell r="AB120" t="str">
            <v>N/A</v>
          </cell>
          <cell r="AC120" t="str">
            <v>N/A</v>
          </cell>
        </row>
        <row r="121">
          <cell r="A121" t="str">
            <v>DEC</v>
          </cell>
          <cell r="B121" t="str">
            <v>Low Income EE (3)  (1 YR Budgets/Goals)</v>
          </cell>
          <cell r="C121">
            <v>90094498</v>
          </cell>
          <cell r="D121">
            <v>90094498</v>
          </cell>
          <cell r="E121">
            <v>87130107.710000008</v>
          </cell>
          <cell r="F121">
            <v>12131346.880000001</v>
          </cell>
          <cell r="G121" t="str">
            <v>N/A</v>
          </cell>
          <cell r="H121">
            <v>0</v>
          </cell>
          <cell r="I121">
            <v>5551</v>
          </cell>
          <cell r="J121">
            <v>5754.9372810000013</v>
          </cell>
          <cell r="K121">
            <v>575.1645179900006</v>
          </cell>
          <cell r="L121" t="str">
            <v>N/A</v>
          </cell>
          <cell r="M121">
            <v>0</v>
          </cell>
          <cell r="N121">
            <v>26282000</v>
          </cell>
          <cell r="O121">
            <v>26629309.779999994</v>
          </cell>
          <cell r="P121">
            <v>2837914.7899999917</v>
          </cell>
          <cell r="Q121" t="str">
            <v>N/A</v>
          </cell>
          <cell r="R121">
            <v>0</v>
          </cell>
          <cell r="S121">
            <v>1370000</v>
          </cell>
          <cell r="T121">
            <v>1391585.57</v>
          </cell>
          <cell r="U121">
            <v>190641.54</v>
          </cell>
          <cell r="V121" t="str">
            <v>N/A</v>
          </cell>
          <cell r="W121">
            <v>0</v>
          </cell>
          <cell r="X121" t="str">
            <v>N/A</v>
          </cell>
          <cell r="Y121" t="str">
            <v>N/A</v>
          </cell>
          <cell r="Z121">
            <v>0</v>
          </cell>
          <cell r="AA121">
            <v>5179.7727630100007</v>
          </cell>
          <cell r="AB121">
            <v>23791394.990000002</v>
          </cell>
          <cell r="AC121">
            <v>1200944.03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Done"/>
      <sheetName val="Years"/>
      <sheetName val="2.1 Done"/>
      <sheetName val="3.1 Done"/>
      <sheetName val="4.1 Done"/>
      <sheetName val="5.1 Done"/>
      <sheetName val="6.1 Done"/>
      <sheetName val="7.1 Done"/>
      <sheetName val="5.2 Done"/>
      <sheetName val="1.3 Done"/>
      <sheetName val="2.3 Done"/>
      <sheetName val="3.3 Done"/>
      <sheetName val="4.3 Done"/>
      <sheetName val="7.3 Done"/>
      <sheetName val="1.4 Done"/>
      <sheetName val="2.4 Done"/>
      <sheetName val="3.4 Done"/>
      <sheetName val="4.4 Done"/>
      <sheetName val="7.4 Done"/>
      <sheetName val="TA 2.1 Done"/>
      <sheetName val="TA 3.1 Done"/>
      <sheetName val="TA 4.1 Done"/>
      <sheetName val="TA 5.1 Done"/>
      <sheetName val="TA 7.1 Done"/>
      <sheetName val="TA 2.2 Done"/>
      <sheetName val="TA 3.2 Done"/>
      <sheetName val="TA 4.2 Done"/>
      <sheetName val="TA 7.2 Done"/>
      <sheetName val="TA 2.4A Done"/>
      <sheetName val="TA 2.4B Done"/>
      <sheetName val="TA 3.4A Done"/>
      <sheetName val="TA 3.4B Done"/>
      <sheetName val="TA 6.1 Done"/>
      <sheetName val="TA 6.2 Done"/>
      <sheetName val="TA 6.3 Done"/>
      <sheetName val="TA 8.1 Done"/>
      <sheetName val="TA 8.2 Done"/>
      <sheetName val="TA 8.3 Done"/>
      <sheetName val="99 $EE"/>
      <sheetName val="99 $EE Commitments"/>
      <sheetName val="99 $&quot;Bridge&quot;"/>
      <sheetName val="99 $LI"/>
      <sheetName val="00 $EE"/>
      <sheetName val="PY99 E-4 DONE"/>
      <sheetName val="PY99 E-1"/>
      <sheetName val="Calculation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Done"/>
      <sheetName val="Years"/>
      <sheetName val="2.1 Done"/>
      <sheetName val="3.1 Done"/>
      <sheetName val="4.1 Done"/>
      <sheetName val="5.1 Done"/>
      <sheetName val="6.1 Done"/>
      <sheetName val="7.1 Done"/>
      <sheetName val="5.2 Done"/>
      <sheetName val="1.3 Done"/>
      <sheetName val="2.3 Done"/>
      <sheetName val="3.3 Done"/>
      <sheetName val="4.3 Done"/>
      <sheetName val="7.3 Done"/>
      <sheetName val="1.4 Done"/>
      <sheetName val="2.4 Done"/>
      <sheetName val="3.4 Done"/>
      <sheetName val="4.4 Done"/>
      <sheetName val="7.4 Done"/>
      <sheetName val="TA 2.1 Done"/>
      <sheetName val="TA 3.1 Done"/>
      <sheetName val="TA 4.1 Done"/>
      <sheetName val="TA 5.1 Done"/>
      <sheetName val="TA 7.1 Done"/>
      <sheetName val="TA 2.2 Done"/>
      <sheetName val="TA 3.2 Done"/>
      <sheetName val="TA 4.2 Done"/>
      <sheetName val="TA 7.2 Done"/>
      <sheetName val="TA 2.4A Done"/>
      <sheetName val="TA 2.4B Done"/>
      <sheetName val="TA 3.4A Done"/>
      <sheetName val="TA 3.4B Done"/>
      <sheetName val="TA 6.1 Done"/>
      <sheetName val="TA 6.2 Done"/>
      <sheetName val="TA 6.3 Done"/>
      <sheetName val="TA 8.1 Done"/>
      <sheetName val="TA 8.2 Done"/>
      <sheetName val="TA 8.3 Done"/>
      <sheetName val="99 $EE"/>
      <sheetName val="99 $EE Commitments"/>
      <sheetName val="99 $&quot;Bridge&quot;"/>
      <sheetName val="99 $LI"/>
      <sheetName val="00 $EE"/>
      <sheetName val="PY99 E-4 DONE"/>
      <sheetName val="PY99 E-1"/>
      <sheetName val="Calculation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Output"/>
      <sheetName val="Calculations"/>
      <sheetName val="CostG"/>
      <sheetName val="CostE"/>
      <sheetName val="PolicyManual"/>
      <sheetName val="Partnerships"/>
      <sheetName val="Month"/>
      <sheetName val="Business"/>
    </sheetNames>
    <sheetDataSet>
      <sheetData sheetId="0" refreshError="1"/>
      <sheetData sheetId="1"/>
      <sheetData sheetId="2" refreshError="1"/>
      <sheetData sheetId="3" refreshError="1">
        <row r="8">
          <cell r="K8">
            <v>300</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Output"/>
      <sheetName val="Calculations"/>
      <sheetName val="CostG"/>
      <sheetName val="CostE"/>
      <sheetName val="PolicyManual"/>
      <sheetName val="Partnerships"/>
      <sheetName val="Month"/>
      <sheetName val="Business"/>
    </sheetNames>
    <sheetDataSet>
      <sheetData sheetId="0" refreshError="1"/>
      <sheetData sheetId="1"/>
      <sheetData sheetId="2" refreshError="1"/>
      <sheetData sheetId="3" refreshError="1">
        <row r="8">
          <cell r="K8">
            <v>300</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row r="3">
          <cell r="D3" t="str">
            <v xml:space="preserve">Portfolio Level (PL)– All Sectors </v>
          </cell>
          <cell r="E3" t="str">
            <v>MetricsPort</v>
          </cell>
        </row>
        <row r="4">
          <cell r="D4" t="str">
            <v>Residential (RSF)</v>
          </cell>
          <cell r="E4" t="str">
            <v>MetricsRSF</v>
          </cell>
        </row>
        <row r="5">
          <cell r="D5" t="str">
            <v>Residential Sector – Multi-family (RMF)</v>
          </cell>
          <cell r="E5" t="str">
            <v>MetricsRMF</v>
          </cell>
        </row>
        <row r="6">
          <cell r="D6" t="str">
            <v xml:space="preserve">Commercial Sector (C) </v>
          </cell>
          <cell r="E6" t="str">
            <v>MetricsCom</v>
          </cell>
        </row>
        <row r="7">
          <cell r="D7" t="str">
            <v>Public Sector (P)</v>
          </cell>
          <cell r="E7" t="str">
            <v>MetricsPub</v>
          </cell>
        </row>
        <row r="8">
          <cell r="D8" t="str">
            <v>Industrial (I)</v>
          </cell>
          <cell r="E8" t="str">
            <v>MetricsInd</v>
          </cell>
        </row>
        <row r="9">
          <cell r="D9" t="str">
            <v>Agricultural (A)</v>
          </cell>
          <cell r="E9" t="str">
            <v>MetricsAg</v>
          </cell>
        </row>
        <row r="10">
          <cell r="D10" t="str">
            <v>Codes &amp; Standards (CS)</v>
          </cell>
          <cell r="E10" t="str">
            <v>MetricsCS</v>
          </cell>
        </row>
        <row r="11">
          <cell r="D11" t="str">
            <v>Workforce Education and Training (WET)</v>
          </cell>
          <cell r="E11" t="str">
            <v>MetricsWET</v>
          </cell>
        </row>
        <row r="12">
          <cell r="D12" t="str">
            <v>Emerging Technologies (ET)</v>
          </cell>
          <cell r="E12" t="str">
            <v>MetricsET</v>
          </cell>
        </row>
      </sheetData>
      <sheetData sheetId="1"/>
      <sheetData sheetId="2">
        <row r="2">
          <cell r="C2" t="str">
            <v>Data Point</v>
          </cell>
          <cell r="D2" t="str">
            <v>Agricultural</v>
          </cell>
          <cell r="E2" t="str">
            <v>Commercial</v>
          </cell>
          <cell r="F2" t="str">
            <v>Industrial</v>
          </cell>
          <cell r="G2" t="str">
            <v>Public</v>
          </cell>
          <cell r="H2" t="str">
            <v>Res - Single Fam</v>
          </cell>
          <cell r="I2" t="str">
            <v>Res - Multi-Fam</v>
          </cell>
        </row>
        <row r="3">
          <cell r="C3" t="str">
            <v>Total # of Sector Customers</v>
          </cell>
          <cell r="D3">
            <v>117787</v>
          </cell>
          <cell r="E3">
            <v>639742</v>
          </cell>
          <cell r="F3">
            <v>62876</v>
          </cell>
          <cell r="G3">
            <v>75222</v>
          </cell>
          <cell r="H3">
            <v>4503484</v>
          </cell>
          <cell r="I3">
            <v>2203804</v>
          </cell>
        </row>
        <row r="4">
          <cell r="C4" t="str">
            <v>Total # of Large Customers</v>
          </cell>
          <cell r="D4">
            <v>3742</v>
          </cell>
          <cell r="E4">
            <v>12135</v>
          </cell>
          <cell r="F4">
            <v>2451</v>
          </cell>
        </row>
        <row r="5">
          <cell r="C5" t="str">
            <v>Total # of Medium Customers</v>
          </cell>
          <cell r="D5">
            <v>31659</v>
          </cell>
          <cell r="E5">
            <v>116106</v>
          </cell>
          <cell r="F5">
            <v>11472</v>
          </cell>
        </row>
        <row r="6">
          <cell r="C6" t="str">
            <v>Total # of Small Customers</v>
          </cell>
          <cell r="D6">
            <v>82386</v>
          </cell>
          <cell r="E6">
            <v>511501</v>
          </cell>
          <cell r="F6">
            <v>48953</v>
          </cell>
        </row>
        <row r="7">
          <cell r="C7" t="str">
            <v>Total # of DAC Customers</v>
          </cell>
          <cell r="H7">
            <v>545519</v>
          </cell>
          <cell r="I7">
            <v>265155</v>
          </cell>
        </row>
        <row r="8">
          <cell r="C8" t="str">
            <v>Total # of HTR Customers</v>
          </cell>
          <cell r="E8">
            <v>260770</v>
          </cell>
          <cell r="H8">
            <v>677272</v>
          </cell>
          <cell r="I8">
            <v>214995</v>
          </cell>
        </row>
        <row r="9">
          <cell r="C9" t="str">
            <v># of Participating Customers</v>
          </cell>
          <cell r="D9">
            <v>1588</v>
          </cell>
          <cell r="E9">
            <v>15009</v>
          </cell>
          <cell r="F9">
            <v>558</v>
          </cell>
          <cell r="G9">
            <v>1398</v>
          </cell>
          <cell r="H9">
            <v>50904</v>
          </cell>
          <cell r="I9">
            <v>6317</v>
          </cell>
        </row>
        <row r="10">
          <cell r="C10" t="str">
            <v># of Participating Large Customers</v>
          </cell>
          <cell r="D10">
            <v>308</v>
          </cell>
          <cell r="E10">
            <v>4602</v>
          </cell>
          <cell r="F10">
            <v>149</v>
          </cell>
        </row>
        <row r="11">
          <cell r="C11" t="str">
            <v># of Participating Medium Customers</v>
          </cell>
          <cell r="D11">
            <v>770</v>
          </cell>
          <cell r="E11">
            <v>5805</v>
          </cell>
          <cell r="F11">
            <v>224</v>
          </cell>
        </row>
        <row r="12">
          <cell r="C12" t="str">
            <v># of Participating Small Customers</v>
          </cell>
          <cell r="D12">
            <v>510</v>
          </cell>
          <cell r="E12">
            <v>4602</v>
          </cell>
          <cell r="F12">
            <v>185</v>
          </cell>
        </row>
        <row r="13">
          <cell r="C13" t="str">
            <v># of Participating DAC Customers</v>
          </cell>
          <cell r="H13">
            <v>11957</v>
          </cell>
          <cell r="I13">
            <v>2313</v>
          </cell>
        </row>
        <row r="14">
          <cell r="C14" t="str">
            <v># of Participating HTR Customers</v>
          </cell>
          <cell r="E14">
            <v>4702</v>
          </cell>
          <cell r="H14">
            <v>13005</v>
          </cell>
          <cell r="I14">
            <v>1984</v>
          </cell>
        </row>
        <row r="15">
          <cell r="C15" t="str">
            <v>Total # of Projects</v>
          </cell>
          <cell r="I15">
            <v>9482</v>
          </cell>
        </row>
        <row r="16">
          <cell r="C16" t="str">
            <v>Total annual sector max demand (kW)</v>
          </cell>
          <cell r="E16">
            <v>113689046.06550001</v>
          </cell>
        </row>
        <row r="17">
          <cell r="C17" t="str">
            <v>Total annual sector elec usage (kWh)</v>
          </cell>
          <cell r="E17">
            <v>33942505759.975399</v>
          </cell>
        </row>
        <row r="18">
          <cell r="C18" t="str">
            <v>Total annual sector gas usage (therms)</v>
          </cell>
          <cell r="E18">
            <v>1099729865.5796299</v>
          </cell>
        </row>
        <row r="19">
          <cell r="C19" t="str">
            <v>Total sector energy usage (Btu)</v>
          </cell>
          <cell r="G19">
            <v>3613159459.6049199</v>
          </cell>
        </row>
        <row r="20">
          <cell r="C20" t="str">
            <v>Total sq. ft. of all sector customers</v>
          </cell>
          <cell r="E20">
            <v>2082752874.3275604</v>
          </cell>
          <cell r="I20">
            <v>2006709876.6389234</v>
          </cell>
        </row>
        <row r="21">
          <cell r="C21" t="str">
            <v>Sq. ft. of participating customers</v>
          </cell>
          <cell r="E21">
            <v>48863507.305730052</v>
          </cell>
          <cell r="I21">
            <v>5752047.954685661</v>
          </cell>
        </row>
        <row r="22">
          <cell r="C22" t="str">
            <v>Sq. ft. of benchmarked customers</v>
          </cell>
          <cell r="E22">
            <v>5007134.0020129802</v>
          </cell>
          <cell r="I22">
            <v>389722.41959877522</v>
          </cell>
        </row>
        <row r="23">
          <cell r="C23" t="str">
            <v>Sq. ft. of benchmarked large customers</v>
          </cell>
        </row>
        <row r="24">
          <cell r="C24" t="str">
            <v>Sq. ft. of benchmarked medium customers</v>
          </cell>
        </row>
        <row r="25">
          <cell r="C25" t="str">
            <v>Sq. ft. of benchmarked small customers</v>
          </cell>
        </row>
        <row r="26">
          <cell r="C26" t="str">
            <v>Total # of benchmarked customers</v>
          </cell>
          <cell r="E26">
            <v>1538</v>
          </cell>
          <cell r="G26">
            <v>479</v>
          </cell>
          <cell r="I26">
            <v>428</v>
          </cell>
        </row>
        <row r="27">
          <cell r="C27" t="str">
            <v># of benchmarked large customers</v>
          </cell>
          <cell r="E27">
            <v>415</v>
          </cell>
        </row>
        <row r="28">
          <cell r="C28" t="str">
            <v># of benchmarked medium customers</v>
          </cell>
          <cell r="E28">
            <v>642</v>
          </cell>
        </row>
        <row r="29">
          <cell r="C29" t="str">
            <v># of benchmarked small customers</v>
          </cell>
          <cell r="E29">
            <v>481</v>
          </cell>
        </row>
        <row r="30">
          <cell r="C30" t="str">
            <v># of benchmarked DAC customers</v>
          </cell>
        </row>
        <row r="31">
          <cell r="C31" t="str">
            <v># of benchmarked HTR customers</v>
          </cell>
          <cell r="E31">
            <v>433</v>
          </cell>
          <cell r="I31">
            <v>56</v>
          </cell>
        </row>
        <row r="33">
          <cell r="A33" t="str">
            <v>Index</v>
          </cell>
          <cell r="B33" t="str">
            <v>Segment</v>
          </cell>
          <cell r="C33" t="str">
            <v>Metric Description</v>
          </cell>
          <cell r="D33" t="str">
            <v>Data Type</v>
          </cell>
          <cell r="E33" t="str">
            <v>PG&amp;E Source</v>
          </cell>
          <cell r="F33" t="str">
            <v>Metric</v>
          </cell>
          <cell r="G33" t="str">
            <v>Numerator</v>
          </cell>
          <cell r="H33" t="str">
            <v>Denominator</v>
          </cell>
          <cell r="I33" t="str">
            <v>Numerator Description</v>
          </cell>
          <cell r="J33" t="str">
            <v>Denominator Description</v>
          </cell>
        </row>
        <row r="34">
          <cell r="A34">
            <v>13</v>
          </cell>
          <cell r="B34" t="str">
            <v>Portfolio</v>
          </cell>
          <cell r="C34" t="str">
            <v>First year annual kW gross in Disadvantaged Communities</v>
          </cell>
          <cell r="D34" t="str">
            <v>Metric</v>
          </cell>
          <cell r="E34" t="str">
            <v>MDA Team</v>
          </cell>
          <cell r="F34">
            <v>21120</v>
          </cell>
          <cell r="I34" t="str">
            <v>N/A</v>
          </cell>
          <cell r="J34" t="str">
            <v>N/A</v>
          </cell>
        </row>
        <row r="35">
          <cell r="A35">
            <v>14</v>
          </cell>
          <cell r="B35" t="str">
            <v>Portfolio</v>
          </cell>
          <cell r="C35" t="str">
            <v>First year annual kW net in Disadvantaged Communities</v>
          </cell>
          <cell r="D35" t="str">
            <v>Metric</v>
          </cell>
          <cell r="E35" t="str">
            <v>MDA Team</v>
          </cell>
          <cell r="F35">
            <v>13440</v>
          </cell>
          <cell r="I35" t="str">
            <v>N/A</v>
          </cell>
          <cell r="J35" t="str">
            <v>N/A</v>
          </cell>
        </row>
        <row r="36">
          <cell r="A36">
            <v>15</v>
          </cell>
          <cell r="B36" t="str">
            <v>Portfolio</v>
          </cell>
          <cell r="C36" t="str">
            <v>First year annual kWh gross in Disadvantaged Communities</v>
          </cell>
          <cell r="D36" t="str">
            <v>Metric</v>
          </cell>
          <cell r="E36" t="str">
            <v>MDA Team</v>
          </cell>
          <cell r="F36">
            <v>93840000</v>
          </cell>
          <cell r="I36" t="str">
            <v>N/A</v>
          </cell>
          <cell r="J36" t="str">
            <v>N/A</v>
          </cell>
        </row>
        <row r="37">
          <cell r="A37">
            <v>16</v>
          </cell>
          <cell r="B37" t="str">
            <v>Portfolio</v>
          </cell>
          <cell r="C37" t="str">
            <v>First year annual kWh net in Disadvantaged Communities</v>
          </cell>
          <cell r="D37" t="str">
            <v>Metric</v>
          </cell>
          <cell r="E37" t="str">
            <v>MDA Team</v>
          </cell>
          <cell r="F37">
            <v>58850000</v>
          </cell>
          <cell r="I37" t="str">
            <v>N/A</v>
          </cell>
          <cell r="J37" t="str">
            <v>N/A</v>
          </cell>
        </row>
        <row r="38">
          <cell r="A38">
            <v>17</v>
          </cell>
          <cell r="B38" t="str">
            <v>Portfolio</v>
          </cell>
          <cell r="C38" t="str">
            <v>First year annual Therm gross in Disadvantaged Communities</v>
          </cell>
          <cell r="D38" t="str">
            <v>Metric</v>
          </cell>
          <cell r="E38" t="str">
            <v>MDA Team</v>
          </cell>
          <cell r="F38">
            <v>2040000</v>
          </cell>
          <cell r="I38" t="str">
            <v>N/A</v>
          </cell>
          <cell r="J38" t="str">
            <v>N/A</v>
          </cell>
        </row>
        <row r="39">
          <cell r="A39">
            <v>18</v>
          </cell>
          <cell r="B39" t="str">
            <v>Portfolio</v>
          </cell>
          <cell r="C39" t="str">
            <v>First year annual Therm net in Disadvantaged Communities</v>
          </cell>
          <cell r="D39" t="str">
            <v>Metric</v>
          </cell>
          <cell r="E39" t="str">
            <v>MDA Team</v>
          </cell>
          <cell r="F39">
            <v>1180000</v>
          </cell>
          <cell r="I39" t="str">
            <v>N/A</v>
          </cell>
          <cell r="J39" t="str">
            <v>N/A</v>
          </cell>
        </row>
        <row r="40">
          <cell r="A40">
            <v>19</v>
          </cell>
          <cell r="B40" t="str">
            <v>Portfolio</v>
          </cell>
          <cell r="C40" t="str">
            <v>Lifecycle ex-ante kW gross in Disadvantaged Communities</v>
          </cell>
          <cell r="D40" t="str">
            <v>Metric</v>
          </cell>
          <cell r="E40" t="str">
            <v>MDA Team</v>
          </cell>
          <cell r="F40">
            <v>205010</v>
          </cell>
          <cell r="I40" t="str">
            <v>N/A</v>
          </cell>
          <cell r="J40" t="str">
            <v>N/A</v>
          </cell>
        </row>
        <row r="41">
          <cell r="A41">
            <v>20</v>
          </cell>
          <cell r="B41" t="str">
            <v>Portfolio</v>
          </cell>
          <cell r="C41" t="str">
            <v>Lifecycle ex-ante kW net in Disadvantaged Communities</v>
          </cell>
          <cell r="D41" t="str">
            <v>Metric</v>
          </cell>
          <cell r="E41" t="str">
            <v>MDA Team</v>
          </cell>
          <cell r="F41">
            <v>132130</v>
          </cell>
          <cell r="I41" t="str">
            <v>N/A</v>
          </cell>
          <cell r="J41" t="str">
            <v>N/A</v>
          </cell>
        </row>
        <row r="42">
          <cell r="A42">
            <v>21</v>
          </cell>
          <cell r="B42" t="str">
            <v>Portfolio</v>
          </cell>
          <cell r="C42" t="str">
            <v>Lifecycle ex-ante kWh gross in Disadvantaged Communities</v>
          </cell>
          <cell r="D42" t="str">
            <v>Metric</v>
          </cell>
          <cell r="E42" t="str">
            <v>MDA Team</v>
          </cell>
          <cell r="F42">
            <v>1044750000</v>
          </cell>
          <cell r="I42" t="str">
            <v>N/A</v>
          </cell>
          <cell r="J42" t="str">
            <v>N/A</v>
          </cell>
        </row>
        <row r="43">
          <cell r="A43">
            <v>22</v>
          </cell>
          <cell r="B43" t="str">
            <v>Portfolio</v>
          </cell>
          <cell r="C43" t="str">
            <v>Lifecycle ex-ante kWh net in Disadvantaged Communities</v>
          </cell>
          <cell r="D43" t="str">
            <v>Metric</v>
          </cell>
          <cell r="E43" t="str">
            <v>MDA Team</v>
          </cell>
          <cell r="F43">
            <v>652530000</v>
          </cell>
          <cell r="I43" t="str">
            <v>N/A</v>
          </cell>
          <cell r="J43" t="str">
            <v>N/A</v>
          </cell>
        </row>
        <row r="44">
          <cell r="A44">
            <v>23</v>
          </cell>
          <cell r="B44" t="str">
            <v>Portfolio</v>
          </cell>
          <cell r="C44" t="str">
            <v>Lifecycle ex-ante Therm gross in Disadvantaged Communities</v>
          </cell>
          <cell r="D44" t="str">
            <v>Metric</v>
          </cell>
          <cell r="E44" t="str">
            <v>MDA Team</v>
          </cell>
          <cell r="F44">
            <v>26320000</v>
          </cell>
          <cell r="I44" t="str">
            <v>N/A</v>
          </cell>
          <cell r="J44" t="str">
            <v>N/A</v>
          </cell>
        </row>
        <row r="45">
          <cell r="A45">
            <v>24</v>
          </cell>
          <cell r="B45" t="str">
            <v>Portfolio</v>
          </cell>
          <cell r="C45" t="str">
            <v>Lifecycle ex-ante Therm net in Disadvantaged Communities</v>
          </cell>
          <cell r="D45" t="str">
            <v>Metric</v>
          </cell>
          <cell r="E45" t="str">
            <v>MDA Team</v>
          </cell>
          <cell r="F45">
            <v>15230000</v>
          </cell>
          <cell r="I45" t="str">
            <v>N/A</v>
          </cell>
          <cell r="J45" t="str">
            <v>N/A</v>
          </cell>
        </row>
        <row r="46">
          <cell r="A46">
            <v>25</v>
          </cell>
          <cell r="B46" t="str">
            <v>Portfolio</v>
          </cell>
          <cell r="C46" t="str">
            <v>First year annual kW gross in Hard-to-Reach Markets</v>
          </cell>
          <cell r="D46" t="str">
            <v>Metric</v>
          </cell>
          <cell r="E46" t="str">
            <v>MDA Team</v>
          </cell>
          <cell r="F46">
            <v>35780</v>
          </cell>
          <cell r="I46" t="str">
            <v>N/A</v>
          </cell>
          <cell r="J46" t="str">
            <v>N/A</v>
          </cell>
        </row>
        <row r="47">
          <cell r="A47">
            <v>26</v>
          </cell>
          <cell r="B47" t="str">
            <v>Portfolio</v>
          </cell>
          <cell r="C47" t="str">
            <v>First year annual kW net in Hard-to-Reach Markets</v>
          </cell>
          <cell r="D47" t="str">
            <v>Metric</v>
          </cell>
          <cell r="E47" t="str">
            <v>MDA Team</v>
          </cell>
          <cell r="F47">
            <v>22660</v>
          </cell>
          <cell r="I47" t="str">
            <v>N/A</v>
          </cell>
          <cell r="J47" t="str">
            <v>N/A</v>
          </cell>
        </row>
        <row r="48">
          <cell r="A48">
            <v>27</v>
          </cell>
          <cell r="B48" t="str">
            <v>Portfolio</v>
          </cell>
          <cell r="C48" t="str">
            <v>First year annual kWh gross in Hard-to-Reach Markets</v>
          </cell>
          <cell r="D48" t="str">
            <v>Metric</v>
          </cell>
          <cell r="E48" t="str">
            <v>MDA Team</v>
          </cell>
          <cell r="F48">
            <v>166790000</v>
          </cell>
          <cell r="I48" t="str">
            <v>N/A</v>
          </cell>
          <cell r="J48" t="str">
            <v>N/A</v>
          </cell>
        </row>
        <row r="49">
          <cell r="A49">
            <v>28</v>
          </cell>
          <cell r="B49" t="str">
            <v>Portfolio</v>
          </cell>
          <cell r="C49" t="str">
            <v>First year annual kWh net in Hard-to-Reach Markets</v>
          </cell>
          <cell r="D49" t="str">
            <v>Metric</v>
          </cell>
          <cell r="E49" t="str">
            <v>MDA Team</v>
          </cell>
          <cell r="F49">
            <v>105290000</v>
          </cell>
          <cell r="I49" t="str">
            <v>N/A</v>
          </cell>
          <cell r="J49" t="str">
            <v>N/A</v>
          </cell>
        </row>
        <row r="50">
          <cell r="A50">
            <v>29</v>
          </cell>
          <cell r="B50" t="str">
            <v>Portfolio</v>
          </cell>
          <cell r="C50" t="str">
            <v>First year annual Therm gross in Hard-to-Reach Markets</v>
          </cell>
          <cell r="D50" t="str">
            <v>Metric</v>
          </cell>
          <cell r="E50" t="str">
            <v>MDA Team</v>
          </cell>
          <cell r="F50">
            <v>5570000</v>
          </cell>
          <cell r="I50" t="str">
            <v>N/A</v>
          </cell>
          <cell r="J50" t="str">
            <v>N/A</v>
          </cell>
        </row>
        <row r="51">
          <cell r="A51">
            <v>30</v>
          </cell>
          <cell r="B51" t="str">
            <v>Portfolio</v>
          </cell>
          <cell r="C51" t="str">
            <v>First year annual Therm net in Hard-to-Reach Markets</v>
          </cell>
          <cell r="D51" t="str">
            <v>Metric</v>
          </cell>
          <cell r="E51" t="str">
            <v>MDA Team</v>
          </cell>
          <cell r="F51">
            <v>3260000</v>
          </cell>
          <cell r="I51" t="str">
            <v>N/A</v>
          </cell>
          <cell r="J51" t="str">
            <v>N/A</v>
          </cell>
        </row>
        <row r="52">
          <cell r="A52">
            <v>31</v>
          </cell>
          <cell r="B52" t="str">
            <v>Portfolio</v>
          </cell>
          <cell r="C52" t="str">
            <v>Lifecycle ex-ante kW gross in Hard-to-Reach Markets</v>
          </cell>
          <cell r="D52" t="str">
            <v>Metric</v>
          </cell>
          <cell r="E52" t="str">
            <v>MDA Team</v>
          </cell>
          <cell r="F52">
            <v>568830</v>
          </cell>
          <cell r="I52" t="str">
            <v>N/A</v>
          </cell>
          <cell r="J52" t="str">
            <v>N/A</v>
          </cell>
        </row>
        <row r="53">
          <cell r="A53">
            <v>32</v>
          </cell>
          <cell r="B53" t="str">
            <v>Portfolio</v>
          </cell>
          <cell r="C53" t="str">
            <v>Lifecycle ex-ante kW net in Hard-to-Reach Markets</v>
          </cell>
          <cell r="D53" t="str">
            <v>Metric</v>
          </cell>
          <cell r="E53" t="str">
            <v>MDA Team</v>
          </cell>
          <cell r="F53">
            <v>419520</v>
          </cell>
          <cell r="I53" t="str">
            <v>N/A</v>
          </cell>
          <cell r="J53" t="str">
            <v>N/A</v>
          </cell>
        </row>
        <row r="54">
          <cell r="A54">
            <v>33</v>
          </cell>
          <cell r="B54" t="str">
            <v>Portfolio</v>
          </cell>
          <cell r="C54" t="str">
            <v>Lifecycle ex-ante kWh gross in Hard-to-Reach Markets</v>
          </cell>
          <cell r="D54" t="str">
            <v>Metric</v>
          </cell>
          <cell r="E54" t="str">
            <v>MDA Team</v>
          </cell>
          <cell r="F54">
            <v>1768050000</v>
          </cell>
          <cell r="I54" t="str">
            <v>N/A</v>
          </cell>
          <cell r="J54" t="str">
            <v>N/A</v>
          </cell>
        </row>
        <row r="55">
          <cell r="A55">
            <v>34</v>
          </cell>
          <cell r="B55" t="str">
            <v>Portfolio</v>
          </cell>
          <cell r="C55" t="str">
            <v>Lifecycle ex-ante kWh net in Hard-to-Reach Markets</v>
          </cell>
          <cell r="D55" t="str">
            <v>Metric</v>
          </cell>
          <cell r="E55" t="str">
            <v>MDA Team</v>
          </cell>
          <cell r="F55">
            <v>1110890000</v>
          </cell>
          <cell r="I55" t="str">
            <v>N/A</v>
          </cell>
          <cell r="J55" t="str">
            <v>N/A</v>
          </cell>
        </row>
        <row r="56">
          <cell r="A56">
            <v>35</v>
          </cell>
          <cell r="B56" t="str">
            <v>Portfolio</v>
          </cell>
          <cell r="C56" t="str">
            <v>Lifecycle ex-ante Therm gross in Hard-to-Reach Markets</v>
          </cell>
          <cell r="D56" t="str">
            <v>Metric</v>
          </cell>
          <cell r="E56" t="str">
            <v>MDA Team</v>
          </cell>
          <cell r="F56">
            <v>62850000</v>
          </cell>
          <cell r="I56" t="str">
            <v>N/A</v>
          </cell>
          <cell r="J56" t="str">
            <v>N/A</v>
          </cell>
        </row>
        <row r="57">
          <cell r="A57">
            <v>36</v>
          </cell>
          <cell r="B57" t="str">
            <v>Portfolio</v>
          </cell>
          <cell r="C57" t="str">
            <v>Lifecycle ex-ante Therm net in Hard-to-Reach Markets</v>
          </cell>
          <cell r="D57" t="str">
            <v>Metric</v>
          </cell>
          <cell r="E57" t="str">
            <v>MDA Team</v>
          </cell>
          <cell r="F57">
            <v>36410000</v>
          </cell>
          <cell r="I57" t="str">
            <v>N/A</v>
          </cell>
          <cell r="J57" t="str">
            <v>N/A</v>
          </cell>
        </row>
        <row r="58">
          <cell r="A58">
            <v>56</v>
          </cell>
          <cell r="B58" t="str">
            <v>Res - SF</v>
          </cell>
          <cell r="C58" t="str">
            <v>Average lifecycle ex-ante kW net savings per participant - Opt-in - Downstream</v>
          </cell>
          <cell r="D58" t="str">
            <v>Metric</v>
          </cell>
          <cell r="E58" t="str">
            <v>MDA Team</v>
          </cell>
          <cell r="G58" t="str">
            <v>Confirm method with Res</v>
          </cell>
          <cell r="I58" t="str">
            <v>Lifecycle ex-ante kW net from downstream</v>
          </cell>
          <cell r="J58" t="str">
            <v>Total number of downstream participants</v>
          </cell>
        </row>
        <row r="59">
          <cell r="A59">
            <v>57</v>
          </cell>
          <cell r="B59" t="str">
            <v>Res - SF</v>
          </cell>
          <cell r="C59" t="str">
            <v>Average lifecycle ex-ante kWh net savings per participant - Opt-in - Downstream</v>
          </cell>
          <cell r="D59" t="str">
            <v>Metric</v>
          </cell>
          <cell r="E59" t="str">
            <v>MDA Team</v>
          </cell>
          <cell r="G59" t="str">
            <v>Confirm method with Res</v>
          </cell>
          <cell r="I59" t="str">
            <v>Lifecycle ex-ante kWh net from downstream</v>
          </cell>
          <cell r="J59" t="str">
            <v>Total number of downstream participants</v>
          </cell>
        </row>
        <row r="60">
          <cell r="A60">
            <v>58</v>
          </cell>
          <cell r="B60" t="str">
            <v>Res - SF</v>
          </cell>
          <cell r="C60" t="str">
            <v>Average lifecycle ex-ante Therm net savings per participant - Opt-in - Downstream</v>
          </cell>
          <cell r="D60" t="str">
            <v>Metric</v>
          </cell>
          <cell r="E60" t="str">
            <v>MDA Team</v>
          </cell>
          <cell r="G60" t="str">
            <v>Confirm method with Res</v>
          </cell>
          <cell r="I60" t="str">
            <v>Lifecycle ex-ante therm net from downstream</v>
          </cell>
          <cell r="J60" t="str">
            <v>Total number of downstream participants</v>
          </cell>
        </row>
        <row r="61">
          <cell r="A61">
            <v>59</v>
          </cell>
          <cell r="B61" t="str">
            <v>Res - SF</v>
          </cell>
          <cell r="C61" t="str">
            <v>Average lifecycle ex-ante kW net savings per participant - Opt-in - Midstream</v>
          </cell>
          <cell r="D61" t="str">
            <v>Metric</v>
          </cell>
          <cell r="E61" t="str">
            <v>MDA Team</v>
          </cell>
          <cell r="G61" t="str">
            <v>Confirm method with Res</v>
          </cell>
          <cell r="H61" t="str">
            <v>N/A</v>
          </cell>
          <cell r="I61" t="str">
            <v>Lifecycle ex-ante kW net from midstream</v>
          </cell>
          <cell r="J61" t="str">
            <v>Total number of midstream participants</v>
          </cell>
        </row>
        <row r="62">
          <cell r="A62">
            <v>60</v>
          </cell>
          <cell r="B62" t="str">
            <v>Res - SF</v>
          </cell>
          <cell r="C62" t="str">
            <v>Average lifecycle ex-ante kWh net savings per participant - Opt-in - Midstream</v>
          </cell>
          <cell r="D62" t="str">
            <v>Metric</v>
          </cell>
          <cell r="E62" t="str">
            <v>MDA Team</v>
          </cell>
          <cell r="G62" t="str">
            <v>Confirm method with Res</v>
          </cell>
          <cell r="H62" t="str">
            <v>N/A</v>
          </cell>
          <cell r="I62" t="str">
            <v>Lifecycle ex-ante kWh net from midstream</v>
          </cell>
          <cell r="J62" t="str">
            <v>Total number of midstream participants</v>
          </cell>
        </row>
        <row r="63">
          <cell r="A63">
            <v>61</v>
          </cell>
          <cell r="B63" t="str">
            <v>Res - SF</v>
          </cell>
          <cell r="C63" t="str">
            <v>Average lifecycle ex-ante Therm net savings per participant - Opt-in - Midstream</v>
          </cell>
          <cell r="D63" t="str">
            <v>Metric</v>
          </cell>
          <cell r="E63" t="str">
            <v>MDA Team</v>
          </cell>
          <cell r="G63" t="str">
            <v>Confirm method with Res</v>
          </cell>
          <cell r="H63" t="str">
            <v>N/A</v>
          </cell>
          <cell r="I63" t="str">
            <v>Lifecycle ex-ante therm net from midstream</v>
          </cell>
          <cell r="J63" t="str">
            <v>Total number of midstream participants</v>
          </cell>
        </row>
        <row r="64">
          <cell r="A64">
            <v>62</v>
          </cell>
          <cell r="B64" t="str">
            <v>Res - SF</v>
          </cell>
          <cell r="C64" t="str">
            <v>Average lifecycle ex-ante kW net savings per participant - Opt-out</v>
          </cell>
          <cell r="D64" t="str">
            <v>Metric</v>
          </cell>
          <cell r="E64" t="str">
            <v>MDA Team</v>
          </cell>
          <cell r="G64" t="str">
            <v>Confirm method with Res</v>
          </cell>
          <cell r="I64" t="str">
            <v>Lifecycle ex-ante kW net from opt-out</v>
          </cell>
          <cell r="J64" t="str">
            <v>Total number of opt-out participants</v>
          </cell>
        </row>
        <row r="65">
          <cell r="A65">
            <v>63</v>
          </cell>
          <cell r="B65" t="str">
            <v>Res - SF</v>
          </cell>
          <cell r="C65" t="str">
            <v>Average lifecycle ex-ante kWh net savings per participant - Opt-out</v>
          </cell>
          <cell r="D65" t="str">
            <v>Metric</v>
          </cell>
          <cell r="E65" t="str">
            <v>MDA Team</v>
          </cell>
          <cell r="G65" t="str">
            <v>Confirm method with Res</v>
          </cell>
          <cell r="I65" t="str">
            <v>Lifecycle ex-ante kWh net from opt-out</v>
          </cell>
          <cell r="J65" t="str">
            <v>Total number of opt-out participants</v>
          </cell>
        </row>
        <row r="66">
          <cell r="A66">
            <v>64</v>
          </cell>
          <cell r="B66" t="str">
            <v>Res - SF</v>
          </cell>
          <cell r="C66" t="str">
            <v>Average lifecycle ex-ante Therm net savings per participant - Opt-out</v>
          </cell>
          <cell r="D66" t="str">
            <v>Metric</v>
          </cell>
          <cell r="E66" t="str">
            <v>MDA Team</v>
          </cell>
          <cell r="G66" t="str">
            <v>Confirm method with Res</v>
          </cell>
          <cell r="I66" t="str">
            <v>Lifecycle ex-ante therm net from opt-out</v>
          </cell>
          <cell r="J66" t="str">
            <v>Total number of opt-out participants</v>
          </cell>
        </row>
        <row r="67">
          <cell r="A67">
            <v>65</v>
          </cell>
          <cell r="B67" t="str">
            <v>Res - SF</v>
          </cell>
          <cell r="C67" t="str">
            <v>Average lifecycle ex-ante kW net savings per participant - Opt-in - Upstream</v>
          </cell>
          <cell r="D67" t="str">
            <v>Metric</v>
          </cell>
          <cell r="E67" t="str">
            <v>MDA Team</v>
          </cell>
          <cell r="G67" t="str">
            <v>Confirm method with Res</v>
          </cell>
          <cell r="H67" t="str">
            <v>N/A</v>
          </cell>
          <cell r="I67" t="str">
            <v>Lifecycle ex-ante kW net from upstream</v>
          </cell>
          <cell r="J67" t="str">
            <v>Total number of upstream participants</v>
          </cell>
        </row>
        <row r="68">
          <cell r="A68">
            <v>66</v>
          </cell>
          <cell r="B68" t="str">
            <v>Res - SF</v>
          </cell>
          <cell r="C68" t="str">
            <v>Average lifecycle ex-ante kWh net savings per participant - Opt-in - Upstream</v>
          </cell>
          <cell r="D68" t="str">
            <v>Metric</v>
          </cell>
          <cell r="E68" t="str">
            <v>MDA Team</v>
          </cell>
          <cell r="G68" t="str">
            <v>Confirm method with Res</v>
          </cell>
          <cell r="H68" t="str">
            <v>N/A</v>
          </cell>
          <cell r="I68" t="str">
            <v>Lifecycle ex-ante kWh net from upstream</v>
          </cell>
          <cell r="J68" t="str">
            <v>Total number of upstream participants</v>
          </cell>
        </row>
        <row r="69">
          <cell r="A69">
            <v>67</v>
          </cell>
          <cell r="B69" t="str">
            <v>Res - SF</v>
          </cell>
          <cell r="C69" t="str">
            <v>Average lifecycle ex-ante Therm net savings per participant - Opt-in - Upstream</v>
          </cell>
          <cell r="D69" t="str">
            <v>Metric</v>
          </cell>
          <cell r="E69" t="str">
            <v>MDA Team</v>
          </cell>
          <cell r="G69" t="str">
            <v>Confirm method with Res</v>
          </cell>
          <cell r="H69" t="str">
            <v>N/A</v>
          </cell>
          <cell r="I69" t="str">
            <v>Lifecycle ex-ante therm net from upstream</v>
          </cell>
          <cell r="J69" t="str">
            <v>Total number of upstream participants</v>
          </cell>
        </row>
        <row r="70">
          <cell r="A70">
            <v>68</v>
          </cell>
          <cell r="B70" t="str">
            <v>Res - SF</v>
          </cell>
          <cell r="C70" t="str">
            <v>Percent of participation relative to eligible population</v>
          </cell>
          <cell r="D70" t="str">
            <v>Metric</v>
          </cell>
          <cell r="E70" t="str">
            <v>MDA Team</v>
          </cell>
          <cell r="G70">
            <v>50904</v>
          </cell>
          <cell r="H70">
            <v>4503484</v>
          </cell>
          <cell r="I70" t="str">
            <v># of Participating Customers</v>
          </cell>
          <cell r="J70" t="str">
            <v>Total # of Sector Customers</v>
          </cell>
        </row>
        <row r="71">
          <cell r="A71">
            <v>69</v>
          </cell>
          <cell r="B71" t="str">
            <v>Res - SF</v>
          </cell>
          <cell r="C71" t="str">
            <v>Percent of participation in disadvantaged communities</v>
          </cell>
          <cell r="D71" t="str">
            <v>Metric</v>
          </cell>
          <cell r="E71" t="str">
            <v>MDA Team</v>
          </cell>
          <cell r="G71">
            <v>11957</v>
          </cell>
          <cell r="H71">
            <v>545519</v>
          </cell>
          <cell r="I71" t="str">
            <v># of Participating DAC Customers</v>
          </cell>
          <cell r="J71" t="str">
            <v>Total # of DAC Customers</v>
          </cell>
        </row>
        <row r="72">
          <cell r="A72">
            <v>70</v>
          </cell>
          <cell r="B72" t="str">
            <v>Res - SF</v>
          </cell>
          <cell r="C72" t="str">
            <v>Percent of participation by customers defined as “hard‐to‐reach”</v>
          </cell>
          <cell r="D72" t="str">
            <v>Metric</v>
          </cell>
          <cell r="E72" t="str">
            <v>MDA Team</v>
          </cell>
          <cell r="G72">
            <v>13005</v>
          </cell>
          <cell r="H72">
            <v>677272</v>
          </cell>
          <cell r="I72" t="str">
            <v># of Participating HTR Customers</v>
          </cell>
          <cell r="J72" t="str">
            <v>Total # of HTR Customers</v>
          </cell>
        </row>
        <row r="73">
          <cell r="A73">
            <v>77</v>
          </cell>
          <cell r="B73" t="str">
            <v>Res - SF</v>
          </cell>
          <cell r="C73" t="str">
            <v>Average electric and gas usage per household</v>
          </cell>
          <cell r="D73" t="str">
            <v>Indicator</v>
          </cell>
          <cell r="E73" t="str">
            <v>Unknown</v>
          </cell>
          <cell r="G73">
            <v>0</v>
          </cell>
          <cell r="H73">
            <v>4503484</v>
          </cell>
          <cell r="I73" t="str">
            <v>Total sector energy usage (Btu)</v>
          </cell>
          <cell r="J73" t="str">
            <v>Total # of sector customers</v>
          </cell>
        </row>
        <row r="74">
          <cell r="A74">
            <v>115</v>
          </cell>
          <cell r="B74" t="str">
            <v>Res - MF</v>
          </cell>
          <cell r="C74" t="str">
            <v>Lifecycle ex-ante kW net per project (building)</v>
          </cell>
          <cell r="D74" t="str">
            <v>Metric</v>
          </cell>
          <cell r="E74" t="str">
            <v>MDA Team</v>
          </cell>
          <cell r="H74">
            <v>56986.82</v>
          </cell>
          <cell r="I74" t="str">
            <v>Lifecycle ex-ante kW net (Non-Audit)</v>
          </cell>
          <cell r="J74" t="str">
            <v>Total # of Sector buildings</v>
          </cell>
        </row>
        <row r="75">
          <cell r="A75">
            <v>116</v>
          </cell>
          <cell r="B75" t="str">
            <v>Res - MF</v>
          </cell>
          <cell r="C75" t="str">
            <v>Lifecycle ex-ante kWh net per project (building)</v>
          </cell>
          <cell r="D75" t="str">
            <v>Metric</v>
          </cell>
          <cell r="E75" t="str">
            <v>MDA Team</v>
          </cell>
          <cell r="H75">
            <v>56986.82</v>
          </cell>
          <cell r="I75" t="str">
            <v>Lifecycle ex-ante kWh net (Non-Audit)</v>
          </cell>
          <cell r="J75" t="str">
            <v>Total # of Sector buildings</v>
          </cell>
        </row>
        <row r="76">
          <cell r="A76">
            <v>117</v>
          </cell>
          <cell r="B76" t="str">
            <v>Res - MF</v>
          </cell>
          <cell r="C76" t="str">
            <v>Lifecycle ex-ante Therm net per project (building)</v>
          </cell>
          <cell r="D76" t="str">
            <v>Metric</v>
          </cell>
          <cell r="E76" t="str">
            <v>MDA Team</v>
          </cell>
          <cell r="H76">
            <v>56986.82</v>
          </cell>
          <cell r="I76" t="str">
            <v>Lifecycle ex-ante Therm net (Non-Audit)</v>
          </cell>
          <cell r="J76" t="str">
            <v>Total # of Sector buildings</v>
          </cell>
        </row>
        <row r="77">
          <cell r="A77">
            <v>118</v>
          </cell>
          <cell r="B77" t="str">
            <v>Res - MF</v>
          </cell>
          <cell r="C77" t="str">
            <v>Lifecycle ex-ante kW net per project (property)</v>
          </cell>
          <cell r="D77" t="str">
            <v>Metric</v>
          </cell>
          <cell r="E77" t="str">
            <v>N/A</v>
          </cell>
          <cell r="H77">
            <v>9482</v>
          </cell>
          <cell r="I77" t="str">
            <v>Lifecycle ex-ante kW net (Non-Audit)</v>
          </cell>
          <cell r="J77" t="str">
            <v>Total # of projects</v>
          </cell>
        </row>
        <row r="78">
          <cell r="A78">
            <v>119</v>
          </cell>
          <cell r="B78" t="str">
            <v>Res - MF</v>
          </cell>
          <cell r="C78" t="str">
            <v>Lifecycle ex-ante kWh net per project (property)</v>
          </cell>
          <cell r="D78" t="str">
            <v>Metric</v>
          </cell>
          <cell r="E78" t="str">
            <v>N/A</v>
          </cell>
          <cell r="H78">
            <v>9482</v>
          </cell>
          <cell r="I78" t="str">
            <v>Lifecycle ex-ante kWh net (Non-Audit)</v>
          </cell>
          <cell r="J78" t="str">
            <v>Total # of projects</v>
          </cell>
        </row>
        <row r="79">
          <cell r="A79">
            <v>120</v>
          </cell>
          <cell r="B79" t="str">
            <v>Res - MF</v>
          </cell>
          <cell r="C79" t="str">
            <v>Lifecycle ex-ante Therm net per project (property)</v>
          </cell>
          <cell r="D79" t="str">
            <v>Metric</v>
          </cell>
          <cell r="E79" t="str">
            <v>N/A</v>
          </cell>
          <cell r="H79">
            <v>9482</v>
          </cell>
          <cell r="I79" t="str">
            <v>Lifecycle ex-ante Therm net (Non-Audit)</v>
          </cell>
          <cell r="J79" t="str">
            <v>Total # of projects</v>
          </cell>
        </row>
        <row r="80">
          <cell r="A80">
            <v>121</v>
          </cell>
          <cell r="B80" t="str">
            <v>Res - MF</v>
          </cell>
          <cell r="C80" t="str">
            <v>Lifecycle ex-ante kW net per square foot</v>
          </cell>
          <cell r="D80" t="str">
            <v>Metric</v>
          </cell>
          <cell r="E80" t="str">
            <v>MDA Team</v>
          </cell>
          <cell r="H80">
            <v>5752047.954685661</v>
          </cell>
          <cell r="I80" t="str">
            <v>Lifecycle ex-ante kW net</v>
          </cell>
          <cell r="J80" t="str">
            <v>Sq. ft. of participating customers</v>
          </cell>
        </row>
        <row r="81">
          <cell r="A81">
            <v>122</v>
          </cell>
          <cell r="B81" t="str">
            <v>Res - MF</v>
          </cell>
          <cell r="C81" t="str">
            <v>Lifecycle ex-ante kWh net per square foot</v>
          </cell>
          <cell r="D81" t="str">
            <v>Metric</v>
          </cell>
          <cell r="E81" t="str">
            <v>MDA Team</v>
          </cell>
          <cell r="H81">
            <v>5752047.954685661</v>
          </cell>
          <cell r="I81" t="str">
            <v>Lifecycle ex-ante kWh net</v>
          </cell>
          <cell r="J81" t="str">
            <v>Sq. ft. of participating customers</v>
          </cell>
        </row>
        <row r="82">
          <cell r="A82">
            <v>123</v>
          </cell>
          <cell r="B82" t="str">
            <v>Res - MF</v>
          </cell>
          <cell r="C82" t="str">
            <v>Lifecycle ex-ante Therm net per square foot</v>
          </cell>
          <cell r="D82" t="str">
            <v>Metric</v>
          </cell>
          <cell r="E82" t="str">
            <v>MDA Team</v>
          </cell>
          <cell r="H82">
            <v>5752047.954685661</v>
          </cell>
          <cell r="I82" t="str">
            <v>Lifecycle ex-ante Therm net</v>
          </cell>
          <cell r="J82" t="str">
            <v>Sq. ft. of participating customers</v>
          </cell>
        </row>
        <row r="83">
          <cell r="A83">
            <v>124</v>
          </cell>
          <cell r="B83" t="str">
            <v>Res - MF</v>
          </cell>
          <cell r="C83" t="str">
            <v>Percent of participation relative to eligible population by property</v>
          </cell>
          <cell r="D83" t="str">
            <v>Metric</v>
          </cell>
          <cell r="E83" t="str">
            <v>MDA Team</v>
          </cell>
          <cell r="G83">
            <v>9482</v>
          </cell>
          <cell r="H83">
            <v>2203804</v>
          </cell>
          <cell r="I83" t="str">
            <v>Total # of projects</v>
          </cell>
          <cell r="J83" t="str">
            <v>Total # of Sector Customers</v>
          </cell>
        </row>
        <row r="84">
          <cell r="A84">
            <v>125</v>
          </cell>
          <cell r="B84" t="str">
            <v>Res - MF</v>
          </cell>
          <cell r="C84" t="str">
            <v>Percent of participation relative to eligible population by unit</v>
          </cell>
          <cell r="D84" t="str">
            <v>Metric</v>
          </cell>
          <cell r="E84" t="str">
            <v>MDA Team</v>
          </cell>
          <cell r="G84">
            <v>6317</v>
          </cell>
          <cell r="H84">
            <v>2203804</v>
          </cell>
          <cell r="I84" t="str">
            <v># of Participating Customers</v>
          </cell>
          <cell r="J84" t="str">
            <v>Total # of Sector Customers</v>
          </cell>
        </row>
        <row r="85">
          <cell r="A85">
            <v>126</v>
          </cell>
          <cell r="B85" t="str">
            <v>Res - MF</v>
          </cell>
          <cell r="C85" t="str">
            <v xml:space="preserve"> Percent of square feet of eligible population participating (by property)</v>
          </cell>
          <cell r="D85" t="str">
            <v>Metric</v>
          </cell>
          <cell r="E85" t="str">
            <v>MDA Team</v>
          </cell>
          <cell r="G85">
            <v>5752047.954685661</v>
          </cell>
          <cell r="H85">
            <v>2006709876.6389234</v>
          </cell>
          <cell r="I85" t="str">
            <v>Sq. ft. of participating customers</v>
          </cell>
          <cell r="J85" t="str">
            <v>Total sq. ft. of all sector customers</v>
          </cell>
        </row>
        <row r="86">
          <cell r="A86">
            <v>127</v>
          </cell>
          <cell r="B86" t="str">
            <v>Res - MF</v>
          </cell>
          <cell r="C86" t="str">
            <v>Percent of participation in disadvantaged communities</v>
          </cell>
          <cell r="D86" t="str">
            <v>Metric</v>
          </cell>
          <cell r="E86" t="str">
            <v>MDA Team</v>
          </cell>
          <cell r="G86">
            <v>2313</v>
          </cell>
          <cell r="H86">
            <v>265155</v>
          </cell>
          <cell r="I86" t="str">
            <v># of Participating DAC Customers</v>
          </cell>
          <cell r="J86" t="str">
            <v>Total # of DAC Customers</v>
          </cell>
        </row>
        <row r="87">
          <cell r="A87">
            <v>128</v>
          </cell>
          <cell r="B87" t="str">
            <v>Res - MF</v>
          </cell>
          <cell r="C87" t="str">
            <v xml:space="preserve"> Percent of participation by customers defined as “hard‐to‐reach”</v>
          </cell>
          <cell r="D87" t="str">
            <v>Metric</v>
          </cell>
          <cell r="E87" t="str">
            <v>MDA Team</v>
          </cell>
          <cell r="G87">
            <v>1984</v>
          </cell>
          <cell r="H87">
            <v>214995</v>
          </cell>
          <cell r="I87" t="str">
            <v># of Participating HTR Customers</v>
          </cell>
          <cell r="J87" t="str">
            <v>Total # of HTR Customers</v>
          </cell>
        </row>
        <row r="88">
          <cell r="A88">
            <v>129</v>
          </cell>
          <cell r="B88" t="str">
            <v>Res - MF</v>
          </cell>
          <cell r="C88" t="str">
            <v>Percent of benchmarked multi‐family properties relative to the eligible population</v>
          </cell>
          <cell r="D88" t="str">
            <v>Metric</v>
          </cell>
          <cell r="E88" t="str">
            <v>MDA Team</v>
          </cell>
          <cell r="G88">
            <v>428</v>
          </cell>
          <cell r="H88">
            <v>2203804</v>
          </cell>
          <cell r="I88" t="str">
            <v>Total # of benchmarked customers</v>
          </cell>
          <cell r="J88" t="str">
            <v>Total # of Sector Customers</v>
          </cell>
        </row>
        <row r="89">
          <cell r="A89">
            <v>130</v>
          </cell>
          <cell r="B89" t="str">
            <v>Res - MF</v>
          </cell>
          <cell r="C89" t="str">
            <v>Percent of benchmarking by properties defined as “hard‐to‐reach”</v>
          </cell>
          <cell r="D89" t="str">
            <v>Metric</v>
          </cell>
          <cell r="E89" t="str">
            <v>MDA Team</v>
          </cell>
          <cell r="G89">
            <v>56</v>
          </cell>
          <cell r="H89">
            <v>214995</v>
          </cell>
          <cell r="I89" t="str">
            <v># of benchmarked HTR customers</v>
          </cell>
          <cell r="J89" t="str">
            <v>Total # of HTR Customers</v>
          </cell>
        </row>
        <row r="90">
          <cell r="A90">
            <v>137</v>
          </cell>
          <cell r="B90" t="str">
            <v>Res - MF</v>
          </cell>
          <cell r="C90" t="str">
            <v>Average electric and gas usage per unit</v>
          </cell>
          <cell r="D90" t="str">
            <v>Indicator</v>
          </cell>
          <cell r="E90" t="str">
            <v>MDA Team</v>
          </cell>
          <cell r="G90">
            <v>0</v>
          </cell>
          <cell r="H90">
            <v>2006709876.6389234</v>
          </cell>
          <cell r="I90" t="str">
            <v>Total sector energy usage (Btu)</v>
          </cell>
          <cell r="J90" t="str">
            <v>Total sq. ft. of all sector customers</v>
          </cell>
        </row>
        <row r="91">
          <cell r="A91">
            <v>138</v>
          </cell>
          <cell r="B91" t="str">
            <v>Res - MF</v>
          </cell>
          <cell r="C91" t="str">
            <v>Average electric and gas usage per square foot</v>
          </cell>
          <cell r="D91" t="str">
            <v>Indicator</v>
          </cell>
          <cell r="E91" t="str">
            <v>MDA Team</v>
          </cell>
          <cell r="G91">
            <v>0</v>
          </cell>
          <cell r="H91">
            <v>2006709876.6389234</v>
          </cell>
          <cell r="I91" t="str">
            <v>Total sector energy usage (Btu)</v>
          </cell>
          <cell r="J91" t="str">
            <v>Total sq. ft. of all sector customers</v>
          </cell>
        </row>
        <row r="92">
          <cell r="A92">
            <v>151</v>
          </cell>
          <cell r="B92" t="str">
            <v>Commercial</v>
          </cell>
          <cell r="C92" t="str">
            <v xml:space="preserve">Percent first year annual kW gross </v>
          </cell>
          <cell r="D92" t="str">
            <v>Metric</v>
          </cell>
          <cell r="E92" t="str">
            <v>MDA Team</v>
          </cell>
          <cell r="H92">
            <v>113689046.06550001</v>
          </cell>
          <cell r="I92" t="str">
            <v>First year annual kW gross</v>
          </cell>
          <cell r="J92" t="str">
            <v>Total annual sector max demand (kW)</v>
          </cell>
        </row>
        <row r="93">
          <cell r="A93">
            <v>152</v>
          </cell>
          <cell r="B93" t="str">
            <v>Commercial</v>
          </cell>
          <cell r="C93" t="str">
            <v>Percent first year annual kW net</v>
          </cell>
          <cell r="D93" t="str">
            <v>Metric</v>
          </cell>
          <cell r="E93" t="str">
            <v>MDA Team</v>
          </cell>
          <cell r="H93">
            <v>113689046.06550001</v>
          </cell>
          <cell r="I93" t="str">
            <v>First year annual kW net</v>
          </cell>
          <cell r="J93" t="str">
            <v>Total annual sector max demand (kW)</v>
          </cell>
        </row>
        <row r="94">
          <cell r="A94">
            <v>153</v>
          </cell>
          <cell r="B94" t="str">
            <v>Commercial</v>
          </cell>
          <cell r="C94" t="str">
            <v>Percent first year annual kWh gross</v>
          </cell>
          <cell r="D94" t="str">
            <v>Metric</v>
          </cell>
          <cell r="E94" t="str">
            <v>MDA Team</v>
          </cell>
          <cell r="H94">
            <v>33942505759.975399</v>
          </cell>
          <cell r="I94" t="str">
            <v>First year annual kWh gross</v>
          </cell>
          <cell r="J94" t="str">
            <v>Total annual sector elec usage (kWh)</v>
          </cell>
        </row>
        <row r="95">
          <cell r="A95">
            <v>154</v>
          </cell>
          <cell r="B95" t="str">
            <v>Commercial</v>
          </cell>
          <cell r="C95" t="str">
            <v>Percent first year annual kWh net</v>
          </cell>
          <cell r="D95" t="str">
            <v>Metric</v>
          </cell>
          <cell r="E95" t="str">
            <v>MDA Team</v>
          </cell>
          <cell r="H95">
            <v>33942505759.975399</v>
          </cell>
          <cell r="I95" t="str">
            <v>First year annual kWh net</v>
          </cell>
          <cell r="J95" t="str">
            <v>Total annual sector elec usage (kWh)</v>
          </cell>
        </row>
        <row r="96">
          <cell r="A96">
            <v>155</v>
          </cell>
          <cell r="B96" t="str">
            <v>Commercial</v>
          </cell>
          <cell r="C96" t="str">
            <v>Percent first year annual Therm gross</v>
          </cell>
          <cell r="D96" t="str">
            <v>Metric</v>
          </cell>
          <cell r="E96" t="str">
            <v>MDA Team</v>
          </cell>
          <cell r="H96">
            <v>1099729865.5796299</v>
          </cell>
          <cell r="I96" t="str">
            <v>First year annual Therm gross</v>
          </cell>
          <cell r="J96" t="str">
            <v>Total annual sector gas usage (therms)</v>
          </cell>
        </row>
        <row r="97">
          <cell r="A97">
            <v>156</v>
          </cell>
          <cell r="B97" t="str">
            <v>Commercial</v>
          </cell>
          <cell r="C97" t="str">
            <v>Percent first year annual Therm net</v>
          </cell>
          <cell r="D97" t="str">
            <v>Metric</v>
          </cell>
          <cell r="E97" t="str">
            <v>MDA Team</v>
          </cell>
          <cell r="H97">
            <v>1099729865.5796299</v>
          </cell>
          <cell r="I97" t="str">
            <v>First year annual Therm net</v>
          </cell>
          <cell r="J97" t="str">
            <v>Total annual sector gas usage (therms)</v>
          </cell>
        </row>
        <row r="98">
          <cell r="A98">
            <v>157</v>
          </cell>
          <cell r="B98" t="str">
            <v>Commercial</v>
          </cell>
          <cell r="C98" t="str">
            <v>Percent lifecycle ex-ante kW gross</v>
          </cell>
          <cell r="D98" t="str">
            <v>Metric</v>
          </cell>
          <cell r="E98" t="str">
            <v>MDA Team</v>
          </cell>
          <cell r="H98">
            <v>113689046.06550001</v>
          </cell>
          <cell r="I98" t="str">
            <v>Lifecycle ex-ante kW gross</v>
          </cell>
          <cell r="J98" t="str">
            <v>Total annual sector max demand (kW)</v>
          </cell>
        </row>
        <row r="99">
          <cell r="A99">
            <v>158</v>
          </cell>
          <cell r="B99" t="str">
            <v>Commercial</v>
          </cell>
          <cell r="C99" t="str">
            <v>Percent lifecycle ex-ante kW net</v>
          </cell>
          <cell r="D99" t="str">
            <v>Metric</v>
          </cell>
          <cell r="E99" t="str">
            <v>MDA Team</v>
          </cell>
          <cell r="H99">
            <v>113689046.06550001</v>
          </cell>
          <cell r="I99" t="str">
            <v>Lifecycle ex-ante kW net</v>
          </cell>
          <cell r="J99" t="str">
            <v>Total annual sector max demand (kW)</v>
          </cell>
        </row>
        <row r="100">
          <cell r="A100">
            <v>159</v>
          </cell>
          <cell r="B100" t="str">
            <v>Commercial</v>
          </cell>
          <cell r="C100" t="str">
            <v>Percent lifecycle ex-ante kWh gross</v>
          </cell>
          <cell r="D100" t="str">
            <v>Metric</v>
          </cell>
          <cell r="E100" t="str">
            <v>MDA Team</v>
          </cell>
          <cell r="H100">
            <v>33942505759.975399</v>
          </cell>
          <cell r="I100" t="str">
            <v>Lifecycle ex-ante kWh gross</v>
          </cell>
          <cell r="J100" t="str">
            <v>Total annual sector elec usage (kWh)</v>
          </cell>
        </row>
        <row r="101">
          <cell r="A101">
            <v>160</v>
          </cell>
          <cell r="B101" t="str">
            <v>Commercial</v>
          </cell>
          <cell r="C101" t="str">
            <v>Percent lifecycle ex-ante kWh net</v>
          </cell>
          <cell r="D101" t="str">
            <v>Metric</v>
          </cell>
          <cell r="E101" t="str">
            <v>MDA Team</v>
          </cell>
          <cell r="H101">
            <v>33942505759.975399</v>
          </cell>
          <cell r="I101" t="str">
            <v>Lifecycle ex-ante kWh net</v>
          </cell>
          <cell r="J101" t="str">
            <v>Total annual sector elec usage (kWh)</v>
          </cell>
        </row>
        <row r="102">
          <cell r="A102">
            <v>161</v>
          </cell>
          <cell r="B102" t="str">
            <v>Commercial</v>
          </cell>
          <cell r="C102" t="str">
            <v>Percent lifecycle ex-ante Therm gross</v>
          </cell>
          <cell r="D102" t="str">
            <v>Metric</v>
          </cell>
          <cell r="E102" t="str">
            <v>MDA Team</v>
          </cell>
          <cell r="H102">
            <v>1099729865.5796299</v>
          </cell>
          <cell r="I102" t="str">
            <v>Lifecycle ex-ante Therm gross</v>
          </cell>
          <cell r="J102" t="str">
            <v>Total annual sector gas usage (therms)</v>
          </cell>
        </row>
        <row r="103">
          <cell r="A103">
            <v>162</v>
          </cell>
          <cell r="B103" t="str">
            <v>Commercial</v>
          </cell>
          <cell r="C103" t="str">
            <v>Percent lifecycle ex-ante Therm net</v>
          </cell>
          <cell r="D103" t="str">
            <v>Metric</v>
          </cell>
          <cell r="E103" t="str">
            <v>MDA Team</v>
          </cell>
          <cell r="H103">
            <v>1099729865.5796299</v>
          </cell>
          <cell r="I103" t="str">
            <v>Lifecycle ex-ante Therm net</v>
          </cell>
          <cell r="J103" t="str">
            <v>Total annual sector gas usage (therms)</v>
          </cell>
        </row>
        <row r="104">
          <cell r="A104">
            <v>165</v>
          </cell>
          <cell r="B104" t="str">
            <v>Commercial</v>
          </cell>
          <cell r="C104" t="str">
            <v>Percent lifecycle gross kWh</v>
          </cell>
          <cell r="D104" t="str">
            <v>Metric</v>
          </cell>
          <cell r="E104" t="str">
            <v>MDA Team</v>
          </cell>
          <cell r="H104">
            <v>5406749213.2316599</v>
          </cell>
          <cell r="I104" t="str">
            <v>Lifecycle gross kWh</v>
          </cell>
          <cell r="J104" t="str">
            <v>Annual sector elec usage of participants</v>
          </cell>
        </row>
        <row r="105">
          <cell r="A105">
            <v>166</v>
          </cell>
          <cell r="B105" t="str">
            <v>Commercial</v>
          </cell>
          <cell r="C105" t="str">
            <v>Percent lifecycle gross Therms</v>
          </cell>
          <cell r="D105" t="str">
            <v>Metric</v>
          </cell>
          <cell r="E105" t="str">
            <v>MDA Team</v>
          </cell>
          <cell r="H105">
            <v>42202462.835056998</v>
          </cell>
          <cell r="I105" t="str">
            <v>Lifecycle gross therms</v>
          </cell>
          <cell r="J105" t="str">
            <v>Annual sector gas usage of participants</v>
          </cell>
        </row>
        <row r="106">
          <cell r="A106">
            <v>167</v>
          </cell>
          <cell r="B106" t="str">
            <v>Commercial</v>
          </cell>
          <cell r="C106" t="str">
            <v>Percent of participation relative to eligible population for large customers</v>
          </cell>
          <cell r="D106" t="str">
            <v>Metric</v>
          </cell>
          <cell r="E106" t="str">
            <v>MDA Team</v>
          </cell>
          <cell r="G106">
            <v>4602</v>
          </cell>
          <cell r="H106">
            <v>12135</v>
          </cell>
          <cell r="I106" t="str">
            <v># of participating large customers</v>
          </cell>
          <cell r="J106" t="str">
            <v>Total # of large customers</v>
          </cell>
        </row>
        <row r="107">
          <cell r="A107">
            <v>168</v>
          </cell>
          <cell r="B107" t="str">
            <v>Commercial</v>
          </cell>
          <cell r="C107" t="str">
            <v>Percent of participation relative to eligible population for medium customers</v>
          </cell>
          <cell r="D107" t="str">
            <v>Metric</v>
          </cell>
          <cell r="E107" t="str">
            <v>MDA Team</v>
          </cell>
          <cell r="G107">
            <v>5805</v>
          </cell>
          <cell r="H107">
            <v>116106</v>
          </cell>
          <cell r="I107" t="str">
            <v># of participating medium customers</v>
          </cell>
          <cell r="J107" t="str">
            <v>Total # of medium customers</v>
          </cell>
        </row>
        <row r="108">
          <cell r="A108">
            <v>169</v>
          </cell>
          <cell r="B108" t="str">
            <v>Commercial</v>
          </cell>
          <cell r="C108" t="str">
            <v>Percent of participation relative to eligible population for  small customers</v>
          </cell>
          <cell r="D108" t="str">
            <v>Metric</v>
          </cell>
          <cell r="E108" t="str">
            <v>MDA Team</v>
          </cell>
          <cell r="G108">
            <v>4602</v>
          </cell>
          <cell r="H108">
            <v>511501</v>
          </cell>
          <cell r="I108" t="str">
            <v># of participating small customers</v>
          </cell>
          <cell r="J108" t="str">
            <v>Total # of small customers</v>
          </cell>
        </row>
        <row r="109">
          <cell r="A109">
            <v>170</v>
          </cell>
          <cell r="B109" t="str">
            <v>Commercial</v>
          </cell>
          <cell r="C109" t="str">
            <v>Percent of square feet of eligible population</v>
          </cell>
          <cell r="D109" t="str">
            <v>Metric</v>
          </cell>
          <cell r="E109" t="str">
            <v>MDA Team</v>
          </cell>
          <cell r="G109">
            <v>48863507.305730052</v>
          </cell>
          <cell r="H109">
            <v>2082752874.3275604</v>
          </cell>
          <cell r="I109" t="str">
            <v>Sq. ft. of participating customers</v>
          </cell>
          <cell r="J109" t="str">
            <v>Total sq. ft. of all sector customers</v>
          </cell>
        </row>
        <row r="110">
          <cell r="A110">
            <v>171</v>
          </cell>
          <cell r="B110" t="str">
            <v>Commercial</v>
          </cell>
          <cell r="C110" t="str">
            <v>Percent of participation by customers defined as “hard‐to‐reach”</v>
          </cell>
          <cell r="D110" t="str">
            <v>Metric</v>
          </cell>
          <cell r="E110" t="str">
            <v>MDA Team</v>
          </cell>
          <cell r="G110">
            <v>4702</v>
          </cell>
          <cell r="H110">
            <v>260770</v>
          </cell>
          <cell r="I110" t="str">
            <v># of participating HTR customers</v>
          </cell>
          <cell r="J110" t="str">
            <v>Total # of HTR customers</v>
          </cell>
        </row>
        <row r="111">
          <cell r="A111">
            <v>172</v>
          </cell>
          <cell r="B111" t="str">
            <v>Commercial</v>
          </cell>
          <cell r="C111" t="str">
            <v>Percent of benchmarked square feet of eligible population</v>
          </cell>
          <cell r="D111" t="str">
            <v>Metric</v>
          </cell>
          <cell r="E111" t="str">
            <v>MDA Team</v>
          </cell>
          <cell r="G111">
            <v>5007134.0020129802</v>
          </cell>
          <cell r="H111">
            <v>2082752874.3275604</v>
          </cell>
          <cell r="I111" t="str">
            <v>Sq. ft. of benchmarked customers</v>
          </cell>
          <cell r="J111" t="str">
            <v>Total sq. ft. of all sector customers</v>
          </cell>
        </row>
        <row r="112">
          <cell r="A112">
            <v>173</v>
          </cell>
          <cell r="B112" t="str">
            <v>Commercial</v>
          </cell>
          <cell r="C112" t="str">
            <v>Percent of benchmarked customers relative to eligible population for large customers</v>
          </cell>
          <cell r="D112" t="str">
            <v>Metric</v>
          </cell>
          <cell r="E112" t="str">
            <v>MDA Team</v>
          </cell>
          <cell r="G112">
            <v>415</v>
          </cell>
          <cell r="H112">
            <v>12135</v>
          </cell>
          <cell r="I112" t="str">
            <v># of benchmarked large customers</v>
          </cell>
          <cell r="J112" t="str">
            <v>Total # of large customers</v>
          </cell>
        </row>
        <row r="113">
          <cell r="A113">
            <v>174</v>
          </cell>
          <cell r="B113" t="str">
            <v>Commercial</v>
          </cell>
          <cell r="C113" t="str">
            <v>Percent of benchmarked customers relative to eligible population for medium customers</v>
          </cell>
          <cell r="D113" t="str">
            <v>Metric</v>
          </cell>
          <cell r="E113" t="str">
            <v>MDA Team</v>
          </cell>
          <cell r="G113">
            <v>642</v>
          </cell>
          <cell r="H113">
            <v>116106</v>
          </cell>
          <cell r="I113" t="str">
            <v># of benchmarked medium customers</v>
          </cell>
          <cell r="J113" t="str">
            <v>Total # of medium customers</v>
          </cell>
        </row>
        <row r="114">
          <cell r="A114">
            <v>175</v>
          </cell>
          <cell r="B114" t="str">
            <v>Commercial</v>
          </cell>
          <cell r="C114" t="str">
            <v>Percent of benchmarked customers relative to eligible population for small  customers</v>
          </cell>
          <cell r="D114" t="str">
            <v>Metric</v>
          </cell>
          <cell r="E114" t="str">
            <v>MDA Team</v>
          </cell>
          <cell r="G114">
            <v>481</v>
          </cell>
          <cell r="H114">
            <v>511501</v>
          </cell>
          <cell r="I114" t="str">
            <v># of benchmarked small customers</v>
          </cell>
          <cell r="J114" t="str">
            <v>Total # of small customers</v>
          </cell>
        </row>
        <row r="115">
          <cell r="A115">
            <v>176</v>
          </cell>
          <cell r="B115" t="str">
            <v>Commercial</v>
          </cell>
          <cell r="C115" t="str">
            <v>Percent of benchmarking by customers defined as “hard‐to‐reach”</v>
          </cell>
          <cell r="D115" t="str">
            <v>Metric</v>
          </cell>
          <cell r="E115" t="str">
            <v>MDA Team</v>
          </cell>
          <cell r="G115">
            <v>433</v>
          </cell>
          <cell r="H115">
            <v>260770</v>
          </cell>
          <cell r="I115" t="str">
            <v># of benchmarked HTR customers</v>
          </cell>
          <cell r="J115" t="str">
            <v>Total # of HTR customers</v>
          </cell>
        </row>
        <row r="116">
          <cell r="A116">
            <v>183</v>
          </cell>
          <cell r="B116" t="str">
            <v>Commercial</v>
          </cell>
          <cell r="C116" t="str">
            <v>Percent of total projects utilizing Normalized Metered Energy Consumption (NMEC) to estimate savings</v>
          </cell>
          <cell r="D116" t="str">
            <v>Indicator</v>
          </cell>
          <cell r="E116" t="str">
            <v>MDA Team</v>
          </cell>
          <cell r="I116" t="str">
            <v># of custom projects using NMEC to estimate savings</v>
          </cell>
          <cell r="J116" t="str">
            <v># of custom projects</v>
          </cell>
        </row>
        <row r="117">
          <cell r="A117">
            <v>184</v>
          </cell>
          <cell r="B117" t="str">
            <v>Commercial</v>
          </cell>
          <cell r="C117" t="str">
            <v>Percent of total savings (gross kWh and therm) derived from NMEC analysis</v>
          </cell>
          <cell r="D117" t="str">
            <v>Indicator</v>
          </cell>
          <cell r="E117" t="str">
            <v>MDA Team</v>
          </cell>
          <cell r="I117" t="str">
            <v>Total custom savings derived from NMEC analysis</v>
          </cell>
          <cell r="J117" t="str">
            <v>Total custom savings</v>
          </cell>
        </row>
        <row r="118">
          <cell r="A118">
            <v>185</v>
          </cell>
          <cell r="B118" t="str">
            <v>Commercial</v>
          </cell>
          <cell r="C118" t="str">
            <v>Percent Improvement in customer satisfaction</v>
          </cell>
          <cell r="D118" t="str">
            <v>Indicator</v>
          </cell>
          <cell r="E118" t="str">
            <v>Unknown</v>
          </cell>
          <cell r="I118" t="str">
            <v>TBD</v>
          </cell>
          <cell r="J118" t="str">
            <v>TBD</v>
          </cell>
        </row>
        <row r="119">
          <cell r="A119">
            <v>186</v>
          </cell>
          <cell r="B119" t="str">
            <v>Commercial</v>
          </cell>
          <cell r="C119" t="str">
            <v>Percent Improvement in trade ally satisfaction</v>
          </cell>
          <cell r="D119" t="str">
            <v>Indicator</v>
          </cell>
          <cell r="E119" t="str">
            <v>Unknown</v>
          </cell>
          <cell r="I119" t="str">
            <v>TBD</v>
          </cell>
          <cell r="J119" t="str">
            <v>TBD</v>
          </cell>
        </row>
        <row r="120">
          <cell r="A120">
            <v>187</v>
          </cell>
          <cell r="B120" t="str">
            <v>Commercial</v>
          </cell>
          <cell r="C120" t="str">
            <v>Percent of total investments made by ratepayers and private capital</v>
          </cell>
          <cell r="D120" t="str">
            <v>Indicator</v>
          </cell>
          <cell r="E120" t="str">
            <v>MDA Team</v>
          </cell>
          <cell r="I120" t="str">
            <v>Total incentive amount</v>
          </cell>
          <cell r="J120" t="str">
            <v>Total project costs</v>
          </cell>
        </row>
        <row r="121">
          <cell r="A121">
            <v>201</v>
          </cell>
          <cell r="B121" t="str">
            <v>Public</v>
          </cell>
          <cell r="C121" t="str">
            <v>Percent annual net kW per project building or facility</v>
          </cell>
          <cell r="D121" t="str">
            <v>Indicator</v>
          </cell>
          <cell r="E121" t="str">
            <v>MDA Team</v>
          </cell>
          <cell r="H121">
            <v>0</v>
          </cell>
          <cell r="I121" t="str">
            <v>First year annual kW net</v>
          </cell>
          <cell r="J121" t="str">
            <v>Total # of projects</v>
          </cell>
        </row>
        <row r="122">
          <cell r="A122">
            <v>202</v>
          </cell>
          <cell r="B122" t="str">
            <v>Public</v>
          </cell>
          <cell r="C122" t="str">
            <v>Percent annual net kWh per project building or facility</v>
          </cell>
          <cell r="D122" t="str">
            <v>Indicator</v>
          </cell>
          <cell r="E122" t="str">
            <v>MDA Team</v>
          </cell>
          <cell r="H122">
            <v>0</v>
          </cell>
          <cell r="I122" t="str">
            <v>First year annual kWh net</v>
          </cell>
          <cell r="J122" t="str">
            <v>Total # of projects</v>
          </cell>
        </row>
        <row r="123">
          <cell r="A123">
            <v>203</v>
          </cell>
          <cell r="B123" t="str">
            <v>Public</v>
          </cell>
          <cell r="C123" t="str">
            <v>Percent annual net Therms per project building or facility</v>
          </cell>
          <cell r="D123" t="str">
            <v>Indicator</v>
          </cell>
          <cell r="E123" t="str">
            <v>MDA Team</v>
          </cell>
          <cell r="H123">
            <v>0</v>
          </cell>
          <cell r="I123" t="str">
            <v>First year annual Therm net</v>
          </cell>
          <cell r="J123" t="str">
            <v>Total # of projects</v>
          </cell>
        </row>
        <row r="124">
          <cell r="A124">
            <v>204</v>
          </cell>
          <cell r="B124" t="str">
            <v>Public</v>
          </cell>
          <cell r="C124" t="str">
            <v>Average annual net kw savings per project building floor plan area</v>
          </cell>
          <cell r="D124" t="str">
            <v>Indicator</v>
          </cell>
          <cell r="E124" t="str">
            <v>MDA Team</v>
          </cell>
          <cell r="H124">
            <v>0</v>
          </cell>
          <cell r="I124" t="str">
            <v>First year annual kW net</v>
          </cell>
          <cell r="J124" t="str">
            <v>Sq. ft. of participating customers</v>
          </cell>
        </row>
        <row r="125">
          <cell r="A125">
            <v>205</v>
          </cell>
          <cell r="B125" t="str">
            <v>Public</v>
          </cell>
          <cell r="C125" t="str">
            <v>Average annual net kw savings per project building floor plan area</v>
          </cell>
          <cell r="D125" t="str">
            <v>Indicator</v>
          </cell>
          <cell r="E125" t="str">
            <v>MDA Team</v>
          </cell>
          <cell r="H125">
            <v>0</v>
          </cell>
          <cell r="I125" t="str">
            <v>First year annual kWh net</v>
          </cell>
          <cell r="J125" t="str">
            <v>Sq. ft. of participating customers</v>
          </cell>
        </row>
        <row r="126">
          <cell r="A126">
            <v>206</v>
          </cell>
          <cell r="B126" t="str">
            <v>Public</v>
          </cell>
          <cell r="C126" t="str">
            <v>Average annual net Therm savings per project building floor plan area</v>
          </cell>
          <cell r="D126" t="str">
            <v>Indicator</v>
          </cell>
          <cell r="E126" t="str">
            <v>MDA Team</v>
          </cell>
          <cell r="H126">
            <v>0</v>
          </cell>
          <cell r="I126" t="str">
            <v>First year annual Therm net</v>
          </cell>
          <cell r="J126" t="str">
            <v>Sq. ft. of participating customers</v>
          </cell>
        </row>
        <row r="127">
          <cell r="A127">
            <v>207</v>
          </cell>
          <cell r="B127" t="str">
            <v>Public</v>
          </cell>
          <cell r="C127" t="str">
            <v>Average annual Net kW savings per annual flow through project water/wastewater facilities</v>
          </cell>
          <cell r="D127" t="str">
            <v>Indicator</v>
          </cell>
          <cell r="E127" t="str">
            <v>Unknown</v>
          </cell>
          <cell r="I127" t="str">
            <v>First year annual kW net from water/wastewater customers</v>
          </cell>
          <cell r="J127" t="str">
            <v>???</v>
          </cell>
        </row>
        <row r="128">
          <cell r="A128">
            <v>208</v>
          </cell>
          <cell r="B128" t="str">
            <v>Public</v>
          </cell>
          <cell r="C128" t="str">
            <v>Average annual Net kWh savings per annual flow through project water/wastewater facilities</v>
          </cell>
          <cell r="D128" t="str">
            <v>Indicator</v>
          </cell>
          <cell r="E128" t="str">
            <v>Unknown</v>
          </cell>
          <cell r="I128" t="str">
            <v>First year annual kWh net from water/wastewater customers</v>
          </cell>
          <cell r="J128" t="str">
            <v>???</v>
          </cell>
        </row>
        <row r="129">
          <cell r="A129">
            <v>209</v>
          </cell>
          <cell r="B129" t="str">
            <v>Public</v>
          </cell>
          <cell r="C129" t="str">
            <v>Average annual Net Therms savings per annual flow through project water/wastewater facilities</v>
          </cell>
          <cell r="D129" t="str">
            <v>Indicator</v>
          </cell>
          <cell r="E129" t="str">
            <v>Unknown</v>
          </cell>
          <cell r="I129" t="str">
            <v>First year annual Therm net from water/wastewater customers</v>
          </cell>
          <cell r="J129" t="str">
            <v>???</v>
          </cell>
        </row>
        <row r="130">
          <cell r="A130">
            <v>210</v>
          </cell>
          <cell r="B130" t="str">
            <v>Public</v>
          </cell>
          <cell r="C130" t="str">
            <v>Percent of Public Sector accounts participating in programs</v>
          </cell>
          <cell r="D130" t="str">
            <v>Metric</v>
          </cell>
          <cell r="E130" t="str">
            <v>MDA Team</v>
          </cell>
          <cell r="G130">
            <v>1398</v>
          </cell>
          <cell r="H130">
            <v>75222</v>
          </cell>
          <cell r="I130" t="str">
            <v># of participating customers</v>
          </cell>
          <cell r="J130" t="str">
            <v>Total # of sector customers</v>
          </cell>
        </row>
        <row r="131">
          <cell r="A131">
            <v>211</v>
          </cell>
          <cell r="B131" t="str">
            <v>Public</v>
          </cell>
          <cell r="C131" t="str">
            <v>Percent of estimated floorplan area (i.e., ft2) of all Public Sector buildings participating in building projects</v>
          </cell>
          <cell r="D131" t="str">
            <v>Indicator</v>
          </cell>
          <cell r="E131" t="str">
            <v>MDA Team</v>
          </cell>
          <cell r="G131">
            <v>0</v>
          </cell>
          <cell r="H131">
            <v>0</v>
          </cell>
          <cell r="I131" t="str">
            <v>Sq. ft. of participating customers</v>
          </cell>
          <cell r="J131" t="str">
            <v>Total sq. ft. of all sector customers</v>
          </cell>
        </row>
        <row r="132">
          <cell r="A132">
            <v>212</v>
          </cell>
          <cell r="B132" t="str">
            <v>Public</v>
          </cell>
          <cell r="C132" t="str">
            <v>Percent of Public Sector water/wastewater flow enrolled in non‐building water/wastewater programs</v>
          </cell>
          <cell r="D132" t="str">
            <v>Indicator</v>
          </cell>
          <cell r="E132" t="str">
            <v>Unknown</v>
          </cell>
          <cell r="I132" t="str">
            <v>???</v>
          </cell>
          <cell r="J132" t="str">
            <v>???</v>
          </cell>
        </row>
        <row r="133">
          <cell r="A133">
            <v>219</v>
          </cell>
          <cell r="B133" t="str">
            <v>Public</v>
          </cell>
          <cell r="C133" t="str">
            <v>Total program‐backed financing distributed to Public Sector customers requiring repayment</v>
          </cell>
          <cell r="D133" t="str">
            <v>Indicator</v>
          </cell>
          <cell r="E133" t="str">
            <v>Unknown</v>
          </cell>
          <cell r="I133" t="str">
            <v>N/A</v>
          </cell>
          <cell r="J133" t="str">
            <v>N/A</v>
          </cell>
        </row>
        <row r="134">
          <cell r="A134">
            <v>220</v>
          </cell>
          <cell r="B134" t="str">
            <v>Public</v>
          </cell>
          <cell r="C134" t="str">
            <v>Percent of Public Sector buildings with current benchmark</v>
          </cell>
          <cell r="D134" t="str">
            <v>Metric</v>
          </cell>
          <cell r="E134" t="str">
            <v>MDA Team</v>
          </cell>
          <cell r="G134">
            <v>479</v>
          </cell>
          <cell r="H134">
            <v>75222</v>
          </cell>
          <cell r="I134" t="str">
            <v>Total # of benchmarked customers</v>
          </cell>
          <cell r="J134" t="str">
            <v>Total # of sector customers</v>
          </cell>
        </row>
        <row r="135">
          <cell r="A135">
            <v>221</v>
          </cell>
          <cell r="B135" t="str">
            <v>Public</v>
          </cell>
          <cell r="C135" t="str">
            <v xml:space="preserve"> Average energy use intensity of all Public Sector buildings</v>
          </cell>
          <cell r="D135" t="str">
            <v>Metric</v>
          </cell>
          <cell r="E135" t="str">
            <v>MDA Team</v>
          </cell>
          <cell r="G135">
            <v>3613159459.6049199</v>
          </cell>
          <cell r="H135">
            <v>75222</v>
          </cell>
          <cell r="I135" t="str">
            <v>Total sector energy usage (Btu)</v>
          </cell>
          <cell r="J135" t="str">
            <v>Total # of sector customers</v>
          </cell>
        </row>
        <row r="136">
          <cell r="A136">
            <v>222</v>
          </cell>
          <cell r="B136" t="str">
            <v>Public</v>
          </cell>
          <cell r="C136" t="str">
            <v>Percent of floorplan area of all Public Sector buildings with current benchmark</v>
          </cell>
          <cell r="D136" t="str">
            <v>Indicator</v>
          </cell>
          <cell r="E136" t="str">
            <v>MDA Team</v>
          </cell>
          <cell r="H136">
            <v>0</v>
          </cell>
          <cell r="I136" t="str">
            <v>Total sq. ft. of sector buildings benchmarked in current year (in Portfolio Manager)</v>
          </cell>
          <cell r="J136" t="str">
            <v>Sq. ft. of benchmarked customers</v>
          </cell>
        </row>
        <row r="137">
          <cell r="A137">
            <v>236</v>
          </cell>
          <cell r="B137" t="str">
            <v>Industrial</v>
          </cell>
          <cell r="C137" t="str">
            <v>Percent of participation relative to eligible population for large customers</v>
          </cell>
          <cell r="D137" t="str">
            <v>Metric</v>
          </cell>
          <cell r="E137" t="str">
            <v>MDA Team</v>
          </cell>
          <cell r="G137">
            <v>149</v>
          </cell>
          <cell r="H137">
            <v>2451</v>
          </cell>
          <cell r="I137" t="str">
            <v># of participating large customers</v>
          </cell>
          <cell r="J137" t="str">
            <v>Total # of large customers</v>
          </cell>
        </row>
        <row r="138">
          <cell r="A138">
            <v>237</v>
          </cell>
          <cell r="B138" t="str">
            <v>Industrial</v>
          </cell>
          <cell r="C138" t="str">
            <v>Percent of participation relative to eligible population for medium customers</v>
          </cell>
          <cell r="D138" t="str">
            <v>Metric</v>
          </cell>
          <cell r="E138" t="str">
            <v>MDA Team</v>
          </cell>
          <cell r="G138">
            <v>224</v>
          </cell>
          <cell r="H138">
            <v>11472</v>
          </cell>
          <cell r="I138" t="str">
            <v># of participating medium customers</v>
          </cell>
          <cell r="J138" t="str">
            <v>Total # of medium customers</v>
          </cell>
        </row>
        <row r="139">
          <cell r="A139">
            <v>238</v>
          </cell>
          <cell r="B139" t="str">
            <v>Industrial</v>
          </cell>
          <cell r="C139" t="str">
            <v>Percent of participation relative to eligible population for  small customers</v>
          </cell>
          <cell r="D139" t="str">
            <v>Metric</v>
          </cell>
          <cell r="E139" t="str">
            <v>MDA Team</v>
          </cell>
          <cell r="G139">
            <v>185</v>
          </cell>
          <cell r="H139">
            <v>48953</v>
          </cell>
          <cell r="I139" t="str">
            <v># of participating small customers</v>
          </cell>
          <cell r="J139" t="str">
            <v>Total # of small customers</v>
          </cell>
        </row>
        <row r="140">
          <cell r="A140">
            <v>239</v>
          </cell>
          <cell r="B140" t="str">
            <v>Industrial</v>
          </cell>
          <cell r="C140" t="str">
            <v>Percent of large customers participating in reporting year that have not received an incentive for the past three years</v>
          </cell>
          <cell r="D140" t="str">
            <v>Indicator</v>
          </cell>
          <cell r="E140" t="str">
            <v>Unknown</v>
          </cell>
          <cell r="H140">
            <v>2451</v>
          </cell>
          <cell r="I140" t="str">
            <v>Annual number of large customers that have not received an incentive for the past 3 years</v>
          </cell>
          <cell r="J140" t="str">
            <v>Total # of large customers</v>
          </cell>
        </row>
        <row r="141">
          <cell r="A141">
            <v>240</v>
          </cell>
          <cell r="B141" t="str">
            <v>Industrial</v>
          </cell>
          <cell r="C141" t="str">
            <v>Percent of medium customers participating in reporting year that have not received an incentive for the past three years</v>
          </cell>
          <cell r="D141" t="str">
            <v>Indicator</v>
          </cell>
          <cell r="E141" t="str">
            <v>Unknown</v>
          </cell>
          <cell r="H141">
            <v>11472</v>
          </cell>
          <cell r="I141" t="str">
            <v>Annual number of medium customers that have not received an incentive for the past 3 years</v>
          </cell>
          <cell r="J141" t="str">
            <v>Total # of medium customers</v>
          </cell>
        </row>
        <row r="142">
          <cell r="A142">
            <v>241</v>
          </cell>
          <cell r="B142" t="str">
            <v>Industrial</v>
          </cell>
          <cell r="C142" t="str">
            <v>Percent of small customers participating in reporting year that have not received an incentive for the past three years</v>
          </cell>
          <cell r="D142" t="str">
            <v>Indicator</v>
          </cell>
          <cell r="E142" t="str">
            <v>Unknown</v>
          </cell>
          <cell r="H142">
            <v>48953</v>
          </cell>
          <cell r="I142" t="str">
            <v>Annual number of small customers that have not received an incentive for the past 3 years</v>
          </cell>
          <cell r="J142" t="str">
            <v>Total # of small customers</v>
          </cell>
        </row>
        <row r="143">
          <cell r="A143">
            <v>248</v>
          </cell>
          <cell r="B143" t="str">
            <v>Industrial</v>
          </cell>
          <cell r="C143" t="str">
            <v xml:space="preserve">Percent first year annual kW gross </v>
          </cell>
          <cell r="D143" t="str">
            <v>Metric</v>
          </cell>
          <cell r="E143" t="str">
            <v>MDA Team</v>
          </cell>
          <cell r="H143">
            <v>0</v>
          </cell>
          <cell r="I143" t="str">
            <v>First year annual kW gross</v>
          </cell>
          <cell r="J143" t="str">
            <v>Total annual sector max demand (kW)</v>
          </cell>
        </row>
        <row r="144">
          <cell r="A144">
            <v>249</v>
          </cell>
          <cell r="B144" t="str">
            <v>Industrial</v>
          </cell>
          <cell r="C144" t="str">
            <v>Percent first year annual kW net</v>
          </cell>
          <cell r="D144" t="str">
            <v>Metric</v>
          </cell>
          <cell r="E144" t="str">
            <v>MDA Team</v>
          </cell>
          <cell r="H144">
            <v>0</v>
          </cell>
          <cell r="I144" t="str">
            <v>First year annual kW net</v>
          </cell>
          <cell r="J144" t="str">
            <v>Total annual sector max demand (kW)</v>
          </cell>
        </row>
        <row r="145">
          <cell r="A145">
            <v>250</v>
          </cell>
          <cell r="B145" t="str">
            <v>Industrial</v>
          </cell>
          <cell r="C145" t="str">
            <v>Percent first year annual kWh gross</v>
          </cell>
          <cell r="D145" t="str">
            <v>Metric</v>
          </cell>
          <cell r="E145" t="str">
            <v>MDA Team</v>
          </cell>
          <cell r="H145">
            <v>0</v>
          </cell>
          <cell r="I145" t="str">
            <v>First year annual kWh gross</v>
          </cell>
          <cell r="J145" t="str">
            <v>Total annual sector elec usage (kWh)</v>
          </cell>
        </row>
        <row r="146">
          <cell r="A146">
            <v>251</v>
          </cell>
          <cell r="B146" t="str">
            <v>Industrial</v>
          </cell>
          <cell r="C146" t="str">
            <v>Percent first year annual kWh net</v>
          </cell>
          <cell r="D146" t="str">
            <v>Metric</v>
          </cell>
          <cell r="E146" t="str">
            <v>MDA Team</v>
          </cell>
          <cell r="H146">
            <v>0</v>
          </cell>
          <cell r="I146" t="str">
            <v>First year annual kWh net</v>
          </cell>
          <cell r="J146" t="str">
            <v>Total annual sector elec usage (kWh)</v>
          </cell>
        </row>
        <row r="147">
          <cell r="A147">
            <v>252</v>
          </cell>
          <cell r="B147" t="str">
            <v>Industrial</v>
          </cell>
          <cell r="C147" t="str">
            <v>Percent first year annual Therm gross</v>
          </cell>
          <cell r="D147" t="str">
            <v>Metric</v>
          </cell>
          <cell r="E147" t="str">
            <v>MDA Team</v>
          </cell>
          <cell r="H147">
            <v>0</v>
          </cell>
          <cell r="I147" t="str">
            <v>First year annual Therm gross</v>
          </cell>
          <cell r="J147" t="str">
            <v>Total annual sector gas usage (therms)</v>
          </cell>
        </row>
        <row r="148">
          <cell r="A148">
            <v>253</v>
          </cell>
          <cell r="B148" t="str">
            <v>Industrial</v>
          </cell>
          <cell r="C148" t="str">
            <v>Percent first year annual Therm net</v>
          </cell>
          <cell r="D148" t="str">
            <v>Metric</v>
          </cell>
          <cell r="E148" t="str">
            <v>MDA Team</v>
          </cell>
          <cell r="H148">
            <v>0</v>
          </cell>
          <cell r="I148" t="str">
            <v>First year annual Therm net</v>
          </cell>
          <cell r="J148" t="str">
            <v>Total annual sector gas usage (therms)</v>
          </cell>
        </row>
        <row r="149">
          <cell r="A149">
            <v>254</v>
          </cell>
          <cell r="B149" t="str">
            <v>Industrial</v>
          </cell>
          <cell r="C149" t="str">
            <v>Percent lifecycle ex-ante kW gross</v>
          </cell>
          <cell r="D149" t="str">
            <v>Metric</v>
          </cell>
          <cell r="E149" t="str">
            <v>MDA Team</v>
          </cell>
          <cell r="H149">
            <v>0</v>
          </cell>
          <cell r="I149" t="str">
            <v>Lifecycle ex-ante kW gross</v>
          </cell>
          <cell r="J149" t="str">
            <v>Total annual sector max demand (kW)</v>
          </cell>
        </row>
        <row r="150">
          <cell r="A150">
            <v>255</v>
          </cell>
          <cell r="B150" t="str">
            <v>Industrial</v>
          </cell>
          <cell r="C150" t="str">
            <v>Percent lifecycle ex-ante kW net</v>
          </cell>
          <cell r="D150" t="str">
            <v>Metric</v>
          </cell>
          <cell r="E150" t="str">
            <v>MDA Team</v>
          </cell>
          <cell r="H150">
            <v>0</v>
          </cell>
          <cell r="I150" t="str">
            <v>Lifecycle ex-ante kW net</v>
          </cell>
          <cell r="J150" t="str">
            <v>Total annual sector max demand (kW)</v>
          </cell>
        </row>
        <row r="151">
          <cell r="A151">
            <v>256</v>
          </cell>
          <cell r="B151" t="str">
            <v>Industrial</v>
          </cell>
          <cell r="C151" t="str">
            <v>Percent lifecycle ex-ante kWh gross</v>
          </cell>
          <cell r="D151" t="str">
            <v>Metric</v>
          </cell>
          <cell r="E151" t="str">
            <v>MDA Team</v>
          </cell>
          <cell r="H151">
            <v>0</v>
          </cell>
          <cell r="I151" t="str">
            <v>Lifecycle ex-ante kWh gross</v>
          </cell>
          <cell r="J151" t="str">
            <v>Total annual sector elec usage (kWh)</v>
          </cell>
        </row>
        <row r="152">
          <cell r="A152">
            <v>257</v>
          </cell>
          <cell r="B152" t="str">
            <v>Industrial</v>
          </cell>
          <cell r="C152" t="str">
            <v>Percent lifecycle ex-ante kWh net</v>
          </cell>
          <cell r="D152" t="str">
            <v>Metric</v>
          </cell>
          <cell r="E152" t="str">
            <v>MDA Team</v>
          </cell>
          <cell r="H152">
            <v>0</v>
          </cell>
          <cell r="I152" t="str">
            <v>Lifecycle ex-ante kWh net</v>
          </cell>
          <cell r="J152" t="str">
            <v>Total annual sector elec usage (kWh)</v>
          </cell>
        </row>
        <row r="153">
          <cell r="A153">
            <v>258</v>
          </cell>
          <cell r="B153" t="str">
            <v>Industrial</v>
          </cell>
          <cell r="C153" t="str">
            <v>Percent lifecycle ex-ante Therm gross</v>
          </cell>
          <cell r="D153" t="str">
            <v>Metric</v>
          </cell>
          <cell r="E153" t="str">
            <v>MDA Team</v>
          </cell>
          <cell r="H153">
            <v>0</v>
          </cell>
          <cell r="I153" t="str">
            <v>Lifecycle ex-ante Therm gross</v>
          </cell>
          <cell r="J153" t="str">
            <v>Total annual sector gas usage (therms)</v>
          </cell>
        </row>
        <row r="154">
          <cell r="A154">
            <v>259</v>
          </cell>
          <cell r="B154" t="str">
            <v>Industrial</v>
          </cell>
          <cell r="C154" t="str">
            <v>Percent lifecycle ex-ante Therm net</v>
          </cell>
          <cell r="D154" t="str">
            <v>Metric</v>
          </cell>
          <cell r="E154" t="str">
            <v>MDA Team</v>
          </cell>
          <cell r="H154">
            <v>0</v>
          </cell>
          <cell r="I154" t="str">
            <v>Lifecycle ex-ante Therm net</v>
          </cell>
          <cell r="J154" t="str">
            <v>Total annual sector gas usage (therms)</v>
          </cell>
        </row>
        <row r="155">
          <cell r="A155">
            <v>273</v>
          </cell>
          <cell r="B155" t="str">
            <v>Agricultural</v>
          </cell>
          <cell r="C155" t="str">
            <v>Percent of participation relative to eligible population for large customers</v>
          </cell>
          <cell r="D155" t="str">
            <v>Metric</v>
          </cell>
          <cell r="E155" t="str">
            <v>MDA Team</v>
          </cell>
          <cell r="G155">
            <v>308</v>
          </cell>
          <cell r="H155">
            <v>3742</v>
          </cell>
          <cell r="I155" t="str">
            <v># of participating large customers</v>
          </cell>
          <cell r="J155" t="str">
            <v>Total # of large customers</v>
          </cell>
        </row>
        <row r="156">
          <cell r="A156">
            <v>274</v>
          </cell>
          <cell r="B156" t="str">
            <v>Agricultural</v>
          </cell>
          <cell r="C156" t="str">
            <v>Percent of participation relative to eligible population for medium customers</v>
          </cell>
          <cell r="D156" t="str">
            <v>Metric</v>
          </cell>
          <cell r="E156" t="str">
            <v>MDA Team</v>
          </cell>
          <cell r="G156">
            <v>770</v>
          </cell>
          <cell r="H156">
            <v>31659</v>
          </cell>
          <cell r="I156" t="str">
            <v># of participating medium customers</v>
          </cell>
          <cell r="J156" t="str">
            <v>Total # of medium customers</v>
          </cell>
        </row>
        <row r="157">
          <cell r="A157">
            <v>275</v>
          </cell>
          <cell r="B157" t="str">
            <v>Agricultural</v>
          </cell>
          <cell r="C157" t="str">
            <v>Percent of participation relative to eligible population for small customers</v>
          </cell>
          <cell r="D157" t="str">
            <v>Metric</v>
          </cell>
          <cell r="E157" t="str">
            <v>MDA Team</v>
          </cell>
          <cell r="G157">
            <v>510</v>
          </cell>
          <cell r="H157">
            <v>82386</v>
          </cell>
          <cell r="I157" t="str">
            <v># of participating small customers</v>
          </cell>
          <cell r="J157" t="str">
            <v>Total # of small customers</v>
          </cell>
        </row>
      </sheetData>
      <sheetData sheetId="3">
        <row r="3">
          <cell r="B3" t="str">
            <v>Upd Primary Sector (1)</v>
          </cell>
          <cell r="C3" t="str">
            <v>RebatesandIncents</v>
          </cell>
          <cell r="D3" t="str">
            <v>FirstYearGrossKWh</v>
          </cell>
          <cell r="E3" t="str">
            <v>FirstYearGrossKW</v>
          </cell>
          <cell r="F3" t="str">
            <v>FirstYearGrossThm</v>
          </cell>
          <cell r="G3" t="str">
            <v>FirstYearNetKWh</v>
          </cell>
          <cell r="H3" t="str">
            <v>FirstYearNetKW</v>
          </cell>
          <cell r="I3" t="str">
            <v>FirstYearNetThm</v>
          </cell>
          <cell r="J3" t="str">
            <v>LifecycleGrossKWh</v>
          </cell>
          <cell r="K3" t="str">
            <v>LifecycleGrossKW</v>
          </cell>
          <cell r="L3" t="str">
            <v>LifecycleGrossThm</v>
          </cell>
          <cell r="M3" t="str">
            <v>LifecycleNetKWh</v>
          </cell>
          <cell r="N3" t="str">
            <v>LifecycleNetKW</v>
          </cell>
          <cell r="O3" t="str">
            <v>LifecycleNetThm</v>
          </cell>
          <cell r="P3" t="str">
            <v>ElecBen</v>
          </cell>
          <cell r="Q3" t="str">
            <v>GasBen</v>
          </cell>
          <cell r="R3" t="str">
            <v>TRCCost</v>
          </cell>
          <cell r="S3" t="str">
            <v>PACCost</v>
          </cell>
          <cell r="T3" t="str">
            <v>TRC</v>
          </cell>
          <cell r="U3" t="str">
            <v>PAC</v>
          </cell>
          <cell r="V3" t="str">
            <v>Electric Split</v>
          </cell>
          <cell r="W3" t="str">
            <v>Gas Split</v>
          </cell>
          <cell r="X3" t="str">
            <v>TRC Cost per kWh Saved ($/kWh)</v>
          </cell>
          <cell r="Y3" t="str">
            <v>TRC Cost per therm Saved ($/therm)</v>
          </cell>
          <cell r="Z3" t="str">
            <v>TRC Cost per kW Saved ($/kW) (5)</v>
          </cell>
          <cell r="AA3" t="str">
            <v>PAC Cost per kWh Saved ($/kWh)</v>
          </cell>
          <cell r="AB3" t="str">
            <v>PAC Cost per therm Saved ($/therm)</v>
          </cell>
          <cell r="AC3" t="str">
            <v>PAC Cost per kW Saved ($/kW) (5)</v>
          </cell>
          <cell r="AD3" t="str">
            <v>NetElecCO2</v>
          </cell>
          <cell r="AE3" t="str">
            <v>NetGasCO2</v>
          </cell>
          <cell r="AF3" t="str">
            <v>NetElecCO2Lifecycle</v>
          </cell>
          <cell r="AG3" t="str">
            <v>NetGasCO2Lifecycle</v>
          </cell>
          <cell r="AH3" t="str">
            <v>GrossElecCO2</v>
          </cell>
          <cell r="AI3" t="str">
            <v>GrossGasCO2</v>
          </cell>
          <cell r="AJ3" t="str">
            <v>GrossElecCO2Lifecycle</v>
          </cell>
          <cell r="AK3" t="str">
            <v>GrossGasCO2Lifecycle</v>
          </cell>
          <cell r="AL3" t="str">
            <v>Annual Net GHG Emissions (Electric)</v>
          </cell>
          <cell r="AM3" t="str">
            <v>Annual Net GHG Emissions (Gas)</v>
          </cell>
          <cell r="AN3" t="str">
            <v>Lifecycle Net GHG Emissions (Electric)</v>
          </cell>
          <cell r="AO3" t="str">
            <v>Lifecycle Net GHG Emissions (Gas)</v>
          </cell>
          <cell r="AP3" t="str">
            <v>Annual Gross GHG Emissions (Electric)</v>
          </cell>
          <cell r="AQ3" t="str">
            <v>Annual Gross GHG Emissions (Gas)</v>
          </cell>
          <cell r="AR3" t="str">
            <v>Lifecycle Gross GHG Emissions (Electric)</v>
          </cell>
          <cell r="AS3" t="str">
            <v>Lifecycle Gross GHG Emissions (Gas)</v>
          </cell>
        </row>
        <row r="4">
          <cell r="B4" t="str">
            <v>Agricultural</v>
          </cell>
          <cell r="C4">
            <v>8746404.0578320269</v>
          </cell>
          <cell r="D4">
            <v>59866741.929275781</v>
          </cell>
          <cell r="E4">
            <v>18457.000834246039</v>
          </cell>
          <cell r="F4">
            <v>1170629.8475666766</v>
          </cell>
          <cell r="G4">
            <v>38994338.136156619</v>
          </cell>
          <cell r="H4">
            <v>12128.356941460042</v>
          </cell>
          <cell r="I4">
            <v>705031.9893371528</v>
          </cell>
          <cell r="J4">
            <v>570126032.79346037</v>
          </cell>
          <cell r="K4">
            <v>137016.00452513725</v>
          </cell>
          <cell r="L4">
            <v>16053723.905368671</v>
          </cell>
          <cell r="M4">
            <v>369145011.05935597</v>
          </cell>
          <cell r="N4">
            <v>89340.558428538672</v>
          </cell>
          <cell r="O4">
            <v>9695419.0703906752</v>
          </cell>
          <cell r="P4">
            <v>39380637.617168106</v>
          </cell>
          <cell r="Q4">
            <v>7538521.0462001357</v>
          </cell>
          <cell r="R4">
            <v>42183577.525131077</v>
          </cell>
          <cell r="S4">
            <v>18951506.994710509</v>
          </cell>
          <cell r="T4">
            <v>1.112261249900294</v>
          </cell>
          <cell r="U4">
            <v>2.4757481648537865</v>
          </cell>
          <cell r="V4">
            <v>0.83932957749121417</v>
          </cell>
          <cell r="W4">
            <v>0.16067042250878585</v>
          </cell>
          <cell r="X4">
            <v>9.5913321975095361E-2</v>
          </cell>
          <cell r="Y4">
            <v>0.69905727382053517</v>
          </cell>
          <cell r="Z4">
            <v>396.30292136081147</v>
          </cell>
          <cell r="AA4">
            <v>4.3090275859462977E-2</v>
          </cell>
          <cell r="AB4">
            <v>0.31406034271560912</v>
          </cell>
          <cell r="AC4">
            <v>178.04411163844952</v>
          </cell>
          <cell r="AD4">
            <v>19279.919115980829</v>
          </cell>
          <cell r="AE4">
            <v>4127.4263834922931</v>
          </cell>
          <cell r="AF4">
            <v>181941.37273194492</v>
          </cell>
          <cell r="AG4">
            <v>56718.201561785485</v>
          </cell>
          <cell r="AH4">
            <v>29597.196500767368</v>
          </cell>
          <cell r="AI4">
            <v>6853.4288992649745</v>
          </cell>
          <cell r="AJ4">
            <v>281009.06948979764</v>
          </cell>
          <cell r="AK4">
            <v>93914.28484640675</v>
          </cell>
          <cell r="AL4">
            <v>17490.448410451907</v>
          </cell>
          <cell r="AM4">
            <v>3744.3382305775549</v>
          </cell>
          <cell r="AN4">
            <v>165054.43691707074</v>
          </cell>
          <cell r="AO4">
            <v>51453.886937095391</v>
          </cell>
          <cell r="AP4">
            <v>26850.125012277258</v>
          </cell>
          <cell r="AQ4">
            <v>6217.3261140881132</v>
          </cell>
          <cell r="AR4">
            <v>254927.13964274118</v>
          </cell>
          <cell r="AS4">
            <v>85197.606080672515</v>
          </cell>
        </row>
        <row r="5">
          <cell r="B5" t="str">
            <v>Commercial</v>
          </cell>
          <cell r="C5">
            <v>40415950.461115651</v>
          </cell>
          <cell r="D5">
            <v>166943583.21145001</v>
          </cell>
          <cell r="E5">
            <v>29943.176047166195</v>
          </cell>
          <cell r="F5">
            <v>6356167.0982718794</v>
          </cell>
          <cell r="G5">
            <v>110281086.29345894</v>
          </cell>
          <cell r="H5">
            <v>20288.632525697933</v>
          </cell>
          <cell r="I5">
            <v>4008275.6615182697</v>
          </cell>
          <cell r="J5">
            <v>1698780435.6154151</v>
          </cell>
          <cell r="K5">
            <v>307924.35264707089</v>
          </cell>
          <cell r="L5">
            <v>73699682.523231581</v>
          </cell>
          <cell r="M5">
            <v>1120115279.0725217</v>
          </cell>
          <cell r="N5">
            <v>211134.62336547961</v>
          </cell>
          <cell r="O5">
            <v>45426120.309369832</v>
          </cell>
          <cell r="P5">
            <v>121803335.3322202</v>
          </cell>
          <cell r="Q5">
            <v>36281723.068386674</v>
          </cell>
          <cell r="R5">
            <v>155596320.90080741</v>
          </cell>
          <cell r="S5">
            <v>81258341.399579898</v>
          </cell>
          <cell r="T5">
            <v>1.0159948351310055</v>
          </cell>
          <cell r="U5">
            <v>1.9454625294803785</v>
          </cell>
          <cell r="V5">
            <v>0.77049239545179316</v>
          </cell>
          <cell r="W5">
            <v>0.2295076045482069</v>
          </cell>
          <cell r="X5">
            <v>0.10702986045652095</v>
          </cell>
          <cell r="Y5">
            <v>0.78612346031876645</v>
          </cell>
          <cell r="Z5">
            <v>567.8167801347463</v>
          </cell>
          <cell r="AA5">
            <v>5.5895080877071339E-2</v>
          </cell>
          <cell r="AB5">
            <v>0.41054369506284355</v>
          </cell>
          <cell r="AC5">
            <v>296.53560897505764</v>
          </cell>
          <cell r="AD5">
            <v>57333.077452378573</v>
          </cell>
          <cell r="AE5">
            <v>23466.220747763775</v>
          </cell>
          <cell r="AF5">
            <v>587046.71431273874</v>
          </cell>
          <cell r="AG5">
            <v>265742.80380981881</v>
          </cell>
          <cell r="AH5">
            <v>86596.60341419508</v>
          </cell>
          <cell r="AI5">
            <v>37213.24968551354</v>
          </cell>
          <cell r="AJ5">
            <v>887723.1663947528</v>
          </cell>
          <cell r="AK5">
            <v>431143.14276089997</v>
          </cell>
          <cell r="AL5">
            <v>52011.692962035348</v>
          </cell>
          <cell r="AM5">
            <v>21288.197367842451</v>
          </cell>
          <cell r="AN5">
            <v>532559.82089165028</v>
          </cell>
          <cell r="AO5">
            <v>241077.81638107882</v>
          </cell>
          <cell r="AP5">
            <v>78559.11715318881</v>
          </cell>
          <cell r="AQ5">
            <v>33759.292240507311</v>
          </cell>
          <cell r="AR5">
            <v>805328.90989779169</v>
          </cell>
          <cell r="AS5">
            <v>391126.47986832564</v>
          </cell>
        </row>
        <row r="6">
          <cell r="B6" t="str">
            <v>Industrial</v>
          </cell>
          <cell r="C6">
            <v>11518330.296438508</v>
          </cell>
          <cell r="D6">
            <v>44751046.718610011</v>
          </cell>
          <cell r="E6">
            <v>7997.8585077831585</v>
          </cell>
          <cell r="F6">
            <v>5810077.4540417446</v>
          </cell>
          <cell r="G6">
            <v>29086750.899777491</v>
          </cell>
          <cell r="H6">
            <v>5199.4703820569612</v>
          </cell>
          <cell r="I6">
            <v>3673616.4966939106</v>
          </cell>
          <cell r="J6">
            <v>575639447.7011565</v>
          </cell>
          <cell r="K6">
            <v>90576.234139123088</v>
          </cell>
          <cell r="L6">
            <v>63496533.33993645</v>
          </cell>
          <cell r="M6">
            <v>373991177.57483768</v>
          </cell>
          <cell r="N6">
            <v>58880.470133396346</v>
          </cell>
          <cell r="O6">
            <v>40115565.094457731</v>
          </cell>
          <cell r="P6">
            <v>36038067.494733892</v>
          </cell>
          <cell r="Q6">
            <v>33360459.319868885</v>
          </cell>
          <cell r="R6">
            <v>41093222.735873677</v>
          </cell>
          <cell r="S6">
            <v>25732789.571533438</v>
          </cell>
          <cell r="T6">
            <v>1.6888071120793127</v>
          </cell>
          <cell r="U6">
            <v>2.6968909306037303</v>
          </cell>
          <cell r="V6">
            <v>0.51929153468933287</v>
          </cell>
          <cell r="W6">
            <v>0.48070846531066719</v>
          </cell>
          <cell r="X6">
            <v>5.7058465491668729E-2</v>
          </cell>
          <cell r="Y6">
            <v>0.49242382575237348</v>
          </cell>
          <cell r="Z6">
            <v>362.41834773902355</v>
          </cell>
          <cell r="AA6">
            <v>3.5730307530490571E-2</v>
          </cell>
          <cell r="AB6">
            <v>0.30835835800810357</v>
          </cell>
          <cell r="AC6">
            <v>226.94825225011266</v>
          </cell>
          <cell r="AD6">
            <v>14760.549989671736</v>
          </cell>
          <cell r="AE6">
            <v>20767.272483386674</v>
          </cell>
          <cell r="AF6">
            <v>189800.94841609203</v>
          </cell>
          <cell r="AG6">
            <v>234676.05580257796</v>
          </cell>
          <cell r="AH6">
            <v>22714.166497282091</v>
          </cell>
          <cell r="AI6">
            <v>32673.709429284758</v>
          </cell>
          <cell r="AJ6">
            <v>291459.28132736089</v>
          </cell>
          <cell r="AK6">
            <v>371454.72003862867</v>
          </cell>
          <cell r="AL6">
            <v>13390.545704637208</v>
          </cell>
          <cell r="AM6">
            <v>18839.752688350087</v>
          </cell>
          <cell r="AN6">
            <v>172184.52404060395</v>
          </cell>
          <cell r="AO6">
            <v>212894.53666748485</v>
          </cell>
          <cell r="AP6">
            <v>20605.945228153338</v>
          </cell>
          <cell r="AQ6">
            <v>29641.090593440917</v>
          </cell>
          <cell r="AR6">
            <v>264407.41235154582</v>
          </cell>
          <cell r="AS6">
            <v>336978.05362001242</v>
          </cell>
        </row>
        <row r="7">
          <cell r="B7" t="str">
            <v>Public</v>
          </cell>
          <cell r="C7">
            <v>19566079.062241267</v>
          </cell>
          <cell r="D7">
            <v>98781680.455781221</v>
          </cell>
          <cell r="E7">
            <v>13656.227660698527</v>
          </cell>
          <cell r="F7">
            <v>135019.72138098429</v>
          </cell>
          <cell r="G7">
            <v>73258567.824994281</v>
          </cell>
          <cell r="H7">
            <v>10231.029018372177</v>
          </cell>
          <cell r="I7">
            <v>90495.149639543219</v>
          </cell>
          <cell r="J7">
            <v>1015686578.0065469</v>
          </cell>
          <cell r="K7">
            <v>145446.43768074299</v>
          </cell>
          <cell r="L7">
            <v>1317860.6859987455</v>
          </cell>
          <cell r="M7">
            <v>751674550.96098769</v>
          </cell>
          <cell r="N7">
            <v>108992.24477323142</v>
          </cell>
          <cell r="O7">
            <v>831476.518492262</v>
          </cell>
          <cell r="P7">
            <v>69541640.002951577</v>
          </cell>
          <cell r="Q7">
            <v>285868.50665086525</v>
          </cell>
          <cell r="R7">
            <v>102661182.44810666</v>
          </cell>
          <cell r="S7">
            <v>55658307.43676655</v>
          </cell>
          <cell r="T7">
            <v>0.68017440325995626</v>
          </cell>
          <cell r="U7">
            <v>1.2545747746449807</v>
          </cell>
          <cell r="V7">
            <v>0.99590607609017645</v>
          </cell>
          <cell r="W7">
            <v>4.0939239098234988E-3</v>
          </cell>
          <cell r="X7">
            <v>0.13601750285141417</v>
          </cell>
          <cell r="Y7">
            <v>0.50547076205732644</v>
          </cell>
          <cell r="Z7">
            <v>938.05660752646543</v>
          </cell>
          <cell r="AA7">
            <v>7.3742614393829245E-2</v>
          </cell>
          <cell r="AB7">
            <v>0.27404366873627617</v>
          </cell>
          <cell r="AC7">
            <v>508.57239133388896</v>
          </cell>
          <cell r="AD7">
            <v>35066.031481935366</v>
          </cell>
          <cell r="AE7">
            <v>665.31075641018811</v>
          </cell>
          <cell r="AF7">
            <v>389572.68486525444</v>
          </cell>
          <cell r="AG7">
            <v>4864.1376331802558</v>
          </cell>
          <cell r="AH7">
            <v>47393.083677002513</v>
          </cell>
          <cell r="AI7">
            <v>956.60644716632532</v>
          </cell>
          <cell r="AJ7">
            <v>518303.44891359919</v>
          </cell>
          <cell r="AK7">
            <v>7709.4850130932045</v>
          </cell>
          <cell r="AL7">
            <v>31811.368652770998</v>
          </cell>
          <cell r="AM7">
            <v>603.55976557317319</v>
          </cell>
          <cell r="AN7">
            <v>353414.39483058389</v>
          </cell>
          <cell r="AO7">
            <v>4412.6714340807966</v>
          </cell>
          <cell r="AP7">
            <v>42994.282293319295</v>
          </cell>
          <cell r="AQ7">
            <v>867.81877105489707</v>
          </cell>
          <cell r="AR7">
            <v>470196.97954378161</v>
          </cell>
          <cell r="AS7">
            <v>6993.9271571367781</v>
          </cell>
        </row>
        <row r="8">
          <cell r="B8" t="str">
            <v>Residential</v>
          </cell>
          <cell r="C8">
            <v>43237959.977361441</v>
          </cell>
          <cell r="D8">
            <v>219032084.586593</v>
          </cell>
          <cell r="E8">
            <v>25940.918514026871</v>
          </cell>
          <cell r="F8">
            <v>4461743.9588980814</v>
          </cell>
          <cell r="G8">
            <v>191823888.83913517</v>
          </cell>
          <cell r="H8">
            <v>17601.755726951254</v>
          </cell>
          <cell r="I8">
            <v>4228088.4949358823</v>
          </cell>
          <cell r="J8">
            <v>1284712642.3934116</v>
          </cell>
          <cell r="K8">
            <v>293492.46343470411</v>
          </cell>
          <cell r="L8">
            <v>14066155.601833591</v>
          </cell>
          <cell r="M8">
            <v>937582649.58946908</v>
          </cell>
          <cell r="N8">
            <v>202395.8952038876</v>
          </cell>
          <cell r="O8">
            <v>8191488.770033624</v>
          </cell>
          <cell r="P8">
            <v>107610429.10122919</v>
          </cell>
          <cell r="Q8">
            <v>6234178.4620709848</v>
          </cell>
          <cell r="R8">
            <v>138742080.32172889</v>
          </cell>
          <cell r="S8">
            <v>73149849.204022199</v>
          </cell>
          <cell r="T8">
            <v>0.82054851202537848</v>
          </cell>
          <cell r="U8">
            <v>1.556320468218277</v>
          </cell>
          <cell r="V8">
            <v>0.94523958055189705</v>
          </cell>
          <cell r="W8">
            <v>5.4760419448102893E-2</v>
          </cell>
          <cell r="X8">
            <v>0.13987514153086311</v>
          </cell>
          <cell r="Y8">
            <v>0.92749617643546733</v>
          </cell>
          <cell r="Z8">
            <v>647.96030411633365</v>
          </cell>
          <cell r="AA8">
            <v>7.3747240106586856E-2</v>
          </cell>
          <cell r="AB8">
            <v>0.48900957291567998</v>
          </cell>
          <cell r="AC8">
            <v>341.62813781075312</v>
          </cell>
          <cell r="AD8">
            <v>98926.244436569759</v>
          </cell>
          <cell r="AE8">
            <v>24715.347789824675</v>
          </cell>
          <cell r="AF8">
            <v>491469.88505273795</v>
          </cell>
          <cell r="AG8">
            <v>47920.209304697099</v>
          </cell>
          <cell r="AH8">
            <v>113348.45123905952</v>
          </cell>
          <cell r="AI8">
            <v>26070.221140190326</v>
          </cell>
          <cell r="AJ8">
            <v>674162.11906477273</v>
          </cell>
          <cell r="AK8">
            <v>82287.010270766637</v>
          </cell>
          <cell r="AL8">
            <v>89744.37933836499</v>
          </cell>
          <cell r="AM8">
            <v>22421.386358721425</v>
          </cell>
          <cell r="AN8">
            <v>445853.97988939309</v>
          </cell>
          <cell r="AO8">
            <v>43472.48261882674</v>
          </cell>
          <cell r="AP8">
            <v>102827.98526670775</v>
          </cell>
          <cell r="AQ8">
            <v>23650.506786805803</v>
          </cell>
          <cell r="AR8">
            <v>611589.58670161816</v>
          </cell>
          <cell r="AS8">
            <v>74649.520017861942</v>
          </cell>
        </row>
        <row r="9">
          <cell r="B9" t="str">
            <v>ESA</v>
          </cell>
          <cell r="C9">
            <v>0</v>
          </cell>
          <cell r="D9">
            <v>59263365.139513806</v>
          </cell>
          <cell r="E9">
            <v>69550.249273289999</v>
          </cell>
          <cell r="F9">
            <v>1651228.0338000001</v>
          </cell>
          <cell r="G9">
            <v>62226533.396489501</v>
          </cell>
          <cell r="H9">
            <v>73027.761736954504</v>
          </cell>
          <cell r="I9">
            <v>1733789.4354900001</v>
          </cell>
          <cell r="J9">
            <v>876019711.38700509</v>
          </cell>
          <cell r="K9">
            <v>1092011.3177545299</v>
          </cell>
          <cell r="L9">
            <v>17277210.797000002</v>
          </cell>
          <cell r="M9">
            <v>919820696.95635533</v>
          </cell>
          <cell r="N9">
            <v>1146611.8836422565</v>
          </cell>
          <cell r="O9">
            <v>18141071.336850006</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0">
          <cell r="B10" t="str">
            <v>Cross-Cutting</v>
          </cell>
          <cell r="C10">
            <v>1095</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37693373.185760215</v>
          </cell>
          <cell r="S10">
            <v>37693982.179400541</v>
          </cell>
          <cell r="T10">
            <v>0</v>
          </cell>
          <cell r="U10">
            <v>0</v>
          </cell>
          <cell r="V10">
            <v>0</v>
          </cell>
          <cell r="W10">
            <v>0</v>
          </cell>
          <cell r="X10">
            <v>0</v>
          </cell>
          <cell r="Y10">
            <v>0</v>
          </cell>
          <cell r="Z10">
            <v>0</v>
          </cell>
          <cell r="AA10">
            <v>0</v>
          </cell>
          <cell r="AB10">
            <v>0</v>
          </cell>
          <cell r="AC10">
            <v>0</v>
          </cell>
          <cell r="AD10">
            <v>278.40244264386598</v>
          </cell>
          <cell r="AE10">
            <v>0</v>
          </cell>
          <cell r="AF10">
            <v>4176.0366396580002</v>
          </cell>
          <cell r="AG10">
            <v>0</v>
          </cell>
          <cell r="AH10">
            <v>428.31145022133302</v>
          </cell>
          <cell r="AI10">
            <v>0</v>
          </cell>
          <cell r="AJ10">
            <v>6424.6717533199999</v>
          </cell>
          <cell r="AK10">
            <v>0</v>
          </cell>
          <cell r="AL10">
            <v>252.56244754523769</v>
          </cell>
          <cell r="AM10">
            <v>0</v>
          </cell>
          <cell r="AN10">
            <v>3788.4367131785748</v>
          </cell>
          <cell r="AO10">
            <v>0</v>
          </cell>
          <cell r="AP10">
            <v>388.55761160805866</v>
          </cell>
          <cell r="AQ10">
            <v>0</v>
          </cell>
          <cell r="AR10">
            <v>5828.3641741208839</v>
          </cell>
          <cell r="AS10">
            <v>0</v>
          </cell>
        </row>
        <row r="11">
          <cell r="B11" t="str">
            <v>ET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2">
          <cell r="B12" t="str">
            <v>C&amp;S (6)</v>
          </cell>
          <cell r="C12">
            <v>0</v>
          </cell>
          <cell r="D12">
            <v>833920263.51775491</v>
          </cell>
          <cell r="E12">
            <v>152700.71721308908</v>
          </cell>
          <cell r="F12">
            <v>13344166.901454885</v>
          </cell>
          <cell r="G12">
            <v>833920263.51775491</v>
          </cell>
          <cell r="H12">
            <v>152700.71721308908</v>
          </cell>
          <cell r="I12">
            <v>13344166.901454885</v>
          </cell>
          <cell r="J12">
            <v>10066555741.852135</v>
          </cell>
          <cell r="K12">
            <v>2062278.5588182979</v>
          </cell>
          <cell r="L12">
            <v>216672263.1634042</v>
          </cell>
          <cell r="M12">
            <v>10066555741.852135</v>
          </cell>
          <cell r="N12">
            <v>2062278.5588182979</v>
          </cell>
          <cell r="O12">
            <v>216672263.1634042</v>
          </cell>
          <cell r="P12">
            <v>1029644870.0010686</v>
          </cell>
          <cell r="Q12">
            <v>158926718.07251763</v>
          </cell>
          <cell r="R12">
            <v>375153276.4334172</v>
          </cell>
          <cell r="S12">
            <v>16216002.73</v>
          </cell>
          <cell r="T12">
            <v>3.1682292618455534</v>
          </cell>
          <cell r="U12">
            <v>73.296212874625368</v>
          </cell>
          <cell r="V12">
            <v>0.86628763495003025</v>
          </cell>
          <cell r="W12">
            <v>0.13371236504996975</v>
          </cell>
          <cell r="X12">
            <v>3.22841946063138E-2</v>
          </cell>
          <cell r="Y12">
            <v>0.23151385929968785</v>
          </cell>
          <cell r="Z12">
            <v>157.58814113428119</v>
          </cell>
          <cell r="AA12">
            <v>1.3954845146201226E-3</v>
          </cell>
          <cell r="AB12">
            <v>1.0007188022261297E-2</v>
          </cell>
          <cell r="AC12">
            <v>6.8117483902680886</v>
          </cell>
          <cell r="AD12">
            <v>402182.02221625694</v>
          </cell>
          <cell r="AE12">
            <v>78063.376373510953</v>
          </cell>
          <cell r="AF12">
            <v>4922071.2418269347</v>
          </cell>
          <cell r="AG12">
            <v>1267532.7395059152</v>
          </cell>
          <cell r="AH12">
            <v>402182.02221625694</v>
          </cell>
          <cell r="AI12">
            <v>78063.376373510953</v>
          </cell>
          <cell r="AJ12">
            <v>4922071.2418269347</v>
          </cell>
          <cell r="AK12">
            <v>1267532.7395059152</v>
          </cell>
          <cell r="AL12">
            <v>364853.39325692528</v>
          </cell>
          <cell r="AM12">
            <v>70817.90379892489</v>
          </cell>
          <cell r="AN12">
            <v>4465227.9197781961</v>
          </cell>
          <cell r="AO12">
            <v>1149886.3587301488</v>
          </cell>
          <cell r="AP12">
            <v>364853.39325692528</v>
          </cell>
          <cell r="AQ12">
            <v>70817.90379892489</v>
          </cell>
          <cell r="AR12">
            <v>4465227.9197781961</v>
          </cell>
          <cell r="AS12">
            <v>1149886.3587301488</v>
          </cell>
        </row>
        <row r="13">
          <cell r="B13" t="str">
            <v>BayREN</v>
          </cell>
          <cell r="C13">
            <v>0</v>
          </cell>
          <cell r="D13">
            <v>2720630</v>
          </cell>
          <cell r="E13">
            <v>1589</v>
          </cell>
          <cell r="F13">
            <v>277123</v>
          </cell>
          <cell r="G13">
            <v>2370542</v>
          </cell>
          <cell r="H13">
            <v>1311</v>
          </cell>
          <cell r="I13">
            <v>228707</v>
          </cell>
          <cell r="J13">
            <v>32856627</v>
          </cell>
          <cell r="K13">
            <v>0</v>
          </cell>
          <cell r="L13">
            <v>4105390</v>
          </cell>
          <cell r="M13">
            <v>28824445</v>
          </cell>
          <cell r="N13">
            <v>0</v>
          </cell>
          <cell r="O13">
            <v>3379571</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B14" t="str">
            <v>MCE</v>
          </cell>
          <cell r="C14">
            <v>0</v>
          </cell>
          <cell r="D14">
            <v>1654237</v>
          </cell>
          <cell r="E14">
            <v>296</v>
          </cell>
          <cell r="F14">
            <v>34449</v>
          </cell>
          <cell r="G14">
            <v>1262243</v>
          </cell>
          <cell r="H14">
            <v>223</v>
          </cell>
          <cell r="I14">
            <v>34821</v>
          </cell>
          <cell r="J14">
            <v>16102562</v>
          </cell>
          <cell r="K14">
            <v>0</v>
          </cell>
          <cell r="L14">
            <v>129626</v>
          </cell>
          <cell r="M14">
            <v>12229219</v>
          </cell>
          <cell r="N14">
            <v>0</v>
          </cell>
          <cell r="O14">
            <v>126577</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B15" t="str">
            <v>EE PORTFOLIO (with C&amp;S) (2) (3)</v>
          </cell>
          <cell r="C15">
            <v>123485818.85498889</v>
          </cell>
          <cell r="D15">
            <v>1486933632.5589788</v>
          </cell>
          <cell r="E15">
            <v>320131.14805029985</v>
          </cell>
          <cell r="F15">
            <v>33240605.015414249</v>
          </cell>
          <cell r="G15">
            <v>1343224213.9077668</v>
          </cell>
          <cell r="H15">
            <v>292711.72354458197</v>
          </cell>
          <cell r="I15">
            <v>28046992.129069645</v>
          </cell>
          <cell r="J15">
            <v>16136479778.74913</v>
          </cell>
          <cell r="K15">
            <v>4128745.368999606</v>
          </cell>
          <cell r="L15">
            <v>406818446.01677322</v>
          </cell>
          <cell r="M15">
            <v>14579938771.065662</v>
          </cell>
          <cell r="N15">
            <v>3879634.2343650879</v>
          </cell>
          <cell r="O15">
            <v>342579552.26299834</v>
          </cell>
          <cell r="P15">
            <v>1404018979.5493715</v>
          </cell>
          <cell r="Q15">
            <v>242627468.47569519</v>
          </cell>
          <cell r="R15">
            <v>893123033.55082512</v>
          </cell>
          <cell r="S15">
            <v>308660779.51601315</v>
          </cell>
          <cell r="T15">
            <v>1.8436949738922623</v>
          </cell>
          <cell r="U15">
            <v>5.3348094649635893</v>
          </cell>
          <cell r="V15">
            <v>0.85265357431967592</v>
          </cell>
          <cell r="W15">
            <v>0.14734642568032413</v>
          </cell>
          <cell r="X15">
            <v>5.2230983875982517E-2</v>
          </cell>
          <cell r="Y15">
            <v>0.38413993426395199</v>
          </cell>
          <cell r="Z15">
            <v>196.28771705304027</v>
          </cell>
          <cell r="AA15">
            <v>1.8050879433658271E-2</v>
          </cell>
          <cell r="AB15">
            <v>0.13275766842754264</v>
          </cell>
          <cell r="AC15">
            <v>67.836476587256485</v>
          </cell>
          <cell r="AD15">
            <v>627826.24713543709</v>
          </cell>
          <cell r="AE15">
            <v>151804.95453438855</v>
          </cell>
          <cell r="AF15">
            <v>6766078.8838453609</v>
          </cell>
          <cell r="AG15">
            <v>1877454.1476179748</v>
          </cell>
          <cell r="AH15">
            <v>702259.83499478479</v>
          </cell>
          <cell r="AI15">
            <v>181830.59197493087</v>
          </cell>
          <cell r="AJ15">
            <v>7581152.9987705378</v>
          </cell>
          <cell r="AK15">
            <v>2254041.3824357106</v>
          </cell>
          <cell r="AL15">
            <v>569554.39077273093</v>
          </cell>
          <cell r="AM15">
            <v>137715.13820998959</v>
          </cell>
          <cell r="AN15">
            <v>6138083.5130606769</v>
          </cell>
          <cell r="AO15">
            <v>1703197.7527687154</v>
          </cell>
          <cell r="AP15">
            <v>272226.01256525452</v>
          </cell>
          <cell r="AQ15">
            <v>94136.034505897027</v>
          </cell>
          <cell r="AR15">
            <v>2412278.3923115996</v>
          </cell>
          <cell r="AS15">
            <v>894945.58674400928</v>
          </cell>
        </row>
        <row r="16">
          <cell r="B16" t="str">
            <v>EE PORTFOLIO (without C&amp;S) (2) (3)</v>
          </cell>
          <cell r="C16">
            <v>123485818.85498889</v>
          </cell>
          <cell r="D16">
            <v>653013369.04122388</v>
          </cell>
          <cell r="E16">
            <v>167430.43083721076</v>
          </cell>
          <cell r="F16">
            <v>19896438.113959365</v>
          </cell>
          <cell r="G16">
            <v>509303950.39001191</v>
          </cell>
          <cell r="H16">
            <v>140011.00633149288</v>
          </cell>
          <cell r="I16">
            <v>14702825.22761476</v>
          </cell>
          <cell r="J16">
            <v>6069924036.8969955</v>
          </cell>
          <cell r="K16">
            <v>2066466.8101813081</v>
          </cell>
          <cell r="L16">
            <v>190146182.85336903</v>
          </cell>
          <cell r="M16">
            <v>4513383029.2135277</v>
          </cell>
          <cell r="N16">
            <v>1817355.67554679</v>
          </cell>
          <cell r="O16">
            <v>125907289.09959415</v>
          </cell>
          <cell r="P16">
            <v>374374109.54830289</v>
          </cell>
          <cell r="Q16">
            <v>83700750.403177559</v>
          </cell>
          <cell r="R16">
            <v>517969757.11740792</v>
          </cell>
          <cell r="S16">
            <v>292444776.78601313</v>
          </cell>
          <cell r="T16">
            <v>0.8843660342270695</v>
          </cell>
          <cell r="U16">
            <v>1.5663636225127786</v>
          </cell>
          <cell r="V16">
            <v>0.8172771358549491</v>
          </cell>
          <cell r="W16">
            <v>0.18272286414505085</v>
          </cell>
          <cell r="X16">
            <v>9.3793244849011762E-2</v>
          </cell>
          <cell r="Y16">
            <v>0.75170324321845949</v>
          </cell>
          <cell r="Z16">
            <v>232.93450217389756</v>
          </cell>
          <cell r="AA16">
            <v>5.2955494364293018E-2</v>
          </cell>
          <cell r="AB16">
            <v>0.42441027521712116</v>
          </cell>
          <cell r="AC16">
            <v>131.51439356828263</v>
          </cell>
          <cell r="AD16">
            <v>225644.22491918015</v>
          </cell>
          <cell r="AE16">
            <v>73741.578160877601</v>
          </cell>
          <cell r="AF16">
            <v>1844007.6420184262</v>
          </cell>
          <cell r="AG16">
            <v>609921.40811205958</v>
          </cell>
          <cell r="AH16">
            <v>300077.81277852785</v>
          </cell>
          <cell r="AI16">
            <v>103767.21560141991</v>
          </cell>
          <cell r="AJ16">
            <v>2659081.756943603</v>
          </cell>
          <cell r="AK16">
            <v>986508.64292979543</v>
          </cell>
          <cell r="AL16">
            <v>204700.99751580565</v>
          </cell>
          <cell r="AM16">
            <v>66897.234411064695</v>
          </cell>
          <cell r="AN16">
            <v>1672855.5932824807</v>
          </cell>
          <cell r="AO16">
            <v>553311.39403856662</v>
          </cell>
          <cell r="AP16">
            <v>-92627.380691670754</v>
          </cell>
          <cell r="AQ16">
            <v>23318.130706972137</v>
          </cell>
          <cell r="AR16">
            <v>-2052949.5274665966</v>
          </cell>
          <cell r="AS16">
            <v>-254940.77198613947</v>
          </cell>
        </row>
        <row r="25">
          <cell r="A25" t="str">
            <v>DWELL_TYPE (8)</v>
          </cell>
          <cell r="B25" t="str">
            <v>deliverytype</v>
          </cell>
          <cell r="C25" t="str">
            <v>RebatesandIncents</v>
          </cell>
          <cell r="D25" t="str">
            <v>FirstYearGrossKWh</v>
          </cell>
          <cell r="E25" t="str">
            <v>FirstYearGrossKW</v>
          </cell>
          <cell r="F25" t="str">
            <v>FirstYearGrossThm</v>
          </cell>
          <cell r="G25" t="str">
            <v>FirstYearNetKWh</v>
          </cell>
          <cell r="H25" t="str">
            <v>FirstYearNetKW</v>
          </cell>
          <cell r="I25" t="str">
            <v>FirstYearNetThm</v>
          </cell>
          <cell r="J25" t="str">
            <v>LifecycleGrossKWh</v>
          </cell>
          <cell r="K25" t="str">
            <v>LifecycleGrossKW</v>
          </cell>
          <cell r="L25" t="str">
            <v>LifecycleGrossThm</v>
          </cell>
          <cell r="M25" t="str">
            <v>LifecycleNetKWh</v>
          </cell>
          <cell r="N25" t="str">
            <v>LifecycleNetKW</v>
          </cell>
          <cell r="O25" t="str">
            <v>LifecycleNetThm</v>
          </cell>
          <cell r="P25" t="str">
            <v>ElecBen</v>
          </cell>
          <cell r="Q25" t="str">
            <v>GasBen</v>
          </cell>
          <cell r="R25" t="str">
            <v>TRCCost</v>
          </cell>
          <cell r="S25" t="str">
            <v>PACCost</v>
          </cell>
          <cell r="T25" t="str">
            <v>TRC</v>
          </cell>
          <cell r="U25" t="str">
            <v>PAC</v>
          </cell>
          <cell r="V25" t="str">
            <v>Electric Split</v>
          </cell>
          <cell r="W25" t="str">
            <v>Gas Split</v>
          </cell>
          <cell r="X25" t="str">
            <v>TRC Cost per kWh Saved ($/kWh)</v>
          </cell>
          <cell r="Y25" t="str">
            <v>TRC Cost per therm Saved ($/therm)</v>
          </cell>
          <cell r="Z25" t="str">
            <v>TRC Cost per kW Saved ($/kW) (4)</v>
          </cell>
          <cell r="AA25" t="str">
            <v>PAC Cost per kWh Saved ($/kWh)</v>
          </cell>
          <cell r="AB25" t="str">
            <v>PAC Cost per therm Saved ($/therm)</v>
          </cell>
          <cell r="AC25" t="str">
            <v>PAC Cost per kW Saved ($/kW) (4)</v>
          </cell>
          <cell r="AD25" t="str">
            <v>NetElecCO2</v>
          </cell>
          <cell r="AE25" t="str">
            <v>NetGasCO2</v>
          </cell>
          <cell r="AF25" t="str">
            <v>NetElecCO2Lifecycle</v>
          </cell>
          <cell r="AG25" t="str">
            <v>NetGasCO2Lifecycle</v>
          </cell>
          <cell r="AH25" t="str">
            <v>GrossElecCO2</v>
          </cell>
          <cell r="AI25" t="str">
            <v>GrossGasCO2</v>
          </cell>
          <cell r="AJ25" t="str">
            <v>GrossElecCO2Lifecycle</v>
          </cell>
          <cell r="AK25" t="str">
            <v>GrossGasCO2Lifecycle</v>
          </cell>
          <cell r="AL25" t="str">
            <v>Annual Net GHG Emissions (Electric)</v>
          </cell>
          <cell r="AM25" t="str">
            <v>Annual Net GHG Emissions (Gas)</v>
          </cell>
          <cell r="AN25" t="str">
            <v>Lifecycle Net GHG Emissions (Electric)</v>
          </cell>
          <cell r="AO25" t="str">
            <v>Lifecycle Net GHG Emissions (Gas)</v>
          </cell>
          <cell r="AP25" t="str">
            <v>Annual Gross GHG Emissions (Electric)</v>
          </cell>
          <cell r="AQ25" t="str">
            <v>Annual Gross GHG Emissions (Gas)</v>
          </cell>
          <cell r="AR25" t="str">
            <v>Lifecycle Gross GHG Emissions (Electric)</v>
          </cell>
          <cell r="AS25" t="str">
            <v>Lifecycle Gross GHG Emissions (Gas)</v>
          </cell>
        </row>
        <row r="26">
          <cell r="A26" t="str">
            <v>MF</v>
          </cell>
          <cell r="B26" t="str">
            <v>Non-AUDIT</v>
          </cell>
          <cell r="C26">
            <v>4513449.054743452</v>
          </cell>
          <cell r="D26">
            <v>4793310.0814807955</v>
          </cell>
          <cell r="E26">
            <v>2816.7605610677624</v>
          </cell>
          <cell r="F26">
            <v>484113.38209337875</v>
          </cell>
          <cell r="G26">
            <v>3424220.4622567752</v>
          </cell>
          <cell r="H26">
            <v>2022.3164243378421</v>
          </cell>
          <cell r="I26">
            <v>310750.06102027913</v>
          </cell>
          <cell r="J26">
            <v>57849491.939594664</v>
          </cell>
          <cell r="K26">
            <v>33506.68941425463</v>
          </cell>
          <cell r="L26">
            <v>8452847.1184293665</v>
          </cell>
          <cell r="M26">
            <v>42424208.451191917</v>
          </cell>
          <cell r="N26">
            <v>24762.823835930485</v>
          </cell>
          <cell r="O26">
            <v>5386953.6841320796</v>
          </cell>
          <cell r="P26">
            <v>7372858.8433150034</v>
          </cell>
          <cell r="Q26">
            <v>4103968.317070378</v>
          </cell>
          <cell r="R26">
            <v>19592506.407061834</v>
          </cell>
          <cell r="S26">
            <v>7012114.8190026432</v>
          </cell>
          <cell r="T26">
            <v>0.58577636377593456</v>
          </cell>
          <cell r="U26">
            <v>1.6367140950521071</v>
          </cell>
          <cell r="V26">
            <v>0.64241264073087512</v>
          </cell>
          <cell r="W26">
            <v>0.35758735926912488</v>
          </cell>
          <cell r="X26">
            <v>0.29668140524006786</v>
          </cell>
          <cell r="Y26">
            <v>1.3005555715471926</v>
          </cell>
          <cell r="Z26">
            <v>508.28103704531458</v>
          </cell>
          <cell r="AA26">
            <v>0.10618162041057554</v>
          </cell>
          <cell r="AB26">
            <v>0.46546596983096955</v>
          </cell>
          <cell r="AC26">
            <v>181.91266181231643</v>
          </cell>
          <cell r="AD26">
            <v>1895.2298483636926</v>
          </cell>
          <cell r="AE26">
            <v>1816.2475340159665</v>
          </cell>
          <cell r="AF26">
            <v>23528.685271470669</v>
          </cell>
          <cell r="AG26">
            <v>31513.679052172713</v>
          </cell>
          <cell r="AH26">
            <v>2652.6617485554971</v>
          </cell>
          <cell r="AI26">
            <v>2829.3424799867835</v>
          </cell>
          <cell r="AJ26">
            <v>32073.223756987281</v>
          </cell>
          <cell r="AK26">
            <v>49449.155642811907</v>
          </cell>
          <cell r="AL26">
            <v>1719.323597228037</v>
          </cell>
          <cell r="AM26">
            <v>1647.6720469218976</v>
          </cell>
          <cell r="AN26">
            <v>21344.864230540712</v>
          </cell>
          <cell r="AO26">
            <v>28588.728737388436</v>
          </cell>
          <cell r="AP26">
            <v>2406.4542586712373</v>
          </cell>
          <cell r="AQ26">
            <v>2566.736322077737</v>
          </cell>
          <cell r="AR26">
            <v>29096.339154944009</v>
          </cell>
          <cell r="AS26">
            <v>44859.519405043357</v>
          </cell>
        </row>
        <row r="27">
          <cell r="B27" t="str">
            <v>OnLineAudit</v>
          </cell>
          <cell r="C27">
            <v>0</v>
          </cell>
          <cell r="D27">
            <v>25878764.593602017</v>
          </cell>
          <cell r="E27">
            <v>0</v>
          </cell>
          <cell r="F27">
            <v>756150.35416164272</v>
          </cell>
          <cell r="G27">
            <v>26019425.388479531</v>
          </cell>
          <cell r="H27">
            <v>0</v>
          </cell>
          <cell r="I27">
            <v>793826.5438697245</v>
          </cell>
          <cell r="J27">
            <v>31019941.825606942</v>
          </cell>
          <cell r="K27">
            <v>0</v>
          </cell>
          <cell r="L27">
            <v>756426.83416164259</v>
          </cell>
          <cell r="M27">
            <v>29111106.612474956</v>
          </cell>
          <cell r="N27">
            <v>0</v>
          </cell>
          <cell r="O27">
            <v>793854.19186972454</v>
          </cell>
          <cell r="P27">
            <v>3662657.9064911529</v>
          </cell>
          <cell r="Q27">
            <v>780805.59733410692</v>
          </cell>
          <cell r="R27">
            <v>3137008.6118151098</v>
          </cell>
          <cell r="S27">
            <v>2671141.7939997339</v>
          </cell>
          <cell r="T27">
            <v>1.416465191421397</v>
          </cell>
          <cell r="U27">
            <v>1.6635071615467012</v>
          </cell>
          <cell r="V27">
            <v>0.82427995714110569</v>
          </cell>
          <cell r="W27">
            <v>0.1757200428588942</v>
          </cell>
          <cell r="X27">
            <v>8.8824288218234862E-2</v>
          </cell>
          <cell r="Y27">
            <v>0.69437850598051853</v>
          </cell>
          <cell r="Z27">
            <v>0</v>
          </cell>
          <cell r="AA27">
            <v>7.5633285700392947E-2</v>
          </cell>
          <cell r="AB27">
            <v>0.59125864085736701</v>
          </cell>
          <cell r="AC27">
            <v>0</v>
          </cell>
          <cell r="AD27">
            <v>11285.28502760698</v>
          </cell>
          <cell r="AE27">
            <v>3947.3024893922061</v>
          </cell>
          <cell r="AF27">
            <v>12645.877586803326</v>
          </cell>
          <cell r="AG27">
            <v>3947.4399690722062</v>
          </cell>
          <cell r="AH27">
            <v>11231.258483449898</v>
          </cell>
          <cell r="AI27">
            <v>3759.957636068767</v>
          </cell>
          <cell r="AJ27">
            <v>13493.796882612867</v>
          </cell>
          <cell r="AK27">
            <v>3761.3324328687672</v>
          </cell>
          <cell r="AL27">
            <v>10237.838363595418</v>
          </cell>
          <cell r="AM27">
            <v>3580.9325825405817</v>
          </cell>
          <cell r="AN27">
            <v>11472.147170655877</v>
          </cell>
          <cell r="AO27">
            <v>3581.057302008338</v>
          </cell>
          <cell r="AP27">
            <v>10188.826307181178</v>
          </cell>
          <cell r="AQ27">
            <v>3410.9761904880215</v>
          </cell>
          <cell r="AR27">
            <v>12241.366616565829</v>
          </cell>
          <cell r="AS27">
            <v>3412.2233851655824</v>
          </cell>
        </row>
        <row r="28">
          <cell r="A28" t="str">
            <v>MF TOTAL (9)</v>
          </cell>
          <cell r="C28">
            <v>4513449.054743452</v>
          </cell>
          <cell r="D28">
            <v>30672074.67508281</v>
          </cell>
          <cell r="E28">
            <v>2816.7605610677624</v>
          </cell>
          <cell r="F28">
            <v>1240263.7362550215</v>
          </cell>
          <cell r="G28">
            <v>29443645.850736305</v>
          </cell>
          <cell r="H28">
            <v>2022.3164243378421</v>
          </cell>
          <cell r="I28">
            <v>1104576.6048900036</v>
          </cell>
          <cell r="J28">
            <v>88869433.765201598</v>
          </cell>
          <cell r="K28">
            <v>33506.68941425463</v>
          </cell>
          <cell r="L28">
            <v>9209273.9525910094</v>
          </cell>
          <cell r="M28">
            <v>71535315.06366688</v>
          </cell>
          <cell r="N28">
            <v>24762.823835930485</v>
          </cell>
          <cell r="O28">
            <v>6180807.8760018041</v>
          </cell>
          <cell r="P28">
            <v>11035516.749806156</v>
          </cell>
          <cell r="Q28">
            <v>4884773.9144044854</v>
          </cell>
          <cell r="R28">
            <v>22729515.018876944</v>
          </cell>
          <cell r="S28">
            <v>9683256.6130023766</v>
          </cell>
          <cell r="T28">
            <v>0.70042368484275985</v>
          </cell>
          <cell r="U28">
            <v>1.644105005214193</v>
          </cell>
          <cell r="V28">
            <v>0.69317306967355663</v>
          </cell>
          <cell r="W28">
            <v>0.30682693032644337</v>
          </cell>
          <cell r="X28">
            <v>0.22024768722698232</v>
          </cell>
          <cell r="Y28">
            <v>1.1283358843960885</v>
          </cell>
          <cell r="Z28">
            <v>636.25569532038446</v>
          </cell>
          <cell r="AA28">
            <v>9.3830197083744571E-2</v>
          </cell>
          <cell r="AB28">
            <v>0.48069507445241372</v>
          </cell>
          <cell r="AC28">
            <v>271.05845259587733</v>
          </cell>
          <cell r="AD28">
            <v>13180.514875970674</v>
          </cell>
          <cell r="AE28">
            <v>5763.5500234081728</v>
          </cell>
          <cell r="AF28">
            <v>36174.562858273996</v>
          </cell>
          <cell r="AG28">
            <v>35461.119021244922</v>
          </cell>
          <cell r="AH28">
            <v>13883.920232005396</v>
          </cell>
          <cell r="AI28">
            <v>6589.3001160555505</v>
          </cell>
          <cell r="AJ28">
            <v>45567.020639600145</v>
          </cell>
          <cell r="AK28">
            <v>53210.488075680674</v>
          </cell>
          <cell r="AL28">
            <v>11957.161960823454</v>
          </cell>
          <cell r="AM28">
            <v>5228.6046294624794</v>
          </cell>
          <cell r="AN28">
            <v>32817.011401196592</v>
          </cell>
          <cell r="AO28">
            <v>32169.786039396775</v>
          </cell>
          <cell r="AP28">
            <v>12595.280565852416</v>
          </cell>
          <cell r="AQ28">
            <v>5977.7125125657585</v>
          </cell>
          <cell r="AR28">
            <v>41337.705771509834</v>
          </cell>
          <cell r="AS28">
            <v>48271.74279020894</v>
          </cell>
        </row>
        <row r="29">
          <cell r="A29" t="str">
            <v>SF</v>
          </cell>
          <cell r="B29" t="str">
            <v>Opt-out (OnLineAudit)</v>
          </cell>
          <cell r="C29">
            <v>0</v>
          </cell>
          <cell r="D29">
            <v>103515058.37440807</v>
          </cell>
          <cell r="E29">
            <v>0</v>
          </cell>
          <cell r="F29">
            <v>3024601.4166465709</v>
          </cell>
          <cell r="G29">
            <v>104077701.55391812</v>
          </cell>
          <cell r="H29">
            <v>0</v>
          </cell>
          <cell r="I29">
            <v>3175306.175478898</v>
          </cell>
          <cell r="J29">
            <v>124079767.30242777</v>
          </cell>
          <cell r="K29">
            <v>0</v>
          </cell>
          <cell r="L29">
            <v>3025707.3366465704</v>
          </cell>
          <cell r="M29">
            <v>116444426.44989982</v>
          </cell>
          <cell r="N29">
            <v>0</v>
          </cell>
          <cell r="O29">
            <v>3175416.7674788982</v>
          </cell>
          <cell r="P29">
            <v>14650631.625964612</v>
          </cell>
          <cell r="Q29">
            <v>3123222.3893364277</v>
          </cell>
          <cell r="R29">
            <v>12548034.447260439</v>
          </cell>
          <cell r="S29">
            <v>10684567.175998935</v>
          </cell>
          <cell r="T29">
            <v>1.416465191421397</v>
          </cell>
          <cell r="U29">
            <v>1.6635071615467012</v>
          </cell>
          <cell r="V29">
            <v>0.82427995714110569</v>
          </cell>
          <cell r="W29">
            <v>0.1757200428588942</v>
          </cell>
          <cell r="X29">
            <v>8.8824288218234862E-2</v>
          </cell>
          <cell r="Y29">
            <v>0.69437850598051853</v>
          </cell>
          <cell r="Z29">
            <v>0</v>
          </cell>
          <cell r="AA29">
            <v>7.5633285700392947E-2</v>
          </cell>
          <cell r="AB29">
            <v>0.59125864085736701</v>
          </cell>
          <cell r="AC29">
            <v>0</v>
          </cell>
          <cell r="AD29">
            <v>55098.744546551723</v>
          </cell>
          <cell r="AE29">
            <v>19272.123918797239</v>
          </cell>
          <cell r="AF29">
            <v>61741.637629686826</v>
          </cell>
          <cell r="AG29">
            <v>19272.795143117241</v>
          </cell>
          <cell r="AH29">
            <v>54834.967889784792</v>
          </cell>
          <cell r="AI29">
            <v>18357.440223159272</v>
          </cell>
          <cell r="AJ29">
            <v>65881.478897462817</v>
          </cell>
          <cell r="AK29">
            <v>18364.152466359275</v>
          </cell>
          <cell r="AL29">
            <v>49984.740245789391</v>
          </cell>
          <cell r="AM29">
            <v>17483.376726521663</v>
          </cell>
          <cell r="AN29">
            <v>56011.071480261046</v>
          </cell>
          <cell r="AO29">
            <v>17483.985650981886</v>
          </cell>
          <cell r="AP29">
            <v>49745.446088002216</v>
          </cell>
          <cell r="AQ29">
            <v>16653.589635912103</v>
          </cell>
          <cell r="AR29">
            <v>59766.672304409636</v>
          </cell>
          <cell r="AS29">
            <v>16659.678880514315</v>
          </cell>
        </row>
        <row r="30">
          <cell r="B30" t="str">
            <v>Downstream</v>
          </cell>
          <cell r="C30">
            <v>7870879.0396789769</v>
          </cell>
          <cell r="D30">
            <v>12566733.542911476</v>
          </cell>
          <cell r="E30">
            <v>3182.4484320001384</v>
          </cell>
          <cell r="F30">
            <v>835663.78729998088</v>
          </cell>
          <cell r="G30">
            <v>7511295.3548978399</v>
          </cell>
          <cell r="H30">
            <v>1833.0848086001847</v>
          </cell>
          <cell r="I30">
            <v>474939.34067997988</v>
          </cell>
          <cell r="J30">
            <v>131806486.54413214</v>
          </cell>
          <cell r="K30">
            <v>39934.773320001812</v>
          </cell>
          <cell r="L30">
            <v>11556937.040449869</v>
          </cell>
          <cell r="M30">
            <v>78576288.431332648</v>
          </cell>
          <cell r="N30">
            <v>22802.64773600105</v>
          </cell>
          <cell r="O30">
            <v>6535230.8627699092</v>
          </cell>
          <cell r="P30">
            <v>9980341.8215588406</v>
          </cell>
          <cell r="Q30">
            <v>5421205.6038725888</v>
          </cell>
          <cell r="R30">
            <v>18448329.338924631</v>
          </cell>
          <cell r="S30">
            <v>13102759.372541565</v>
          </cell>
          <cell r="T30">
            <v>0.83484781426442156</v>
          </cell>
          <cell r="U30">
            <v>1.1754430488670391</v>
          </cell>
          <cell r="V30">
            <v>0.64800903090289774</v>
          </cell>
          <cell r="W30">
            <v>0.3519909690971022</v>
          </cell>
          <cell r="X30">
            <v>0.15214111350068632</v>
          </cell>
          <cell r="Y30">
            <v>0.99363671438506773</v>
          </cell>
          <cell r="Z30">
            <v>524.26736382108254</v>
          </cell>
          <cell r="AA30">
            <v>0.108056852425328</v>
          </cell>
          <cell r="AB30">
            <v>0.70572150643692177</v>
          </cell>
          <cell r="AC30">
            <v>372.35616238325287</v>
          </cell>
          <cell r="AD30">
            <v>3938.189739273957</v>
          </cell>
          <cell r="AE30">
            <v>2763.4617918659096</v>
          </cell>
          <cell r="AF30">
            <v>41404.384911254667</v>
          </cell>
          <cell r="AG30">
            <v>38231.100547203103</v>
          </cell>
          <cell r="AH30">
            <v>6591.4566662569978</v>
          </cell>
          <cell r="AI30">
            <v>4863.7442371845245</v>
          </cell>
          <cell r="AJ30">
            <v>69490.740562882129</v>
          </cell>
          <cell r="AK30">
            <v>67608.081686632329</v>
          </cell>
          <cell r="AL30">
            <v>3572.665634693873</v>
          </cell>
          <cell r="AM30">
            <v>2506.9703671537818</v>
          </cell>
          <cell r="AN30">
            <v>37561.426160576077</v>
          </cell>
          <cell r="AO30">
            <v>34682.671009827922</v>
          </cell>
          <cell r="AP30">
            <v>5979.6689019995556</v>
          </cell>
          <cell r="AQ30">
            <v>4412.3145512366928</v>
          </cell>
          <cell r="AR30">
            <v>63040.939409944986</v>
          </cell>
          <cell r="AS30">
            <v>61333.020006785635</v>
          </cell>
        </row>
        <row r="31">
          <cell r="B31" t="str">
            <v>Upstream</v>
          </cell>
          <cell r="C31">
            <v>16200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17567.624552988364</v>
          </cell>
          <cell r="S31">
            <v>15880.849389843192</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B32" t="str">
            <v>Midstream</v>
          </cell>
          <cell r="C32">
            <v>11232994.890690606</v>
          </cell>
          <cell r="D32">
            <v>8284713.2285067653</v>
          </cell>
          <cell r="E32">
            <v>6395.5346526187595</v>
          </cell>
          <cell r="F32">
            <v>419509.74246681976</v>
          </cell>
          <cell r="G32">
            <v>5462880.866488467</v>
          </cell>
          <cell r="H32">
            <v>4329.4453936978689</v>
          </cell>
          <cell r="I32">
            <v>272819.21110631252</v>
          </cell>
          <cell r="J32">
            <v>85317702.736902893</v>
          </cell>
          <cell r="K32">
            <v>64952.718415322066</v>
          </cell>
          <cell r="L32">
            <v>8194818.00807714</v>
          </cell>
          <cell r="M32">
            <v>57252744.985510722</v>
          </cell>
          <cell r="N32">
            <v>44806.984764396606</v>
          </cell>
          <cell r="O32">
            <v>5293350.7671658397</v>
          </cell>
          <cell r="P32">
            <v>11217888.101820387</v>
          </cell>
          <cell r="Q32">
            <v>3940685.6009681956</v>
          </cell>
          <cell r="R32">
            <v>30588340.333987355</v>
          </cell>
          <cell r="S32">
            <v>12908835.99386606</v>
          </cell>
          <cell r="T32">
            <v>0.49556705389293609</v>
          </cell>
          <cell r="U32">
            <v>1.1742788978023688</v>
          </cell>
          <cell r="V32">
            <v>0.74003585837081332</v>
          </cell>
          <cell r="W32">
            <v>0.25996414162918668</v>
          </cell>
          <cell r="X32">
            <v>0.39537787578446487</v>
          </cell>
          <cell r="Y32">
            <v>1.5022378052312666</v>
          </cell>
          <cell r="Z32">
            <v>505.19955346755938</v>
          </cell>
          <cell r="AA32">
            <v>0.16685665512992179</v>
          </cell>
          <cell r="AB32">
            <v>0.63397167808966426</v>
          </cell>
          <cell r="AC32">
            <v>213.20340066443137</v>
          </cell>
          <cell r="AD32">
            <v>3027.8084332069316</v>
          </cell>
          <cell r="AE32">
            <v>1594.1529377047818</v>
          </cell>
          <cell r="AF32">
            <v>32144.451828227779</v>
          </cell>
          <cell r="AG32">
            <v>30966.101987924434</v>
          </cell>
          <cell r="AH32">
            <v>4596.7774036960318</v>
          </cell>
          <cell r="AI32">
            <v>2451.6895314964722</v>
          </cell>
          <cell r="AJ32">
            <v>47690.74211083632</v>
          </cell>
          <cell r="AK32">
            <v>47939.68534724354</v>
          </cell>
          <cell r="AL32">
            <v>2746.7816062486072</v>
          </cell>
          <cell r="AM32">
            <v>1446.1912183119327</v>
          </cell>
          <cell r="AN32">
            <v>29160.956174233022</v>
          </cell>
          <cell r="AO32">
            <v>28091.975180728401</v>
          </cell>
          <cell r="AP32">
            <v>4170.1263138098138</v>
          </cell>
          <cell r="AQ32">
            <v>2224.1353301913246</v>
          </cell>
          <cell r="AR32">
            <v>43264.313482225618</v>
          </cell>
          <cell r="AS32">
            <v>43490.150987420464</v>
          </cell>
        </row>
        <row r="33">
          <cell r="B33" t="str">
            <v>DirectInstall</v>
          </cell>
          <cell r="C33">
            <v>4962906.4799285345</v>
          </cell>
          <cell r="D33">
            <v>4743798.0910031246</v>
          </cell>
          <cell r="E33">
            <v>3025.9965695304495</v>
          </cell>
          <cell r="F33">
            <v>-30867.49249099876</v>
          </cell>
          <cell r="G33">
            <v>3520221.2611827524</v>
          </cell>
          <cell r="H33">
            <v>2217.7594536308225</v>
          </cell>
          <cell r="I33">
            <v>-24462.205884079216</v>
          </cell>
          <cell r="J33">
            <v>48228498.179908894</v>
          </cell>
          <cell r="K33">
            <v>25496.563282135688</v>
          </cell>
          <cell r="L33">
            <v>-367515.17650697095</v>
          </cell>
          <cell r="M33">
            <v>36911333.617679261</v>
          </cell>
          <cell r="N33">
            <v>19580.423459719335</v>
          </cell>
          <cell r="O33">
            <v>-290068.68078917306</v>
          </cell>
          <cell r="P33">
            <v>5131511.9055681145</v>
          </cell>
          <cell r="Q33">
            <v>-284701.05091351212</v>
          </cell>
          <cell r="R33">
            <v>7201584.7337175813</v>
          </cell>
          <cell r="S33">
            <v>6953872.5172898779</v>
          </cell>
          <cell r="T33">
            <v>0.67302004126425041</v>
          </cell>
          <cell r="U33">
            <v>0.69699449373045785</v>
          </cell>
          <cell r="V33">
            <v>1.0587398723513424</v>
          </cell>
          <cell r="W33">
            <v>-5.8739872351342398E-2</v>
          </cell>
          <cell r="X33">
            <v>0.20656541377447291</v>
          </cell>
          <cell r="Y33">
            <v>1.4583448541740542</v>
          </cell>
          <cell r="Z33">
            <v>389.39938747437174</v>
          </cell>
          <cell r="AA33">
            <v>0.19946020313329141</v>
          </cell>
          <cell r="AB33">
            <v>1.4081823066930765</v>
          </cell>
          <cell r="AC33">
            <v>376.00525425043719</v>
          </cell>
          <cell r="AD33">
            <v>1898.4636045876009</v>
          </cell>
          <cell r="AE33">
            <v>-143.65395103351557</v>
          </cell>
          <cell r="AF33">
            <v>19714.696892672582</v>
          </cell>
          <cell r="AG33">
            <v>-1696.9017826167742</v>
          </cell>
          <cell r="AH33">
            <v>2564.785812740718</v>
          </cell>
          <cell r="AI33">
            <v>-181.49157542508874</v>
          </cell>
          <cell r="AJ33">
            <v>25790.728096834646</v>
          </cell>
          <cell r="AK33">
            <v>-2149.9637825660689</v>
          </cell>
          <cell r="AL33">
            <v>1722.2572115272467</v>
          </cell>
          <cell r="AM33">
            <v>-130.3206722183111</v>
          </cell>
          <cell r="AN33">
            <v>17884.872174757787</v>
          </cell>
          <cell r="AO33">
            <v>-1539.4034024687178</v>
          </cell>
          <cell r="AP33">
            <v>2326.7345506868514</v>
          </cell>
          <cell r="AQ33">
            <v>-164.6463876641977</v>
          </cell>
          <cell r="AR33">
            <v>23396.954962937376</v>
          </cell>
          <cell r="AS33">
            <v>-1950.4143350965942</v>
          </cell>
        </row>
        <row r="34">
          <cell r="A34" t="str">
            <v>SF TOTAL</v>
          </cell>
          <cell r="C34">
            <v>24082980.410298117</v>
          </cell>
          <cell r="D34">
            <v>129110303.23682941</v>
          </cell>
          <cell r="E34">
            <v>12603.979654149347</v>
          </cell>
          <cell r="F34">
            <v>4248907.4539223732</v>
          </cell>
          <cell r="G34">
            <v>120572099.03648719</v>
          </cell>
          <cell r="H34">
            <v>8380.2896559288765</v>
          </cell>
          <cell r="I34">
            <v>3898602.5213811109</v>
          </cell>
          <cell r="J34">
            <v>389432454.76337171</v>
          </cell>
          <cell r="K34">
            <v>130384.05501745957</v>
          </cell>
          <cell r="L34">
            <v>22409947.208666608</v>
          </cell>
          <cell r="M34">
            <v>289184793.48442245</v>
          </cell>
          <cell r="N34">
            <v>87190.055960116995</v>
          </cell>
          <cell r="O34">
            <v>14713929.716625474</v>
          </cell>
          <cell r="P34">
            <v>40980373.454911955</v>
          </cell>
          <cell r="Q34">
            <v>12200412.543263698</v>
          </cell>
          <cell r="R34">
            <v>68803856.478442997</v>
          </cell>
          <cell r="S34">
            <v>43665915.909086287</v>
          </cell>
          <cell r="T34">
            <v>0.7729332150856657</v>
          </cell>
          <cell r="U34">
            <v>1.2179015346637776</v>
          </cell>
          <cell r="V34">
            <v>0.77058608077582325</v>
          </cell>
          <cell r="W34">
            <v>0.22941391922417673</v>
          </cell>
          <cell r="X34">
            <v>0.18334053276851026</v>
          </cell>
          <cell r="Y34">
            <v>1.0727632030634326</v>
          </cell>
          <cell r="Z34">
            <v>608.08877253431319</v>
          </cell>
          <cell r="AA34">
            <v>0.11635586573704822</v>
          </cell>
          <cell r="AB34">
            <v>0.68082212557382438</v>
          </cell>
          <cell r="AC34">
            <v>385.91954820239027</v>
          </cell>
          <cell r="AD34">
            <v>63963.206323620216</v>
          </cell>
          <cell r="AE34">
            <v>23486.084697334412</v>
          </cell>
          <cell r="AF34">
            <v>155005.17126184184</v>
          </cell>
          <cell r="AG34">
            <v>86773.095895628008</v>
          </cell>
          <cell r="AH34">
            <v>68587.987772478547</v>
          </cell>
          <cell r="AI34">
            <v>25491.382416415181</v>
          </cell>
          <cell r="AJ34">
            <v>208853.6896680159</v>
          </cell>
          <cell r="AK34">
            <v>131761.95571766907</v>
          </cell>
          <cell r="AL34">
            <v>58026.444698259125</v>
          </cell>
          <cell r="AM34">
            <v>21306.217639769064</v>
          </cell>
          <cell r="AN34">
            <v>140618.32598982792</v>
          </cell>
          <cell r="AO34">
            <v>78719.228439069499</v>
          </cell>
          <cell r="AP34">
            <v>62221.975854498443</v>
          </cell>
          <cell r="AQ34">
            <v>23125.393129675922</v>
          </cell>
          <cell r="AR34">
            <v>189468.8801595176</v>
          </cell>
          <cell r="AS34">
            <v>119532.43553962381</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externalLinkPath" Target="https://pge.sharepoint.com/mm5/My%20Documents/EE/ESPI/Guidlines%20for%20Sep%201,%20ESPI%20AL/2018-2%20ESPI%20Filing%20Guidelines.xlsx" TargetMode="External"/><Relationship Id="rId2" Type="http://schemas.openxmlformats.org/officeDocument/2006/relationships/externalLinkPath" Target="https://pge.sharepoint.com/mm5/My%20Documents/EE/ESPI/Guidlines%20for%20Sep%201,%20ESPI%20AL/2018-2%20ESPI%20Filing%20Guidelines.xlsx" TargetMode="External"/><Relationship Id="rId1" Type="http://schemas.openxmlformats.org/officeDocument/2006/relationships/externalLinkPath" Target="https://pge.sharepoint.com/mm5/My%20Documents/EE/ESPI/Guidlines%20for%20Sep%201,%20ESPI%20AL/2018-2%20ESPI%20Filing%20Guidelines.xlsx"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4"/>
  <sheetViews>
    <sheetView showGridLines="0" showZeros="0" topLeftCell="A2" zoomScaleNormal="100" zoomScaleSheetLayoutView="100" workbookViewId="0">
      <selection activeCell="A2" sqref="A2"/>
    </sheetView>
  </sheetViews>
  <sheetFormatPr defaultColWidth="8" defaultRowHeight="15.6" outlineLevelRow="1"/>
  <cols>
    <col min="1" max="1" width="53.7109375" style="1" customWidth="1"/>
    <col min="2" max="2" width="19.5703125" style="1" customWidth="1"/>
    <col min="3" max="3" width="22.5703125" style="1" bestFit="1" customWidth="1"/>
    <col min="4" max="4" width="14.28515625" style="1" customWidth="1"/>
    <col min="5" max="16384" width="8" style="1"/>
  </cols>
  <sheetData>
    <row r="1" spans="1:9" ht="16.149999999999999" thickBot="1">
      <c r="A1" s="11" t="s">
        <v>0</v>
      </c>
      <c r="B1" s="13" t="s">
        <v>1</v>
      </c>
      <c r="C1" s="12" t="s">
        <v>2</v>
      </c>
      <c r="D1" s="40" t="s">
        <v>3</v>
      </c>
    </row>
    <row r="2" spans="1:9" ht="16.149999999999999" thickTop="1">
      <c r="A2" s="5" t="s">
        <v>4</v>
      </c>
      <c r="B2" s="6"/>
      <c r="C2" s="6"/>
      <c r="D2" s="41"/>
    </row>
    <row r="3" spans="1:9" ht="17.45" thickBot="1">
      <c r="A3" s="176" t="s">
        <v>5</v>
      </c>
      <c r="D3" s="42"/>
    </row>
    <row r="4" spans="1:9" ht="31.9" thickBot="1">
      <c r="A4" s="7" t="s">
        <v>6</v>
      </c>
      <c r="B4" s="177" t="s">
        <v>7</v>
      </c>
      <c r="C4" s="177" t="s">
        <v>8</v>
      </c>
      <c r="D4" s="228" t="s">
        <v>9</v>
      </c>
    </row>
    <row r="5" spans="1:9" ht="16.149999999999999">
      <c r="A5" s="229" t="s">
        <v>10</v>
      </c>
      <c r="B5" s="230">
        <f>B6</f>
        <v>1256.4678306193457</v>
      </c>
      <c r="C5" s="230">
        <f t="shared" ref="C5" si="0">C6</f>
        <v>1079</v>
      </c>
      <c r="D5" s="172">
        <f>D6</f>
        <v>1.1644743564590785</v>
      </c>
      <c r="I5" s="187"/>
    </row>
    <row r="6" spans="1:9" ht="15.75" customHeight="1" outlineLevel="1">
      <c r="A6" s="8" t="s">
        <v>11</v>
      </c>
      <c r="B6" s="148">
        <v>1256.4678306193457</v>
      </c>
      <c r="C6" s="143">
        <v>1079</v>
      </c>
      <c r="D6" s="43">
        <f>(B6/C6)</f>
        <v>1.1644743564590785</v>
      </c>
      <c r="I6" s="187"/>
    </row>
    <row r="7" spans="1:9" outlineLevel="1">
      <c r="A7" s="8" t="s">
        <v>12</v>
      </c>
      <c r="B7" s="4"/>
      <c r="C7" s="178"/>
      <c r="D7" s="43"/>
      <c r="I7" s="187"/>
    </row>
    <row r="8" spans="1:9" outlineLevel="1">
      <c r="A8" s="8" t="s">
        <v>13</v>
      </c>
      <c r="B8" s="16"/>
      <c r="C8" s="4"/>
      <c r="D8" s="43"/>
      <c r="I8" s="187"/>
    </row>
    <row r="9" spans="1:9" outlineLevel="1">
      <c r="A9" s="8" t="s">
        <v>14</v>
      </c>
      <c r="B9" s="4"/>
      <c r="C9" s="178"/>
      <c r="D9" s="43"/>
      <c r="I9" s="187"/>
    </row>
    <row r="10" spans="1:9" outlineLevel="1">
      <c r="A10" s="8" t="s">
        <v>15</v>
      </c>
      <c r="B10" s="4"/>
      <c r="C10" s="178"/>
      <c r="D10" s="43"/>
      <c r="I10" s="187"/>
    </row>
    <row r="11" spans="1:9" outlineLevel="1">
      <c r="A11" s="8" t="s">
        <v>16</v>
      </c>
      <c r="B11" s="4"/>
      <c r="C11" s="178"/>
      <c r="D11" s="43"/>
      <c r="I11" s="187"/>
    </row>
    <row r="12" spans="1:9" outlineLevel="1">
      <c r="A12" s="8" t="s">
        <v>17</v>
      </c>
      <c r="B12" s="4"/>
      <c r="C12" s="178"/>
      <c r="D12" s="43"/>
      <c r="I12" s="187"/>
    </row>
    <row r="13" spans="1:9" ht="20.100000000000001" customHeight="1" outlineLevel="1" thickBot="1">
      <c r="A13" s="10" t="s">
        <v>18</v>
      </c>
      <c r="B13" s="2"/>
      <c r="C13" s="179"/>
      <c r="D13" s="44"/>
      <c r="I13" s="187"/>
    </row>
    <row r="14" spans="1:9" ht="20.100000000000001" customHeight="1" thickTop="1">
      <c r="A14" s="9" t="s">
        <v>19</v>
      </c>
      <c r="B14" s="14">
        <f>B15</f>
        <v>14718.206559242004</v>
      </c>
      <c r="C14" s="180"/>
      <c r="D14" s="45"/>
      <c r="I14" s="187"/>
    </row>
    <row r="15" spans="1:9" ht="20.100000000000001" customHeight="1" outlineLevel="1">
      <c r="A15" s="8" t="s">
        <v>11</v>
      </c>
      <c r="B15" s="144">
        <v>14718.206559242004</v>
      </c>
      <c r="C15" s="181"/>
      <c r="D15" s="43"/>
      <c r="I15" s="187"/>
    </row>
    <row r="16" spans="1:9" ht="20.100000000000001" customHeight="1" outlineLevel="1">
      <c r="A16" s="8" t="s">
        <v>12</v>
      </c>
      <c r="B16" s="4"/>
      <c r="C16" s="181"/>
      <c r="D16" s="43"/>
      <c r="I16" s="187"/>
    </row>
    <row r="17" spans="1:9" ht="20.100000000000001" customHeight="1" outlineLevel="1">
      <c r="A17" s="8" t="s">
        <v>13</v>
      </c>
      <c r="B17" s="16"/>
      <c r="C17" s="4"/>
      <c r="D17" s="43"/>
      <c r="I17" s="187"/>
    </row>
    <row r="18" spans="1:9" ht="20.100000000000001" customHeight="1" outlineLevel="1">
      <c r="A18" s="8" t="s">
        <v>14</v>
      </c>
      <c r="B18" s="4"/>
      <c r="C18" s="181"/>
      <c r="D18" s="43"/>
      <c r="I18" s="187"/>
    </row>
    <row r="19" spans="1:9" ht="20.100000000000001" customHeight="1" outlineLevel="1">
      <c r="A19" s="8" t="s">
        <v>15</v>
      </c>
      <c r="B19" s="4"/>
      <c r="C19" s="181"/>
      <c r="D19" s="43"/>
      <c r="I19" s="187"/>
    </row>
    <row r="20" spans="1:9" ht="20.100000000000001" customHeight="1" outlineLevel="1">
      <c r="A20" s="8" t="s">
        <v>16</v>
      </c>
      <c r="B20" s="4"/>
      <c r="C20" s="181"/>
      <c r="D20" s="43"/>
      <c r="I20" s="187"/>
    </row>
    <row r="21" spans="1:9" ht="20.100000000000001" customHeight="1" outlineLevel="1">
      <c r="A21" s="8" t="s">
        <v>17</v>
      </c>
      <c r="B21" s="4"/>
      <c r="C21" s="181"/>
      <c r="D21" s="43"/>
      <c r="I21" s="187"/>
    </row>
    <row r="22" spans="1:9" ht="20.100000000000001" customHeight="1" outlineLevel="1" thickBot="1">
      <c r="A22" s="10" t="s">
        <v>20</v>
      </c>
      <c r="B22" s="2"/>
      <c r="C22" s="182"/>
      <c r="D22" s="46"/>
      <c r="I22" s="187"/>
    </row>
    <row r="23" spans="1:9" ht="19.5" customHeight="1" thickTop="1">
      <c r="A23" s="9" t="s">
        <v>21</v>
      </c>
      <c r="B23" s="17">
        <f>B24</f>
        <v>27.708206931745085</v>
      </c>
      <c r="C23" s="146">
        <f>C24</f>
        <v>33</v>
      </c>
      <c r="D23" s="45">
        <f>D24</f>
        <v>0.83964263429530561</v>
      </c>
      <c r="I23" s="187"/>
    </row>
    <row r="24" spans="1:9" ht="20.100000000000001" customHeight="1" outlineLevel="1">
      <c r="A24" s="8" t="s">
        <v>11</v>
      </c>
      <c r="B24" s="148">
        <v>27.708206931745085</v>
      </c>
      <c r="C24" s="147">
        <v>33</v>
      </c>
      <c r="D24" s="43">
        <f>(B24/C24)</f>
        <v>0.83964263429530561</v>
      </c>
      <c r="I24" s="187"/>
    </row>
    <row r="25" spans="1:9" ht="20.100000000000001" customHeight="1" outlineLevel="1">
      <c r="A25" s="8" t="s">
        <v>12</v>
      </c>
      <c r="B25" s="4"/>
      <c r="C25" s="181"/>
      <c r="D25" s="43"/>
      <c r="I25" s="187"/>
    </row>
    <row r="26" spans="1:9" ht="20.100000000000001" customHeight="1" outlineLevel="1">
      <c r="A26" s="8" t="s">
        <v>13</v>
      </c>
      <c r="B26" s="15"/>
      <c r="C26" s="183"/>
      <c r="D26" s="43"/>
      <c r="I26" s="187"/>
    </row>
    <row r="27" spans="1:9" ht="20.100000000000001" customHeight="1" outlineLevel="1">
      <c r="A27" s="8" t="s">
        <v>14</v>
      </c>
      <c r="B27" s="4"/>
      <c r="C27" s="181"/>
      <c r="D27" s="43"/>
      <c r="I27" s="187"/>
    </row>
    <row r="28" spans="1:9" ht="20.100000000000001" customHeight="1" outlineLevel="1">
      <c r="A28" s="8" t="s">
        <v>15</v>
      </c>
      <c r="B28" s="4"/>
      <c r="C28" s="181"/>
      <c r="D28" s="43"/>
      <c r="I28" s="187"/>
    </row>
    <row r="29" spans="1:9" ht="20.100000000000001" customHeight="1" outlineLevel="1">
      <c r="A29" s="8" t="s">
        <v>16</v>
      </c>
      <c r="B29" s="4"/>
      <c r="C29" s="181"/>
      <c r="D29" s="43"/>
      <c r="I29" s="187"/>
    </row>
    <row r="30" spans="1:9" ht="20.100000000000001" customHeight="1" outlineLevel="1">
      <c r="A30" s="8" t="s">
        <v>17</v>
      </c>
      <c r="B30" s="4"/>
      <c r="C30" s="181"/>
      <c r="D30" s="43"/>
      <c r="I30" s="187"/>
    </row>
    <row r="31" spans="1:9" ht="20.100000000000001" customHeight="1" outlineLevel="1" thickBot="1">
      <c r="A31" s="10" t="s">
        <v>22</v>
      </c>
      <c r="B31" s="2"/>
      <c r="C31" s="182"/>
      <c r="D31" s="46"/>
      <c r="I31" s="187"/>
    </row>
    <row r="32" spans="1:9" ht="23.25" customHeight="1" thickTop="1">
      <c r="A32" s="101" t="s">
        <v>23</v>
      </c>
      <c r="B32" s="102">
        <f>B33</f>
        <v>274.48154947283217</v>
      </c>
      <c r="C32" s="184"/>
      <c r="D32" s="185"/>
      <c r="I32" s="187"/>
    </row>
    <row r="33" spans="1:9" ht="20.100000000000001" customHeight="1" outlineLevel="1">
      <c r="A33" s="8" t="s">
        <v>11</v>
      </c>
      <c r="B33" s="144">
        <v>274.48154947283217</v>
      </c>
      <c r="C33" s="181"/>
      <c r="D33" s="43"/>
      <c r="I33" s="187"/>
    </row>
    <row r="34" spans="1:9" ht="20.100000000000001" customHeight="1" outlineLevel="1">
      <c r="A34" s="8" t="s">
        <v>12</v>
      </c>
      <c r="B34" s="4"/>
      <c r="C34" s="181"/>
      <c r="D34" s="43"/>
      <c r="I34" s="187"/>
    </row>
    <row r="35" spans="1:9" ht="20.100000000000001" customHeight="1" outlineLevel="1">
      <c r="A35" s="8" t="s">
        <v>13</v>
      </c>
      <c r="B35" s="16"/>
      <c r="C35" s="181"/>
      <c r="D35" s="43"/>
      <c r="I35" s="187"/>
    </row>
    <row r="36" spans="1:9" ht="20.100000000000001" customHeight="1" outlineLevel="1">
      <c r="A36" s="8" t="s">
        <v>14</v>
      </c>
      <c r="B36" s="4"/>
      <c r="C36" s="181"/>
      <c r="D36" s="43"/>
      <c r="I36" s="187"/>
    </row>
    <row r="37" spans="1:9" ht="20.100000000000001" customHeight="1" outlineLevel="1">
      <c r="A37" s="8" t="s">
        <v>15</v>
      </c>
      <c r="B37" s="4"/>
      <c r="C37" s="181"/>
      <c r="D37" s="43"/>
      <c r="I37" s="187"/>
    </row>
    <row r="38" spans="1:9" ht="20.100000000000001" customHeight="1" outlineLevel="1">
      <c r="A38" s="8" t="s">
        <v>16</v>
      </c>
      <c r="B38" s="4"/>
      <c r="C38" s="181"/>
      <c r="D38" s="43"/>
      <c r="I38" s="187"/>
    </row>
    <row r="39" spans="1:9" ht="20.100000000000001" customHeight="1" outlineLevel="1">
      <c r="A39" s="8" t="s">
        <v>17</v>
      </c>
      <c r="B39" s="4"/>
      <c r="C39" s="181"/>
      <c r="D39" s="43"/>
      <c r="I39" s="187"/>
    </row>
    <row r="40" spans="1:9" ht="20.100000000000001" customHeight="1" outlineLevel="1" thickBot="1">
      <c r="A40" s="10" t="s">
        <v>24</v>
      </c>
      <c r="B40" s="2"/>
      <c r="C40" s="182"/>
      <c r="D40" s="46"/>
      <c r="I40" s="187"/>
    </row>
    <row r="41" spans="1:9" ht="20.100000000000001" customHeight="1" thickTop="1">
      <c r="A41" s="186" t="s">
        <v>25</v>
      </c>
      <c r="B41" s="173">
        <f>B42</f>
        <v>253.8482730576257</v>
      </c>
      <c r="C41" s="174">
        <f>C42</f>
        <v>222</v>
      </c>
      <c r="D41" s="175">
        <f>D42</f>
        <v>1.1434606894487644</v>
      </c>
      <c r="I41" s="187"/>
    </row>
    <row r="42" spans="1:9" ht="20.100000000000001" customHeight="1" outlineLevel="1">
      <c r="A42" s="3" t="s">
        <v>11</v>
      </c>
      <c r="B42" s="148">
        <v>253.8482730576257</v>
      </c>
      <c r="C42" s="145">
        <v>222</v>
      </c>
      <c r="D42" s="43">
        <f>(B42/C42)</f>
        <v>1.1434606894487644</v>
      </c>
    </row>
    <row r="43" spans="1:9" ht="20.100000000000001" customHeight="1" outlineLevel="1">
      <c r="A43" s="3" t="s">
        <v>12</v>
      </c>
      <c r="B43" s="4"/>
      <c r="C43" s="4"/>
      <c r="D43" s="43"/>
    </row>
    <row r="44" spans="1:9" ht="20.100000000000001" customHeight="1" outlineLevel="1">
      <c r="A44" s="3" t="s">
        <v>13</v>
      </c>
      <c r="B44" s="16"/>
      <c r="C44" s="4"/>
      <c r="D44" s="43"/>
    </row>
    <row r="45" spans="1:9" ht="20.100000000000001" customHeight="1" outlineLevel="1">
      <c r="A45" s="3" t="s">
        <v>14</v>
      </c>
      <c r="B45" s="4"/>
      <c r="C45" s="4"/>
      <c r="D45" s="43"/>
    </row>
    <row r="46" spans="1:9" ht="20.100000000000001" customHeight="1" outlineLevel="1">
      <c r="A46" s="8" t="s">
        <v>15</v>
      </c>
      <c r="B46" s="4"/>
      <c r="C46" s="4"/>
      <c r="D46" s="43"/>
    </row>
    <row r="47" spans="1:9" ht="20.100000000000001" customHeight="1" outlineLevel="1">
      <c r="A47" s="8" t="s">
        <v>16</v>
      </c>
      <c r="B47" s="4"/>
      <c r="C47" s="4"/>
      <c r="D47" s="43"/>
    </row>
    <row r="48" spans="1:9" ht="20.100000000000001" customHeight="1" outlineLevel="1">
      <c r="A48" s="8" t="s">
        <v>17</v>
      </c>
      <c r="B48" s="4"/>
      <c r="C48" s="181"/>
      <c r="D48" s="43"/>
    </row>
    <row r="49" spans="1:4" ht="20.100000000000001" customHeight="1" outlineLevel="1" thickBot="1">
      <c r="A49" s="10" t="s">
        <v>26</v>
      </c>
      <c r="B49" s="2"/>
      <c r="C49" s="182"/>
      <c r="D49" s="46"/>
    </row>
    <row r="50" spans="1:4" ht="16.149999999999999" thickTop="1">
      <c r="A50" s="154" t="s">
        <v>27</v>
      </c>
    </row>
    <row r="51" spans="1:4">
      <c r="A51" s="154" t="s">
        <v>28</v>
      </c>
    </row>
    <row r="52" spans="1:4">
      <c r="A52" s="154" t="s">
        <v>29</v>
      </c>
    </row>
    <row r="53" spans="1:4">
      <c r="A53" s="154" t="s">
        <v>30</v>
      </c>
    </row>
    <row r="54" spans="1:4">
      <c r="A54" s="154" t="s">
        <v>31</v>
      </c>
    </row>
  </sheetData>
  <pageMargins left="0.75" right="0.75" top="1" bottom="1" header="0.5" footer="0.5"/>
  <pageSetup scale="81" orientation="portrait" horizontalDpi="1200" verticalDpi="1200" r:id="rId1"/>
  <headerFooter alignWithMargins="0">
    <oddHeader>&amp;CPacific Gas and Electric Company EE Programs 2019 Annual Report - May 2020</oddHeader>
    <oddFooter>&amp;C1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AD95-E69D-459B-A494-E91D8F66B561}">
  <dimension ref="A1:XFD52"/>
  <sheetViews>
    <sheetView zoomScale="80" zoomScaleNormal="80" workbookViewId="0"/>
  </sheetViews>
  <sheetFormatPr defaultColWidth="9.140625" defaultRowHeight="13.15"/>
  <cols>
    <col min="1" max="1" width="18.42578125" style="112" customWidth="1"/>
    <col min="2" max="2" width="24.140625" style="112" customWidth="1"/>
    <col min="3" max="3" width="49.42578125" style="112" customWidth="1"/>
    <col min="4" max="4" width="17.140625" style="112" customWidth="1"/>
    <col min="5" max="5" width="15.5703125" style="112" customWidth="1"/>
    <col min="6" max="16384" width="9.140625" style="112"/>
  </cols>
  <sheetData>
    <row r="1" spans="1:5">
      <c r="A1" s="299" t="s">
        <v>1229</v>
      </c>
    </row>
    <row r="2" spans="1:5">
      <c r="A2" s="300" t="s">
        <v>1230</v>
      </c>
    </row>
    <row r="3" spans="1:5">
      <c r="A3" s="443"/>
      <c r="B3" s="443"/>
      <c r="C3" s="443"/>
      <c r="D3" s="443"/>
      <c r="E3" s="443"/>
    </row>
    <row r="4" spans="1:5" ht="87.75" customHeight="1">
      <c r="A4" s="434" t="s">
        <v>1231</v>
      </c>
      <c r="B4" s="442"/>
      <c r="C4" s="442"/>
      <c r="D4" s="442"/>
      <c r="E4" s="442"/>
    </row>
    <row r="5" spans="1:5" s="302" customFormat="1">
      <c r="A5" s="429" t="s">
        <v>1232</v>
      </c>
      <c r="B5" s="429"/>
      <c r="C5" s="429"/>
      <c r="D5" s="429"/>
      <c r="E5" s="301"/>
    </row>
    <row r="6" spans="1:5">
      <c r="A6" s="359" t="s">
        <v>1233</v>
      </c>
      <c r="B6" s="359" t="s">
        <v>459</v>
      </c>
      <c r="C6" s="444" t="s">
        <v>1234</v>
      </c>
      <c r="D6" s="444"/>
    </row>
    <row r="7" spans="1:5">
      <c r="A7" s="303">
        <v>1</v>
      </c>
      <c r="B7" s="304" t="s">
        <v>1235</v>
      </c>
      <c r="C7" s="440" t="s">
        <v>1236</v>
      </c>
      <c r="D7" s="440"/>
    </row>
    <row r="8" spans="1:5">
      <c r="A8" s="303">
        <v>2</v>
      </c>
      <c r="B8" s="304" t="s">
        <v>1237</v>
      </c>
      <c r="C8" s="440" t="s">
        <v>1238</v>
      </c>
      <c r="D8" s="440"/>
    </row>
    <row r="9" spans="1:5" ht="43.5" customHeight="1">
      <c r="A9" s="303">
        <v>3</v>
      </c>
      <c r="B9" s="304" t="s">
        <v>1239</v>
      </c>
      <c r="C9" s="440" t="s">
        <v>1240</v>
      </c>
      <c r="D9" s="440"/>
    </row>
    <row r="10" spans="1:5" ht="26.25" customHeight="1">
      <c r="A10" s="441" t="s">
        <v>1241</v>
      </c>
      <c r="B10" s="441"/>
      <c r="C10" s="441"/>
      <c r="D10" s="441"/>
    </row>
    <row r="11" spans="1:5">
      <c r="A11" s="426"/>
      <c r="B11" s="426"/>
      <c r="C11" s="426"/>
      <c r="D11" s="426"/>
      <c r="E11" s="426"/>
    </row>
    <row r="12" spans="1:5" ht="172.5" customHeight="1">
      <c r="A12" s="434" t="s">
        <v>1242</v>
      </c>
      <c r="B12" s="442"/>
      <c r="C12" s="442"/>
      <c r="D12" s="442"/>
      <c r="E12" s="442"/>
    </row>
    <row r="13" spans="1:5" s="305" customFormat="1" ht="122.25" customHeight="1">
      <c r="A13" s="434" t="s">
        <v>1243</v>
      </c>
      <c r="B13" s="442"/>
      <c r="C13" s="442"/>
      <c r="D13" s="442"/>
      <c r="E13" s="442"/>
    </row>
    <row r="14" spans="1:5" s="305" customFormat="1" ht="59.25" customHeight="1">
      <c r="A14" s="434" t="s">
        <v>1244</v>
      </c>
      <c r="B14" s="442"/>
      <c r="C14" s="442"/>
      <c r="D14" s="442"/>
      <c r="E14" s="442"/>
    </row>
    <row r="15" spans="1:5" s="305" customFormat="1" ht="22.5" customHeight="1">
      <c r="A15" s="437"/>
      <c r="B15" s="437"/>
      <c r="C15" s="437"/>
      <c r="D15" s="437"/>
      <c r="E15" s="437"/>
    </row>
    <row r="16" spans="1:5" ht="26.25" customHeight="1">
      <c r="A16" s="438" t="s">
        <v>1245</v>
      </c>
      <c r="B16" s="438"/>
      <c r="C16" s="438"/>
      <c r="D16" s="438"/>
      <c r="E16" s="438"/>
    </row>
    <row r="17" spans="1:5" ht="52.9">
      <c r="A17" s="427" t="s">
        <v>1246</v>
      </c>
      <c r="B17" s="306" t="s">
        <v>459</v>
      </c>
      <c r="C17" s="358" t="s">
        <v>1247</v>
      </c>
      <c r="D17" s="358" t="s">
        <v>1248</v>
      </c>
      <c r="E17" s="306" t="s">
        <v>1249</v>
      </c>
    </row>
    <row r="18" spans="1:5">
      <c r="A18" s="427"/>
      <c r="B18" s="307" t="s">
        <v>1250</v>
      </c>
      <c r="C18" s="308">
        <v>52609</v>
      </c>
      <c r="D18" s="308">
        <v>58123</v>
      </c>
      <c r="E18" s="308">
        <v>232911</v>
      </c>
    </row>
    <row r="19" spans="1:5">
      <c r="A19" s="427"/>
      <c r="B19" s="307" t="s">
        <v>1251</v>
      </c>
      <c r="C19" s="309">
        <v>1.28</v>
      </c>
      <c r="D19" s="309" t="s">
        <v>1252</v>
      </c>
      <c r="E19" s="309">
        <v>1.23</v>
      </c>
    </row>
    <row r="20" spans="1:5">
      <c r="A20" s="427"/>
      <c r="B20" s="307" t="s">
        <v>1253</v>
      </c>
      <c r="C20" s="308">
        <v>1348</v>
      </c>
      <c r="D20" s="308">
        <v>1799</v>
      </c>
      <c r="E20" s="308">
        <v>10669</v>
      </c>
    </row>
    <row r="21" spans="1:5" ht="28.5" customHeight="1">
      <c r="A21" s="433" t="s">
        <v>1254</v>
      </c>
      <c r="B21" s="433"/>
      <c r="C21" s="433"/>
      <c r="D21" s="433"/>
      <c r="E21" s="433"/>
    </row>
    <row r="22" spans="1:5" ht="27" customHeight="1">
      <c r="A22" s="434" t="s">
        <v>1255</v>
      </c>
      <c r="B22" s="434"/>
      <c r="C22" s="434"/>
      <c r="D22" s="434"/>
      <c r="E22" s="434"/>
    </row>
    <row r="23" spans="1:5" ht="25.5" customHeight="1">
      <c r="A23" s="439"/>
      <c r="B23" s="439"/>
      <c r="C23" s="439"/>
      <c r="D23" s="439"/>
      <c r="E23" s="439"/>
    </row>
    <row r="24" spans="1:5" ht="25.5" customHeight="1">
      <c r="A24" s="429" t="s">
        <v>1256</v>
      </c>
      <c r="B24" s="429"/>
      <c r="C24" s="429"/>
      <c r="D24" s="429"/>
      <c r="E24" s="429"/>
    </row>
    <row r="25" spans="1:5" ht="52.9">
      <c r="A25" s="430" t="s">
        <v>1257</v>
      </c>
      <c r="B25" s="427" t="s">
        <v>459</v>
      </c>
      <c r="C25" s="358" t="s">
        <v>1247</v>
      </c>
      <c r="D25" s="358" t="s">
        <v>1258</v>
      </c>
      <c r="E25" s="427" t="s">
        <v>1259</v>
      </c>
    </row>
    <row r="26" spans="1:5">
      <c r="A26" s="431"/>
      <c r="B26" s="427"/>
      <c r="C26" s="358"/>
      <c r="D26" s="358"/>
      <c r="E26" s="427"/>
    </row>
    <row r="27" spans="1:5">
      <c r="A27" s="431"/>
      <c r="B27" s="307" t="s">
        <v>1250</v>
      </c>
      <c r="C27" s="308">
        <v>52609</v>
      </c>
      <c r="D27" s="308">
        <v>56236</v>
      </c>
      <c r="E27" s="308">
        <v>204367</v>
      </c>
    </row>
    <row r="28" spans="1:5">
      <c r="A28" s="431"/>
      <c r="B28" s="307" t="s">
        <v>1251</v>
      </c>
      <c r="C28" s="309">
        <v>1.28</v>
      </c>
      <c r="D28" s="309" t="s">
        <v>1260</v>
      </c>
      <c r="E28" s="310">
        <v>6.8749999999999992E-2</v>
      </c>
    </row>
    <row r="29" spans="1:5">
      <c r="A29" s="431"/>
      <c r="B29" s="307" t="s">
        <v>1253</v>
      </c>
      <c r="C29" s="308">
        <v>1348</v>
      </c>
      <c r="D29" s="308">
        <v>1532</v>
      </c>
      <c r="E29" s="308">
        <v>10669</v>
      </c>
    </row>
    <row r="30" spans="1:5">
      <c r="A30" s="432"/>
      <c r="B30" s="307" t="s">
        <v>1261</v>
      </c>
      <c r="C30" s="308">
        <v>6224</v>
      </c>
      <c r="D30" s="308">
        <v>8650</v>
      </c>
      <c r="E30" s="309">
        <v>221</v>
      </c>
    </row>
    <row r="31" spans="1:5">
      <c r="A31" s="302" t="s">
        <v>1262</v>
      </c>
      <c r="B31" s="311"/>
      <c r="C31" s="312"/>
      <c r="D31" s="312"/>
      <c r="E31" s="357"/>
    </row>
    <row r="32" spans="1:5" ht="27" customHeight="1">
      <c r="A32" s="434" t="s">
        <v>1255</v>
      </c>
      <c r="B32" s="434"/>
      <c r="C32" s="434"/>
      <c r="D32" s="434"/>
      <c r="E32" s="434"/>
    </row>
    <row r="33" spans="1:4">
      <c r="A33" s="436"/>
      <c r="B33" s="436"/>
      <c r="C33" s="436"/>
      <c r="D33" s="436"/>
    </row>
    <row r="34" spans="1:4" ht="19.5" customHeight="1">
      <c r="A34" s="429" t="s">
        <v>1263</v>
      </c>
      <c r="B34" s="429"/>
      <c r="C34" s="429"/>
      <c r="D34" s="429"/>
    </row>
    <row r="35" spans="1:4" ht="26.45">
      <c r="A35" s="430" t="s">
        <v>1264</v>
      </c>
      <c r="B35" s="358" t="s">
        <v>459</v>
      </c>
      <c r="C35" s="358" t="s">
        <v>1265</v>
      </c>
      <c r="D35" s="358" t="s">
        <v>1249</v>
      </c>
    </row>
    <row r="36" spans="1:4">
      <c r="A36" s="431"/>
      <c r="B36" s="307" t="s">
        <v>1266</v>
      </c>
      <c r="C36" s="308">
        <v>1010</v>
      </c>
      <c r="D36" s="308">
        <v>13169</v>
      </c>
    </row>
    <row r="37" spans="1:4">
      <c r="A37" s="432"/>
      <c r="B37" s="307" t="s">
        <v>1251</v>
      </c>
      <c r="C37" s="309" t="s">
        <v>1267</v>
      </c>
      <c r="D37" s="310">
        <v>4.7916666666666663E-2</v>
      </c>
    </row>
    <row r="38" spans="1:4" ht="14.25" customHeight="1">
      <c r="A38" s="433" t="s">
        <v>1268</v>
      </c>
      <c r="B38" s="433"/>
      <c r="C38" s="433"/>
      <c r="D38" s="433"/>
    </row>
    <row r="39" spans="1:4" ht="14.25" customHeight="1">
      <c r="A39" s="434" t="s">
        <v>1269</v>
      </c>
      <c r="B39" s="434"/>
      <c r="C39" s="434"/>
      <c r="D39" s="434"/>
    </row>
    <row r="40" spans="1:4">
      <c r="A40" s="435"/>
      <c r="B40" s="435"/>
      <c r="C40" s="435"/>
      <c r="D40" s="435"/>
    </row>
    <row r="41" spans="1:4" ht="18.75" customHeight="1">
      <c r="A41" s="429" t="s">
        <v>1270</v>
      </c>
      <c r="B41" s="429"/>
      <c r="C41" s="429"/>
      <c r="D41" s="429"/>
    </row>
    <row r="42" spans="1:4" ht="31.5" customHeight="1">
      <c r="A42" s="427" t="s">
        <v>1271</v>
      </c>
      <c r="B42" s="358" t="s">
        <v>459</v>
      </c>
      <c r="C42" s="358" t="s">
        <v>1265</v>
      </c>
      <c r="D42" s="358" t="s">
        <v>1272</v>
      </c>
    </row>
    <row r="43" spans="1:4">
      <c r="A43" s="427"/>
      <c r="B43" s="307" t="s">
        <v>1266</v>
      </c>
      <c r="C43" s="309">
        <v>877</v>
      </c>
      <c r="D43" s="308">
        <v>15375</v>
      </c>
    </row>
    <row r="44" spans="1:4">
      <c r="A44" s="427"/>
      <c r="B44" s="307" t="s">
        <v>1251</v>
      </c>
      <c r="C44" s="309" t="s">
        <v>1273</v>
      </c>
      <c r="D44" s="310">
        <v>5.6250000000000001E-2</v>
      </c>
    </row>
    <row r="45" spans="1:4">
      <c r="A45" s="313" t="s">
        <v>1274</v>
      </c>
      <c r="B45" s="313"/>
      <c r="C45" s="313"/>
      <c r="D45" s="313"/>
    </row>
    <row r="46" spans="1:4">
      <c r="A46" s="313" t="s">
        <v>1275</v>
      </c>
      <c r="B46" s="314"/>
      <c r="C46" s="314"/>
      <c r="D46" s="314"/>
    </row>
    <row r="47" spans="1:4">
      <c r="A47" s="428"/>
      <c r="B47" s="428"/>
      <c r="C47" s="428"/>
      <c r="D47" s="428"/>
    </row>
    <row r="48" spans="1:4">
      <c r="A48" s="426"/>
      <c r="B48" s="426"/>
      <c r="C48" s="426"/>
      <c r="D48" s="426"/>
    </row>
    <row r="49" spans="1:16384">
      <c r="A49" s="426"/>
      <c r="B49" s="426"/>
      <c r="C49" s="426"/>
      <c r="D49" s="426"/>
      <c r="E49" s="426"/>
      <c r="F49" s="426"/>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c r="DJ49" s="426"/>
      <c r="DK49" s="426"/>
      <c r="DL49" s="426"/>
      <c r="DM49" s="426"/>
      <c r="DN49" s="426"/>
      <c r="DO49" s="426"/>
      <c r="DP49" s="426"/>
      <c r="DQ49" s="426"/>
      <c r="DR49" s="426"/>
      <c r="DS49" s="426"/>
      <c r="DT49" s="426"/>
      <c r="DU49" s="426"/>
      <c r="DV49" s="426"/>
      <c r="DW49" s="426"/>
      <c r="DX49" s="426"/>
      <c r="DY49" s="426"/>
      <c r="DZ49" s="426"/>
      <c r="EA49" s="426"/>
      <c r="EB49" s="426"/>
      <c r="EC49" s="426"/>
      <c r="ED49" s="426"/>
      <c r="EE49" s="426"/>
      <c r="EF49" s="426"/>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26"/>
      <c r="GM49" s="426"/>
      <c r="GN49" s="426"/>
      <c r="GO49" s="426"/>
      <c r="GP49" s="426"/>
      <c r="GQ49" s="426"/>
      <c r="GR49" s="426"/>
      <c r="GS49" s="426"/>
      <c r="GT49" s="426"/>
      <c r="GU49" s="426"/>
      <c r="GV49" s="426"/>
      <c r="GW49" s="426"/>
      <c r="GX49" s="426"/>
      <c r="GY49" s="426"/>
      <c r="GZ49" s="426"/>
      <c r="HA49" s="426"/>
      <c r="HB49" s="426"/>
      <c r="HC49" s="426"/>
      <c r="HD49" s="426"/>
      <c r="HE49" s="426"/>
      <c r="HF49" s="426"/>
      <c r="HG49" s="426"/>
      <c r="HH49" s="426"/>
      <c r="HI49" s="426"/>
      <c r="HJ49" s="426"/>
      <c r="HK49" s="426"/>
      <c r="HL49" s="426"/>
      <c r="HM49" s="426"/>
      <c r="HN49" s="426"/>
      <c r="HO49" s="426"/>
      <c r="HP49" s="426"/>
      <c r="HQ49" s="426"/>
      <c r="HR49" s="426"/>
      <c r="HS49" s="426"/>
      <c r="HT49" s="426"/>
      <c r="HU49" s="426"/>
      <c r="HV49" s="426"/>
      <c r="HW49" s="426"/>
      <c r="HX49" s="426"/>
      <c r="HY49" s="426"/>
      <c r="HZ49" s="426"/>
      <c r="IA49" s="426"/>
      <c r="IB49" s="426"/>
      <c r="IC49" s="426"/>
      <c r="ID49" s="426"/>
      <c r="IE49" s="426"/>
      <c r="IF49" s="426"/>
      <c r="IG49" s="426"/>
      <c r="IH49" s="426"/>
      <c r="II49" s="426"/>
      <c r="IJ49" s="426"/>
      <c r="IK49" s="426"/>
      <c r="IL49" s="426"/>
      <c r="IM49" s="426"/>
      <c r="IN49" s="426"/>
      <c r="IO49" s="426"/>
      <c r="IP49" s="426"/>
      <c r="IQ49" s="426"/>
      <c r="IR49" s="426"/>
      <c r="IS49" s="426"/>
      <c r="IT49" s="426"/>
      <c r="IU49" s="426"/>
      <c r="IV49" s="426"/>
      <c r="IW49" s="426"/>
      <c r="IX49" s="426"/>
      <c r="IY49" s="426"/>
      <c r="IZ49" s="426"/>
      <c r="JA49" s="426"/>
      <c r="JB49" s="426"/>
      <c r="JC49" s="426"/>
      <c r="JD49" s="426"/>
      <c r="JE49" s="426"/>
      <c r="JF49" s="426"/>
      <c r="JG49" s="426"/>
      <c r="JH49" s="426"/>
      <c r="JI49" s="426"/>
      <c r="JJ49" s="426"/>
      <c r="JK49" s="426"/>
      <c r="JL49" s="426"/>
      <c r="JM49" s="426"/>
      <c r="JN49" s="426"/>
      <c r="JO49" s="426"/>
      <c r="JP49" s="426"/>
      <c r="JQ49" s="426"/>
      <c r="JR49" s="426"/>
      <c r="JS49" s="426"/>
      <c r="JT49" s="426"/>
      <c r="JU49" s="426"/>
      <c r="JV49" s="426"/>
      <c r="JW49" s="426"/>
      <c r="JX49" s="426"/>
      <c r="JY49" s="426"/>
      <c r="JZ49" s="426"/>
      <c r="KA49" s="426"/>
      <c r="KB49" s="426"/>
      <c r="KC49" s="426"/>
      <c r="KD49" s="426"/>
      <c r="KE49" s="426"/>
      <c r="KF49" s="426"/>
      <c r="KG49" s="426"/>
      <c r="KH49" s="426"/>
      <c r="KI49" s="426"/>
      <c r="KJ49" s="426"/>
      <c r="KK49" s="426"/>
      <c r="KL49" s="426"/>
      <c r="KM49" s="426"/>
      <c r="KN49" s="426"/>
      <c r="KO49" s="426"/>
      <c r="KP49" s="426"/>
      <c r="KQ49" s="426"/>
      <c r="KR49" s="426"/>
      <c r="KS49" s="426"/>
      <c r="KT49" s="426"/>
      <c r="KU49" s="426"/>
      <c r="KV49" s="426"/>
      <c r="KW49" s="426"/>
      <c r="KX49" s="426"/>
      <c r="KY49" s="426"/>
      <c r="KZ49" s="426"/>
      <c r="LA49" s="426"/>
      <c r="LB49" s="426"/>
      <c r="LC49" s="426"/>
      <c r="LD49" s="426"/>
      <c r="LE49" s="426"/>
      <c r="LF49" s="426"/>
      <c r="LG49" s="426"/>
      <c r="LH49" s="426"/>
      <c r="LI49" s="426"/>
      <c r="LJ49" s="426"/>
      <c r="LK49" s="426"/>
      <c r="LL49" s="426"/>
      <c r="LM49" s="426"/>
      <c r="LN49" s="426"/>
      <c r="LO49" s="426"/>
      <c r="LP49" s="426"/>
      <c r="LQ49" s="426"/>
      <c r="LR49" s="426"/>
      <c r="LS49" s="426"/>
      <c r="LT49" s="426"/>
      <c r="LU49" s="426"/>
      <c r="LV49" s="426"/>
      <c r="LW49" s="426"/>
      <c r="LX49" s="426"/>
      <c r="LY49" s="426"/>
      <c r="LZ49" s="426"/>
      <c r="MA49" s="426"/>
      <c r="MB49" s="426"/>
      <c r="MC49" s="426"/>
      <c r="MD49" s="426"/>
      <c r="ME49" s="426"/>
      <c r="MF49" s="426"/>
      <c r="MG49" s="426"/>
      <c r="MH49" s="426"/>
      <c r="MI49" s="426"/>
      <c r="MJ49" s="426"/>
      <c r="MK49" s="426"/>
      <c r="ML49" s="426"/>
      <c r="MM49" s="426"/>
      <c r="MN49" s="426"/>
      <c r="MO49" s="426"/>
      <c r="MP49" s="426"/>
      <c r="MQ49" s="426"/>
      <c r="MR49" s="426"/>
      <c r="MS49" s="426"/>
      <c r="MT49" s="426"/>
      <c r="MU49" s="426"/>
      <c r="MV49" s="426"/>
      <c r="MW49" s="426"/>
      <c r="MX49" s="426"/>
      <c r="MY49" s="426"/>
      <c r="MZ49" s="426"/>
      <c r="NA49" s="426"/>
      <c r="NB49" s="426"/>
      <c r="NC49" s="426"/>
      <c r="ND49" s="426"/>
      <c r="NE49" s="426"/>
      <c r="NF49" s="426"/>
      <c r="NG49" s="426"/>
      <c r="NH49" s="426"/>
      <c r="NI49" s="426"/>
      <c r="NJ49" s="426"/>
      <c r="NK49" s="426"/>
      <c r="NL49" s="426"/>
      <c r="NM49" s="426"/>
      <c r="NN49" s="426"/>
      <c r="NO49" s="426"/>
      <c r="NP49" s="426"/>
      <c r="NQ49" s="426"/>
      <c r="NR49" s="426"/>
      <c r="NS49" s="426"/>
      <c r="NT49" s="426"/>
      <c r="NU49" s="426"/>
      <c r="NV49" s="426"/>
      <c r="NW49" s="426"/>
      <c r="NX49" s="426"/>
      <c r="NY49" s="426"/>
      <c r="NZ49" s="426"/>
      <c r="OA49" s="426"/>
      <c r="OB49" s="426"/>
      <c r="OC49" s="426"/>
      <c r="OD49" s="426"/>
      <c r="OE49" s="426"/>
      <c r="OF49" s="426"/>
      <c r="OG49" s="426"/>
      <c r="OH49" s="426"/>
      <c r="OI49" s="426"/>
      <c r="OJ49" s="426"/>
      <c r="OK49" s="426"/>
      <c r="OL49" s="426"/>
      <c r="OM49" s="426"/>
      <c r="ON49" s="426"/>
      <c r="OO49" s="426"/>
      <c r="OP49" s="426"/>
      <c r="OQ49" s="426"/>
      <c r="OR49" s="426"/>
      <c r="OS49" s="426"/>
      <c r="OT49" s="426"/>
      <c r="OU49" s="426"/>
      <c r="OV49" s="426"/>
      <c r="OW49" s="426"/>
      <c r="OX49" s="426"/>
      <c r="OY49" s="426"/>
      <c r="OZ49" s="426"/>
      <c r="PA49" s="426"/>
      <c r="PB49" s="426"/>
      <c r="PC49" s="426"/>
      <c r="PD49" s="426"/>
      <c r="PE49" s="426"/>
      <c r="PF49" s="426"/>
      <c r="PG49" s="426"/>
      <c r="PH49" s="426"/>
      <c r="PI49" s="426"/>
      <c r="PJ49" s="426"/>
      <c r="PK49" s="426"/>
      <c r="PL49" s="426"/>
      <c r="PM49" s="426"/>
      <c r="PN49" s="426"/>
      <c r="PO49" s="426"/>
      <c r="PP49" s="426"/>
      <c r="PQ49" s="426"/>
      <c r="PR49" s="426"/>
      <c r="PS49" s="426"/>
      <c r="PT49" s="426"/>
      <c r="PU49" s="426"/>
      <c r="PV49" s="426"/>
      <c r="PW49" s="426"/>
      <c r="PX49" s="426"/>
      <c r="PY49" s="426"/>
      <c r="PZ49" s="426"/>
      <c r="QA49" s="426"/>
      <c r="QB49" s="426"/>
      <c r="QC49" s="426"/>
      <c r="QD49" s="426"/>
      <c r="QE49" s="426"/>
      <c r="QF49" s="426"/>
      <c r="QG49" s="426"/>
      <c r="QH49" s="426"/>
      <c r="QI49" s="426"/>
      <c r="QJ49" s="426"/>
      <c r="QK49" s="426"/>
      <c r="QL49" s="426"/>
      <c r="QM49" s="426"/>
      <c r="QN49" s="426"/>
      <c r="QO49" s="426"/>
      <c r="QP49" s="426"/>
      <c r="QQ49" s="426"/>
      <c r="QR49" s="426"/>
      <c r="QS49" s="426"/>
      <c r="QT49" s="426"/>
      <c r="QU49" s="426"/>
      <c r="QV49" s="426"/>
      <c r="QW49" s="426"/>
      <c r="QX49" s="426"/>
      <c r="QY49" s="426"/>
      <c r="QZ49" s="426"/>
      <c r="RA49" s="426"/>
      <c r="RB49" s="426"/>
      <c r="RC49" s="426"/>
      <c r="RD49" s="426"/>
      <c r="RE49" s="426"/>
      <c r="RF49" s="426"/>
      <c r="RG49" s="426"/>
      <c r="RH49" s="426"/>
      <c r="RI49" s="426"/>
      <c r="RJ49" s="426"/>
      <c r="RK49" s="426"/>
      <c r="RL49" s="426"/>
      <c r="RM49" s="426"/>
      <c r="RN49" s="426"/>
      <c r="RO49" s="426"/>
      <c r="RP49" s="426"/>
      <c r="RQ49" s="426"/>
      <c r="RR49" s="426"/>
      <c r="RS49" s="426"/>
      <c r="RT49" s="426"/>
      <c r="RU49" s="426"/>
      <c r="RV49" s="426"/>
      <c r="RW49" s="426"/>
      <c r="RX49" s="426"/>
      <c r="RY49" s="426"/>
      <c r="RZ49" s="426"/>
      <c r="SA49" s="426"/>
      <c r="SB49" s="426"/>
      <c r="SC49" s="426"/>
      <c r="SD49" s="426"/>
      <c r="SE49" s="426"/>
      <c r="SF49" s="426"/>
      <c r="SG49" s="426"/>
      <c r="SH49" s="426"/>
      <c r="SI49" s="426"/>
      <c r="SJ49" s="426"/>
      <c r="SK49" s="426"/>
      <c r="SL49" s="426"/>
      <c r="SM49" s="426"/>
      <c r="SN49" s="426"/>
      <c r="SO49" s="426"/>
      <c r="SP49" s="426"/>
      <c r="SQ49" s="426"/>
      <c r="SR49" s="426"/>
      <c r="SS49" s="426"/>
      <c r="ST49" s="426"/>
      <c r="SU49" s="426"/>
      <c r="SV49" s="426"/>
      <c r="SW49" s="426"/>
      <c r="SX49" s="426"/>
      <c r="SY49" s="426"/>
      <c r="SZ49" s="426"/>
      <c r="TA49" s="426"/>
      <c r="TB49" s="426"/>
      <c r="TC49" s="426"/>
      <c r="TD49" s="426"/>
      <c r="TE49" s="426"/>
      <c r="TF49" s="426"/>
      <c r="TG49" s="426"/>
      <c r="TH49" s="426"/>
      <c r="TI49" s="426"/>
      <c r="TJ49" s="426"/>
      <c r="TK49" s="426"/>
      <c r="TL49" s="426"/>
      <c r="TM49" s="426"/>
      <c r="TN49" s="426"/>
      <c r="TO49" s="426"/>
      <c r="TP49" s="426"/>
      <c r="TQ49" s="426"/>
      <c r="TR49" s="426"/>
      <c r="TS49" s="426"/>
      <c r="TT49" s="426"/>
      <c r="TU49" s="426"/>
      <c r="TV49" s="426"/>
      <c r="TW49" s="426"/>
      <c r="TX49" s="426"/>
      <c r="TY49" s="426"/>
      <c r="TZ49" s="426"/>
      <c r="UA49" s="426"/>
      <c r="UB49" s="426"/>
      <c r="UC49" s="426"/>
      <c r="UD49" s="426"/>
      <c r="UE49" s="426"/>
      <c r="UF49" s="426"/>
      <c r="UG49" s="426"/>
      <c r="UH49" s="426"/>
      <c r="UI49" s="426"/>
      <c r="UJ49" s="426"/>
      <c r="UK49" s="426"/>
      <c r="UL49" s="426"/>
      <c r="UM49" s="426"/>
      <c r="UN49" s="426"/>
      <c r="UO49" s="426"/>
      <c r="UP49" s="426"/>
      <c r="UQ49" s="426"/>
      <c r="UR49" s="426"/>
      <c r="US49" s="426"/>
      <c r="UT49" s="426"/>
      <c r="UU49" s="426"/>
      <c r="UV49" s="426"/>
      <c r="UW49" s="426"/>
      <c r="UX49" s="426"/>
      <c r="UY49" s="426"/>
      <c r="UZ49" s="426"/>
      <c r="VA49" s="426"/>
      <c r="VB49" s="426"/>
      <c r="VC49" s="426"/>
      <c r="VD49" s="426"/>
      <c r="VE49" s="426"/>
      <c r="VF49" s="426"/>
      <c r="VG49" s="426"/>
      <c r="VH49" s="426"/>
      <c r="VI49" s="426"/>
      <c r="VJ49" s="426"/>
      <c r="VK49" s="426"/>
      <c r="VL49" s="426"/>
      <c r="VM49" s="426"/>
      <c r="VN49" s="426"/>
      <c r="VO49" s="426"/>
      <c r="VP49" s="426"/>
      <c r="VQ49" s="426"/>
      <c r="VR49" s="426"/>
      <c r="VS49" s="426"/>
      <c r="VT49" s="426"/>
      <c r="VU49" s="426"/>
      <c r="VV49" s="426"/>
      <c r="VW49" s="426"/>
      <c r="VX49" s="426"/>
      <c r="VY49" s="426"/>
      <c r="VZ49" s="426"/>
      <c r="WA49" s="426"/>
      <c r="WB49" s="426"/>
      <c r="WC49" s="426"/>
      <c r="WD49" s="426"/>
      <c r="WE49" s="426"/>
      <c r="WF49" s="426"/>
      <c r="WG49" s="426"/>
      <c r="WH49" s="426"/>
      <c r="WI49" s="426"/>
      <c r="WJ49" s="426"/>
      <c r="WK49" s="426"/>
      <c r="WL49" s="426"/>
      <c r="WM49" s="426"/>
      <c r="WN49" s="426"/>
      <c r="WO49" s="426"/>
      <c r="WP49" s="426"/>
      <c r="WQ49" s="426"/>
      <c r="WR49" s="426"/>
      <c r="WS49" s="426"/>
      <c r="WT49" s="426"/>
      <c r="WU49" s="426"/>
      <c r="WV49" s="426"/>
      <c r="WW49" s="426"/>
      <c r="WX49" s="426"/>
      <c r="WY49" s="426"/>
      <c r="WZ49" s="426"/>
      <c r="XA49" s="426"/>
      <c r="XB49" s="426"/>
      <c r="XC49" s="426"/>
      <c r="XD49" s="426"/>
      <c r="XE49" s="426"/>
      <c r="XF49" s="426"/>
      <c r="XG49" s="426"/>
      <c r="XH49" s="426"/>
      <c r="XI49" s="426"/>
      <c r="XJ49" s="426"/>
      <c r="XK49" s="426"/>
      <c r="XL49" s="426"/>
      <c r="XM49" s="426"/>
      <c r="XN49" s="426"/>
      <c r="XO49" s="426"/>
      <c r="XP49" s="426"/>
      <c r="XQ49" s="426"/>
      <c r="XR49" s="426"/>
      <c r="XS49" s="426"/>
      <c r="XT49" s="426"/>
      <c r="XU49" s="426"/>
      <c r="XV49" s="426"/>
      <c r="XW49" s="426"/>
      <c r="XX49" s="426"/>
      <c r="XY49" s="426"/>
      <c r="XZ49" s="426"/>
      <c r="YA49" s="426"/>
      <c r="YB49" s="426"/>
      <c r="YC49" s="426"/>
      <c r="YD49" s="426"/>
      <c r="YE49" s="426"/>
      <c r="YF49" s="426"/>
      <c r="YG49" s="426"/>
      <c r="YH49" s="426"/>
      <c r="YI49" s="426"/>
      <c r="YJ49" s="426"/>
      <c r="YK49" s="426"/>
      <c r="YL49" s="426"/>
      <c r="YM49" s="426"/>
      <c r="YN49" s="426"/>
      <c r="YO49" s="426"/>
      <c r="YP49" s="426"/>
      <c r="YQ49" s="426"/>
      <c r="YR49" s="426"/>
      <c r="YS49" s="426"/>
      <c r="YT49" s="426"/>
      <c r="YU49" s="426"/>
      <c r="YV49" s="426"/>
      <c r="YW49" s="426"/>
      <c r="YX49" s="426"/>
      <c r="YY49" s="426"/>
      <c r="YZ49" s="426"/>
      <c r="ZA49" s="426"/>
      <c r="ZB49" s="426"/>
      <c r="ZC49" s="426"/>
      <c r="ZD49" s="426"/>
      <c r="ZE49" s="426"/>
      <c r="ZF49" s="426"/>
      <c r="ZG49" s="426"/>
      <c r="ZH49" s="426"/>
      <c r="ZI49" s="426"/>
      <c r="ZJ49" s="426"/>
      <c r="ZK49" s="426"/>
      <c r="ZL49" s="426"/>
      <c r="ZM49" s="426"/>
      <c r="ZN49" s="426"/>
      <c r="ZO49" s="426"/>
      <c r="ZP49" s="426"/>
      <c r="ZQ49" s="426"/>
      <c r="ZR49" s="426"/>
      <c r="ZS49" s="426"/>
      <c r="ZT49" s="426"/>
      <c r="ZU49" s="426"/>
      <c r="ZV49" s="426"/>
      <c r="ZW49" s="426"/>
      <c r="ZX49" s="426"/>
      <c r="ZY49" s="426"/>
      <c r="ZZ49" s="426"/>
      <c r="AAA49" s="426"/>
      <c r="AAB49" s="426"/>
      <c r="AAC49" s="426"/>
      <c r="AAD49" s="426"/>
      <c r="AAE49" s="426"/>
      <c r="AAF49" s="426"/>
      <c r="AAG49" s="426"/>
      <c r="AAH49" s="426"/>
      <c r="AAI49" s="426"/>
      <c r="AAJ49" s="426"/>
      <c r="AAK49" s="426"/>
      <c r="AAL49" s="426"/>
      <c r="AAM49" s="426"/>
      <c r="AAN49" s="426"/>
      <c r="AAO49" s="426"/>
      <c r="AAP49" s="426"/>
      <c r="AAQ49" s="426"/>
      <c r="AAR49" s="426"/>
      <c r="AAS49" s="426"/>
      <c r="AAT49" s="426"/>
      <c r="AAU49" s="426"/>
      <c r="AAV49" s="426"/>
      <c r="AAW49" s="426"/>
      <c r="AAX49" s="426"/>
      <c r="AAY49" s="426"/>
      <c r="AAZ49" s="426"/>
      <c r="ABA49" s="426"/>
      <c r="ABB49" s="426"/>
      <c r="ABC49" s="426"/>
      <c r="ABD49" s="426"/>
      <c r="ABE49" s="426"/>
      <c r="ABF49" s="426"/>
      <c r="ABG49" s="426"/>
      <c r="ABH49" s="426"/>
      <c r="ABI49" s="426"/>
      <c r="ABJ49" s="426"/>
      <c r="ABK49" s="426"/>
      <c r="ABL49" s="426"/>
      <c r="ABM49" s="426"/>
      <c r="ABN49" s="426"/>
      <c r="ABO49" s="426"/>
      <c r="ABP49" s="426"/>
      <c r="ABQ49" s="426"/>
      <c r="ABR49" s="426"/>
      <c r="ABS49" s="426"/>
      <c r="ABT49" s="426"/>
      <c r="ABU49" s="426"/>
      <c r="ABV49" s="426"/>
      <c r="ABW49" s="426"/>
      <c r="ABX49" s="426"/>
      <c r="ABY49" s="426"/>
      <c r="ABZ49" s="426"/>
      <c r="ACA49" s="426"/>
      <c r="ACB49" s="426"/>
      <c r="ACC49" s="426"/>
      <c r="ACD49" s="426"/>
      <c r="ACE49" s="426"/>
      <c r="ACF49" s="426"/>
      <c r="ACG49" s="426"/>
      <c r="ACH49" s="426"/>
      <c r="ACI49" s="426"/>
      <c r="ACJ49" s="426"/>
      <c r="ACK49" s="426"/>
      <c r="ACL49" s="426"/>
      <c r="ACM49" s="426"/>
      <c r="ACN49" s="426"/>
      <c r="ACO49" s="426"/>
      <c r="ACP49" s="426"/>
      <c r="ACQ49" s="426"/>
      <c r="ACR49" s="426"/>
      <c r="ACS49" s="426"/>
      <c r="ACT49" s="426"/>
      <c r="ACU49" s="426"/>
      <c r="ACV49" s="426"/>
      <c r="ACW49" s="426"/>
      <c r="ACX49" s="426"/>
      <c r="ACY49" s="426"/>
      <c r="ACZ49" s="426"/>
      <c r="ADA49" s="426"/>
      <c r="ADB49" s="426"/>
      <c r="ADC49" s="426"/>
      <c r="ADD49" s="426"/>
      <c r="ADE49" s="426"/>
      <c r="ADF49" s="426"/>
      <c r="ADG49" s="426"/>
      <c r="ADH49" s="426"/>
      <c r="ADI49" s="426"/>
      <c r="ADJ49" s="426"/>
      <c r="ADK49" s="426"/>
      <c r="ADL49" s="426"/>
      <c r="ADM49" s="426"/>
      <c r="ADN49" s="426"/>
      <c r="ADO49" s="426"/>
      <c r="ADP49" s="426"/>
      <c r="ADQ49" s="426"/>
      <c r="ADR49" s="426"/>
      <c r="ADS49" s="426"/>
      <c r="ADT49" s="426"/>
      <c r="ADU49" s="426"/>
      <c r="ADV49" s="426"/>
      <c r="ADW49" s="426"/>
      <c r="ADX49" s="426"/>
      <c r="ADY49" s="426"/>
      <c r="ADZ49" s="426"/>
      <c r="AEA49" s="426"/>
      <c r="AEB49" s="426"/>
      <c r="AEC49" s="426"/>
      <c r="AED49" s="426"/>
      <c r="AEE49" s="426"/>
      <c r="AEF49" s="426"/>
      <c r="AEG49" s="426"/>
      <c r="AEH49" s="426"/>
      <c r="AEI49" s="426"/>
      <c r="AEJ49" s="426"/>
      <c r="AEK49" s="426"/>
      <c r="AEL49" s="426"/>
      <c r="AEM49" s="426"/>
      <c r="AEN49" s="426"/>
      <c r="AEO49" s="426"/>
      <c r="AEP49" s="426"/>
      <c r="AEQ49" s="426"/>
      <c r="AER49" s="426"/>
      <c r="AES49" s="426"/>
      <c r="AET49" s="426"/>
      <c r="AEU49" s="426"/>
      <c r="AEV49" s="426"/>
      <c r="AEW49" s="426"/>
      <c r="AEX49" s="426"/>
      <c r="AEY49" s="426"/>
      <c r="AEZ49" s="426"/>
      <c r="AFA49" s="426"/>
      <c r="AFB49" s="426"/>
      <c r="AFC49" s="426"/>
      <c r="AFD49" s="426"/>
      <c r="AFE49" s="426"/>
      <c r="AFF49" s="426"/>
      <c r="AFG49" s="426"/>
      <c r="AFH49" s="426"/>
      <c r="AFI49" s="426"/>
      <c r="AFJ49" s="426"/>
      <c r="AFK49" s="426"/>
      <c r="AFL49" s="426"/>
      <c r="AFM49" s="426"/>
      <c r="AFN49" s="426"/>
      <c r="AFO49" s="426"/>
      <c r="AFP49" s="426"/>
      <c r="AFQ49" s="426"/>
      <c r="AFR49" s="426"/>
      <c r="AFS49" s="426"/>
      <c r="AFT49" s="426"/>
      <c r="AFU49" s="426"/>
      <c r="AFV49" s="426"/>
      <c r="AFW49" s="426"/>
      <c r="AFX49" s="426"/>
      <c r="AFY49" s="426"/>
      <c r="AFZ49" s="426"/>
      <c r="AGA49" s="426"/>
      <c r="AGB49" s="426"/>
      <c r="AGC49" s="426"/>
      <c r="AGD49" s="426"/>
      <c r="AGE49" s="426"/>
      <c r="AGF49" s="426"/>
      <c r="AGG49" s="426"/>
      <c r="AGH49" s="426"/>
      <c r="AGI49" s="426"/>
      <c r="AGJ49" s="426"/>
      <c r="AGK49" s="426"/>
      <c r="AGL49" s="426"/>
      <c r="AGM49" s="426"/>
      <c r="AGN49" s="426"/>
      <c r="AGO49" s="426"/>
      <c r="AGP49" s="426"/>
      <c r="AGQ49" s="426"/>
      <c r="AGR49" s="426"/>
      <c r="AGS49" s="426"/>
      <c r="AGT49" s="426"/>
      <c r="AGU49" s="426"/>
      <c r="AGV49" s="426"/>
      <c r="AGW49" s="426"/>
      <c r="AGX49" s="426"/>
      <c r="AGY49" s="426"/>
      <c r="AGZ49" s="426"/>
      <c r="AHA49" s="426"/>
      <c r="AHB49" s="426"/>
      <c r="AHC49" s="426"/>
      <c r="AHD49" s="426"/>
      <c r="AHE49" s="426"/>
      <c r="AHF49" s="426"/>
      <c r="AHG49" s="426"/>
      <c r="AHH49" s="426"/>
      <c r="AHI49" s="426"/>
      <c r="AHJ49" s="426"/>
      <c r="AHK49" s="426"/>
      <c r="AHL49" s="426"/>
      <c r="AHM49" s="426"/>
      <c r="AHN49" s="426"/>
      <c r="AHO49" s="426"/>
      <c r="AHP49" s="426"/>
      <c r="AHQ49" s="426"/>
      <c r="AHR49" s="426"/>
      <c r="AHS49" s="426"/>
      <c r="AHT49" s="426"/>
      <c r="AHU49" s="426"/>
      <c r="AHV49" s="426"/>
      <c r="AHW49" s="426"/>
      <c r="AHX49" s="426"/>
      <c r="AHY49" s="426"/>
      <c r="AHZ49" s="426"/>
      <c r="AIA49" s="426"/>
      <c r="AIB49" s="426"/>
      <c r="AIC49" s="426"/>
      <c r="AID49" s="426"/>
      <c r="AIE49" s="426"/>
      <c r="AIF49" s="426"/>
      <c r="AIG49" s="426"/>
      <c r="AIH49" s="426"/>
      <c r="AII49" s="426"/>
      <c r="AIJ49" s="426"/>
      <c r="AIK49" s="426"/>
      <c r="AIL49" s="426"/>
      <c r="AIM49" s="426"/>
      <c r="AIN49" s="426"/>
      <c r="AIO49" s="426"/>
      <c r="AIP49" s="426"/>
      <c r="AIQ49" s="426"/>
      <c r="AIR49" s="426"/>
      <c r="AIS49" s="426"/>
      <c r="AIT49" s="426"/>
      <c r="AIU49" s="426"/>
      <c r="AIV49" s="426"/>
      <c r="AIW49" s="426"/>
      <c r="AIX49" s="426"/>
      <c r="AIY49" s="426"/>
      <c r="AIZ49" s="426"/>
      <c r="AJA49" s="426"/>
      <c r="AJB49" s="426"/>
      <c r="AJC49" s="426"/>
      <c r="AJD49" s="426"/>
      <c r="AJE49" s="426"/>
      <c r="AJF49" s="426"/>
      <c r="AJG49" s="426"/>
      <c r="AJH49" s="426"/>
      <c r="AJI49" s="426"/>
      <c r="AJJ49" s="426"/>
      <c r="AJK49" s="426"/>
      <c r="AJL49" s="426"/>
      <c r="AJM49" s="426"/>
      <c r="AJN49" s="426"/>
      <c r="AJO49" s="426"/>
      <c r="AJP49" s="426"/>
      <c r="AJQ49" s="426"/>
      <c r="AJR49" s="426"/>
      <c r="AJS49" s="426"/>
      <c r="AJT49" s="426"/>
      <c r="AJU49" s="426"/>
      <c r="AJV49" s="426"/>
      <c r="AJW49" s="426"/>
      <c r="AJX49" s="426"/>
      <c r="AJY49" s="426"/>
      <c r="AJZ49" s="426"/>
      <c r="AKA49" s="426"/>
      <c r="AKB49" s="426"/>
      <c r="AKC49" s="426"/>
      <c r="AKD49" s="426"/>
      <c r="AKE49" s="426"/>
      <c r="AKF49" s="426"/>
      <c r="AKG49" s="426"/>
      <c r="AKH49" s="426"/>
      <c r="AKI49" s="426"/>
      <c r="AKJ49" s="426"/>
      <c r="AKK49" s="426"/>
      <c r="AKL49" s="426"/>
      <c r="AKM49" s="426"/>
      <c r="AKN49" s="426"/>
      <c r="AKO49" s="426"/>
      <c r="AKP49" s="426"/>
      <c r="AKQ49" s="426"/>
      <c r="AKR49" s="426"/>
      <c r="AKS49" s="426"/>
      <c r="AKT49" s="426"/>
      <c r="AKU49" s="426"/>
      <c r="AKV49" s="426"/>
      <c r="AKW49" s="426"/>
      <c r="AKX49" s="426"/>
      <c r="AKY49" s="426"/>
      <c r="AKZ49" s="426"/>
      <c r="ALA49" s="426"/>
      <c r="ALB49" s="426"/>
      <c r="ALC49" s="426"/>
      <c r="ALD49" s="426"/>
      <c r="ALE49" s="426"/>
      <c r="ALF49" s="426"/>
      <c r="ALG49" s="426"/>
      <c r="ALH49" s="426"/>
      <c r="ALI49" s="426"/>
      <c r="ALJ49" s="426"/>
      <c r="ALK49" s="426"/>
      <c r="ALL49" s="426"/>
      <c r="ALM49" s="426"/>
      <c r="ALN49" s="426"/>
      <c r="ALO49" s="426"/>
      <c r="ALP49" s="426"/>
      <c r="ALQ49" s="426"/>
      <c r="ALR49" s="426"/>
      <c r="ALS49" s="426"/>
      <c r="ALT49" s="426"/>
      <c r="ALU49" s="426"/>
      <c r="ALV49" s="426"/>
      <c r="ALW49" s="426"/>
      <c r="ALX49" s="426"/>
      <c r="ALY49" s="426"/>
      <c r="ALZ49" s="426"/>
      <c r="AMA49" s="426"/>
      <c r="AMB49" s="426"/>
      <c r="AMC49" s="426"/>
      <c r="AMD49" s="426"/>
      <c r="AME49" s="426"/>
      <c r="AMF49" s="426"/>
      <c r="AMG49" s="426"/>
      <c r="AMH49" s="426"/>
      <c r="AMI49" s="426"/>
      <c r="AMJ49" s="426"/>
      <c r="AMK49" s="426"/>
      <c r="AML49" s="426"/>
      <c r="AMM49" s="426"/>
      <c r="AMN49" s="426"/>
      <c r="AMO49" s="426"/>
      <c r="AMP49" s="426"/>
      <c r="AMQ49" s="426"/>
      <c r="AMR49" s="426"/>
      <c r="AMS49" s="426"/>
      <c r="AMT49" s="426"/>
      <c r="AMU49" s="426"/>
      <c r="AMV49" s="426"/>
      <c r="AMW49" s="426"/>
      <c r="AMX49" s="426"/>
      <c r="AMY49" s="426"/>
      <c r="AMZ49" s="426"/>
      <c r="ANA49" s="426"/>
      <c r="ANB49" s="426"/>
      <c r="ANC49" s="426"/>
      <c r="AND49" s="426"/>
      <c r="ANE49" s="426"/>
      <c r="ANF49" s="426"/>
      <c r="ANG49" s="426"/>
      <c r="ANH49" s="426"/>
      <c r="ANI49" s="426"/>
      <c r="ANJ49" s="426"/>
      <c r="ANK49" s="426"/>
      <c r="ANL49" s="426"/>
      <c r="ANM49" s="426"/>
      <c r="ANN49" s="426"/>
      <c r="ANO49" s="426"/>
      <c r="ANP49" s="426"/>
      <c r="ANQ49" s="426"/>
      <c r="ANR49" s="426"/>
      <c r="ANS49" s="426"/>
      <c r="ANT49" s="426"/>
      <c r="ANU49" s="426"/>
      <c r="ANV49" s="426"/>
      <c r="ANW49" s="426"/>
      <c r="ANX49" s="426"/>
      <c r="ANY49" s="426"/>
      <c r="ANZ49" s="426"/>
      <c r="AOA49" s="426"/>
      <c r="AOB49" s="426"/>
      <c r="AOC49" s="426"/>
      <c r="AOD49" s="426"/>
      <c r="AOE49" s="426"/>
      <c r="AOF49" s="426"/>
      <c r="AOG49" s="426"/>
      <c r="AOH49" s="426"/>
      <c r="AOI49" s="426"/>
      <c r="AOJ49" s="426"/>
      <c r="AOK49" s="426"/>
      <c r="AOL49" s="426"/>
      <c r="AOM49" s="426"/>
      <c r="AON49" s="426"/>
      <c r="AOO49" s="426"/>
      <c r="AOP49" s="426"/>
      <c r="AOQ49" s="426"/>
      <c r="AOR49" s="426"/>
      <c r="AOS49" s="426"/>
      <c r="AOT49" s="426"/>
      <c r="AOU49" s="426"/>
      <c r="AOV49" s="426"/>
      <c r="AOW49" s="426"/>
      <c r="AOX49" s="426"/>
      <c r="AOY49" s="426"/>
      <c r="AOZ49" s="426"/>
      <c r="APA49" s="426"/>
      <c r="APB49" s="426"/>
      <c r="APC49" s="426"/>
      <c r="APD49" s="426"/>
      <c r="APE49" s="426"/>
      <c r="APF49" s="426"/>
      <c r="APG49" s="426"/>
      <c r="APH49" s="426"/>
      <c r="API49" s="426"/>
      <c r="APJ49" s="426"/>
      <c r="APK49" s="426"/>
      <c r="APL49" s="426"/>
      <c r="APM49" s="426"/>
      <c r="APN49" s="426"/>
      <c r="APO49" s="426"/>
      <c r="APP49" s="426"/>
      <c r="APQ49" s="426"/>
      <c r="APR49" s="426"/>
      <c r="APS49" s="426"/>
      <c r="APT49" s="426"/>
      <c r="APU49" s="426"/>
      <c r="APV49" s="426"/>
      <c r="APW49" s="426"/>
      <c r="APX49" s="426"/>
      <c r="APY49" s="426"/>
      <c r="APZ49" s="426"/>
      <c r="AQA49" s="426"/>
      <c r="AQB49" s="426"/>
      <c r="AQC49" s="426"/>
      <c r="AQD49" s="426"/>
      <c r="AQE49" s="426"/>
      <c r="AQF49" s="426"/>
      <c r="AQG49" s="426"/>
      <c r="AQH49" s="426"/>
      <c r="AQI49" s="426"/>
      <c r="AQJ49" s="426"/>
      <c r="AQK49" s="426"/>
      <c r="AQL49" s="426"/>
      <c r="AQM49" s="426"/>
      <c r="AQN49" s="426"/>
      <c r="AQO49" s="426"/>
      <c r="AQP49" s="426"/>
      <c r="AQQ49" s="426"/>
      <c r="AQR49" s="426"/>
      <c r="AQS49" s="426"/>
      <c r="AQT49" s="426"/>
      <c r="AQU49" s="426"/>
      <c r="AQV49" s="426"/>
      <c r="AQW49" s="426"/>
      <c r="AQX49" s="426"/>
      <c r="AQY49" s="426"/>
      <c r="AQZ49" s="426"/>
      <c r="ARA49" s="426"/>
      <c r="ARB49" s="426"/>
      <c r="ARC49" s="426"/>
      <c r="ARD49" s="426"/>
      <c r="ARE49" s="426"/>
      <c r="ARF49" s="426"/>
      <c r="ARG49" s="426"/>
      <c r="ARH49" s="426"/>
      <c r="ARI49" s="426"/>
      <c r="ARJ49" s="426"/>
      <c r="ARK49" s="426"/>
      <c r="ARL49" s="426"/>
      <c r="ARM49" s="426"/>
      <c r="ARN49" s="426"/>
      <c r="ARO49" s="426"/>
      <c r="ARP49" s="426"/>
      <c r="ARQ49" s="426"/>
      <c r="ARR49" s="426"/>
      <c r="ARS49" s="426"/>
      <c r="ART49" s="426"/>
      <c r="ARU49" s="426"/>
      <c r="ARV49" s="426"/>
      <c r="ARW49" s="426"/>
      <c r="ARX49" s="426"/>
      <c r="ARY49" s="426"/>
      <c r="ARZ49" s="426"/>
      <c r="ASA49" s="426"/>
      <c r="ASB49" s="426"/>
      <c r="ASC49" s="426"/>
      <c r="ASD49" s="426"/>
      <c r="ASE49" s="426"/>
      <c r="ASF49" s="426"/>
      <c r="ASG49" s="426"/>
      <c r="ASH49" s="426"/>
      <c r="ASI49" s="426"/>
      <c r="ASJ49" s="426"/>
      <c r="ASK49" s="426"/>
      <c r="ASL49" s="426"/>
      <c r="ASM49" s="426"/>
      <c r="ASN49" s="426"/>
      <c r="ASO49" s="426"/>
      <c r="ASP49" s="426"/>
      <c r="ASQ49" s="426"/>
      <c r="ASR49" s="426"/>
      <c r="ASS49" s="426"/>
      <c r="AST49" s="426"/>
      <c r="ASU49" s="426"/>
      <c r="ASV49" s="426"/>
      <c r="ASW49" s="426"/>
      <c r="ASX49" s="426"/>
      <c r="ASY49" s="426"/>
      <c r="ASZ49" s="426"/>
      <c r="ATA49" s="426"/>
      <c r="ATB49" s="426"/>
      <c r="ATC49" s="426"/>
      <c r="ATD49" s="426"/>
      <c r="ATE49" s="426"/>
      <c r="ATF49" s="426"/>
      <c r="ATG49" s="426"/>
      <c r="ATH49" s="426"/>
      <c r="ATI49" s="426"/>
      <c r="ATJ49" s="426"/>
      <c r="ATK49" s="426"/>
      <c r="ATL49" s="426"/>
      <c r="ATM49" s="426"/>
      <c r="ATN49" s="426"/>
      <c r="ATO49" s="426"/>
      <c r="ATP49" s="426"/>
      <c r="ATQ49" s="426"/>
      <c r="ATR49" s="426"/>
      <c r="ATS49" s="426"/>
      <c r="ATT49" s="426"/>
      <c r="ATU49" s="426"/>
      <c r="ATV49" s="426"/>
      <c r="ATW49" s="426"/>
      <c r="ATX49" s="426"/>
      <c r="ATY49" s="426"/>
      <c r="ATZ49" s="426"/>
      <c r="AUA49" s="426"/>
      <c r="AUB49" s="426"/>
      <c r="AUC49" s="426"/>
      <c r="AUD49" s="426"/>
      <c r="AUE49" s="426"/>
      <c r="AUF49" s="426"/>
      <c r="AUG49" s="426"/>
      <c r="AUH49" s="426"/>
      <c r="AUI49" s="426"/>
      <c r="AUJ49" s="426"/>
      <c r="AUK49" s="426"/>
      <c r="AUL49" s="426"/>
      <c r="AUM49" s="426"/>
      <c r="AUN49" s="426"/>
      <c r="AUO49" s="426"/>
      <c r="AUP49" s="426"/>
      <c r="AUQ49" s="426"/>
      <c r="AUR49" s="426"/>
      <c r="AUS49" s="426"/>
      <c r="AUT49" s="426"/>
      <c r="AUU49" s="426"/>
      <c r="AUV49" s="426"/>
      <c r="AUW49" s="426"/>
      <c r="AUX49" s="426"/>
      <c r="AUY49" s="426"/>
      <c r="AUZ49" s="426"/>
      <c r="AVA49" s="426"/>
      <c r="AVB49" s="426"/>
      <c r="AVC49" s="426"/>
      <c r="AVD49" s="426"/>
      <c r="AVE49" s="426"/>
      <c r="AVF49" s="426"/>
      <c r="AVG49" s="426"/>
      <c r="AVH49" s="426"/>
      <c r="AVI49" s="426"/>
      <c r="AVJ49" s="426"/>
      <c r="AVK49" s="426"/>
      <c r="AVL49" s="426"/>
      <c r="AVM49" s="426"/>
      <c r="AVN49" s="426"/>
      <c r="AVO49" s="426"/>
      <c r="AVP49" s="426"/>
      <c r="AVQ49" s="426"/>
      <c r="AVR49" s="426"/>
      <c r="AVS49" s="426"/>
      <c r="AVT49" s="426"/>
      <c r="AVU49" s="426"/>
      <c r="AVV49" s="426"/>
      <c r="AVW49" s="426"/>
      <c r="AVX49" s="426"/>
      <c r="AVY49" s="426"/>
      <c r="AVZ49" s="426"/>
      <c r="AWA49" s="426"/>
      <c r="AWB49" s="426"/>
      <c r="AWC49" s="426"/>
      <c r="AWD49" s="426"/>
      <c r="AWE49" s="426"/>
      <c r="AWF49" s="426"/>
      <c r="AWG49" s="426"/>
      <c r="AWH49" s="426"/>
      <c r="AWI49" s="426"/>
      <c r="AWJ49" s="426"/>
      <c r="AWK49" s="426"/>
      <c r="AWL49" s="426"/>
      <c r="AWM49" s="426"/>
      <c r="AWN49" s="426"/>
      <c r="AWO49" s="426"/>
      <c r="AWP49" s="426"/>
      <c r="AWQ49" s="426"/>
      <c r="AWR49" s="426"/>
      <c r="AWS49" s="426"/>
      <c r="AWT49" s="426"/>
      <c r="AWU49" s="426"/>
      <c r="AWV49" s="426"/>
      <c r="AWW49" s="426"/>
      <c r="AWX49" s="426"/>
      <c r="AWY49" s="426"/>
      <c r="AWZ49" s="426"/>
      <c r="AXA49" s="426"/>
      <c r="AXB49" s="426"/>
      <c r="AXC49" s="426"/>
      <c r="AXD49" s="426"/>
      <c r="AXE49" s="426"/>
      <c r="AXF49" s="426"/>
      <c r="AXG49" s="426"/>
      <c r="AXH49" s="426"/>
      <c r="AXI49" s="426"/>
      <c r="AXJ49" s="426"/>
      <c r="AXK49" s="426"/>
      <c r="AXL49" s="426"/>
      <c r="AXM49" s="426"/>
      <c r="AXN49" s="426"/>
      <c r="AXO49" s="426"/>
      <c r="AXP49" s="426"/>
      <c r="AXQ49" s="426"/>
      <c r="AXR49" s="426"/>
      <c r="AXS49" s="426"/>
      <c r="AXT49" s="426"/>
      <c r="AXU49" s="426"/>
      <c r="AXV49" s="426"/>
      <c r="AXW49" s="426"/>
      <c r="AXX49" s="426"/>
      <c r="AXY49" s="426"/>
      <c r="AXZ49" s="426"/>
      <c r="AYA49" s="426"/>
      <c r="AYB49" s="426"/>
      <c r="AYC49" s="426"/>
      <c r="AYD49" s="426"/>
      <c r="AYE49" s="426"/>
      <c r="AYF49" s="426"/>
      <c r="AYG49" s="426"/>
      <c r="AYH49" s="426"/>
      <c r="AYI49" s="426"/>
      <c r="AYJ49" s="426"/>
      <c r="AYK49" s="426"/>
      <c r="AYL49" s="426"/>
      <c r="AYM49" s="426"/>
      <c r="AYN49" s="426"/>
      <c r="AYO49" s="426"/>
      <c r="AYP49" s="426"/>
      <c r="AYQ49" s="426"/>
      <c r="AYR49" s="426"/>
      <c r="AYS49" s="426"/>
      <c r="AYT49" s="426"/>
      <c r="AYU49" s="426"/>
      <c r="AYV49" s="426"/>
      <c r="AYW49" s="426"/>
      <c r="AYX49" s="426"/>
      <c r="AYY49" s="426"/>
      <c r="AYZ49" s="426"/>
      <c r="AZA49" s="426"/>
      <c r="AZB49" s="426"/>
      <c r="AZC49" s="426"/>
      <c r="AZD49" s="426"/>
      <c r="AZE49" s="426"/>
      <c r="AZF49" s="426"/>
      <c r="AZG49" s="426"/>
      <c r="AZH49" s="426"/>
      <c r="AZI49" s="426"/>
      <c r="AZJ49" s="426"/>
      <c r="AZK49" s="426"/>
      <c r="AZL49" s="426"/>
      <c r="AZM49" s="426"/>
      <c r="AZN49" s="426"/>
      <c r="AZO49" s="426"/>
      <c r="AZP49" s="426"/>
      <c r="AZQ49" s="426"/>
      <c r="AZR49" s="426"/>
      <c r="AZS49" s="426"/>
      <c r="AZT49" s="426"/>
      <c r="AZU49" s="426"/>
      <c r="AZV49" s="426"/>
      <c r="AZW49" s="426"/>
      <c r="AZX49" s="426"/>
      <c r="AZY49" s="426"/>
      <c r="AZZ49" s="426"/>
      <c r="BAA49" s="426"/>
      <c r="BAB49" s="426"/>
      <c r="BAC49" s="426"/>
      <c r="BAD49" s="426"/>
      <c r="BAE49" s="426"/>
      <c r="BAF49" s="426"/>
      <c r="BAG49" s="426"/>
      <c r="BAH49" s="426"/>
      <c r="BAI49" s="426"/>
      <c r="BAJ49" s="426"/>
      <c r="BAK49" s="426"/>
      <c r="BAL49" s="426"/>
      <c r="BAM49" s="426"/>
      <c r="BAN49" s="426"/>
      <c r="BAO49" s="426"/>
      <c r="BAP49" s="426"/>
      <c r="BAQ49" s="426"/>
      <c r="BAR49" s="426"/>
      <c r="BAS49" s="426"/>
      <c r="BAT49" s="426"/>
      <c r="BAU49" s="426"/>
      <c r="BAV49" s="426"/>
      <c r="BAW49" s="426"/>
      <c r="BAX49" s="426"/>
      <c r="BAY49" s="426"/>
      <c r="BAZ49" s="426"/>
      <c r="BBA49" s="426"/>
      <c r="BBB49" s="426"/>
      <c r="BBC49" s="426"/>
      <c r="BBD49" s="426"/>
      <c r="BBE49" s="426"/>
      <c r="BBF49" s="426"/>
      <c r="BBG49" s="426"/>
      <c r="BBH49" s="426"/>
      <c r="BBI49" s="426"/>
      <c r="BBJ49" s="426"/>
      <c r="BBK49" s="426"/>
      <c r="BBL49" s="426"/>
      <c r="BBM49" s="426"/>
      <c r="BBN49" s="426"/>
      <c r="BBO49" s="426"/>
      <c r="BBP49" s="426"/>
      <c r="BBQ49" s="426"/>
      <c r="BBR49" s="426"/>
      <c r="BBS49" s="426"/>
      <c r="BBT49" s="426"/>
      <c r="BBU49" s="426"/>
      <c r="BBV49" s="426"/>
      <c r="BBW49" s="426"/>
      <c r="BBX49" s="426"/>
      <c r="BBY49" s="426"/>
      <c r="BBZ49" s="426"/>
      <c r="BCA49" s="426"/>
      <c r="BCB49" s="426"/>
      <c r="BCC49" s="426"/>
      <c r="BCD49" s="426"/>
      <c r="BCE49" s="426"/>
      <c r="BCF49" s="426"/>
      <c r="BCG49" s="426"/>
      <c r="BCH49" s="426"/>
      <c r="BCI49" s="426"/>
      <c r="BCJ49" s="426"/>
      <c r="BCK49" s="426"/>
      <c r="BCL49" s="426"/>
      <c r="BCM49" s="426"/>
      <c r="BCN49" s="426"/>
      <c r="BCO49" s="426"/>
      <c r="BCP49" s="426"/>
      <c r="BCQ49" s="426"/>
      <c r="BCR49" s="426"/>
      <c r="BCS49" s="426"/>
      <c r="BCT49" s="426"/>
      <c r="BCU49" s="426"/>
      <c r="BCV49" s="426"/>
      <c r="BCW49" s="426"/>
      <c r="BCX49" s="426"/>
      <c r="BCY49" s="426"/>
      <c r="BCZ49" s="426"/>
      <c r="BDA49" s="426"/>
      <c r="BDB49" s="426"/>
      <c r="BDC49" s="426"/>
      <c r="BDD49" s="426"/>
      <c r="BDE49" s="426"/>
      <c r="BDF49" s="426"/>
      <c r="BDG49" s="426"/>
      <c r="BDH49" s="426"/>
      <c r="BDI49" s="426"/>
      <c r="BDJ49" s="426"/>
      <c r="BDK49" s="426"/>
      <c r="BDL49" s="426"/>
      <c r="BDM49" s="426"/>
      <c r="BDN49" s="426"/>
      <c r="BDO49" s="426"/>
      <c r="BDP49" s="426"/>
      <c r="BDQ49" s="426"/>
      <c r="BDR49" s="426"/>
      <c r="BDS49" s="426"/>
      <c r="BDT49" s="426"/>
      <c r="BDU49" s="426"/>
      <c r="BDV49" s="426"/>
      <c r="BDW49" s="426"/>
      <c r="BDX49" s="426"/>
      <c r="BDY49" s="426"/>
      <c r="BDZ49" s="426"/>
      <c r="BEA49" s="426"/>
      <c r="BEB49" s="426"/>
      <c r="BEC49" s="426"/>
      <c r="BED49" s="426"/>
      <c r="BEE49" s="426"/>
      <c r="BEF49" s="426"/>
      <c r="BEG49" s="426"/>
      <c r="BEH49" s="426"/>
      <c r="BEI49" s="426"/>
      <c r="BEJ49" s="426"/>
      <c r="BEK49" s="426"/>
      <c r="BEL49" s="426"/>
      <c r="BEM49" s="426"/>
      <c r="BEN49" s="426"/>
      <c r="BEO49" s="426"/>
      <c r="BEP49" s="426"/>
      <c r="BEQ49" s="426"/>
      <c r="BER49" s="426"/>
      <c r="BES49" s="426"/>
      <c r="BET49" s="426"/>
      <c r="BEU49" s="426"/>
      <c r="BEV49" s="426"/>
      <c r="BEW49" s="426"/>
      <c r="BEX49" s="426"/>
      <c r="BEY49" s="426"/>
      <c r="BEZ49" s="426"/>
      <c r="BFA49" s="426"/>
      <c r="BFB49" s="426"/>
      <c r="BFC49" s="426"/>
      <c r="BFD49" s="426"/>
      <c r="BFE49" s="426"/>
      <c r="BFF49" s="426"/>
      <c r="BFG49" s="426"/>
      <c r="BFH49" s="426"/>
      <c r="BFI49" s="426"/>
      <c r="BFJ49" s="426"/>
      <c r="BFK49" s="426"/>
      <c r="BFL49" s="426"/>
      <c r="BFM49" s="426"/>
      <c r="BFN49" s="426"/>
      <c r="BFO49" s="426"/>
      <c r="BFP49" s="426"/>
      <c r="BFQ49" s="426"/>
      <c r="BFR49" s="426"/>
      <c r="BFS49" s="426"/>
      <c r="BFT49" s="426"/>
      <c r="BFU49" s="426"/>
      <c r="BFV49" s="426"/>
      <c r="BFW49" s="426"/>
      <c r="BFX49" s="426"/>
      <c r="BFY49" s="426"/>
      <c r="BFZ49" s="426"/>
      <c r="BGA49" s="426"/>
      <c r="BGB49" s="426"/>
      <c r="BGC49" s="426"/>
      <c r="BGD49" s="426"/>
      <c r="BGE49" s="426"/>
      <c r="BGF49" s="426"/>
      <c r="BGG49" s="426"/>
      <c r="BGH49" s="426"/>
      <c r="BGI49" s="426"/>
      <c r="BGJ49" s="426"/>
      <c r="BGK49" s="426"/>
      <c r="BGL49" s="426"/>
      <c r="BGM49" s="426"/>
      <c r="BGN49" s="426"/>
      <c r="BGO49" s="426"/>
      <c r="BGP49" s="426"/>
      <c r="BGQ49" s="426"/>
      <c r="BGR49" s="426"/>
      <c r="BGS49" s="426"/>
      <c r="BGT49" s="426"/>
      <c r="BGU49" s="426"/>
      <c r="BGV49" s="426"/>
      <c r="BGW49" s="426"/>
      <c r="BGX49" s="426"/>
      <c r="BGY49" s="426"/>
      <c r="BGZ49" s="426"/>
      <c r="BHA49" s="426"/>
      <c r="BHB49" s="426"/>
      <c r="BHC49" s="426"/>
      <c r="BHD49" s="426"/>
      <c r="BHE49" s="426"/>
      <c r="BHF49" s="426"/>
      <c r="BHG49" s="426"/>
      <c r="BHH49" s="426"/>
      <c r="BHI49" s="426"/>
      <c r="BHJ49" s="426"/>
      <c r="BHK49" s="426"/>
      <c r="BHL49" s="426"/>
      <c r="BHM49" s="426"/>
      <c r="BHN49" s="426"/>
      <c r="BHO49" s="426"/>
      <c r="BHP49" s="426"/>
      <c r="BHQ49" s="426"/>
      <c r="BHR49" s="426"/>
      <c r="BHS49" s="426"/>
      <c r="BHT49" s="426"/>
      <c r="BHU49" s="426"/>
      <c r="BHV49" s="426"/>
      <c r="BHW49" s="426"/>
      <c r="BHX49" s="426"/>
      <c r="BHY49" s="426"/>
      <c r="BHZ49" s="426"/>
      <c r="BIA49" s="426"/>
      <c r="BIB49" s="426"/>
      <c r="BIC49" s="426"/>
      <c r="BID49" s="426"/>
      <c r="BIE49" s="426"/>
      <c r="BIF49" s="426"/>
      <c r="BIG49" s="426"/>
      <c r="BIH49" s="426"/>
      <c r="BII49" s="426"/>
      <c r="BIJ49" s="426"/>
      <c r="BIK49" s="426"/>
      <c r="BIL49" s="426"/>
      <c r="BIM49" s="426"/>
      <c r="BIN49" s="426"/>
      <c r="BIO49" s="426"/>
      <c r="BIP49" s="426"/>
      <c r="BIQ49" s="426"/>
      <c r="BIR49" s="426"/>
      <c r="BIS49" s="426"/>
      <c r="BIT49" s="426"/>
      <c r="BIU49" s="426"/>
      <c r="BIV49" s="426"/>
      <c r="BIW49" s="426"/>
      <c r="BIX49" s="426"/>
      <c r="BIY49" s="426"/>
      <c r="BIZ49" s="426"/>
      <c r="BJA49" s="426"/>
      <c r="BJB49" s="426"/>
      <c r="BJC49" s="426"/>
      <c r="BJD49" s="426"/>
      <c r="BJE49" s="426"/>
      <c r="BJF49" s="426"/>
      <c r="BJG49" s="426"/>
      <c r="BJH49" s="426"/>
      <c r="BJI49" s="426"/>
      <c r="BJJ49" s="426"/>
      <c r="BJK49" s="426"/>
      <c r="BJL49" s="426"/>
      <c r="BJM49" s="426"/>
      <c r="BJN49" s="426"/>
      <c r="BJO49" s="426"/>
      <c r="BJP49" s="426"/>
      <c r="BJQ49" s="426"/>
      <c r="BJR49" s="426"/>
      <c r="BJS49" s="426"/>
      <c r="BJT49" s="426"/>
      <c r="BJU49" s="426"/>
      <c r="BJV49" s="426"/>
      <c r="BJW49" s="426"/>
      <c r="BJX49" s="426"/>
      <c r="BJY49" s="426"/>
      <c r="BJZ49" s="426"/>
      <c r="BKA49" s="426"/>
      <c r="BKB49" s="426"/>
      <c r="BKC49" s="426"/>
      <c r="BKD49" s="426"/>
      <c r="BKE49" s="426"/>
      <c r="BKF49" s="426"/>
      <c r="BKG49" s="426"/>
      <c r="BKH49" s="426"/>
      <c r="BKI49" s="426"/>
      <c r="BKJ49" s="426"/>
      <c r="BKK49" s="426"/>
      <c r="BKL49" s="426"/>
      <c r="BKM49" s="426"/>
      <c r="BKN49" s="426"/>
      <c r="BKO49" s="426"/>
      <c r="BKP49" s="426"/>
      <c r="BKQ49" s="426"/>
      <c r="BKR49" s="426"/>
      <c r="BKS49" s="426"/>
      <c r="BKT49" s="426"/>
      <c r="BKU49" s="426"/>
      <c r="BKV49" s="426"/>
      <c r="BKW49" s="426"/>
      <c r="BKX49" s="426"/>
      <c r="BKY49" s="426"/>
      <c r="BKZ49" s="426"/>
      <c r="BLA49" s="426"/>
      <c r="BLB49" s="426"/>
      <c r="BLC49" s="426"/>
      <c r="BLD49" s="426"/>
      <c r="BLE49" s="426"/>
      <c r="BLF49" s="426"/>
      <c r="BLG49" s="426"/>
      <c r="BLH49" s="426"/>
      <c r="BLI49" s="426"/>
      <c r="BLJ49" s="426"/>
      <c r="BLK49" s="426"/>
      <c r="BLL49" s="426"/>
      <c r="BLM49" s="426"/>
      <c r="BLN49" s="426"/>
      <c r="BLO49" s="426"/>
      <c r="BLP49" s="426"/>
      <c r="BLQ49" s="426"/>
      <c r="BLR49" s="426"/>
      <c r="BLS49" s="426"/>
      <c r="BLT49" s="426"/>
      <c r="BLU49" s="426"/>
      <c r="BLV49" s="426"/>
      <c r="BLW49" s="426"/>
      <c r="BLX49" s="426"/>
      <c r="BLY49" s="426"/>
      <c r="BLZ49" s="426"/>
      <c r="BMA49" s="426"/>
      <c r="BMB49" s="426"/>
      <c r="BMC49" s="426"/>
      <c r="BMD49" s="426"/>
      <c r="BME49" s="426"/>
      <c r="BMF49" s="426"/>
      <c r="BMG49" s="426"/>
      <c r="BMH49" s="426"/>
      <c r="BMI49" s="426"/>
      <c r="BMJ49" s="426"/>
      <c r="BMK49" s="426"/>
      <c r="BML49" s="426"/>
      <c r="BMM49" s="426"/>
      <c r="BMN49" s="426"/>
      <c r="BMO49" s="426"/>
      <c r="BMP49" s="426"/>
      <c r="BMQ49" s="426"/>
      <c r="BMR49" s="426"/>
      <c r="BMS49" s="426"/>
      <c r="BMT49" s="426"/>
      <c r="BMU49" s="426"/>
      <c r="BMV49" s="426"/>
      <c r="BMW49" s="426"/>
      <c r="BMX49" s="426"/>
      <c r="BMY49" s="426"/>
      <c r="BMZ49" s="426"/>
      <c r="BNA49" s="426"/>
      <c r="BNB49" s="426"/>
      <c r="BNC49" s="426"/>
      <c r="BND49" s="426"/>
      <c r="BNE49" s="426"/>
      <c r="BNF49" s="426"/>
      <c r="BNG49" s="426"/>
      <c r="BNH49" s="426"/>
      <c r="BNI49" s="426"/>
      <c r="BNJ49" s="426"/>
      <c r="BNK49" s="426"/>
      <c r="BNL49" s="426"/>
      <c r="BNM49" s="426"/>
      <c r="BNN49" s="426"/>
      <c r="BNO49" s="426"/>
      <c r="BNP49" s="426"/>
      <c r="BNQ49" s="426"/>
      <c r="BNR49" s="426"/>
      <c r="BNS49" s="426"/>
      <c r="BNT49" s="426"/>
      <c r="BNU49" s="426"/>
      <c r="BNV49" s="426"/>
      <c r="BNW49" s="426"/>
      <c r="BNX49" s="426"/>
      <c r="BNY49" s="426"/>
      <c r="BNZ49" s="426"/>
      <c r="BOA49" s="426"/>
      <c r="BOB49" s="426"/>
      <c r="BOC49" s="426"/>
      <c r="BOD49" s="426"/>
      <c r="BOE49" s="426"/>
      <c r="BOF49" s="426"/>
      <c r="BOG49" s="426"/>
      <c r="BOH49" s="426"/>
      <c r="BOI49" s="426"/>
      <c r="BOJ49" s="426"/>
      <c r="BOK49" s="426"/>
      <c r="BOL49" s="426"/>
      <c r="BOM49" s="426"/>
      <c r="BON49" s="426"/>
      <c r="BOO49" s="426"/>
      <c r="BOP49" s="426"/>
      <c r="BOQ49" s="426"/>
      <c r="BOR49" s="426"/>
      <c r="BOS49" s="426"/>
      <c r="BOT49" s="426"/>
      <c r="BOU49" s="426"/>
      <c r="BOV49" s="426"/>
      <c r="BOW49" s="426"/>
      <c r="BOX49" s="426"/>
      <c r="BOY49" s="426"/>
      <c r="BOZ49" s="426"/>
      <c r="BPA49" s="426"/>
      <c r="BPB49" s="426"/>
      <c r="BPC49" s="426"/>
      <c r="BPD49" s="426"/>
      <c r="BPE49" s="426"/>
      <c r="BPF49" s="426"/>
      <c r="BPG49" s="426"/>
      <c r="BPH49" s="426"/>
      <c r="BPI49" s="426"/>
      <c r="BPJ49" s="426"/>
      <c r="BPK49" s="426"/>
      <c r="BPL49" s="426"/>
      <c r="BPM49" s="426"/>
      <c r="BPN49" s="426"/>
      <c r="BPO49" s="426"/>
      <c r="BPP49" s="426"/>
      <c r="BPQ49" s="426"/>
      <c r="BPR49" s="426"/>
      <c r="BPS49" s="426"/>
      <c r="BPT49" s="426"/>
      <c r="BPU49" s="426"/>
      <c r="BPV49" s="426"/>
      <c r="BPW49" s="426"/>
      <c r="BPX49" s="426"/>
      <c r="BPY49" s="426"/>
      <c r="BPZ49" s="426"/>
      <c r="BQA49" s="426"/>
      <c r="BQB49" s="426"/>
      <c r="BQC49" s="426"/>
      <c r="BQD49" s="426"/>
      <c r="BQE49" s="426"/>
      <c r="BQF49" s="426"/>
      <c r="BQG49" s="426"/>
      <c r="BQH49" s="426"/>
      <c r="BQI49" s="426"/>
      <c r="BQJ49" s="426"/>
      <c r="BQK49" s="426"/>
      <c r="BQL49" s="426"/>
      <c r="BQM49" s="426"/>
      <c r="BQN49" s="426"/>
      <c r="BQO49" s="426"/>
      <c r="BQP49" s="426"/>
      <c r="BQQ49" s="426"/>
      <c r="BQR49" s="426"/>
      <c r="BQS49" s="426"/>
      <c r="BQT49" s="426"/>
      <c r="BQU49" s="426"/>
      <c r="BQV49" s="426"/>
      <c r="BQW49" s="426"/>
      <c r="BQX49" s="426"/>
      <c r="BQY49" s="426"/>
      <c r="BQZ49" s="426"/>
      <c r="BRA49" s="426"/>
      <c r="BRB49" s="426"/>
      <c r="BRC49" s="426"/>
      <c r="BRD49" s="426"/>
      <c r="BRE49" s="426"/>
      <c r="BRF49" s="426"/>
      <c r="BRG49" s="426"/>
      <c r="BRH49" s="426"/>
      <c r="BRI49" s="426"/>
      <c r="BRJ49" s="426"/>
      <c r="BRK49" s="426"/>
      <c r="BRL49" s="426"/>
      <c r="BRM49" s="426"/>
      <c r="BRN49" s="426"/>
      <c r="BRO49" s="426"/>
      <c r="BRP49" s="426"/>
      <c r="BRQ49" s="426"/>
      <c r="BRR49" s="426"/>
      <c r="BRS49" s="426"/>
      <c r="BRT49" s="426"/>
      <c r="BRU49" s="426"/>
      <c r="BRV49" s="426"/>
      <c r="BRW49" s="426"/>
      <c r="BRX49" s="426"/>
      <c r="BRY49" s="426"/>
      <c r="BRZ49" s="426"/>
      <c r="BSA49" s="426"/>
      <c r="BSB49" s="426"/>
      <c r="BSC49" s="426"/>
      <c r="BSD49" s="426"/>
      <c r="BSE49" s="426"/>
      <c r="BSF49" s="426"/>
      <c r="BSG49" s="426"/>
      <c r="BSH49" s="426"/>
      <c r="BSI49" s="426"/>
      <c r="BSJ49" s="426"/>
      <c r="BSK49" s="426"/>
      <c r="BSL49" s="426"/>
      <c r="BSM49" s="426"/>
      <c r="BSN49" s="426"/>
      <c r="BSO49" s="426"/>
      <c r="BSP49" s="426"/>
      <c r="BSQ49" s="426"/>
      <c r="BSR49" s="426"/>
      <c r="BSS49" s="426"/>
      <c r="BST49" s="426"/>
      <c r="BSU49" s="426"/>
      <c r="BSV49" s="426"/>
      <c r="BSW49" s="426"/>
      <c r="BSX49" s="426"/>
      <c r="BSY49" s="426"/>
      <c r="BSZ49" s="426"/>
      <c r="BTA49" s="426"/>
      <c r="BTB49" s="426"/>
      <c r="BTC49" s="426"/>
      <c r="BTD49" s="426"/>
      <c r="BTE49" s="426"/>
      <c r="BTF49" s="426"/>
      <c r="BTG49" s="426"/>
      <c r="BTH49" s="426"/>
      <c r="BTI49" s="426"/>
      <c r="BTJ49" s="426"/>
      <c r="BTK49" s="426"/>
      <c r="BTL49" s="426"/>
      <c r="BTM49" s="426"/>
      <c r="BTN49" s="426"/>
      <c r="BTO49" s="426"/>
      <c r="BTP49" s="426"/>
      <c r="BTQ49" s="426"/>
      <c r="BTR49" s="426"/>
      <c r="BTS49" s="426"/>
      <c r="BTT49" s="426"/>
      <c r="BTU49" s="426"/>
      <c r="BTV49" s="426"/>
      <c r="BTW49" s="426"/>
      <c r="BTX49" s="426"/>
      <c r="BTY49" s="426"/>
      <c r="BTZ49" s="426"/>
      <c r="BUA49" s="426"/>
      <c r="BUB49" s="426"/>
      <c r="BUC49" s="426"/>
      <c r="BUD49" s="426"/>
      <c r="BUE49" s="426"/>
      <c r="BUF49" s="426"/>
      <c r="BUG49" s="426"/>
      <c r="BUH49" s="426"/>
      <c r="BUI49" s="426"/>
      <c r="BUJ49" s="426"/>
      <c r="BUK49" s="426"/>
      <c r="BUL49" s="426"/>
      <c r="BUM49" s="426"/>
      <c r="BUN49" s="426"/>
      <c r="BUO49" s="426"/>
      <c r="BUP49" s="426"/>
      <c r="BUQ49" s="426"/>
      <c r="BUR49" s="426"/>
      <c r="BUS49" s="426"/>
      <c r="BUT49" s="426"/>
      <c r="BUU49" s="426"/>
      <c r="BUV49" s="426"/>
      <c r="BUW49" s="426"/>
      <c r="BUX49" s="426"/>
      <c r="BUY49" s="426"/>
      <c r="BUZ49" s="426"/>
      <c r="BVA49" s="426"/>
      <c r="BVB49" s="426"/>
      <c r="BVC49" s="426"/>
      <c r="BVD49" s="426"/>
      <c r="BVE49" s="426"/>
      <c r="BVF49" s="426"/>
      <c r="BVG49" s="426"/>
      <c r="BVH49" s="426"/>
      <c r="BVI49" s="426"/>
      <c r="BVJ49" s="426"/>
      <c r="BVK49" s="426"/>
      <c r="BVL49" s="426"/>
      <c r="BVM49" s="426"/>
      <c r="BVN49" s="426"/>
      <c r="BVO49" s="426"/>
      <c r="BVP49" s="426"/>
      <c r="BVQ49" s="426"/>
      <c r="BVR49" s="426"/>
      <c r="BVS49" s="426"/>
      <c r="BVT49" s="426"/>
      <c r="BVU49" s="426"/>
      <c r="BVV49" s="426"/>
      <c r="BVW49" s="426"/>
      <c r="BVX49" s="426"/>
      <c r="BVY49" s="426"/>
      <c r="BVZ49" s="426"/>
      <c r="BWA49" s="426"/>
      <c r="BWB49" s="426"/>
      <c r="BWC49" s="426"/>
      <c r="BWD49" s="426"/>
      <c r="BWE49" s="426"/>
      <c r="BWF49" s="426"/>
      <c r="BWG49" s="426"/>
      <c r="BWH49" s="426"/>
      <c r="BWI49" s="426"/>
      <c r="BWJ49" s="426"/>
      <c r="BWK49" s="426"/>
      <c r="BWL49" s="426"/>
      <c r="BWM49" s="426"/>
      <c r="BWN49" s="426"/>
      <c r="BWO49" s="426"/>
      <c r="BWP49" s="426"/>
      <c r="BWQ49" s="426"/>
      <c r="BWR49" s="426"/>
      <c r="BWS49" s="426"/>
      <c r="BWT49" s="426"/>
      <c r="BWU49" s="426"/>
      <c r="BWV49" s="426"/>
      <c r="BWW49" s="426"/>
      <c r="BWX49" s="426"/>
      <c r="BWY49" s="426"/>
      <c r="BWZ49" s="426"/>
      <c r="BXA49" s="426"/>
      <c r="BXB49" s="426"/>
      <c r="BXC49" s="426"/>
      <c r="BXD49" s="426"/>
      <c r="BXE49" s="426"/>
      <c r="BXF49" s="426"/>
      <c r="BXG49" s="426"/>
      <c r="BXH49" s="426"/>
      <c r="BXI49" s="426"/>
      <c r="BXJ49" s="426"/>
      <c r="BXK49" s="426"/>
      <c r="BXL49" s="426"/>
      <c r="BXM49" s="426"/>
      <c r="BXN49" s="426"/>
      <c r="BXO49" s="426"/>
      <c r="BXP49" s="426"/>
      <c r="BXQ49" s="426"/>
      <c r="BXR49" s="426"/>
      <c r="BXS49" s="426"/>
      <c r="BXT49" s="426"/>
      <c r="BXU49" s="426"/>
      <c r="BXV49" s="426"/>
      <c r="BXW49" s="426"/>
      <c r="BXX49" s="426"/>
      <c r="BXY49" s="426"/>
      <c r="BXZ49" s="426"/>
      <c r="BYA49" s="426"/>
      <c r="BYB49" s="426"/>
      <c r="BYC49" s="426"/>
      <c r="BYD49" s="426"/>
      <c r="BYE49" s="426"/>
      <c r="BYF49" s="426"/>
      <c r="BYG49" s="426"/>
      <c r="BYH49" s="426"/>
      <c r="BYI49" s="426"/>
      <c r="BYJ49" s="426"/>
      <c r="BYK49" s="426"/>
      <c r="BYL49" s="426"/>
      <c r="BYM49" s="426"/>
      <c r="BYN49" s="426"/>
      <c r="BYO49" s="426"/>
      <c r="BYP49" s="426"/>
      <c r="BYQ49" s="426"/>
      <c r="BYR49" s="426"/>
      <c r="BYS49" s="426"/>
      <c r="BYT49" s="426"/>
      <c r="BYU49" s="426"/>
      <c r="BYV49" s="426"/>
      <c r="BYW49" s="426"/>
      <c r="BYX49" s="426"/>
      <c r="BYY49" s="426"/>
      <c r="BYZ49" s="426"/>
      <c r="BZA49" s="426"/>
      <c r="BZB49" s="426"/>
      <c r="BZC49" s="426"/>
      <c r="BZD49" s="426"/>
      <c r="BZE49" s="426"/>
      <c r="BZF49" s="426"/>
      <c r="BZG49" s="426"/>
      <c r="BZH49" s="426"/>
      <c r="BZI49" s="426"/>
      <c r="BZJ49" s="426"/>
      <c r="BZK49" s="426"/>
      <c r="BZL49" s="426"/>
      <c r="BZM49" s="426"/>
      <c r="BZN49" s="426"/>
      <c r="BZO49" s="426"/>
      <c r="BZP49" s="426"/>
      <c r="BZQ49" s="426"/>
      <c r="BZR49" s="426"/>
      <c r="BZS49" s="426"/>
      <c r="BZT49" s="426"/>
      <c r="BZU49" s="426"/>
      <c r="BZV49" s="426"/>
      <c r="BZW49" s="426"/>
      <c r="BZX49" s="426"/>
      <c r="BZY49" s="426"/>
      <c r="BZZ49" s="426"/>
      <c r="CAA49" s="426"/>
      <c r="CAB49" s="426"/>
      <c r="CAC49" s="426"/>
      <c r="CAD49" s="426"/>
      <c r="CAE49" s="426"/>
      <c r="CAF49" s="426"/>
      <c r="CAG49" s="426"/>
      <c r="CAH49" s="426"/>
      <c r="CAI49" s="426"/>
      <c r="CAJ49" s="426"/>
      <c r="CAK49" s="426"/>
      <c r="CAL49" s="426"/>
      <c r="CAM49" s="426"/>
      <c r="CAN49" s="426"/>
      <c r="CAO49" s="426"/>
      <c r="CAP49" s="426"/>
      <c r="CAQ49" s="426"/>
      <c r="CAR49" s="426"/>
      <c r="CAS49" s="426"/>
      <c r="CAT49" s="426"/>
      <c r="CAU49" s="426"/>
      <c r="CAV49" s="426"/>
      <c r="CAW49" s="426"/>
      <c r="CAX49" s="426"/>
      <c r="CAY49" s="426"/>
      <c r="CAZ49" s="426"/>
      <c r="CBA49" s="426"/>
      <c r="CBB49" s="426"/>
      <c r="CBC49" s="426"/>
      <c r="CBD49" s="426"/>
      <c r="CBE49" s="426"/>
      <c r="CBF49" s="426"/>
      <c r="CBG49" s="426"/>
      <c r="CBH49" s="426"/>
      <c r="CBI49" s="426"/>
      <c r="CBJ49" s="426"/>
      <c r="CBK49" s="426"/>
      <c r="CBL49" s="426"/>
      <c r="CBM49" s="426"/>
      <c r="CBN49" s="426"/>
      <c r="CBO49" s="426"/>
      <c r="CBP49" s="426"/>
      <c r="CBQ49" s="426"/>
      <c r="CBR49" s="426"/>
      <c r="CBS49" s="426"/>
      <c r="CBT49" s="426"/>
      <c r="CBU49" s="426"/>
      <c r="CBV49" s="426"/>
      <c r="CBW49" s="426"/>
      <c r="CBX49" s="426"/>
      <c r="CBY49" s="426"/>
      <c r="CBZ49" s="426"/>
      <c r="CCA49" s="426"/>
      <c r="CCB49" s="426"/>
      <c r="CCC49" s="426"/>
      <c r="CCD49" s="426"/>
      <c r="CCE49" s="426"/>
      <c r="CCF49" s="426"/>
      <c r="CCG49" s="426"/>
      <c r="CCH49" s="426"/>
      <c r="CCI49" s="426"/>
      <c r="CCJ49" s="426"/>
      <c r="CCK49" s="426"/>
      <c r="CCL49" s="426"/>
      <c r="CCM49" s="426"/>
      <c r="CCN49" s="426"/>
      <c r="CCO49" s="426"/>
      <c r="CCP49" s="426"/>
      <c r="CCQ49" s="426"/>
      <c r="CCR49" s="426"/>
      <c r="CCS49" s="426"/>
      <c r="CCT49" s="426"/>
      <c r="CCU49" s="426"/>
      <c r="CCV49" s="426"/>
      <c r="CCW49" s="426"/>
      <c r="CCX49" s="426"/>
      <c r="CCY49" s="426"/>
      <c r="CCZ49" s="426"/>
      <c r="CDA49" s="426"/>
      <c r="CDB49" s="426"/>
      <c r="CDC49" s="426"/>
      <c r="CDD49" s="426"/>
      <c r="CDE49" s="426"/>
      <c r="CDF49" s="426"/>
      <c r="CDG49" s="426"/>
      <c r="CDH49" s="426"/>
      <c r="CDI49" s="426"/>
      <c r="CDJ49" s="426"/>
      <c r="CDK49" s="426"/>
      <c r="CDL49" s="426"/>
      <c r="CDM49" s="426"/>
      <c r="CDN49" s="426"/>
      <c r="CDO49" s="426"/>
      <c r="CDP49" s="426"/>
      <c r="CDQ49" s="426"/>
      <c r="CDR49" s="426"/>
      <c r="CDS49" s="426"/>
      <c r="CDT49" s="426"/>
      <c r="CDU49" s="426"/>
      <c r="CDV49" s="426"/>
      <c r="CDW49" s="426"/>
      <c r="CDX49" s="426"/>
      <c r="CDY49" s="426"/>
      <c r="CDZ49" s="426"/>
      <c r="CEA49" s="426"/>
      <c r="CEB49" s="426"/>
      <c r="CEC49" s="426"/>
      <c r="CED49" s="426"/>
      <c r="CEE49" s="426"/>
      <c r="CEF49" s="426"/>
      <c r="CEG49" s="426"/>
      <c r="CEH49" s="426"/>
      <c r="CEI49" s="426"/>
      <c r="CEJ49" s="426"/>
      <c r="CEK49" s="426"/>
      <c r="CEL49" s="426"/>
      <c r="CEM49" s="426"/>
      <c r="CEN49" s="426"/>
      <c r="CEO49" s="426"/>
      <c r="CEP49" s="426"/>
      <c r="CEQ49" s="426"/>
      <c r="CER49" s="426"/>
      <c r="CES49" s="426"/>
      <c r="CET49" s="426"/>
      <c r="CEU49" s="426"/>
      <c r="CEV49" s="426"/>
      <c r="CEW49" s="426"/>
      <c r="CEX49" s="426"/>
      <c r="CEY49" s="426"/>
      <c r="CEZ49" s="426"/>
      <c r="CFA49" s="426"/>
      <c r="CFB49" s="426"/>
      <c r="CFC49" s="426"/>
      <c r="CFD49" s="426"/>
      <c r="CFE49" s="426"/>
      <c r="CFF49" s="426"/>
      <c r="CFG49" s="426"/>
      <c r="CFH49" s="426"/>
      <c r="CFI49" s="426"/>
      <c r="CFJ49" s="426"/>
      <c r="CFK49" s="426"/>
      <c r="CFL49" s="426"/>
      <c r="CFM49" s="426"/>
      <c r="CFN49" s="426"/>
      <c r="CFO49" s="426"/>
      <c r="CFP49" s="426"/>
      <c r="CFQ49" s="426"/>
      <c r="CFR49" s="426"/>
      <c r="CFS49" s="426"/>
      <c r="CFT49" s="426"/>
      <c r="CFU49" s="426"/>
      <c r="CFV49" s="426"/>
      <c r="CFW49" s="426"/>
      <c r="CFX49" s="426"/>
      <c r="CFY49" s="426"/>
      <c r="CFZ49" s="426"/>
      <c r="CGA49" s="426"/>
      <c r="CGB49" s="426"/>
      <c r="CGC49" s="426"/>
      <c r="CGD49" s="426"/>
      <c r="CGE49" s="426"/>
      <c r="CGF49" s="426"/>
      <c r="CGG49" s="426"/>
      <c r="CGH49" s="426"/>
      <c r="CGI49" s="426"/>
      <c r="CGJ49" s="426"/>
      <c r="CGK49" s="426"/>
      <c r="CGL49" s="426"/>
      <c r="CGM49" s="426"/>
      <c r="CGN49" s="426"/>
      <c r="CGO49" s="426"/>
      <c r="CGP49" s="426"/>
      <c r="CGQ49" s="426"/>
      <c r="CGR49" s="426"/>
      <c r="CGS49" s="426"/>
      <c r="CGT49" s="426"/>
      <c r="CGU49" s="426"/>
      <c r="CGV49" s="426"/>
      <c r="CGW49" s="426"/>
      <c r="CGX49" s="426"/>
      <c r="CGY49" s="426"/>
      <c r="CGZ49" s="426"/>
      <c r="CHA49" s="426"/>
      <c r="CHB49" s="426"/>
      <c r="CHC49" s="426"/>
      <c r="CHD49" s="426"/>
      <c r="CHE49" s="426"/>
      <c r="CHF49" s="426"/>
      <c r="CHG49" s="426"/>
      <c r="CHH49" s="426"/>
      <c r="CHI49" s="426"/>
      <c r="CHJ49" s="426"/>
      <c r="CHK49" s="426"/>
      <c r="CHL49" s="426"/>
      <c r="CHM49" s="426"/>
      <c r="CHN49" s="426"/>
      <c r="CHO49" s="426"/>
      <c r="CHP49" s="426"/>
      <c r="CHQ49" s="426"/>
      <c r="CHR49" s="426"/>
      <c r="CHS49" s="426"/>
      <c r="CHT49" s="426"/>
      <c r="CHU49" s="426"/>
      <c r="CHV49" s="426"/>
      <c r="CHW49" s="426"/>
      <c r="CHX49" s="426"/>
      <c r="CHY49" s="426"/>
      <c r="CHZ49" s="426"/>
      <c r="CIA49" s="426"/>
      <c r="CIB49" s="426"/>
      <c r="CIC49" s="426"/>
      <c r="CID49" s="426"/>
      <c r="CIE49" s="426"/>
      <c r="CIF49" s="426"/>
      <c r="CIG49" s="426"/>
      <c r="CIH49" s="426"/>
      <c r="CII49" s="426"/>
      <c r="CIJ49" s="426"/>
      <c r="CIK49" s="426"/>
      <c r="CIL49" s="426"/>
      <c r="CIM49" s="426"/>
      <c r="CIN49" s="426"/>
      <c r="CIO49" s="426"/>
      <c r="CIP49" s="426"/>
      <c r="CIQ49" s="426"/>
      <c r="CIR49" s="426"/>
      <c r="CIS49" s="426"/>
      <c r="CIT49" s="426"/>
      <c r="CIU49" s="426"/>
      <c r="CIV49" s="426"/>
      <c r="CIW49" s="426"/>
      <c r="CIX49" s="426"/>
      <c r="CIY49" s="426"/>
      <c r="CIZ49" s="426"/>
      <c r="CJA49" s="426"/>
      <c r="CJB49" s="426"/>
      <c r="CJC49" s="426"/>
      <c r="CJD49" s="426"/>
      <c r="CJE49" s="426"/>
      <c r="CJF49" s="426"/>
      <c r="CJG49" s="426"/>
      <c r="CJH49" s="426"/>
      <c r="CJI49" s="426"/>
      <c r="CJJ49" s="426"/>
      <c r="CJK49" s="426"/>
      <c r="CJL49" s="426"/>
      <c r="CJM49" s="426"/>
      <c r="CJN49" s="426"/>
      <c r="CJO49" s="426"/>
      <c r="CJP49" s="426"/>
      <c r="CJQ49" s="426"/>
      <c r="CJR49" s="426"/>
      <c r="CJS49" s="426"/>
      <c r="CJT49" s="426"/>
      <c r="CJU49" s="426"/>
      <c r="CJV49" s="426"/>
      <c r="CJW49" s="426"/>
      <c r="CJX49" s="426"/>
      <c r="CJY49" s="426"/>
      <c r="CJZ49" s="426"/>
      <c r="CKA49" s="426"/>
      <c r="CKB49" s="426"/>
      <c r="CKC49" s="426"/>
      <c r="CKD49" s="426"/>
      <c r="CKE49" s="426"/>
      <c r="CKF49" s="426"/>
      <c r="CKG49" s="426"/>
      <c r="CKH49" s="426"/>
      <c r="CKI49" s="426"/>
      <c r="CKJ49" s="426"/>
      <c r="CKK49" s="426"/>
      <c r="CKL49" s="426"/>
      <c r="CKM49" s="426"/>
      <c r="CKN49" s="426"/>
      <c r="CKO49" s="426"/>
      <c r="CKP49" s="426"/>
      <c r="CKQ49" s="426"/>
      <c r="CKR49" s="426"/>
      <c r="CKS49" s="426"/>
      <c r="CKT49" s="426"/>
      <c r="CKU49" s="426"/>
      <c r="CKV49" s="426"/>
      <c r="CKW49" s="426"/>
      <c r="CKX49" s="426"/>
      <c r="CKY49" s="426"/>
      <c r="CKZ49" s="426"/>
      <c r="CLA49" s="426"/>
      <c r="CLB49" s="426"/>
      <c r="CLC49" s="426"/>
      <c r="CLD49" s="426"/>
      <c r="CLE49" s="426"/>
      <c r="CLF49" s="426"/>
      <c r="CLG49" s="426"/>
      <c r="CLH49" s="426"/>
      <c r="CLI49" s="426"/>
      <c r="CLJ49" s="426"/>
      <c r="CLK49" s="426"/>
      <c r="CLL49" s="426"/>
      <c r="CLM49" s="426"/>
      <c r="CLN49" s="426"/>
      <c r="CLO49" s="426"/>
      <c r="CLP49" s="426"/>
      <c r="CLQ49" s="426"/>
      <c r="CLR49" s="426"/>
      <c r="CLS49" s="426"/>
      <c r="CLT49" s="426"/>
      <c r="CLU49" s="426"/>
      <c r="CLV49" s="426"/>
      <c r="CLW49" s="426"/>
      <c r="CLX49" s="426"/>
      <c r="CLY49" s="426"/>
      <c r="CLZ49" s="426"/>
      <c r="CMA49" s="426"/>
      <c r="CMB49" s="426"/>
      <c r="CMC49" s="426"/>
      <c r="CMD49" s="426"/>
      <c r="CME49" s="426"/>
      <c r="CMF49" s="426"/>
      <c r="CMG49" s="426"/>
      <c r="CMH49" s="426"/>
      <c r="CMI49" s="426"/>
      <c r="CMJ49" s="426"/>
      <c r="CMK49" s="426"/>
      <c r="CML49" s="426"/>
      <c r="CMM49" s="426"/>
      <c r="CMN49" s="426"/>
      <c r="CMO49" s="426"/>
      <c r="CMP49" s="426"/>
      <c r="CMQ49" s="426"/>
      <c r="CMR49" s="426"/>
      <c r="CMS49" s="426"/>
      <c r="CMT49" s="426"/>
      <c r="CMU49" s="426"/>
      <c r="CMV49" s="426"/>
      <c r="CMW49" s="426"/>
      <c r="CMX49" s="426"/>
      <c r="CMY49" s="426"/>
      <c r="CMZ49" s="426"/>
      <c r="CNA49" s="426"/>
      <c r="CNB49" s="426"/>
      <c r="CNC49" s="426"/>
      <c r="CND49" s="426"/>
      <c r="CNE49" s="426"/>
      <c r="CNF49" s="426"/>
      <c r="CNG49" s="426"/>
      <c r="CNH49" s="426"/>
      <c r="CNI49" s="426"/>
      <c r="CNJ49" s="426"/>
      <c r="CNK49" s="426"/>
      <c r="CNL49" s="426"/>
      <c r="CNM49" s="426"/>
      <c r="CNN49" s="426"/>
      <c r="CNO49" s="426"/>
      <c r="CNP49" s="426"/>
      <c r="CNQ49" s="426"/>
      <c r="CNR49" s="426"/>
      <c r="CNS49" s="426"/>
      <c r="CNT49" s="426"/>
      <c r="CNU49" s="426"/>
      <c r="CNV49" s="426"/>
      <c r="CNW49" s="426"/>
      <c r="CNX49" s="426"/>
      <c r="CNY49" s="426"/>
      <c r="CNZ49" s="426"/>
      <c r="COA49" s="426"/>
      <c r="COB49" s="426"/>
      <c r="COC49" s="426"/>
      <c r="COD49" s="426"/>
      <c r="COE49" s="426"/>
      <c r="COF49" s="426"/>
      <c r="COG49" s="426"/>
      <c r="COH49" s="426"/>
      <c r="COI49" s="426"/>
      <c r="COJ49" s="426"/>
      <c r="COK49" s="426"/>
      <c r="COL49" s="426"/>
      <c r="COM49" s="426"/>
      <c r="CON49" s="426"/>
      <c r="COO49" s="426"/>
      <c r="COP49" s="426"/>
      <c r="COQ49" s="426"/>
      <c r="COR49" s="426"/>
      <c r="COS49" s="426"/>
      <c r="COT49" s="426"/>
      <c r="COU49" s="426"/>
      <c r="COV49" s="426"/>
      <c r="COW49" s="426"/>
      <c r="COX49" s="426"/>
      <c r="COY49" s="426"/>
      <c r="COZ49" s="426"/>
      <c r="CPA49" s="426"/>
      <c r="CPB49" s="426"/>
      <c r="CPC49" s="426"/>
      <c r="CPD49" s="426"/>
      <c r="CPE49" s="426"/>
      <c r="CPF49" s="426"/>
      <c r="CPG49" s="426"/>
      <c r="CPH49" s="426"/>
      <c r="CPI49" s="426"/>
      <c r="CPJ49" s="426"/>
      <c r="CPK49" s="426"/>
      <c r="CPL49" s="426"/>
      <c r="CPM49" s="426"/>
      <c r="CPN49" s="426"/>
      <c r="CPO49" s="426"/>
      <c r="CPP49" s="426"/>
      <c r="CPQ49" s="426"/>
      <c r="CPR49" s="426"/>
      <c r="CPS49" s="426"/>
      <c r="CPT49" s="426"/>
      <c r="CPU49" s="426"/>
      <c r="CPV49" s="426"/>
      <c r="CPW49" s="426"/>
      <c r="CPX49" s="426"/>
      <c r="CPY49" s="426"/>
      <c r="CPZ49" s="426"/>
      <c r="CQA49" s="426"/>
      <c r="CQB49" s="426"/>
      <c r="CQC49" s="426"/>
      <c r="CQD49" s="426"/>
      <c r="CQE49" s="426"/>
      <c r="CQF49" s="426"/>
      <c r="CQG49" s="426"/>
      <c r="CQH49" s="426"/>
      <c r="CQI49" s="426"/>
      <c r="CQJ49" s="426"/>
      <c r="CQK49" s="426"/>
      <c r="CQL49" s="426"/>
      <c r="CQM49" s="426"/>
      <c r="CQN49" s="426"/>
      <c r="CQO49" s="426"/>
      <c r="CQP49" s="426"/>
      <c r="CQQ49" s="426"/>
      <c r="CQR49" s="426"/>
      <c r="CQS49" s="426"/>
      <c r="CQT49" s="426"/>
      <c r="CQU49" s="426"/>
      <c r="CQV49" s="426"/>
      <c r="CQW49" s="426"/>
      <c r="CQX49" s="426"/>
      <c r="CQY49" s="426"/>
      <c r="CQZ49" s="426"/>
      <c r="CRA49" s="426"/>
      <c r="CRB49" s="426"/>
      <c r="CRC49" s="426"/>
      <c r="CRD49" s="426"/>
      <c r="CRE49" s="426"/>
      <c r="CRF49" s="426"/>
      <c r="CRG49" s="426"/>
      <c r="CRH49" s="426"/>
      <c r="CRI49" s="426"/>
      <c r="CRJ49" s="426"/>
      <c r="CRK49" s="426"/>
      <c r="CRL49" s="426"/>
      <c r="CRM49" s="426"/>
      <c r="CRN49" s="426"/>
      <c r="CRO49" s="426"/>
      <c r="CRP49" s="426"/>
      <c r="CRQ49" s="426"/>
      <c r="CRR49" s="426"/>
      <c r="CRS49" s="426"/>
      <c r="CRT49" s="426"/>
      <c r="CRU49" s="426"/>
      <c r="CRV49" s="426"/>
      <c r="CRW49" s="426"/>
      <c r="CRX49" s="426"/>
      <c r="CRY49" s="426"/>
      <c r="CRZ49" s="426"/>
      <c r="CSA49" s="426"/>
      <c r="CSB49" s="426"/>
      <c r="CSC49" s="426"/>
      <c r="CSD49" s="426"/>
      <c r="CSE49" s="426"/>
      <c r="CSF49" s="426"/>
      <c r="CSG49" s="426"/>
      <c r="CSH49" s="426"/>
      <c r="CSI49" s="426"/>
      <c r="CSJ49" s="426"/>
      <c r="CSK49" s="426"/>
      <c r="CSL49" s="426"/>
      <c r="CSM49" s="426"/>
      <c r="CSN49" s="426"/>
      <c r="CSO49" s="426"/>
      <c r="CSP49" s="426"/>
      <c r="CSQ49" s="426"/>
      <c r="CSR49" s="426"/>
      <c r="CSS49" s="426"/>
      <c r="CST49" s="426"/>
      <c r="CSU49" s="426"/>
      <c r="CSV49" s="426"/>
      <c r="CSW49" s="426"/>
      <c r="CSX49" s="426"/>
      <c r="CSY49" s="426"/>
      <c r="CSZ49" s="426"/>
      <c r="CTA49" s="426"/>
      <c r="CTB49" s="426"/>
      <c r="CTC49" s="426"/>
      <c r="CTD49" s="426"/>
      <c r="CTE49" s="426"/>
      <c r="CTF49" s="426"/>
      <c r="CTG49" s="426"/>
      <c r="CTH49" s="426"/>
      <c r="CTI49" s="426"/>
      <c r="CTJ49" s="426"/>
      <c r="CTK49" s="426"/>
      <c r="CTL49" s="426"/>
      <c r="CTM49" s="426"/>
      <c r="CTN49" s="426"/>
      <c r="CTO49" s="426"/>
      <c r="CTP49" s="426"/>
      <c r="CTQ49" s="426"/>
      <c r="CTR49" s="426"/>
      <c r="CTS49" s="426"/>
      <c r="CTT49" s="426"/>
      <c r="CTU49" s="426"/>
      <c r="CTV49" s="426"/>
      <c r="CTW49" s="426"/>
      <c r="CTX49" s="426"/>
      <c r="CTY49" s="426"/>
      <c r="CTZ49" s="426"/>
      <c r="CUA49" s="426"/>
      <c r="CUB49" s="426"/>
      <c r="CUC49" s="426"/>
      <c r="CUD49" s="426"/>
      <c r="CUE49" s="426"/>
      <c r="CUF49" s="426"/>
      <c r="CUG49" s="426"/>
      <c r="CUH49" s="426"/>
      <c r="CUI49" s="426"/>
      <c r="CUJ49" s="426"/>
      <c r="CUK49" s="426"/>
      <c r="CUL49" s="426"/>
      <c r="CUM49" s="426"/>
      <c r="CUN49" s="426"/>
      <c r="CUO49" s="426"/>
      <c r="CUP49" s="426"/>
      <c r="CUQ49" s="426"/>
      <c r="CUR49" s="426"/>
      <c r="CUS49" s="426"/>
      <c r="CUT49" s="426"/>
      <c r="CUU49" s="426"/>
      <c r="CUV49" s="426"/>
      <c r="CUW49" s="426"/>
      <c r="CUX49" s="426"/>
      <c r="CUY49" s="426"/>
      <c r="CUZ49" s="426"/>
      <c r="CVA49" s="426"/>
      <c r="CVB49" s="426"/>
      <c r="CVC49" s="426"/>
      <c r="CVD49" s="426"/>
      <c r="CVE49" s="426"/>
      <c r="CVF49" s="426"/>
      <c r="CVG49" s="426"/>
      <c r="CVH49" s="426"/>
      <c r="CVI49" s="426"/>
      <c r="CVJ49" s="426"/>
      <c r="CVK49" s="426"/>
      <c r="CVL49" s="426"/>
      <c r="CVM49" s="426"/>
      <c r="CVN49" s="426"/>
      <c r="CVO49" s="426"/>
      <c r="CVP49" s="426"/>
      <c r="CVQ49" s="426"/>
      <c r="CVR49" s="426"/>
      <c r="CVS49" s="426"/>
      <c r="CVT49" s="426"/>
      <c r="CVU49" s="426"/>
      <c r="CVV49" s="426"/>
      <c r="CVW49" s="426"/>
      <c r="CVX49" s="426"/>
      <c r="CVY49" s="426"/>
      <c r="CVZ49" s="426"/>
      <c r="CWA49" s="426"/>
      <c r="CWB49" s="426"/>
      <c r="CWC49" s="426"/>
      <c r="CWD49" s="426"/>
      <c r="CWE49" s="426"/>
      <c r="CWF49" s="426"/>
      <c r="CWG49" s="426"/>
      <c r="CWH49" s="426"/>
      <c r="CWI49" s="426"/>
      <c r="CWJ49" s="426"/>
      <c r="CWK49" s="426"/>
      <c r="CWL49" s="426"/>
      <c r="CWM49" s="426"/>
      <c r="CWN49" s="426"/>
      <c r="CWO49" s="426"/>
      <c r="CWP49" s="426"/>
      <c r="CWQ49" s="426"/>
      <c r="CWR49" s="426"/>
      <c r="CWS49" s="426"/>
      <c r="CWT49" s="426"/>
      <c r="CWU49" s="426"/>
      <c r="CWV49" s="426"/>
      <c r="CWW49" s="426"/>
      <c r="CWX49" s="426"/>
      <c r="CWY49" s="426"/>
      <c r="CWZ49" s="426"/>
      <c r="CXA49" s="426"/>
      <c r="CXB49" s="426"/>
      <c r="CXC49" s="426"/>
      <c r="CXD49" s="426"/>
      <c r="CXE49" s="426"/>
      <c r="CXF49" s="426"/>
      <c r="CXG49" s="426"/>
      <c r="CXH49" s="426"/>
      <c r="CXI49" s="426"/>
      <c r="CXJ49" s="426"/>
      <c r="CXK49" s="426"/>
      <c r="CXL49" s="426"/>
      <c r="CXM49" s="426"/>
      <c r="CXN49" s="426"/>
      <c r="CXO49" s="426"/>
      <c r="CXP49" s="426"/>
      <c r="CXQ49" s="426"/>
      <c r="CXR49" s="426"/>
      <c r="CXS49" s="426"/>
      <c r="CXT49" s="426"/>
      <c r="CXU49" s="426"/>
      <c r="CXV49" s="426"/>
      <c r="CXW49" s="426"/>
      <c r="CXX49" s="426"/>
      <c r="CXY49" s="426"/>
      <c r="CXZ49" s="426"/>
      <c r="CYA49" s="426"/>
      <c r="CYB49" s="426"/>
      <c r="CYC49" s="426"/>
      <c r="CYD49" s="426"/>
      <c r="CYE49" s="426"/>
      <c r="CYF49" s="426"/>
      <c r="CYG49" s="426"/>
      <c r="CYH49" s="426"/>
      <c r="CYI49" s="426"/>
      <c r="CYJ49" s="426"/>
      <c r="CYK49" s="426"/>
      <c r="CYL49" s="426"/>
      <c r="CYM49" s="426"/>
      <c r="CYN49" s="426"/>
      <c r="CYO49" s="426"/>
      <c r="CYP49" s="426"/>
      <c r="CYQ49" s="426"/>
      <c r="CYR49" s="426"/>
      <c r="CYS49" s="426"/>
      <c r="CYT49" s="426"/>
      <c r="CYU49" s="426"/>
      <c r="CYV49" s="426"/>
      <c r="CYW49" s="426"/>
      <c r="CYX49" s="426"/>
      <c r="CYY49" s="426"/>
      <c r="CYZ49" s="426"/>
      <c r="CZA49" s="426"/>
      <c r="CZB49" s="426"/>
      <c r="CZC49" s="426"/>
      <c r="CZD49" s="426"/>
      <c r="CZE49" s="426"/>
      <c r="CZF49" s="426"/>
      <c r="CZG49" s="426"/>
      <c r="CZH49" s="426"/>
      <c r="CZI49" s="426"/>
      <c r="CZJ49" s="426"/>
      <c r="CZK49" s="426"/>
      <c r="CZL49" s="426"/>
      <c r="CZM49" s="426"/>
      <c r="CZN49" s="426"/>
      <c r="CZO49" s="426"/>
      <c r="CZP49" s="426"/>
      <c r="CZQ49" s="426"/>
      <c r="CZR49" s="426"/>
      <c r="CZS49" s="426"/>
      <c r="CZT49" s="426"/>
      <c r="CZU49" s="426"/>
      <c r="CZV49" s="426"/>
      <c r="CZW49" s="426"/>
      <c r="CZX49" s="426"/>
      <c r="CZY49" s="426"/>
      <c r="CZZ49" s="426"/>
      <c r="DAA49" s="426"/>
      <c r="DAB49" s="426"/>
      <c r="DAC49" s="426"/>
      <c r="DAD49" s="426"/>
      <c r="DAE49" s="426"/>
      <c r="DAF49" s="426"/>
      <c r="DAG49" s="426"/>
      <c r="DAH49" s="426"/>
      <c r="DAI49" s="426"/>
      <c r="DAJ49" s="426"/>
      <c r="DAK49" s="426"/>
      <c r="DAL49" s="426"/>
      <c r="DAM49" s="426"/>
      <c r="DAN49" s="426"/>
      <c r="DAO49" s="426"/>
      <c r="DAP49" s="426"/>
      <c r="DAQ49" s="426"/>
      <c r="DAR49" s="426"/>
      <c r="DAS49" s="426"/>
      <c r="DAT49" s="426"/>
      <c r="DAU49" s="426"/>
      <c r="DAV49" s="426"/>
      <c r="DAW49" s="426"/>
      <c r="DAX49" s="426"/>
      <c r="DAY49" s="426"/>
      <c r="DAZ49" s="426"/>
      <c r="DBA49" s="426"/>
      <c r="DBB49" s="426"/>
      <c r="DBC49" s="426"/>
      <c r="DBD49" s="426"/>
      <c r="DBE49" s="426"/>
      <c r="DBF49" s="426"/>
      <c r="DBG49" s="426"/>
      <c r="DBH49" s="426"/>
      <c r="DBI49" s="426"/>
      <c r="DBJ49" s="426"/>
      <c r="DBK49" s="426"/>
      <c r="DBL49" s="426"/>
      <c r="DBM49" s="426"/>
      <c r="DBN49" s="426"/>
      <c r="DBO49" s="426"/>
      <c r="DBP49" s="426"/>
      <c r="DBQ49" s="426"/>
      <c r="DBR49" s="426"/>
      <c r="DBS49" s="426"/>
      <c r="DBT49" s="426"/>
      <c r="DBU49" s="426"/>
      <c r="DBV49" s="426"/>
      <c r="DBW49" s="426"/>
      <c r="DBX49" s="426"/>
      <c r="DBY49" s="426"/>
      <c r="DBZ49" s="426"/>
      <c r="DCA49" s="426"/>
      <c r="DCB49" s="426"/>
      <c r="DCC49" s="426"/>
      <c r="DCD49" s="426"/>
      <c r="DCE49" s="426"/>
      <c r="DCF49" s="426"/>
      <c r="DCG49" s="426"/>
      <c r="DCH49" s="426"/>
      <c r="DCI49" s="426"/>
      <c r="DCJ49" s="426"/>
      <c r="DCK49" s="426"/>
      <c r="DCL49" s="426"/>
      <c r="DCM49" s="426"/>
      <c r="DCN49" s="426"/>
      <c r="DCO49" s="426"/>
      <c r="DCP49" s="426"/>
      <c r="DCQ49" s="426"/>
      <c r="DCR49" s="426"/>
      <c r="DCS49" s="426"/>
      <c r="DCT49" s="426"/>
      <c r="DCU49" s="426"/>
      <c r="DCV49" s="426"/>
      <c r="DCW49" s="426"/>
      <c r="DCX49" s="426"/>
      <c r="DCY49" s="426"/>
      <c r="DCZ49" s="426"/>
      <c r="DDA49" s="426"/>
      <c r="DDB49" s="426"/>
      <c r="DDC49" s="426"/>
      <c r="DDD49" s="426"/>
      <c r="DDE49" s="426"/>
      <c r="DDF49" s="426"/>
      <c r="DDG49" s="426"/>
      <c r="DDH49" s="426"/>
      <c r="DDI49" s="426"/>
      <c r="DDJ49" s="426"/>
      <c r="DDK49" s="426"/>
      <c r="DDL49" s="426"/>
      <c r="DDM49" s="426"/>
      <c r="DDN49" s="426"/>
      <c r="DDO49" s="426"/>
      <c r="DDP49" s="426"/>
      <c r="DDQ49" s="426"/>
      <c r="DDR49" s="426"/>
      <c r="DDS49" s="426"/>
      <c r="DDT49" s="426"/>
      <c r="DDU49" s="426"/>
      <c r="DDV49" s="426"/>
      <c r="DDW49" s="426"/>
      <c r="DDX49" s="426"/>
      <c r="DDY49" s="426"/>
      <c r="DDZ49" s="426"/>
      <c r="DEA49" s="426"/>
      <c r="DEB49" s="426"/>
      <c r="DEC49" s="426"/>
      <c r="DED49" s="426"/>
      <c r="DEE49" s="426"/>
      <c r="DEF49" s="426"/>
      <c r="DEG49" s="426"/>
      <c r="DEH49" s="426"/>
      <c r="DEI49" s="426"/>
      <c r="DEJ49" s="426"/>
      <c r="DEK49" s="426"/>
      <c r="DEL49" s="426"/>
      <c r="DEM49" s="426"/>
      <c r="DEN49" s="426"/>
      <c r="DEO49" s="426"/>
      <c r="DEP49" s="426"/>
      <c r="DEQ49" s="426"/>
      <c r="DER49" s="426"/>
      <c r="DES49" s="426"/>
      <c r="DET49" s="426"/>
      <c r="DEU49" s="426"/>
      <c r="DEV49" s="426"/>
      <c r="DEW49" s="426"/>
      <c r="DEX49" s="426"/>
      <c r="DEY49" s="426"/>
      <c r="DEZ49" s="426"/>
      <c r="DFA49" s="426"/>
      <c r="DFB49" s="426"/>
      <c r="DFC49" s="426"/>
      <c r="DFD49" s="426"/>
      <c r="DFE49" s="426"/>
      <c r="DFF49" s="426"/>
      <c r="DFG49" s="426"/>
      <c r="DFH49" s="426"/>
      <c r="DFI49" s="426"/>
      <c r="DFJ49" s="426"/>
      <c r="DFK49" s="426"/>
      <c r="DFL49" s="426"/>
      <c r="DFM49" s="426"/>
      <c r="DFN49" s="426"/>
      <c r="DFO49" s="426"/>
      <c r="DFP49" s="426"/>
      <c r="DFQ49" s="426"/>
      <c r="DFR49" s="426"/>
      <c r="DFS49" s="426"/>
      <c r="DFT49" s="426"/>
      <c r="DFU49" s="426"/>
      <c r="DFV49" s="426"/>
      <c r="DFW49" s="426"/>
      <c r="DFX49" s="426"/>
      <c r="DFY49" s="426"/>
      <c r="DFZ49" s="426"/>
      <c r="DGA49" s="426"/>
      <c r="DGB49" s="426"/>
      <c r="DGC49" s="426"/>
      <c r="DGD49" s="426"/>
      <c r="DGE49" s="426"/>
      <c r="DGF49" s="426"/>
      <c r="DGG49" s="426"/>
      <c r="DGH49" s="426"/>
      <c r="DGI49" s="426"/>
      <c r="DGJ49" s="426"/>
      <c r="DGK49" s="426"/>
      <c r="DGL49" s="426"/>
      <c r="DGM49" s="426"/>
      <c r="DGN49" s="426"/>
      <c r="DGO49" s="426"/>
      <c r="DGP49" s="426"/>
      <c r="DGQ49" s="426"/>
      <c r="DGR49" s="426"/>
      <c r="DGS49" s="426"/>
      <c r="DGT49" s="426"/>
      <c r="DGU49" s="426"/>
      <c r="DGV49" s="426"/>
      <c r="DGW49" s="426"/>
      <c r="DGX49" s="426"/>
      <c r="DGY49" s="426"/>
      <c r="DGZ49" s="426"/>
      <c r="DHA49" s="426"/>
      <c r="DHB49" s="426"/>
      <c r="DHC49" s="426"/>
      <c r="DHD49" s="426"/>
      <c r="DHE49" s="426"/>
      <c r="DHF49" s="426"/>
      <c r="DHG49" s="426"/>
      <c r="DHH49" s="426"/>
      <c r="DHI49" s="426"/>
      <c r="DHJ49" s="426"/>
      <c r="DHK49" s="426"/>
      <c r="DHL49" s="426"/>
      <c r="DHM49" s="426"/>
      <c r="DHN49" s="426"/>
      <c r="DHO49" s="426"/>
      <c r="DHP49" s="426"/>
      <c r="DHQ49" s="426"/>
      <c r="DHR49" s="426"/>
      <c r="DHS49" s="426"/>
      <c r="DHT49" s="426"/>
      <c r="DHU49" s="426"/>
      <c r="DHV49" s="426"/>
      <c r="DHW49" s="426"/>
      <c r="DHX49" s="426"/>
      <c r="DHY49" s="426"/>
      <c r="DHZ49" s="426"/>
      <c r="DIA49" s="426"/>
      <c r="DIB49" s="426"/>
      <c r="DIC49" s="426"/>
      <c r="DID49" s="426"/>
      <c r="DIE49" s="426"/>
      <c r="DIF49" s="426"/>
      <c r="DIG49" s="426"/>
      <c r="DIH49" s="426"/>
      <c r="DII49" s="426"/>
      <c r="DIJ49" s="426"/>
      <c r="DIK49" s="426"/>
      <c r="DIL49" s="426"/>
      <c r="DIM49" s="426"/>
      <c r="DIN49" s="426"/>
      <c r="DIO49" s="426"/>
      <c r="DIP49" s="426"/>
      <c r="DIQ49" s="426"/>
      <c r="DIR49" s="426"/>
      <c r="DIS49" s="426"/>
      <c r="DIT49" s="426"/>
      <c r="DIU49" s="426"/>
      <c r="DIV49" s="426"/>
      <c r="DIW49" s="426"/>
      <c r="DIX49" s="426"/>
      <c r="DIY49" s="426"/>
      <c r="DIZ49" s="426"/>
      <c r="DJA49" s="426"/>
      <c r="DJB49" s="426"/>
      <c r="DJC49" s="426"/>
      <c r="DJD49" s="426"/>
      <c r="DJE49" s="426"/>
      <c r="DJF49" s="426"/>
      <c r="DJG49" s="426"/>
      <c r="DJH49" s="426"/>
      <c r="DJI49" s="426"/>
      <c r="DJJ49" s="426"/>
      <c r="DJK49" s="426"/>
      <c r="DJL49" s="426"/>
      <c r="DJM49" s="426"/>
      <c r="DJN49" s="426"/>
      <c r="DJO49" s="426"/>
      <c r="DJP49" s="426"/>
      <c r="DJQ49" s="426"/>
      <c r="DJR49" s="426"/>
      <c r="DJS49" s="426"/>
      <c r="DJT49" s="426"/>
      <c r="DJU49" s="426"/>
      <c r="DJV49" s="426"/>
      <c r="DJW49" s="426"/>
      <c r="DJX49" s="426"/>
      <c r="DJY49" s="426"/>
      <c r="DJZ49" s="426"/>
      <c r="DKA49" s="426"/>
      <c r="DKB49" s="426"/>
      <c r="DKC49" s="426"/>
      <c r="DKD49" s="426"/>
      <c r="DKE49" s="426"/>
      <c r="DKF49" s="426"/>
      <c r="DKG49" s="426"/>
      <c r="DKH49" s="426"/>
      <c r="DKI49" s="426"/>
      <c r="DKJ49" s="426"/>
      <c r="DKK49" s="426"/>
      <c r="DKL49" s="426"/>
      <c r="DKM49" s="426"/>
      <c r="DKN49" s="426"/>
      <c r="DKO49" s="426"/>
      <c r="DKP49" s="426"/>
      <c r="DKQ49" s="426"/>
      <c r="DKR49" s="426"/>
      <c r="DKS49" s="426"/>
      <c r="DKT49" s="426"/>
      <c r="DKU49" s="426"/>
      <c r="DKV49" s="426"/>
      <c r="DKW49" s="426"/>
      <c r="DKX49" s="426"/>
      <c r="DKY49" s="426"/>
      <c r="DKZ49" s="426"/>
      <c r="DLA49" s="426"/>
      <c r="DLB49" s="426"/>
      <c r="DLC49" s="426"/>
      <c r="DLD49" s="426"/>
      <c r="DLE49" s="426"/>
      <c r="DLF49" s="426"/>
      <c r="DLG49" s="426"/>
      <c r="DLH49" s="426"/>
      <c r="DLI49" s="426"/>
      <c r="DLJ49" s="426"/>
      <c r="DLK49" s="426"/>
      <c r="DLL49" s="426"/>
      <c r="DLM49" s="426"/>
      <c r="DLN49" s="426"/>
      <c r="DLO49" s="426"/>
      <c r="DLP49" s="426"/>
      <c r="DLQ49" s="426"/>
      <c r="DLR49" s="426"/>
      <c r="DLS49" s="426"/>
      <c r="DLT49" s="426"/>
      <c r="DLU49" s="426"/>
      <c r="DLV49" s="426"/>
      <c r="DLW49" s="426"/>
      <c r="DLX49" s="426"/>
      <c r="DLY49" s="426"/>
      <c r="DLZ49" s="426"/>
      <c r="DMA49" s="426"/>
      <c r="DMB49" s="426"/>
      <c r="DMC49" s="426"/>
      <c r="DMD49" s="426"/>
      <c r="DME49" s="426"/>
      <c r="DMF49" s="426"/>
      <c r="DMG49" s="426"/>
      <c r="DMH49" s="426"/>
      <c r="DMI49" s="426"/>
      <c r="DMJ49" s="426"/>
      <c r="DMK49" s="426"/>
      <c r="DML49" s="426"/>
      <c r="DMM49" s="426"/>
      <c r="DMN49" s="426"/>
      <c r="DMO49" s="426"/>
      <c r="DMP49" s="426"/>
      <c r="DMQ49" s="426"/>
      <c r="DMR49" s="426"/>
      <c r="DMS49" s="426"/>
      <c r="DMT49" s="426"/>
      <c r="DMU49" s="426"/>
      <c r="DMV49" s="426"/>
      <c r="DMW49" s="426"/>
      <c r="DMX49" s="426"/>
      <c r="DMY49" s="426"/>
      <c r="DMZ49" s="426"/>
      <c r="DNA49" s="426"/>
      <c r="DNB49" s="426"/>
      <c r="DNC49" s="426"/>
      <c r="DND49" s="426"/>
      <c r="DNE49" s="426"/>
      <c r="DNF49" s="426"/>
      <c r="DNG49" s="426"/>
      <c r="DNH49" s="426"/>
      <c r="DNI49" s="426"/>
      <c r="DNJ49" s="426"/>
      <c r="DNK49" s="426"/>
      <c r="DNL49" s="426"/>
      <c r="DNM49" s="426"/>
      <c r="DNN49" s="426"/>
      <c r="DNO49" s="426"/>
      <c r="DNP49" s="426"/>
      <c r="DNQ49" s="426"/>
      <c r="DNR49" s="426"/>
      <c r="DNS49" s="426"/>
      <c r="DNT49" s="426"/>
      <c r="DNU49" s="426"/>
      <c r="DNV49" s="426"/>
      <c r="DNW49" s="426"/>
      <c r="DNX49" s="426"/>
      <c r="DNY49" s="426"/>
      <c r="DNZ49" s="426"/>
      <c r="DOA49" s="426"/>
      <c r="DOB49" s="426"/>
      <c r="DOC49" s="426"/>
      <c r="DOD49" s="426"/>
      <c r="DOE49" s="426"/>
      <c r="DOF49" s="426"/>
      <c r="DOG49" s="426"/>
      <c r="DOH49" s="426"/>
      <c r="DOI49" s="426"/>
      <c r="DOJ49" s="426"/>
      <c r="DOK49" s="426"/>
      <c r="DOL49" s="426"/>
      <c r="DOM49" s="426"/>
      <c r="DON49" s="426"/>
      <c r="DOO49" s="426"/>
      <c r="DOP49" s="426"/>
      <c r="DOQ49" s="426"/>
      <c r="DOR49" s="426"/>
      <c r="DOS49" s="426"/>
      <c r="DOT49" s="426"/>
      <c r="DOU49" s="426"/>
      <c r="DOV49" s="426"/>
      <c r="DOW49" s="426"/>
      <c r="DOX49" s="426"/>
      <c r="DOY49" s="426"/>
      <c r="DOZ49" s="426"/>
      <c r="DPA49" s="426"/>
      <c r="DPB49" s="426"/>
      <c r="DPC49" s="426"/>
      <c r="DPD49" s="426"/>
      <c r="DPE49" s="426"/>
      <c r="DPF49" s="426"/>
      <c r="DPG49" s="426"/>
      <c r="DPH49" s="426"/>
      <c r="DPI49" s="426"/>
      <c r="DPJ49" s="426"/>
      <c r="DPK49" s="426"/>
      <c r="DPL49" s="426"/>
      <c r="DPM49" s="426"/>
      <c r="DPN49" s="426"/>
      <c r="DPO49" s="426"/>
      <c r="DPP49" s="426"/>
      <c r="DPQ49" s="426"/>
      <c r="DPR49" s="426"/>
      <c r="DPS49" s="426"/>
      <c r="DPT49" s="426"/>
      <c r="DPU49" s="426"/>
      <c r="DPV49" s="426"/>
      <c r="DPW49" s="426"/>
      <c r="DPX49" s="426"/>
      <c r="DPY49" s="426"/>
      <c r="DPZ49" s="426"/>
      <c r="DQA49" s="426"/>
      <c r="DQB49" s="426"/>
      <c r="DQC49" s="426"/>
      <c r="DQD49" s="426"/>
      <c r="DQE49" s="426"/>
      <c r="DQF49" s="426"/>
      <c r="DQG49" s="426"/>
      <c r="DQH49" s="426"/>
      <c r="DQI49" s="426"/>
      <c r="DQJ49" s="426"/>
      <c r="DQK49" s="426"/>
      <c r="DQL49" s="426"/>
      <c r="DQM49" s="426"/>
      <c r="DQN49" s="426"/>
      <c r="DQO49" s="426"/>
      <c r="DQP49" s="426"/>
      <c r="DQQ49" s="426"/>
      <c r="DQR49" s="426"/>
      <c r="DQS49" s="426"/>
      <c r="DQT49" s="426"/>
      <c r="DQU49" s="426"/>
      <c r="DQV49" s="426"/>
      <c r="DQW49" s="426"/>
      <c r="DQX49" s="426"/>
      <c r="DQY49" s="426"/>
      <c r="DQZ49" s="426"/>
      <c r="DRA49" s="426"/>
      <c r="DRB49" s="426"/>
      <c r="DRC49" s="426"/>
      <c r="DRD49" s="426"/>
      <c r="DRE49" s="426"/>
      <c r="DRF49" s="426"/>
      <c r="DRG49" s="426"/>
      <c r="DRH49" s="426"/>
      <c r="DRI49" s="426"/>
      <c r="DRJ49" s="426"/>
      <c r="DRK49" s="426"/>
      <c r="DRL49" s="426"/>
      <c r="DRM49" s="426"/>
      <c r="DRN49" s="426"/>
      <c r="DRO49" s="426"/>
      <c r="DRP49" s="426"/>
      <c r="DRQ49" s="426"/>
      <c r="DRR49" s="426"/>
      <c r="DRS49" s="426"/>
      <c r="DRT49" s="426"/>
      <c r="DRU49" s="426"/>
      <c r="DRV49" s="426"/>
      <c r="DRW49" s="426"/>
      <c r="DRX49" s="426"/>
      <c r="DRY49" s="426"/>
      <c r="DRZ49" s="426"/>
      <c r="DSA49" s="426"/>
      <c r="DSB49" s="426"/>
      <c r="DSC49" s="426"/>
      <c r="DSD49" s="426"/>
      <c r="DSE49" s="426"/>
      <c r="DSF49" s="426"/>
      <c r="DSG49" s="426"/>
      <c r="DSH49" s="426"/>
      <c r="DSI49" s="426"/>
      <c r="DSJ49" s="426"/>
      <c r="DSK49" s="426"/>
      <c r="DSL49" s="426"/>
      <c r="DSM49" s="426"/>
      <c r="DSN49" s="426"/>
      <c r="DSO49" s="426"/>
      <c r="DSP49" s="426"/>
      <c r="DSQ49" s="426"/>
      <c r="DSR49" s="426"/>
      <c r="DSS49" s="426"/>
      <c r="DST49" s="426"/>
      <c r="DSU49" s="426"/>
      <c r="DSV49" s="426"/>
      <c r="DSW49" s="426"/>
      <c r="DSX49" s="426"/>
      <c r="DSY49" s="426"/>
      <c r="DSZ49" s="426"/>
      <c r="DTA49" s="426"/>
      <c r="DTB49" s="426"/>
      <c r="DTC49" s="426"/>
      <c r="DTD49" s="426"/>
      <c r="DTE49" s="426"/>
      <c r="DTF49" s="426"/>
      <c r="DTG49" s="426"/>
      <c r="DTH49" s="426"/>
      <c r="DTI49" s="426"/>
      <c r="DTJ49" s="426"/>
      <c r="DTK49" s="426"/>
      <c r="DTL49" s="426"/>
      <c r="DTM49" s="426"/>
      <c r="DTN49" s="426"/>
      <c r="DTO49" s="426"/>
      <c r="DTP49" s="426"/>
      <c r="DTQ49" s="426"/>
      <c r="DTR49" s="426"/>
      <c r="DTS49" s="426"/>
      <c r="DTT49" s="426"/>
      <c r="DTU49" s="426"/>
      <c r="DTV49" s="426"/>
      <c r="DTW49" s="426"/>
      <c r="DTX49" s="426"/>
      <c r="DTY49" s="426"/>
      <c r="DTZ49" s="426"/>
      <c r="DUA49" s="426"/>
      <c r="DUB49" s="426"/>
      <c r="DUC49" s="426"/>
      <c r="DUD49" s="426"/>
      <c r="DUE49" s="426"/>
      <c r="DUF49" s="426"/>
      <c r="DUG49" s="426"/>
      <c r="DUH49" s="426"/>
      <c r="DUI49" s="426"/>
      <c r="DUJ49" s="426"/>
      <c r="DUK49" s="426"/>
      <c r="DUL49" s="426"/>
      <c r="DUM49" s="426"/>
      <c r="DUN49" s="426"/>
      <c r="DUO49" s="426"/>
      <c r="DUP49" s="426"/>
      <c r="DUQ49" s="426"/>
      <c r="DUR49" s="426"/>
      <c r="DUS49" s="426"/>
      <c r="DUT49" s="426"/>
      <c r="DUU49" s="426"/>
      <c r="DUV49" s="426"/>
      <c r="DUW49" s="426"/>
      <c r="DUX49" s="426"/>
      <c r="DUY49" s="426"/>
      <c r="DUZ49" s="426"/>
      <c r="DVA49" s="426"/>
      <c r="DVB49" s="426"/>
      <c r="DVC49" s="426"/>
      <c r="DVD49" s="426"/>
      <c r="DVE49" s="426"/>
      <c r="DVF49" s="426"/>
      <c r="DVG49" s="426"/>
      <c r="DVH49" s="426"/>
      <c r="DVI49" s="426"/>
      <c r="DVJ49" s="426"/>
      <c r="DVK49" s="426"/>
      <c r="DVL49" s="426"/>
      <c r="DVM49" s="426"/>
      <c r="DVN49" s="426"/>
      <c r="DVO49" s="426"/>
      <c r="DVP49" s="426"/>
      <c r="DVQ49" s="426"/>
      <c r="DVR49" s="426"/>
      <c r="DVS49" s="426"/>
      <c r="DVT49" s="426"/>
      <c r="DVU49" s="426"/>
      <c r="DVV49" s="426"/>
      <c r="DVW49" s="426"/>
      <c r="DVX49" s="426"/>
      <c r="DVY49" s="426"/>
      <c r="DVZ49" s="426"/>
      <c r="DWA49" s="426"/>
      <c r="DWB49" s="426"/>
      <c r="DWC49" s="426"/>
      <c r="DWD49" s="426"/>
      <c r="DWE49" s="426"/>
      <c r="DWF49" s="426"/>
      <c r="DWG49" s="426"/>
      <c r="DWH49" s="426"/>
      <c r="DWI49" s="426"/>
      <c r="DWJ49" s="426"/>
      <c r="DWK49" s="426"/>
      <c r="DWL49" s="426"/>
      <c r="DWM49" s="426"/>
      <c r="DWN49" s="426"/>
      <c r="DWO49" s="426"/>
      <c r="DWP49" s="426"/>
      <c r="DWQ49" s="426"/>
      <c r="DWR49" s="426"/>
      <c r="DWS49" s="426"/>
      <c r="DWT49" s="426"/>
      <c r="DWU49" s="426"/>
      <c r="DWV49" s="426"/>
      <c r="DWW49" s="426"/>
      <c r="DWX49" s="426"/>
      <c r="DWY49" s="426"/>
      <c r="DWZ49" s="426"/>
      <c r="DXA49" s="426"/>
      <c r="DXB49" s="426"/>
      <c r="DXC49" s="426"/>
      <c r="DXD49" s="426"/>
      <c r="DXE49" s="426"/>
      <c r="DXF49" s="426"/>
      <c r="DXG49" s="426"/>
      <c r="DXH49" s="426"/>
      <c r="DXI49" s="426"/>
      <c r="DXJ49" s="426"/>
      <c r="DXK49" s="426"/>
      <c r="DXL49" s="426"/>
      <c r="DXM49" s="426"/>
      <c r="DXN49" s="426"/>
      <c r="DXO49" s="426"/>
      <c r="DXP49" s="426"/>
      <c r="DXQ49" s="426"/>
      <c r="DXR49" s="426"/>
      <c r="DXS49" s="426"/>
      <c r="DXT49" s="426"/>
      <c r="DXU49" s="426"/>
      <c r="DXV49" s="426"/>
      <c r="DXW49" s="426"/>
      <c r="DXX49" s="426"/>
      <c r="DXY49" s="426"/>
      <c r="DXZ49" s="426"/>
      <c r="DYA49" s="426"/>
      <c r="DYB49" s="426"/>
      <c r="DYC49" s="426"/>
      <c r="DYD49" s="426"/>
      <c r="DYE49" s="426"/>
      <c r="DYF49" s="426"/>
      <c r="DYG49" s="426"/>
      <c r="DYH49" s="426"/>
      <c r="DYI49" s="426"/>
      <c r="DYJ49" s="426"/>
      <c r="DYK49" s="426"/>
      <c r="DYL49" s="426"/>
      <c r="DYM49" s="426"/>
      <c r="DYN49" s="426"/>
      <c r="DYO49" s="426"/>
      <c r="DYP49" s="426"/>
      <c r="DYQ49" s="426"/>
      <c r="DYR49" s="426"/>
      <c r="DYS49" s="426"/>
      <c r="DYT49" s="426"/>
      <c r="DYU49" s="426"/>
      <c r="DYV49" s="426"/>
      <c r="DYW49" s="426"/>
      <c r="DYX49" s="426"/>
      <c r="DYY49" s="426"/>
      <c r="DYZ49" s="426"/>
      <c r="DZA49" s="426"/>
      <c r="DZB49" s="426"/>
      <c r="DZC49" s="426"/>
      <c r="DZD49" s="426"/>
      <c r="DZE49" s="426"/>
      <c r="DZF49" s="426"/>
      <c r="DZG49" s="426"/>
      <c r="DZH49" s="426"/>
      <c r="DZI49" s="426"/>
      <c r="DZJ49" s="426"/>
      <c r="DZK49" s="426"/>
      <c r="DZL49" s="426"/>
      <c r="DZM49" s="426"/>
      <c r="DZN49" s="426"/>
      <c r="DZO49" s="426"/>
      <c r="DZP49" s="426"/>
      <c r="DZQ49" s="426"/>
      <c r="DZR49" s="426"/>
      <c r="DZS49" s="426"/>
      <c r="DZT49" s="426"/>
      <c r="DZU49" s="426"/>
      <c r="DZV49" s="426"/>
      <c r="DZW49" s="426"/>
      <c r="DZX49" s="426"/>
      <c r="DZY49" s="426"/>
      <c r="DZZ49" s="426"/>
      <c r="EAA49" s="426"/>
      <c r="EAB49" s="426"/>
      <c r="EAC49" s="426"/>
      <c r="EAD49" s="426"/>
      <c r="EAE49" s="426"/>
      <c r="EAF49" s="426"/>
      <c r="EAG49" s="426"/>
      <c r="EAH49" s="426"/>
      <c r="EAI49" s="426"/>
      <c r="EAJ49" s="426"/>
      <c r="EAK49" s="426"/>
      <c r="EAL49" s="426"/>
      <c r="EAM49" s="426"/>
      <c r="EAN49" s="426"/>
      <c r="EAO49" s="426"/>
      <c r="EAP49" s="426"/>
      <c r="EAQ49" s="426"/>
      <c r="EAR49" s="426"/>
      <c r="EAS49" s="426"/>
      <c r="EAT49" s="426"/>
      <c r="EAU49" s="426"/>
      <c r="EAV49" s="426"/>
      <c r="EAW49" s="426"/>
      <c r="EAX49" s="426"/>
      <c r="EAY49" s="426"/>
      <c r="EAZ49" s="426"/>
      <c r="EBA49" s="426"/>
      <c r="EBB49" s="426"/>
      <c r="EBC49" s="426"/>
      <c r="EBD49" s="426"/>
      <c r="EBE49" s="426"/>
      <c r="EBF49" s="426"/>
      <c r="EBG49" s="426"/>
      <c r="EBH49" s="426"/>
      <c r="EBI49" s="426"/>
      <c r="EBJ49" s="426"/>
      <c r="EBK49" s="426"/>
      <c r="EBL49" s="426"/>
      <c r="EBM49" s="426"/>
      <c r="EBN49" s="426"/>
      <c r="EBO49" s="426"/>
      <c r="EBP49" s="426"/>
      <c r="EBQ49" s="426"/>
      <c r="EBR49" s="426"/>
      <c r="EBS49" s="426"/>
      <c r="EBT49" s="426"/>
      <c r="EBU49" s="426"/>
      <c r="EBV49" s="426"/>
      <c r="EBW49" s="426"/>
      <c r="EBX49" s="426"/>
      <c r="EBY49" s="426"/>
      <c r="EBZ49" s="426"/>
      <c r="ECA49" s="426"/>
      <c r="ECB49" s="426"/>
      <c r="ECC49" s="426"/>
      <c r="ECD49" s="426"/>
      <c r="ECE49" s="426"/>
      <c r="ECF49" s="426"/>
      <c r="ECG49" s="426"/>
      <c r="ECH49" s="426"/>
      <c r="ECI49" s="426"/>
      <c r="ECJ49" s="426"/>
      <c r="ECK49" s="426"/>
      <c r="ECL49" s="426"/>
      <c r="ECM49" s="426"/>
      <c r="ECN49" s="426"/>
      <c r="ECO49" s="426"/>
      <c r="ECP49" s="426"/>
      <c r="ECQ49" s="426"/>
      <c r="ECR49" s="426"/>
      <c r="ECS49" s="426"/>
      <c r="ECT49" s="426"/>
      <c r="ECU49" s="426"/>
      <c r="ECV49" s="426"/>
      <c r="ECW49" s="426"/>
      <c r="ECX49" s="426"/>
      <c r="ECY49" s="426"/>
      <c r="ECZ49" s="426"/>
      <c r="EDA49" s="426"/>
      <c r="EDB49" s="426"/>
      <c r="EDC49" s="426"/>
      <c r="EDD49" s="426"/>
      <c r="EDE49" s="426"/>
      <c r="EDF49" s="426"/>
      <c r="EDG49" s="426"/>
      <c r="EDH49" s="426"/>
      <c r="EDI49" s="426"/>
      <c r="EDJ49" s="426"/>
      <c r="EDK49" s="426"/>
      <c r="EDL49" s="426"/>
      <c r="EDM49" s="426"/>
      <c r="EDN49" s="426"/>
      <c r="EDO49" s="426"/>
      <c r="EDP49" s="426"/>
      <c r="EDQ49" s="426"/>
      <c r="EDR49" s="426"/>
      <c r="EDS49" s="426"/>
      <c r="EDT49" s="426"/>
      <c r="EDU49" s="426"/>
      <c r="EDV49" s="426"/>
      <c r="EDW49" s="426"/>
      <c r="EDX49" s="426"/>
      <c r="EDY49" s="426"/>
      <c r="EDZ49" s="426"/>
      <c r="EEA49" s="426"/>
      <c r="EEB49" s="426"/>
      <c r="EEC49" s="426"/>
      <c r="EED49" s="426"/>
      <c r="EEE49" s="426"/>
      <c r="EEF49" s="426"/>
      <c r="EEG49" s="426"/>
      <c r="EEH49" s="426"/>
      <c r="EEI49" s="426"/>
      <c r="EEJ49" s="426"/>
      <c r="EEK49" s="426"/>
      <c r="EEL49" s="426"/>
      <c r="EEM49" s="426"/>
      <c r="EEN49" s="426"/>
      <c r="EEO49" s="426"/>
      <c r="EEP49" s="426"/>
      <c r="EEQ49" s="426"/>
      <c r="EER49" s="426"/>
      <c r="EES49" s="426"/>
      <c r="EET49" s="426"/>
      <c r="EEU49" s="426"/>
      <c r="EEV49" s="426"/>
      <c r="EEW49" s="426"/>
      <c r="EEX49" s="426"/>
      <c r="EEY49" s="426"/>
      <c r="EEZ49" s="426"/>
      <c r="EFA49" s="426"/>
      <c r="EFB49" s="426"/>
      <c r="EFC49" s="426"/>
      <c r="EFD49" s="426"/>
      <c r="EFE49" s="426"/>
      <c r="EFF49" s="426"/>
      <c r="EFG49" s="426"/>
      <c r="EFH49" s="426"/>
      <c r="EFI49" s="426"/>
      <c r="EFJ49" s="426"/>
      <c r="EFK49" s="426"/>
      <c r="EFL49" s="426"/>
      <c r="EFM49" s="426"/>
      <c r="EFN49" s="426"/>
      <c r="EFO49" s="426"/>
      <c r="EFP49" s="426"/>
      <c r="EFQ49" s="426"/>
      <c r="EFR49" s="426"/>
      <c r="EFS49" s="426"/>
      <c r="EFT49" s="426"/>
      <c r="EFU49" s="426"/>
      <c r="EFV49" s="426"/>
      <c r="EFW49" s="426"/>
      <c r="EFX49" s="426"/>
      <c r="EFY49" s="426"/>
      <c r="EFZ49" s="426"/>
      <c r="EGA49" s="426"/>
      <c r="EGB49" s="426"/>
      <c r="EGC49" s="426"/>
      <c r="EGD49" s="426"/>
      <c r="EGE49" s="426"/>
      <c r="EGF49" s="426"/>
      <c r="EGG49" s="426"/>
      <c r="EGH49" s="426"/>
      <c r="EGI49" s="426"/>
      <c r="EGJ49" s="426"/>
      <c r="EGK49" s="426"/>
      <c r="EGL49" s="426"/>
      <c r="EGM49" s="426"/>
      <c r="EGN49" s="426"/>
      <c r="EGO49" s="426"/>
      <c r="EGP49" s="426"/>
      <c r="EGQ49" s="426"/>
      <c r="EGR49" s="426"/>
      <c r="EGS49" s="426"/>
      <c r="EGT49" s="426"/>
      <c r="EGU49" s="426"/>
      <c r="EGV49" s="426"/>
      <c r="EGW49" s="426"/>
      <c r="EGX49" s="426"/>
      <c r="EGY49" s="426"/>
      <c r="EGZ49" s="426"/>
      <c r="EHA49" s="426"/>
      <c r="EHB49" s="426"/>
      <c r="EHC49" s="426"/>
      <c r="EHD49" s="426"/>
      <c r="EHE49" s="426"/>
      <c r="EHF49" s="426"/>
      <c r="EHG49" s="426"/>
      <c r="EHH49" s="426"/>
      <c r="EHI49" s="426"/>
      <c r="EHJ49" s="426"/>
      <c r="EHK49" s="426"/>
      <c r="EHL49" s="426"/>
      <c r="EHM49" s="426"/>
      <c r="EHN49" s="426"/>
      <c r="EHO49" s="426"/>
      <c r="EHP49" s="426"/>
      <c r="EHQ49" s="426"/>
      <c r="EHR49" s="426"/>
      <c r="EHS49" s="426"/>
      <c r="EHT49" s="426"/>
      <c r="EHU49" s="426"/>
      <c r="EHV49" s="426"/>
      <c r="EHW49" s="426"/>
      <c r="EHX49" s="426"/>
      <c r="EHY49" s="426"/>
      <c r="EHZ49" s="426"/>
      <c r="EIA49" s="426"/>
      <c r="EIB49" s="426"/>
      <c r="EIC49" s="426"/>
      <c r="EID49" s="426"/>
      <c r="EIE49" s="426"/>
      <c r="EIF49" s="426"/>
      <c r="EIG49" s="426"/>
      <c r="EIH49" s="426"/>
      <c r="EII49" s="426"/>
      <c r="EIJ49" s="426"/>
      <c r="EIK49" s="426"/>
      <c r="EIL49" s="426"/>
      <c r="EIM49" s="426"/>
      <c r="EIN49" s="426"/>
      <c r="EIO49" s="426"/>
      <c r="EIP49" s="426"/>
      <c r="EIQ49" s="426"/>
      <c r="EIR49" s="426"/>
      <c r="EIS49" s="426"/>
      <c r="EIT49" s="426"/>
      <c r="EIU49" s="426"/>
      <c r="EIV49" s="426"/>
      <c r="EIW49" s="426"/>
      <c r="EIX49" s="426"/>
      <c r="EIY49" s="426"/>
      <c r="EIZ49" s="426"/>
      <c r="EJA49" s="426"/>
      <c r="EJB49" s="426"/>
      <c r="EJC49" s="426"/>
      <c r="EJD49" s="426"/>
      <c r="EJE49" s="426"/>
      <c r="EJF49" s="426"/>
      <c r="EJG49" s="426"/>
      <c r="EJH49" s="426"/>
      <c r="EJI49" s="426"/>
      <c r="EJJ49" s="426"/>
      <c r="EJK49" s="426"/>
      <c r="EJL49" s="426"/>
      <c r="EJM49" s="426"/>
      <c r="EJN49" s="426"/>
      <c r="EJO49" s="426"/>
      <c r="EJP49" s="426"/>
      <c r="EJQ49" s="426"/>
      <c r="EJR49" s="426"/>
      <c r="EJS49" s="426"/>
      <c r="EJT49" s="426"/>
      <c r="EJU49" s="426"/>
      <c r="EJV49" s="426"/>
      <c r="EJW49" s="426"/>
      <c r="EJX49" s="426"/>
      <c r="EJY49" s="426"/>
      <c r="EJZ49" s="426"/>
      <c r="EKA49" s="426"/>
      <c r="EKB49" s="426"/>
      <c r="EKC49" s="426"/>
      <c r="EKD49" s="426"/>
      <c r="EKE49" s="426"/>
      <c r="EKF49" s="426"/>
      <c r="EKG49" s="426"/>
      <c r="EKH49" s="426"/>
      <c r="EKI49" s="426"/>
      <c r="EKJ49" s="426"/>
      <c r="EKK49" s="426"/>
      <c r="EKL49" s="426"/>
      <c r="EKM49" s="426"/>
      <c r="EKN49" s="426"/>
      <c r="EKO49" s="426"/>
      <c r="EKP49" s="426"/>
      <c r="EKQ49" s="426"/>
      <c r="EKR49" s="426"/>
      <c r="EKS49" s="426"/>
      <c r="EKT49" s="426"/>
      <c r="EKU49" s="426"/>
      <c r="EKV49" s="426"/>
      <c r="EKW49" s="426"/>
      <c r="EKX49" s="426"/>
      <c r="EKY49" s="426"/>
      <c r="EKZ49" s="426"/>
      <c r="ELA49" s="426"/>
      <c r="ELB49" s="426"/>
      <c r="ELC49" s="426"/>
      <c r="ELD49" s="426"/>
      <c r="ELE49" s="426"/>
      <c r="ELF49" s="426"/>
      <c r="ELG49" s="426"/>
      <c r="ELH49" s="426"/>
      <c r="ELI49" s="426"/>
      <c r="ELJ49" s="426"/>
      <c r="ELK49" s="426"/>
      <c r="ELL49" s="426"/>
      <c r="ELM49" s="426"/>
      <c r="ELN49" s="426"/>
      <c r="ELO49" s="426"/>
      <c r="ELP49" s="426"/>
      <c r="ELQ49" s="426"/>
      <c r="ELR49" s="426"/>
      <c r="ELS49" s="426"/>
      <c r="ELT49" s="426"/>
      <c r="ELU49" s="426"/>
      <c r="ELV49" s="426"/>
      <c r="ELW49" s="426"/>
      <c r="ELX49" s="426"/>
      <c r="ELY49" s="426"/>
      <c r="ELZ49" s="426"/>
      <c r="EMA49" s="426"/>
      <c r="EMB49" s="426"/>
      <c r="EMC49" s="426"/>
      <c r="EMD49" s="426"/>
      <c r="EME49" s="426"/>
      <c r="EMF49" s="426"/>
      <c r="EMG49" s="426"/>
      <c r="EMH49" s="426"/>
      <c r="EMI49" s="426"/>
      <c r="EMJ49" s="426"/>
      <c r="EMK49" s="426"/>
      <c r="EML49" s="426"/>
      <c r="EMM49" s="426"/>
      <c r="EMN49" s="426"/>
      <c r="EMO49" s="426"/>
      <c r="EMP49" s="426"/>
      <c r="EMQ49" s="426"/>
      <c r="EMR49" s="426"/>
      <c r="EMS49" s="426"/>
      <c r="EMT49" s="426"/>
      <c r="EMU49" s="426"/>
      <c r="EMV49" s="426"/>
      <c r="EMW49" s="426"/>
      <c r="EMX49" s="426"/>
      <c r="EMY49" s="426"/>
      <c r="EMZ49" s="426"/>
      <c r="ENA49" s="426"/>
      <c r="ENB49" s="426"/>
      <c r="ENC49" s="426"/>
      <c r="END49" s="426"/>
      <c r="ENE49" s="426"/>
      <c r="ENF49" s="426"/>
      <c r="ENG49" s="426"/>
      <c r="ENH49" s="426"/>
      <c r="ENI49" s="426"/>
      <c r="ENJ49" s="426"/>
      <c r="ENK49" s="426"/>
      <c r="ENL49" s="426"/>
      <c r="ENM49" s="426"/>
      <c r="ENN49" s="426"/>
      <c r="ENO49" s="426"/>
      <c r="ENP49" s="426"/>
      <c r="ENQ49" s="426"/>
      <c r="ENR49" s="426"/>
      <c r="ENS49" s="426"/>
      <c r="ENT49" s="426"/>
      <c r="ENU49" s="426"/>
      <c r="ENV49" s="426"/>
      <c r="ENW49" s="426"/>
      <c r="ENX49" s="426"/>
      <c r="ENY49" s="426"/>
      <c r="ENZ49" s="426"/>
      <c r="EOA49" s="426"/>
      <c r="EOB49" s="426"/>
      <c r="EOC49" s="426"/>
      <c r="EOD49" s="426"/>
      <c r="EOE49" s="426"/>
      <c r="EOF49" s="426"/>
      <c r="EOG49" s="426"/>
      <c r="EOH49" s="426"/>
      <c r="EOI49" s="426"/>
      <c r="EOJ49" s="426"/>
      <c r="EOK49" s="426"/>
      <c r="EOL49" s="426"/>
      <c r="EOM49" s="426"/>
      <c r="EON49" s="426"/>
      <c r="EOO49" s="426"/>
      <c r="EOP49" s="426"/>
      <c r="EOQ49" s="426"/>
      <c r="EOR49" s="426"/>
      <c r="EOS49" s="426"/>
      <c r="EOT49" s="426"/>
      <c r="EOU49" s="426"/>
      <c r="EOV49" s="426"/>
      <c r="EOW49" s="426"/>
      <c r="EOX49" s="426"/>
      <c r="EOY49" s="426"/>
      <c r="EOZ49" s="426"/>
      <c r="EPA49" s="426"/>
      <c r="EPB49" s="426"/>
      <c r="EPC49" s="426"/>
      <c r="EPD49" s="426"/>
      <c r="EPE49" s="426"/>
      <c r="EPF49" s="426"/>
      <c r="EPG49" s="426"/>
      <c r="EPH49" s="426"/>
      <c r="EPI49" s="426"/>
      <c r="EPJ49" s="426"/>
      <c r="EPK49" s="426"/>
      <c r="EPL49" s="426"/>
      <c r="EPM49" s="426"/>
      <c r="EPN49" s="426"/>
      <c r="EPO49" s="426"/>
      <c r="EPP49" s="426"/>
      <c r="EPQ49" s="426"/>
      <c r="EPR49" s="426"/>
      <c r="EPS49" s="426"/>
      <c r="EPT49" s="426"/>
      <c r="EPU49" s="426"/>
      <c r="EPV49" s="426"/>
      <c r="EPW49" s="426"/>
      <c r="EPX49" s="426"/>
      <c r="EPY49" s="426"/>
      <c r="EPZ49" s="426"/>
      <c r="EQA49" s="426"/>
      <c r="EQB49" s="426"/>
      <c r="EQC49" s="426"/>
      <c r="EQD49" s="426"/>
      <c r="EQE49" s="426"/>
      <c r="EQF49" s="426"/>
      <c r="EQG49" s="426"/>
      <c r="EQH49" s="426"/>
      <c r="EQI49" s="426"/>
      <c r="EQJ49" s="426"/>
      <c r="EQK49" s="426"/>
      <c r="EQL49" s="426"/>
      <c r="EQM49" s="426"/>
      <c r="EQN49" s="426"/>
      <c r="EQO49" s="426"/>
      <c r="EQP49" s="426"/>
      <c r="EQQ49" s="426"/>
      <c r="EQR49" s="426"/>
      <c r="EQS49" s="426"/>
      <c r="EQT49" s="426"/>
      <c r="EQU49" s="426"/>
      <c r="EQV49" s="426"/>
      <c r="EQW49" s="426"/>
      <c r="EQX49" s="426"/>
      <c r="EQY49" s="426"/>
      <c r="EQZ49" s="426"/>
      <c r="ERA49" s="426"/>
      <c r="ERB49" s="426"/>
      <c r="ERC49" s="426"/>
      <c r="ERD49" s="426"/>
      <c r="ERE49" s="426"/>
      <c r="ERF49" s="426"/>
      <c r="ERG49" s="426"/>
      <c r="ERH49" s="426"/>
      <c r="ERI49" s="426"/>
      <c r="ERJ49" s="426"/>
      <c r="ERK49" s="426"/>
      <c r="ERL49" s="426"/>
      <c r="ERM49" s="426"/>
      <c r="ERN49" s="426"/>
      <c r="ERO49" s="426"/>
      <c r="ERP49" s="426"/>
      <c r="ERQ49" s="426"/>
      <c r="ERR49" s="426"/>
      <c r="ERS49" s="426"/>
      <c r="ERT49" s="426"/>
      <c r="ERU49" s="426"/>
      <c r="ERV49" s="426"/>
      <c r="ERW49" s="426"/>
      <c r="ERX49" s="426"/>
      <c r="ERY49" s="426"/>
      <c r="ERZ49" s="426"/>
      <c r="ESA49" s="426"/>
      <c r="ESB49" s="426"/>
      <c r="ESC49" s="426"/>
      <c r="ESD49" s="426"/>
      <c r="ESE49" s="426"/>
      <c r="ESF49" s="426"/>
      <c r="ESG49" s="426"/>
      <c r="ESH49" s="426"/>
      <c r="ESI49" s="426"/>
      <c r="ESJ49" s="426"/>
      <c r="ESK49" s="426"/>
      <c r="ESL49" s="426"/>
      <c r="ESM49" s="426"/>
      <c r="ESN49" s="426"/>
      <c r="ESO49" s="426"/>
      <c r="ESP49" s="426"/>
      <c r="ESQ49" s="426"/>
      <c r="ESR49" s="426"/>
      <c r="ESS49" s="426"/>
      <c r="EST49" s="426"/>
      <c r="ESU49" s="426"/>
      <c r="ESV49" s="426"/>
      <c r="ESW49" s="426"/>
      <c r="ESX49" s="426"/>
      <c r="ESY49" s="426"/>
      <c r="ESZ49" s="426"/>
      <c r="ETA49" s="426"/>
      <c r="ETB49" s="426"/>
      <c r="ETC49" s="426"/>
      <c r="ETD49" s="426"/>
      <c r="ETE49" s="426"/>
      <c r="ETF49" s="426"/>
      <c r="ETG49" s="426"/>
      <c r="ETH49" s="426"/>
      <c r="ETI49" s="426"/>
      <c r="ETJ49" s="426"/>
      <c r="ETK49" s="426"/>
      <c r="ETL49" s="426"/>
      <c r="ETM49" s="426"/>
      <c r="ETN49" s="426"/>
      <c r="ETO49" s="426"/>
      <c r="ETP49" s="426"/>
      <c r="ETQ49" s="426"/>
      <c r="ETR49" s="426"/>
      <c r="ETS49" s="426"/>
      <c r="ETT49" s="426"/>
      <c r="ETU49" s="426"/>
      <c r="ETV49" s="426"/>
      <c r="ETW49" s="426"/>
      <c r="ETX49" s="426"/>
      <c r="ETY49" s="426"/>
      <c r="ETZ49" s="426"/>
      <c r="EUA49" s="426"/>
      <c r="EUB49" s="426"/>
      <c r="EUC49" s="426"/>
      <c r="EUD49" s="426"/>
      <c r="EUE49" s="426"/>
      <c r="EUF49" s="426"/>
      <c r="EUG49" s="426"/>
      <c r="EUH49" s="426"/>
      <c r="EUI49" s="426"/>
      <c r="EUJ49" s="426"/>
      <c r="EUK49" s="426"/>
      <c r="EUL49" s="426"/>
      <c r="EUM49" s="426"/>
      <c r="EUN49" s="426"/>
      <c r="EUO49" s="426"/>
      <c r="EUP49" s="426"/>
      <c r="EUQ49" s="426"/>
      <c r="EUR49" s="426"/>
      <c r="EUS49" s="426"/>
      <c r="EUT49" s="426"/>
      <c r="EUU49" s="426"/>
      <c r="EUV49" s="426"/>
      <c r="EUW49" s="426"/>
      <c r="EUX49" s="426"/>
      <c r="EUY49" s="426"/>
      <c r="EUZ49" s="426"/>
      <c r="EVA49" s="426"/>
      <c r="EVB49" s="426"/>
      <c r="EVC49" s="426"/>
      <c r="EVD49" s="426"/>
      <c r="EVE49" s="426"/>
      <c r="EVF49" s="426"/>
      <c r="EVG49" s="426"/>
      <c r="EVH49" s="426"/>
      <c r="EVI49" s="426"/>
      <c r="EVJ49" s="426"/>
      <c r="EVK49" s="426"/>
      <c r="EVL49" s="426"/>
      <c r="EVM49" s="426"/>
      <c r="EVN49" s="426"/>
      <c r="EVO49" s="426"/>
      <c r="EVP49" s="426"/>
      <c r="EVQ49" s="426"/>
      <c r="EVR49" s="426"/>
      <c r="EVS49" s="426"/>
      <c r="EVT49" s="426"/>
      <c r="EVU49" s="426"/>
      <c r="EVV49" s="426"/>
      <c r="EVW49" s="426"/>
      <c r="EVX49" s="426"/>
      <c r="EVY49" s="426"/>
      <c r="EVZ49" s="426"/>
      <c r="EWA49" s="426"/>
      <c r="EWB49" s="426"/>
      <c r="EWC49" s="426"/>
      <c r="EWD49" s="426"/>
      <c r="EWE49" s="426"/>
      <c r="EWF49" s="426"/>
      <c r="EWG49" s="426"/>
      <c r="EWH49" s="426"/>
      <c r="EWI49" s="426"/>
      <c r="EWJ49" s="426"/>
      <c r="EWK49" s="426"/>
      <c r="EWL49" s="426"/>
      <c r="EWM49" s="426"/>
      <c r="EWN49" s="426"/>
      <c r="EWO49" s="426"/>
      <c r="EWP49" s="426"/>
      <c r="EWQ49" s="426"/>
      <c r="EWR49" s="426"/>
      <c r="EWS49" s="426"/>
      <c r="EWT49" s="426"/>
      <c r="EWU49" s="426"/>
      <c r="EWV49" s="426"/>
      <c r="EWW49" s="426"/>
      <c r="EWX49" s="426"/>
      <c r="EWY49" s="426"/>
      <c r="EWZ49" s="426"/>
      <c r="EXA49" s="426"/>
      <c r="EXB49" s="426"/>
      <c r="EXC49" s="426"/>
      <c r="EXD49" s="426"/>
      <c r="EXE49" s="426"/>
      <c r="EXF49" s="426"/>
      <c r="EXG49" s="426"/>
      <c r="EXH49" s="426"/>
      <c r="EXI49" s="426"/>
      <c r="EXJ49" s="426"/>
      <c r="EXK49" s="426"/>
      <c r="EXL49" s="426"/>
      <c r="EXM49" s="426"/>
      <c r="EXN49" s="426"/>
      <c r="EXO49" s="426"/>
      <c r="EXP49" s="426"/>
      <c r="EXQ49" s="426"/>
      <c r="EXR49" s="426"/>
      <c r="EXS49" s="426"/>
      <c r="EXT49" s="426"/>
      <c r="EXU49" s="426"/>
      <c r="EXV49" s="426"/>
      <c r="EXW49" s="426"/>
      <c r="EXX49" s="426"/>
      <c r="EXY49" s="426"/>
      <c r="EXZ49" s="426"/>
      <c r="EYA49" s="426"/>
      <c r="EYB49" s="426"/>
      <c r="EYC49" s="426"/>
      <c r="EYD49" s="426"/>
      <c r="EYE49" s="426"/>
      <c r="EYF49" s="426"/>
      <c r="EYG49" s="426"/>
      <c r="EYH49" s="426"/>
      <c r="EYI49" s="426"/>
      <c r="EYJ49" s="426"/>
      <c r="EYK49" s="426"/>
      <c r="EYL49" s="426"/>
      <c r="EYM49" s="426"/>
      <c r="EYN49" s="426"/>
      <c r="EYO49" s="426"/>
      <c r="EYP49" s="426"/>
      <c r="EYQ49" s="426"/>
      <c r="EYR49" s="426"/>
      <c r="EYS49" s="426"/>
      <c r="EYT49" s="426"/>
      <c r="EYU49" s="426"/>
      <c r="EYV49" s="426"/>
      <c r="EYW49" s="426"/>
      <c r="EYX49" s="426"/>
      <c r="EYY49" s="426"/>
      <c r="EYZ49" s="426"/>
      <c r="EZA49" s="426"/>
      <c r="EZB49" s="426"/>
      <c r="EZC49" s="426"/>
      <c r="EZD49" s="426"/>
      <c r="EZE49" s="426"/>
      <c r="EZF49" s="426"/>
      <c r="EZG49" s="426"/>
      <c r="EZH49" s="426"/>
      <c r="EZI49" s="426"/>
      <c r="EZJ49" s="426"/>
      <c r="EZK49" s="426"/>
      <c r="EZL49" s="426"/>
      <c r="EZM49" s="426"/>
      <c r="EZN49" s="426"/>
      <c r="EZO49" s="426"/>
      <c r="EZP49" s="426"/>
      <c r="EZQ49" s="426"/>
      <c r="EZR49" s="426"/>
      <c r="EZS49" s="426"/>
      <c r="EZT49" s="426"/>
      <c r="EZU49" s="426"/>
      <c r="EZV49" s="426"/>
      <c r="EZW49" s="426"/>
      <c r="EZX49" s="426"/>
      <c r="EZY49" s="426"/>
      <c r="EZZ49" s="426"/>
      <c r="FAA49" s="426"/>
      <c r="FAB49" s="426"/>
      <c r="FAC49" s="426"/>
      <c r="FAD49" s="426"/>
      <c r="FAE49" s="426"/>
      <c r="FAF49" s="426"/>
      <c r="FAG49" s="426"/>
      <c r="FAH49" s="426"/>
      <c r="FAI49" s="426"/>
      <c r="FAJ49" s="426"/>
      <c r="FAK49" s="426"/>
      <c r="FAL49" s="426"/>
      <c r="FAM49" s="426"/>
      <c r="FAN49" s="426"/>
      <c r="FAO49" s="426"/>
      <c r="FAP49" s="426"/>
      <c r="FAQ49" s="426"/>
      <c r="FAR49" s="426"/>
      <c r="FAS49" s="426"/>
      <c r="FAT49" s="426"/>
      <c r="FAU49" s="426"/>
      <c r="FAV49" s="426"/>
      <c r="FAW49" s="426"/>
      <c r="FAX49" s="426"/>
      <c r="FAY49" s="426"/>
      <c r="FAZ49" s="426"/>
      <c r="FBA49" s="426"/>
      <c r="FBB49" s="426"/>
      <c r="FBC49" s="426"/>
      <c r="FBD49" s="426"/>
      <c r="FBE49" s="426"/>
      <c r="FBF49" s="426"/>
      <c r="FBG49" s="426"/>
      <c r="FBH49" s="426"/>
      <c r="FBI49" s="426"/>
      <c r="FBJ49" s="426"/>
      <c r="FBK49" s="426"/>
      <c r="FBL49" s="426"/>
      <c r="FBM49" s="426"/>
      <c r="FBN49" s="426"/>
      <c r="FBO49" s="426"/>
      <c r="FBP49" s="426"/>
      <c r="FBQ49" s="426"/>
      <c r="FBR49" s="426"/>
      <c r="FBS49" s="426"/>
      <c r="FBT49" s="426"/>
      <c r="FBU49" s="426"/>
      <c r="FBV49" s="426"/>
      <c r="FBW49" s="426"/>
      <c r="FBX49" s="426"/>
      <c r="FBY49" s="426"/>
      <c r="FBZ49" s="426"/>
      <c r="FCA49" s="426"/>
      <c r="FCB49" s="426"/>
      <c r="FCC49" s="426"/>
      <c r="FCD49" s="426"/>
      <c r="FCE49" s="426"/>
      <c r="FCF49" s="426"/>
      <c r="FCG49" s="426"/>
      <c r="FCH49" s="426"/>
      <c r="FCI49" s="426"/>
      <c r="FCJ49" s="426"/>
      <c r="FCK49" s="426"/>
      <c r="FCL49" s="426"/>
      <c r="FCM49" s="426"/>
      <c r="FCN49" s="426"/>
      <c r="FCO49" s="426"/>
      <c r="FCP49" s="426"/>
      <c r="FCQ49" s="426"/>
      <c r="FCR49" s="426"/>
      <c r="FCS49" s="426"/>
      <c r="FCT49" s="426"/>
      <c r="FCU49" s="426"/>
      <c r="FCV49" s="426"/>
      <c r="FCW49" s="426"/>
      <c r="FCX49" s="426"/>
      <c r="FCY49" s="426"/>
      <c r="FCZ49" s="426"/>
      <c r="FDA49" s="426"/>
      <c r="FDB49" s="426"/>
      <c r="FDC49" s="426"/>
      <c r="FDD49" s="426"/>
      <c r="FDE49" s="426"/>
      <c r="FDF49" s="426"/>
      <c r="FDG49" s="426"/>
      <c r="FDH49" s="426"/>
      <c r="FDI49" s="426"/>
      <c r="FDJ49" s="426"/>
      <c r="FDK49" s="426"/>
      <c r="FDL49" s="426"/>
      <c r="FDM49" s="426"/>
      <c r="FDN49" s="426"/>
      <c r="FDO49" s="426"/>
      <c r="FDP49" s="426"/>
      <c r="FDQ49" s="426"/>
      <c r="FDR49" s="426"/>
      <c r="FDS49" s="426"/>
      <c r="FDT49" s="426"/>
      <c r="FDU49" s="426"/>
      <c r="FDV49" s="426"/>
      <c r="FDW49" s="426"/>
      <c r="FDX49" s="426"/>
      <c r="FDY49" s="426"/>
      <c r="FDZ49" s="426"/>
      <c r="FEA49" s="426"/>
      <c r="FEB49" s="426"/>
      <c r="FEC49" s="426"/>
      <c r="FED49" s="426"/>
      <c r="FEE49" s="426"/>
      <c r="FEF49" s="426"/>
      <c r="FEG49" s="426"/>
      <c r="FEH49" s="426"/>
      <c r="FEI49" s="426"/>
      <c r="FEJ49" s="426"/>
      <c r="FEK49" s="426"/>
      <c r="FEL49" s="426"/>
      <c r="FEM49" s="426"/>
      <c r="FEN49" s="426"/>
      <c r="FEO49" s="426"/>
      <c r="FEP49" s="426"/>
      <c r="FEQ49" s="426"/>
      <c r="FER49" s="426"/>
      <c r="FES49" s="426"/>
      <c r="FET49" s="426"/>
      <c r="FEU49" s="426"/>
      <c r="FEV49" s="426"/>
      <c r="FEW49" s="426"/>
      <c r="FEX49" s="426"/>
      <c r="FEY49" s="426"/>
      <c r="FEZ49" s="426"/>
      <c r="FFA49" s="426"/>
      <c r="FFB49" s="426"/>
      <c r="FFC49" s="426"/>
      <c r="FFD49" s="426"/>
      <c r="FFE49" s="426"/>
      <c r="FFF49" s="426"/>
      <c r="FFG49" s="426"/>
      <c r="FFH49" s="426"/>
      <c r="FFI49" s="426"/>
      <c r="FFJ49" s="426"/>
      <c r="FFK49" s="426"/>
      <c r="FFL49" s="426"/>
      <c r="FFM49" s="426"/>
      <c r="FFN49" s="426"/>
      <c r="FFO49" s="426"/>
      <c r="FFP49" s="426"/>
      <c r="FFQ49" s="426"/>
      <c r="FFR49" s="426"/>
      <c r="FFS49" s="426"/>
      <c r="FFT49" s="426"/>
      <c r="FFU49" s="426"/>
      <c r="FFV49" s="426"/>
      <c r="FFW49" s="426"/>
      <c r="FFX49" s="426"/>
      <c r="FFY49" s="426"/>
      <c r="FFZ49" s="426"/>
      <c r="FGA49" s="426"/>
      <c r="FGB49" s="426"/>
      <c r="FGC49" s="426"/>
      <c r="FGD49" s="426"/>
      <c r="FGE49" s="426"/>
      <c r="FGF49" s="426"/>
      <c r="FGG49" s="426"/>
      <c r="FGH49" s="426"/>
      <c r="FGI49" s="426"/>
      <c r="FGJ49" s="426"/>
      <c r="FGK49" s="426"/>
      <c r="FGL49" s="426"/>
      <c r="FGM49" s="426"/>
      <c r="FGN49" s="426"/>
      <c r="FGO49" s="426"/>
      <c r="FGP49" s="426"/>
      <c r="FGQ49" s="426"/>
      <c r="FGR49" s="426"/>
      <c r="FGS49" s="426"/>
      <c r="FGT49" s="426"/>
      <c r="FGU49" s="426"/>
      <c r="FGV49" s="426"/>
      <c r="FGW49" s="426"/>
      <c r="FGX49" s="426"/>
      <c r="FGY49" s="426"/>
      <c r="FGZ49" s="426"/>
      <c r="FHA49" s="426"/>
      <c r="FHB49" s="426"/>
      <c r="FHC49" s="426"/>
      <c r="FHD49" s="426"/>
      <c r="FHE49" s="426"/>
      <c r="FHF49" s="426"/>
      <c r="FHG49" s="426"/>
      <c r="FHH49" s="426"/>
      <c r="FHI49" s="426"/>
      <c r="FHJ49" s="426"/>
      <c r="FHK49" s="426"/>
      <c r="FHL49" s="426"/>
      <c r="FHM49" s="426"/>
      <c r="FHN49" s="426"/>
      <c r="FHO49" s="426"/>
      <c r="FHP49" s="426"/>
      <c r="FHQ49" s="426"/>
      <c r="FHR49" s="426"/>
      <c r="FHS49" s="426"/>
      <c r="FHT49" s="426"/>
      <c r="FHU49" s="426"/>
      <c r="FHV49" s="426"/>
      <c r="FHW49" s="426"/>
      <c r="FHX49" s="426"/>
      <c r="FHY49" s="426"/>
      <c r="FHZ49" s="426"/>
      <c r="FIA49" s="426"/>
      <c r="FIB49" s="426"/>
      <c r="FIC49" s="426"/>
      <c r="FID49" s="426"/>
      <c r="FIE49" s="426"/>
      <c r="FIF49" s="426"/>
      <c r="FIG49" s="426"/>
      <c r="FIH49" s="426"/>
      <c r="FII49" s="426"/>
      <c r="FIJ49" s="426"/>
      <c r="FIK49" s="426"/>
      <c r="FIL49" s="426"/>
      <c r="FIM49" s="426"/>
      <c r="FIN49" s="426"/>
      <c r="FIO49" s="426"/>
      <c r="FIP49" s="426"/>
      <c r="FIQ49" s="426"/>
      <c r="FIR49" s="426"/>
      <c r="FIS49" s="426"/>
      <c r="FIT49" s="426"/>
      <c r="FIU49" s="426"/>
      <c r="FIV49" s="426"/>
      <c r="FIW49" s="426"/>
      <c r="FIX49" s="426"/>
      <c r="FIY49" s="426"/>
      <c r="FIZ49" s="426"/>
      <c r="FJA49" s="426"/>
      <c r="FJB49" s="426"/>
      <c r="FJC49" s="426"/>
      <c r="FJD49" s="426"/>
      <c r="FJE49" s="426"/>
      <c r="FJF49" s="426"/>
      <c r="FJG49" s="426"/>
      <c r="FJH49" s="426"/>
      <c r="FJI49" s="426"/>
      <c r="FJJ49" s="426"/>
      <c r="FJK49" s="426"/>
      <c r="FJL49" s="426"/>
      <c r="FJM49" s="426"/>
      <c r="FJN49" s="426"/>
      <c r="FJO49" s="426"/>
      <c r="FJP49" s="426"/>
      <c r="FJQ49" s="426"/>
      <c r="FJR49" s="426"/>
      <c r="FJS49" s="426"/>
      <c r="FJT49" s="426"/>
      <c r="FJU49" s="426"/>
      <c r="FJV49" s="426"/>
      <c r="FJW49" s="426"/>
      <c r="FJX49" s="426"/>
      <c r="FJY49" s="426"/>
      <c r="FJZ49" s="426"/>
      <c r="FKA49" s="426"/>
      <c r="FKB49" s="426"/>
      <c r="FKC49" s="426"/>
      <c r="FKD49" s="426"/>
      <c r="FKE49" s="426"/>
      <c r="FKF49" s="426"/>
      <c r="FKG49" s="426"/>
      <c r="FKH49" s="426"/>
      <c r="FKI49" s="426"/>
      <c r="FKJ49" s="426"/>
      <c r="FKK49" s="426"/>
      <c r="FKL49" s="426"/>
      <c r="FKM49" s="426"/>
      <c r="FKN49" s="426"/>
      <c r="FKO49" s="426"/>
      <c r="FKP49" s="426"/>
      <c r="FKQ49" s="426"/>
      <c r="FKR49" s="426"/>
      <c r="FKS49" s="426"/>
      <c r="FKT49" s="426"/>
      <c r="FKU49" s="426"/>
      <c r="FKV49" s="426"/>
      <c r="FKW49" s="426"/>
      <c r="FKX49" s="426"/>
      <c r="FKY49" s="426"/>
      <c r="FKZ49" s="426"/>
      <c r="FLA49" s="426"/>
      <c r="FLB49" s="426"/>
      <c r="FLC49" s="426"/>
      <c r="FLD49" s="426"/>
      <c r="FLE49" s="426"/>
      <c r="FLF49" s="426"/>
      <c r="FLG49" s="426"/>
      <c r="FLH49" s="426"/>
      <c r="FLI49" s="426"/>
      <c r="FLJ49" s="426"/>
      <c r="FLK49" s="426"/>
      <c r="FLL49" s="426"/>
      <c r="FLM49" s="426"/>
      <c r="FLN49" s="426"/>
      <c r="FLO49" s="426"/>
      <c r="FLP49" s="426"/>
      <c r="FLQ49" s="426"/>
      <c r="FLR49" s="426"/>
      <c r="FLS49" s="426"/>
      <c r="FLT49" s="426"/>
      <c r="FLU49" s="426"/>
      <c r="FLV49" s="426"/>
      <c r="FLW49" s="426"/>
      <c r="FLX49" s="426"/>
      <c r="FLY49" s="426"/>
      <c r="FLZ49" s="426"/>
      <c r="FMA49" s="426"/>
      <c r="FMB49" s="426"/>
      <c r="FMC49" s="426"/>
      <c r="FMD49" s="426"/>
      <c r="FME49" s="426"/>
      <c r="FMF49" s="426"/>
      <c r="FMG49" s="426"/>
      <c r="FMH49" s="426"/>
      <c r="FMI49" s="426"/>
      <c r="FMJ49" s="426"/>
      <c r="FMK49" s="426"/>
      <c r="FML49" s="426"/>
      <c r="FMM49" s="426"/>
      <c r="FMN49" s="426"/>
      <c r="FMO49" s="426"/>
      <c r="FMP49" s="426"/>
      <c r="FMQ49" s="426"/>
      <c r="FMR49" s="426"/>
      <c r="FMS49" s="426"/>
      <c r="FMT49" s="426"/>
      <c r="FMU49" s="426"/>
      <c r="FMV49" s="426"/>
      <c r="FMW49" s="426"/>
      <c r="FMX49" s="426"/>
      <c r="FMY49" s="426"/>
      <c r="FMZ49" s="426"/>
      <c r="FNA49" s="426"/>
      <c r="FNB49" s="426"/>
      <c r="FNC49" s="426"/>
      <c r="FND49" s="426"/>
      <c r="FNE49" s="426"/>
      <c r="FNF49" s="426"/>
      <c r="FNG49" s="426"/>
      <c r="FNH49" s="426"/>
      <c r="FNI49" s="426"/>
      <c r="FNJ49" s="426"/>
      <c r="FNK49" s="426"/>
      <c r="FNL49" s="426"/>
      <c r="FNM49" s="426"/>
      <c r="FNN49" s="426"/>
      <c r="FNO49" s="426"/>
      <c r="FNP49" s="426"/>
      <c r="FNQ49" s="426"/>
      <c r="FNR49" s="426"/>
      <c r="FNS49" s="426"/>
      <c r="FNT49" s="426"/>
      <c r="FNU49" s="426"/>
      <c r="FNV49" s="426"/>
      <c r="FNW49" s="426"/>
      <c r="FNX49" s="426"/>
      <c r="FNY49" s="426"/>
      <c r="FNZ49" s="426"/>
      <c r="FOA49" s="426"/>
      <c r="FOB49" s="426"/>
      <c r="FOC49" s="426"/>
      <c r="FOD49" s="426"/>
      <c r="FOE49" s="426"/>
      <c r="FOF49" s="426"/>
      <c r="FOG49" s="426"/>
      <c r="FOH49" s="426"/>
      <c r="FOI49" s="426"/>
      <c r="FOJ49" s="426"/>
      <c r="FOK49" s="426"/>
      <c r="FOL49" s="426"/>
      <c r="FOM49" s="426"/>
      <c r="FON49" s="426"/>
      <c r="FOO49" s="426"/>
      <c r="FOP49" s="426"/>
      <c r="FOQ49" s="426"/>
      <c r="FOR49" s="426"/>
      <c r="FOS49" s="426"/>
      <c r="FOT49" s="426"/>
      <c r="FOU49" s="426"/>
      <c r="FOV49" s="426"/>
      <c r="FOW49" s="426"/>
      <c r="FOX49" s="426"/>
      <c r="FOY49" s="426"/>
      <c r="FOZ49" s="426"/>
      <c r="FPA49" s="426"/>
      <c r="FPB49" s="426"/>
      <c r="FPC49" s="426"/>
      <c r="FPD49" s="426"/>
      <c r="FPE49" s="426"/>
      <c r="FPF49" s="426"/>
      <c r="FPG49" s="426"/>
      <c r="FPH49" s="426"/>
      <c r="FPI49" s="426"/>
      <c r="FPJ49" s="426"/>
      <c r="FPK49" s="426"/>
      <c r="FPL49" s="426"/>
      <c r="FPM49" s="426"/>
      <c r="FPN49" s="426"/>
      <c r="FPO49" s="426"/>
      <c r="FPP49" s="426"/>
      <c r="FPQ49" s="426"/>
      <c r="FPR49" s="426"/>
      <c r="FPS49" s="426"/>
      <c r="FPT49" s="426"/>
      <c r="FPU49" s="426"/>
      <c r="FPV49" s="426"/>
      <c r="FPW49" s="426"/>
      <c r="FPX49" s="426"/>
      <c r="FPY49" s="426"/>
      <c r="FPZ49" s="426"/>
      <c r="FQA49" s="426"/>
      <c r="FQB49" s="426"/>
      <c r="FQC49" s="426"/>
      <c r="FQD49" s="426"/>
      <c r="FQE49" s="426"/>
      <c r="FQF49" s="426"/>
      <c r="FQG49" s="426"/>
      <c r="FQH49" s="426"/>
      <c r="FQI49" s="426"/>
      <c r="FQJ49" s="426"/>
      <c r="FQK49" s="426"/>
      <c r="FQL49" s="426"/>
      <c r="FQM49" s="426"/>
      <c r="FQN49" s="426"/>
      <c r="FQO49" s="426"/>
      <c r="FQP49" s="426"/>
      <c r="FQQ49" s="426"/>
      <c r="FQR49" s="426"/>
      <c r="FQS49" s="426"/>
      <c r="FQT49" s="426"/>
      <c r="FQU49" s="426"/>
      <c r="FQV49" s="426"/>
      <c r="FQW49" s="426"/>
      <c r="FQX49" s="426"/>
      <c r="FQY49" s="426"/>
      <c r="FQZ49" s="426"/>
      <c r="FRA49" s="426"/>
      <c r="FRB49" s="426"/>
      <c r="FRC49" s="426"/>
      <c r="FRD49" s="426"/>
      <c r="FRE49" s="426"/>
      <c r="FRF49" s="426"/>
      <c r="FRG49" s="426"/>
      <c r="FRH49" s="426"/>
      <c r="FRI49" s="426"/>
      <c r="FRJ49" s="426"/>
      <c r="FRK49" s="426"/>
      <c r="FRL49" s="426"/>
      <c r="FRM49" s="426"/>
      <c r="FRN49" s="426"/>
      <c r="FRO49" s="426"/>
      <c r="FRP49" s="426"/>
      <c r="FRQ49" s="426"/>
      <c r="FRR49" s="426"/>
      <c r="FRS49" s="426"/>
      <c r="FRT49" s="426"/>
      <c r="FRU49" s="426"/>
      <c r="FRV49" s="426"/>
      <c r="FRW49" s="426"/>
      <c r="FRX49" s="426"/>
      <c r="FRY49" s="426"/>
      <c r="FRZ49" s="426"/>
      <c r="FSA49" s="426"/>
      <c r="FSB49" s="426"/>
      <c r="FSC49" s="426"/>
      <c r="FSD49" s="426"/>
      <c r="FSE49" s="426"/>
      <c r="FSF49" s="426"/>
      <c r="FSG49" s="426"/>
      <c r="FSH49" s="426"/>
      <c r="FSI49" s="426"/>
      <c r="FSJ49" s="426"/>
      <c r="FSK49" s="426"/>
      <c r="FSL49" s="426"/>
      <c r="FSM49" s="426"/>
      <c r="FSN49" s="426"/>
      <c r="FSO49" s="426"/>
      <c r="FSP49" s="426"/>
      <c r="FSQ49" s="426"/>
      <c r="FSR49" s="426"/>
      <c r="FSS49" s="426"/>
      <c r="FST49" s="426"/>
      <c r="FSU49" s="426"/>
      <c r="FSV49" s="426"/>
      <c r="FSW49" s="426"/>
      <c r="FSX49" s="426"/>
      <c r="FSY49" s="426"/>
      <c r="FSZ49" s="426"/>
      <c r="FTA49" s="426"/>
      <c r="FTB49" s="426"/>
      <c r="FTC49" s="426"/>
      <c r="FTD49" s="426"/>
      <c r="FTE49" s="426"/>
      <c r="FTF49" s="426"/>
      <c r="FTG49" s="426"/>
      <c r="FTH49" s="426"/>
      <c r="FTI49" s="426"/>
      <c r="FTJ49" s="426"/>
      <c r="FTK49" s="426"/>
      <c r="FTL49" s="426"/>
      <c r="FTM49" s="426"/>
      <c r="FTN49" s="426"/>
      <c r="FTO49" s="426"/>
      <c r="FTP49" s="426"/>
      <c r="FTQ49" s="426"/>
      <c r="FTR49" s="426"/>
      <c r="FTS49" s="426"/>
      <c r="FTT49" s="426"/>
      <c r="FTU49" s="426"/>
      <c r="FTV49" s="426"/>
      <c r="FTW49" s="426"/>
      <c r="FTX49" s="426"/>
      <c r="FTY49" s="426"/>
      <c r="FTZ49" s="426"/>
      <c r="FUA49" s="426"/>
      <c r="FUB49" s="426"/>
      <c r="FUC49" s="426"/>
      <c r="FUD49" s="426"/>
      <c r="FUE49" s="426"/>
      <c r="FUF49" s="426"/>
      <c r="FUG49" s="426"/>
      <c r="FUH49" s="426"/>
      <c r="FUI49" s="426"/>
      <c r="FUJ49" s="426"/>
      <c r="FUK49" s="426"/>
      <c r="FUL49" s="426"/>
      <c r="FUM49" s="426"/>
      <c r="FUN49" s="426"/>
      <c r="FUO49" s="426"/>
      <c r="FUP49" s="426"/>
      <c r="FUQ49" s="426"/>
      <c r="FUR49" s="426"/>
      <c r="FUS49" s="426"/>
      <c r="FUT49" s="426"/>
      <c r="FUU49" s="426"/>
      <c r="FUV49" s="426"/>
      <c r="FUW49" s="426"/>
      <c r="FUX49" s="426"/>
      <c r="FUY49" s="426"/>
      <c r="FUZ49" s="426"/>
      <c r="FVA49" s="426"/>
      <c r="FVB49" s="426"/>
      <c r="FVC49" s="426"/>
      <c r="FVD49" s="426"/>
      <c r="FVE49" s="426"/>
      <c r="FVF49" s="426"/>
      <c r="FVG49" s="426"/>
      <c r="FVH49" s="426"/>
      <c r="FVI49" s="426"/>
      <c r="FVJ49" s="426"/>
      <c r="FVK49" s="426"/>
      <c r="FVL49" s="426"/>
      <c r="FVM49" s="426"/>
      <c r="FVN49" s="426"/>
      <c r="FVO49" s="426"/>
      <c r="FVP49" s="426"/>
      <c r="FVQ49" s="426"/>
      <c r="FVR49" s="426"/>
      <c r="FVS49" s="426"/>
      <c r="FVT49" s="426"/>
      <c r="FVU49" s="426"/>
      <c r="FVV49" s="426"/>
      <c r="FVW49" s="426"/>
      <c r="FVX49" s="426"/>
      <c r="FVY49" s="426"/>
      <c r="FVZ49" s="426"/>
      <c r="FWA49" s="426"/>
      <c r="FWB49" s="426"/>
      <c r="FWC49" s="426"/>
      <c r="FWD49" s="426"/>
      <c r="FWE49" s="426"/>
      <c r="FWF49" s="426"/>
      <c r="FWG49" s="426"/>
      <c r="FWH49" s="426"/>
      <c r="FWI49" s="426"/>
      <c r="FWJ49" s="426"/>
      <c r="FWK49" s="426"/>
      <c r="FWL49" s="426"/>
      <c r="FWM49" s="426"/>
      <c r="FWN49" s="426"/>
      <c r="FWO49" s="426"/>
      <c r="FWP49" s="426"/>
      <c r="FWQ49" s="426"/>
      <c r="FWR49" s="426"/>
      <c r="FWS49" s="426"/>
      <c r="FWT49" s="426"/>
      <c r="FWU49" s="426"/>
      <c r="FWV49" s="426"/>
      <c r="FWW49" s="426"/>
      <c r="FWX49" s="426"/>
      <c r="FWY49" s="426"/>
      <c r="FWZ49" s="426"/>
      <c r="FXA49" s="426"/>
      <c r="FXB49" s="426"/>
      <c r="FXC49" s="426"/>
      <c r="FXD49" s="426"/>
      <c r="FXE49" s="426"/>
      <c r="FXF49" s="426"/>
      <c r="FXG49" s="426"/>
      <c r="FXH49" s="426"/>
      <c r="FXI49" s="426"/>
      <c r="FXJ49" s="426"/>
      <c r="FXK49" s="426"/>
      <c r="FXL49" s="426"/>
      <c r="FXM49" s="426"/>
      <c r="FXN49" s="426"/>
      <c r="FXO49" s="426"/>
      <c r="FXP49" s="426"/>
      <c r="FXQ49" s="426"/>
      <c r="FXR49" s="426"/>
      <c r="FXS49" s="426"/>
      <c r="FXT49" s="426"/>
      <c r="FXU49" s="426"/>
      <c r="FXV49" s="426"/>
      <c r="FXW49" s="426"/>
      <c r="FXX49" s="426"/>
      <c r="FXY49" s="426"/>
      <c r="FXZ49" s="426"/>
      <c r="FYA49" s="426"/>
      <c r="FYB49" s="426"/>
      <c r="FYC49" s="426"/>
      <c r="FYD49" s="426"/>
      <c r="FYE49" s="426"/>
      <c r="FYF49" s="426"/>
      <c r="FYG49" s="426"/>
      <c r="FYH49" s="426"/>
      <c r="FYI49" s="426"/>
      <c r="FYJ49" s="426"/>
      <c r="FYK49" s="426"/>
      <c r="FYL49" s="426"/>
      <c r="FYM49" s="426"/>
      <c r="FYN49" s="426"/>
      <c r="FYO49" s="426"/>
      <c r="FYP49" s="426"/>
      <c r="FYQ49" s="426"/>
      <c r="FYR49" s="426"/>
      <c r="FYS49" s="426"/>
      <c r="FYT49" s="426"/>
      <c r="FYU49" s="426"/>
      <c r="FYV49" s="426"/>
      <c r="FYW49" s="426"/>
      <c r="FYX49" s="426"/>
      <c r="FYY49" s="426"/>
      <c r="FYZ49" s="426"/>
      <c r="FZA49" s="426"/>
      <c r="FZB49" s="426"/>
      <c r="FZC49" s="426"/>
      <c r="FZD49" s="426"/>
      <c r="FZE49" s="426"/>
      <c r="FZF49" s="426"/>
      <c r="FZG49" s="426"/>
      <c r="FZH49" s="426"/>
      <c r="FZI49" s="426"/>
      <c r="FZJ49" s="426"/>
      <c r="FZK49" s="426"/>
      <c r="FZL49" s="426"/>
      <c r="FZM49" s="426"/>
      <c r="FZN49" s="426"/>
      <c r="FZO49" s="426"/>
      <c r="FZP49" s="426"/>
      <c r="FZQ49" s="426"/>
      <c r="FZR49" s="426"/>
      <c r="FZS49" s="426"/>
      <c r="FZT49" s="426"/>
      <c r="FZU49" s="426"/>
      <c r="FZV49" s="426"/>
      <c r="FZW49" s="426"/>
      <c r="FZX49" s="426"/>
      <c r="FZY49" s="426"/>
      <c r="FZZ49" s="426"/>
      <c r="GAA49" s="426"/>
      <c r="GAB49" s="426"/>
      <c r="GAC49" s="426"/>
      <c r="GAD49" s="426"/>
      <c r="GAE49" s="426"/>
      <c r="GAF49" s="426"/>
      <c r="GAG49" s="426"/>
      <c r="GAH49" s="426"/>
      <c r="GAI49" s="426"/>
      <c r="GAJ49" s="426"/>
      <c r="GAK49" s="426"/>
      <c r="GAL49" s="426"/>
      <c r="GAM49" s="426"/>
      <c r="GAN49" s="426"/>
      <c r="GAO49" s="426"/>
      <c r="GAP49" s="426"/>
      <c r="GAQ49" s="426"/>
      <c r="GAR49" s="426"/>
      <c r="GAS49" s="426"/>
      <c r="GAT49" s="426"/>
      <c r="GAU49" s="426"/>
      <c r="GAV49" s="426"/>
      <c r="GAW49" s="426"/>
      <c r="GAX49" s="426"/>
      <c r="GAY49" s="426"/>
      <c r="GAZ49" s="426"/>
      <c r="GBA49" s="426"/>
      <c r="GBB49" s="426"/>
      <c r="GBC49" s="426"/>
      <c r="GBD49" s="426"/>
      <c r="GBE49" s="426"/>
      <c r="GBF49" s="426"/>
      <c r="GBG49" s="426"/>
      <c r="GBH49" s="426"/>
      <c r="GBI49" s="426"/>
      <c r="GBJ49" s="426"/>
      <c r="GBK49" s="426"/>
      <c r="GBL49" s="426"/>
      <c r="GBM49" s="426"/>
      <c r="GBN49" s="426"/>
      <c r="GBO49" s="426"/>
      <c r="GBP49" s="426"/>
      <c r="GBQ49" s="426"/>
      <c r="GBR49" s="426"/>
      <c r="GBS49" s="426"/>
      <c r="GBT49" s="426"/>
      <c r="GBU49" s="426"/>
      <c r="GBV49" s="426"/>
      <c r="GBW49" s="426"/>
      <c r="GBX49" s="426"/>
      <c r="GBY49" s="426"/>
      <c r="GBZ49" s="426"/>
      <c r="GCA49" s="426"/>
      <c r="GCB49" s="426"/>
      <c r="GCC49" s="426"/>
      <c r="GCD49" s="426"/>
      <c r="GCE49" s="426"/>
      <c r="GCF49" s="426"/>
      <c r="GCG49" s="426"/>
      <c r="GCH49" s="426"/>
      <c r="GCI49" s="426"/>
      <c r="GCJ49" s="426"/>
      <c r="GCK49" s="426"/>
      <c r="GCL49" s="426"/>
      <c r="GCM49" s="426"/>
      <c r="GCN49" s="426"/>
      <c r="GCO49" s="426"/>
      <c r="GCP49" s="426"/>
      <c r="GCQ49" s="426"/>
      <c r="GCR49" s="426"/>
      <c r="GCS49" s="426"/>
      <c r="GCT49" s="426"/>
      <c r="GCU49" s="426"/>
      <c r="GCV49" s="426"/>
      <c r="GCW49" s="426"/>
      <c r="GCX49" s="426"/>
      <c r="GCY49" s="426"/>
      <c r="GCZ49" s="426"/>
      <c r="GDA49" s="426"/>
      <c r="GDB49" s="426"/>
      <c r="GDC49" s="426"/>
      <c r="GDD49" s="426"/>
      <c r="GDE49" s="426"/>
      <c r="GDF49" s="426"/>
      <c r="GDG49" s="426"/>
      <c r="GDH49" s="426"/>
      <c r="GDI49" s="426"/>
      <c r="GDJ49" s="426"/>
      <c r="GDK49" s="426"/>
      <c r="GDL49" s="426"/>
      <c r="GDM49" s="426"/>
      <c r="GDN49" s="426"/>
      <c r="GDO49" s="426"/>
      <c r="GDP49" s="426"/>
      <c r="GDQ49" s="426"/>
      <c r="GDR49" s="426"/>
      <c r="GDS49" s="426"/>
      <c r="GDT49" s="426"/>
      <c r="GDU49" s="426"/>
      <c r="GDV49" s="426"/>
      <c r="GDW49" s="426"/>
      <c r="GDX49" s="426"/>
      <c r="GDY49" s="426"/>
      <c r="GDZ49" s="426"/>
      <c r="GEA49" s="426"/>
      <c r="GEB49" s="426"/>
      <c r="GEC49" s="426"/>
      <c r="GED49" s="426"/>
      <c r="GEE49" s="426"/>
      <c r="GEF49" s="426"/>
      <c r="GEG49" s="426"/>
      <c r="GEH49" s="426"/>
      <c r="GEI49" s="426"/>
      <c r="GEJ49" s="426"/>
      <c r="GEK49" s="426"/>
      <c r="GEL49" s="426"/>
      <c r="GEM49" s="426"/>
      <c r="GEN49" s="426"/>
      <c r="GEO49" s="426"/>
      <c r="GEP49" s="426"/>
      <c r="GEQ49" s="426"/>
      <c r="GER49" s="426"/>
      <c r="GES49" s="426"/>
      <c r="GET49" s="426"/>
      <c r="GEU49" s="426"/>
      <c r="GEV49" s="426"/>
      <c r="GEW49" s="426"/>
      <c r="GEX49" s="426"/>
      <c r="GEY49" s="426"/>
      <c r="GEZ49" s="426"/>
      <c r="GFA49" s="426"/>
      <c r="GFB49" s="426"/>
      <c r="GFC49" s="426"/>
      <c r="GFD49" s="426"/>
      <c r="GFE49" s="426"/>
      <c r="GFF49" s="426"/>
      <c r="GFG49" s="426"/>
      <c r="GFH49" s="426"/>
      <c r="GFI49" s="426"/>
      <c r="GFJ49" s="426"/>
      <c r="GFK49" s="426"/>
      <c r="GFL49" s="426"/>
      <c r="GFM49" s="426"/>
      <c r="GFN49" s="426"/>
      <c r="GFO49" s="426"/>
      <c r="GFP49" s="426"/>
      <c r="GFQ49" s="426"/>
      <c r="GFR49" s="426"/>
      <c r="GFS49" s="426"/>
      <c r="GFT49" s="426"/>
      <c r="GFU49" s="426"/>
      <c r="GFV49" s="426"/>
      <c r="GFW49" s="426"/>
      <c r="GFX49" s="426"/>
      <c r="GFY49" s="426"/>
      <c r="GFZ49" s="426"/>
      <c r="GGA49" s="426"/>
      <c r="GGB49" s="426"/>
      <c r="GGC49" s="426"/>
      <c r="GGD49" s="426"/>
      <c r="GGE49" s="426"/>
      <c r="GGF49" s="426"/>
      <c r="GGG49" s="426"/>
      <c r="GGH49" s="426"/>
      <c r="GGI49" s="426"/>
      <c r="GGJ49" s="426"/>
      <c r="GGK49" s="426"/>
      <c r="GGL49" s="426"/>
      <c r="GGM49" s="426"/>
      <c r="GGN49" s="426"/>
      <c r="GGO49" s="426"/>
      <c r="GGP49" s="426"/>
      <c r="GGQ49" s="426"/>
      <c r="GGR49" s="426"/>
      <c r="GGS49" s="426"/>
      <c r="GGT49" s="426"/>
      <c r="GGU49" s="426"/>
      <c r="GGV49" s="426"/>
      <c r="GGW49" s="426"/>
      <c r="GGX49" s="426"/>
      <c r="GGY49" s="426"/>
      <c r="GGZ49" s="426"/>
      <c r="GHA49" s="426"/>
      <c r="GHB49" s="426"/>
      <c r="GHC49" s="426"/>
      <c r="GHD49" s="426"/>
      <c r="GHE49" s="426"/>
      <c r="GHF49" s="426"/>
      <c r="GHG49" s="426"/>
      <c r="GHH49" s="426"/>
      <c r="GHI49" s="426"/>
      <c r="GHJ49" s="426"/>
      <c r="GHK49" s="426"/>
      <c r="GHL49" s="426"/>
      <c r="GHM49" s="426"/>
      <c r="GHN49" s="426"/>
      <c r="GHO49" s="426"/>
      <c r="GHP49" s="426"/>
      <c r="GHQ49" s="426"/>
      <c r="GHR49" s="426"/>
      <c r="GHS49" s="426"/>
      <c r="GHT49" s="426"/>
      <c r="GHU49" s="426"/>
      <c r="GHV49" s="426"/>
      <c r="GHW49" s="426"/>
      <c r="GHX49" s="426"/>
      <c r="GHY49" s="426"/>
      <c r="GHZ49" s="426"/>
      <c r="GIA49" s="426"/>
      <c r="GIB49" s="426"/>
      <c r="GIC49" s="426"/>
      <c r="GID49" s="426"/>
      <c r="GIE49" s="426"/>
      <c r="GIF49" s="426"/>
      <c r="GIG49" s="426"/>
      <c r="GIH49" s="426"/>
      <c r="GII49" s="426"/>
      <c r="GIJ49" s="426"/>
      <c r="GIK49" s="426"/>
      <c r="GIL49" s="426"/>
      <c r="GIM49" s="426"/>
      <c r="GIN49" s="426"/>
      <c r="GIO49" s="426"/>
      <c r="GIP49" s="426"/>
      <c r="GIQ49" s="426"/>
      <c r="GIR49" s="426"/>
      <c r="GIS49" s="426"/>
      <c r="GIT49" s="426"/>
      <c r="GIU49" s="426"/>
      <c r="GIV49" s="426"/>
      <c r="GIW49" s="426"/>
      <c r="GIX49" s="426"/>
      <c r="GIY49" s="426"/>
      <c r="GIZ49" s="426"/>
      <c r="GJA49" s="426"/>
      <c r="GJB49" s="426"/>
      <c r="GJC49" s="426"/>
      <c r="GJD49" s="426"/>
      <c r="GJE49" s="426"/>
      <c r="GJF49" s="426"/>
      <c r="GJG49" s="426"/>
      <c r="GJH49" s="426"/>
      <c r="GJI49" s="426"/>
      <c r="GJJ49" s="426"/>
      <c r="GJK49" s="426"/>
      <c r="GJL49" s="426"/>
      <c r="GJM49" s="426"/>
      <c r="GJN49" s="426"/>
      <c r="GJO49" s="426"/>
      <c r="GJP49" s="426"/>
      <c r="GJQ49" s="426"/>
      <c r="GJR49" s="426"/>
      <c r="GJS49" s="426"/>
      <c r="GJT49" s="426"/>
      <c r="GJU49" s="426"/>
      <c r="GJV49" s="426"/>
      <c r="GJW49" s="426"/>
      <c r="GJX49" s="426"/>
      <c r="GJY49" s="426"/>
      <c r="GJZ49" s="426"/>
      <c r="GKA49" s="426"/>
      <c r="GKB49" s="426"/>
      <c r="GKC49" s="426"/>
      <c r="GKD49" s="426"/>
      <c r="GKE49" s="426"/>
      <c r="GKF49" s="426"/>
      <c r="GKG49" s="426"/>
      <c r="GKH49" s="426"/>
      <c r="GKI49" s="426"/>
      <c r="GKJ49" s="426"/>
      <c r="GKK49" s="426"/>
      <c r="GKL49" s="426"/>
      <c r="GKM49" s="426"/>
      <c r="GKN49" s="426"/>
      <c r="GKO49" s="426"/>
      <c r="GKP49" s="426"/>
      <c r="GKQ49" s="426"/>
      <c r="GKR49" s="426"/>
      <c r="GKS49" s="426"/>
      <c r="GKT49" s="426"/>
      <c r="GKU49" s="426"/>
      <c r="GKV49" s="426"/>
      <c r="GKW49" s="426"/>
      <c r="GKX49" s="426"/>
      <c r="GKY49" s="426"/>
      <c r="GKZ49" s="426"/>
      <c r="GLA49" s="426"/>
      <c r="GLB49" s="426"/>
      <c r="GLC49" s="426"/>
      <c r="GLD49" s="426"/>
      <c r="GLE49" s="426"/>
      <c r="GLF49" s="426"/>
      <c r="GLG49" s="426"/>
      <c r="GLH49" s="426"/>
      <c r="GLI49" s="426"/>
      <c r="GLJ49" s="426"/>
      <c r="GLK49" s="426"/>
      <c r="GLL49" s="426"/>
      <c r="GLM49" s="426"/>
      <c r="GLN49" s="426"/>
      <c r="GLO49" s="426"/>
      <c r="GLP49" s="426"/>
      <c r="GLQ49" s="426"/>
      <c r="GLR49" s="426"/>
      <c r="GLS49" s="426"/>
      <c r="GLT49" s="426"/>
      <c r="GLU49" s="426"/>
      <c r="GLV49" s="426"/>
      <c r="GLW49" s="426"/>
      <c r="GLX49" s="426"/>
      <c r="GLY49" s="426"/>
      <c r="GLZ49" s="426"/>
      <c r="GMA49" s="426"/>
      <c r="GMB49" s="426"/>
      <c r="GMC49" s="426"/>
      <c r="GMD49" s="426"/>
      <c r="GME49" s="426"/>
      <c r="GMF49" s="426"/>
      <c r="GMG49" s="426"/>
      <c r="GMH49" s="426"/>
      <c r="GMI49" s="426"/>
      <c r="GMJ49" s="426"/>
      <c r="GMK49" s="426"/>
      <c r="GML49" s="426"/>
      <c r="GMM49" s="426"/>
      <c r="GMN49" s="426"/>
      <c r="GMO49" s="426"/>
      <c r="GMP49" s="426"/>
      <c r="GMQ49" s="426"/>
      <c r="GMR49" s="426"/>
      <c r="GMS49" s="426"/>
      <c r="GMT49" s="426"/>
      <c r="GMU49" s="426"/>
      <c r="GMV49" s="426"/>
      <c r="GMW49" s="426"/>
      <c r="GMX49" s="426"/>
      <c r="GMY49" s="426"/>
      <c r="GMZ49" s="426"/>
      <c r="GNA49" s="426"/>
      <c r="GNB49" s="426"/>
      <c r="GNC49" s="426"/>
      <c r="GND49" s="426"/>
      <c r="GNE49" s="426"/>
      <c r="GNF49" s="426"/>
      <c r="GNG49" s="426"/>
      <c r="GNH49" s="426"/>
      <c r="GNI49" s="426"/>
      <c r="GNJ49" s="426"/>
      <c r="GNK49" s="426"/>
      <c r="GNL49" s="426"/>
      <c r="GNM49" s="426"/>
      <c r="GNN49" s="426"/>
      <c r="GNO49" s="426"/>
      <c r="GNP49" s="426"/>
      <c r="GNQ49" s="426"/>
      <c r="GNR49" s="426"/>
      <c r="GNS49" s="426"/>
      <c r="GNT49" s="426"/>
      <c r="GNU49" s="426"/>
      <c r="GNV49" s="426"/>
      <c r="GNW49" s="426"/>
      <c r="GNX49" s="426"/>
      <c r="GNY49" s="426"/>
      <c r="GNZ49" s="426"/>
      <c r="GOA49" s="426"/>
      <c r="GOB49" s="426"/>
      <c r="GOC49" s="426"/>
      <c r="GOD49" s="426"/>
      <c r="GOE49" s="426"/>
      <c r="GOF49" s="426"/>
      <c r="GOG49" s="426"/>
      <c r="GOH49" s="426"/>
      <c r="GOI49" s="426"/>
      <c r="GOJ49" s="426"/>
      <c r="GOK49" s="426"/>
      <c r="GOL49" s="426"/>
      <c r="GOM49" s="426"/>
      <c r="GON49" s="426"/>
      <c r="GOO49" s="426"/>
      <c r="GOP49" s="426"/>
      <c r="GOQ49" s="426"/>
      <c r="GOR49" s="426"/>
      <c r="GOS49" s="426"/>
      <c r="GOT49" s="426"/>
      <c r="GOU49" s="426"/>
      <c r="GOV49" s="426"/>
      <c r="GOW49" s="426"/>
      <c r="GOX49" s="426"/>
      <c r="GOY49" s="426"/>
      <c r="GOZ49" s="426"/>
      <c r="GPA49" s="426"/>
      <c r="GPB49" s="426"/>
      <c r="GPC49" s="426"/>
      <c r="GPD49" s="426"/>
      <c r="GPE49" s="426"/>
      <c r="GPF49" s="426"/>
      <c r="GPG49" s="426"/>
      <c r="GPH49" s="426"/>
      <c r="GPI49" s="426"/>
      <c r="GPJ49" s="426"/>
      <c r="GPK49" s="426"/>
      <c r="GPL49" s="426"/>
      <c r="GPM49" s="426"/>
      <c r="GPN49" s="426"/>
      <c r="GPO49" s="426"/>
      <c r="GPP49" s="426"/>
      <c r="GPQ49" s="426"/>
      <c r="GPR49" s="426"/>
      <c r="GPS49" s="426"/>
      <c r="GPT49" s="426"/>
      <c r="GPU49" s="426"/>
      <c r="GPV49" s="426"/>
      <c r="GPW49" s="426"/>
      <c r="GPX49" s="426"/>
      <c r="GPY49" s="426"/>
      <c r="GPZ49" s="426"/>
      <c r="GQA49" s="426"/>
      <c r="GQB49" s="426"/>
      <c r="GQC49" s="426"/>
      <c r="GQD49" s="426"/>
      <c r="GQE49" s="426"/>
      <c r="GQF49" s="426"/>
      <c r="GQG49" s="426"/>
      <c r="GQH49" s="426"/>
      <c r="GQI49" s="426"/>
      <c r="GQJ49" s="426"/>
      <c r="GQK49" s="426"/>
      <c r="GQL49" s="426"/>
      <c r="GQM49" s="426"/>
      <c r="GQN49" s="426"/>
      <c r="GQO49" s="426"/>
      <c r="GQP49" s="426"/>
      <c r="GQQ49" s="426"/>
      <c r="GQR49" s="426"/>
      <c r="GQS49" s="426"/>
      <c r="GQT49" s="426"/>
      <c r="GQU49" s="426"/>
      <c r="GQV49" s="426"/>
      <c r="GQW49" s="426"/>
      <c r="GQX49" s="426"/>
      <c r="GQY49" s="426"/>
      <c r="GQZ49" s="426"/>
      <c r="GRA49" s="426"/>
      <c r="GRB49" s="426"/>
      <c r="GRC49" s="426"/>
      <c r="GRD49" s="426"/>
      <c r="GRE49" s="426"/>
      <c r="GRF49" s="426"/>
      <c r="GRG49" s="426"/>
      <c r="GRH49" s="426"/>
      <c r="GRI49" s="426"/>
      <c r="GRJ49" s="426"/>
      <c r="GRK49" s="426"/>
      <c r="GRL49" s="426"/>
      <c r="GRM49" s="426"/>
      <c r="GRN49" s="426"/>
      <c r="GRO49" s="426"/>
      <c r="GRP49" s="426"/>
      <c r="GRQ49" s="426"/>
      <c r="GRR49" s="426"/>
      <c r="GRS49" s="426"/>
      <c r="GRT49" s="426"/>
      <c r="GRU49" s="426"/>
      <c r="GRV49" s="426"/>
      <c r="GRW49" s="426"/>
      <c r="GRX49" s="426"/>
      <c r="GRY49" s="426"/>
      <c r="GRZ49" s="426"/>
      <c r="GSA49" s="426"/>
      <c r="GSB49" s="426"/>
      <c r="GSC49" s="426"/>
      <c r="GSD49" s="426"/>
      <c r="GSE49" s="426"/>
      <c r="GSF49" s="426"/>
      <c r="GSG49" s="426"/>
      <c r="GSH49" s="426"/>
      <c r="GSI49" s="426"/>
      <c r="GSJ49" s="426"/>
      <c r="GSK49" s="426"/>
      <c r="GSL49" s="426"/>
      <c r="GSM49" s="426"/>
      <c r="GSN49" s="426"/>
      <c r="GSO49" s="426"/>
      <c r="GSP49" s="426"/>
      <c r="GSQ49" s="426"/>
      <c r="GSR49" s="426"/>
      <c r="GSS49" s="426"/>
      <c r="GST49" s="426"/>
      <c r="GSU49" s="426"/>
      <c r="GSV49" s="426"/>
      <c r="GSW49" s="426"/>
      <c r="GSX49" s="426"/>
      <c r="GSY49" s="426"/>
      <c r="GSZ49" s="426"/>
      <c r="GTA49" s="426"/>
      <c r="GTB49" s="426"/>
      <c r="GTC49" s="426"/>
      <c r="GTD49" s="426"/>
      <c r="GTE49" s="426"/>
      <c r="GTF49" s="426"/>
      <c r="GTG49" s="426"/>
      <c r="GTH49" s="426"/>
      <c r="GTI49" s="426"/>
      <c r="GTJ49" s="426"/>
      <c r="GTK49" s="426"/>
      <c r="GTL49" s="426"/>
      <c r="GTM49" s="426"/>
      <c r="GTN49" s="426"/>
      <c r="GTO49" s="426"/>
      <c r="GTP49" s="426"/>
      <c r="GTQ49" s="426"/>
      <c r="GTR49" s="426"/>
      <c r="GTS49" s="426"/>
      <c r="GTT49" s="426"/>
      <c r="GTU49" s="426"/>
      <c r="GTV49" s="426"/>
      <c r="GTW49" s="426"/>
      <c r="GTX49" s="426"/>
      <c r="GTY49" s="426"/>
      <c r="GTZ49" s="426"/>
      <c r="GUA49" s="426"/>
      <c r="GUB49" s="426"/>
      <c r="GUC49" s="426"/>
      <c r="GUD49" s="426"/>
      <c r="GUE49" s="426"/>
      <c r="GUF49" s="426"/>
      <c r="GUG49" s="426"/>
      <c r="GUH49" s="426"/>
      <c r="GUI49" s="426"/>
      <c r="GUJ49" s="426"/>
      <c r="GUK49" s="426"/>
      <c r="GUL49" s="426"/>
      <c r="GUM49" s="426"/>
      <c r="GUN49" s="426"/>
      <c r="GUO49" s="426"/>
      <c r="GUP49" s="426"/>
      <c r="GUQ49" s="426"/>
      <c r="GUR49" s="426"/>
      <c r="GUS49" s="426"/>
      <c r="GUT49" s="426"/>
      <c r="GUU49" s="426"/>
      <c r="GUV49" s="426"/>
      <c r="GUW49" s="426"/>
      <c r="GUX49" s="426"/>
      <c r="GUY49" s="426"/>
      <c r="GUZ49" s="426"/>
      <c r="GVA49" s="426"/>
      <c r="GVB49" s="426"/>
      <c r="GVC49" s="426"/>
      <c r="GVD49" s="426"/>
      <c r="GVE49" s="426"/>
      <c r="GVF49" s="426"/>
      <c r="GVG49" s="426"/>
      <c r="GVH49" s="426"/>
      <c r="GVI49" s="426"/>
      <c r="GVJ49" s="426"/>
      <c r="GVK49" s="426"/>
      <c r="GVL49" s="426"/>
      <c r="GVM49" s="426"/>
      <c r="GVN49" s="426"/>
      <c r="GVO49" s="426"/>
      <c r="GVP49" s="426"/>
      <c r="GVQ49" s="426"/>
      <c r="GVR49" s="426"/>
      <c r="GVS49" s="426"/>
      <c r="GVT49" s="426"/>
      <c r="GVU49" s="426"/>
      <c r="GVV49" s="426"/>
      <c r="GVW49" s="426"/>
      <c r="GVX49" s="426"/>
      <c r="GVY49" s="426"/>
      <c r="GVZ49" s="426"/>
      <c r="GWA49" s="426"/>
      <c r="GWB49" s="426"/>
      <c r="GWC49" s="426"/>
      <c r="GWD49" s="426"/>
      <c r="GWE49" s="426"/>
      <c r="GWF49" s="426"/>
      <c r="GWG49" s="426"/>
      <c r="GWH49" s="426"/>
      <c r="GWI49" s="426"/>
      <c r="GWJ49" s="426"/>
      <c r="GWK49" s="426"/>
      <c r="GWL49" s="426"/>
      <c r="GWM49" s="426"/>
      <c r="GWN49" s="426"/>
      <c r="GWO49" s="426"/>
      <c r="GWP49" s="426"/>
      <c r="GWQ49" s="426"/>
      <c r="GWR49" s="426"/>
      <c r="GWS49" s="426"/>
      <c r="GWT49" s="426"/>
      <c r="GWU49" s="426"/>
      <c r="GWV49" s="426"/>
      <c r="GWW49" s="426"/>
      <c r="GWX49" s="426"/>
      <c r="GWY49" s="426"/>
      <c r="GWZ49" s="426"/>
      <c r="GXA49" s="426"/>
      <c r="GXB49" s="426"/>
      <c r="GXC49" s="426"/>
      <c r="GXD49" s="426"/>
      <c r="GXE49" s="426"/>
      <c r="GXF49" s="426"/>
      <c r="GXG49" s="426"/>
      <c r="GXH49" s="426"/>
      <c r="GXI49" s="426"/>
      <c r="GXJ49" s="426"/>
      <c r="GXK49" s="426"/>
      <c r="GXL49" s="426"/>
      <c r="GXM49" s="426"/>
      <c r="GXN49" s="426"/>
      <c r="GXO49" s="426"/>
      <c r="GXP49" s="426"/>
      <c r="GXQ49" s="426"/>
      <c r="GXR49" s="426"/>
      <c r="GXS49" s="426"/>
      <c r="GXT49" s="426"/>
      <c r="GXU49" s="426"/>
      <c r="GXV49" s="426"/>
      <c r="GXW49" s="426"/>
      <c r="GXX49" s="426"/>
      <c r="GXY49" s="426"/>
      <c r="GXZ49" s="426"/>
      <c r="GYA49" s="426"/>
      <c r="GYB49" s="426"/>
      <c r="GYC49" s="426"/>
      <c r="GYD49" s="426"/>
      <c r="GYE49" s="426"/>
      <c r="GYF49" s="426"/>
      <c r="GYG49" s="426"/>
      <c r="GYH49" s="426"/>
      <c r="GYI49" s="426"/>
      <c r="GYJ49" s="426"/>
      <c r="GYK49" s="426"/>
      <c r="GYL49" s="426"/>
      <c r="GYM49" s="426"/>
      <c r="GYN49" s="426"/>
      <c r="GYO49" s="426"/>
      <c r="GYP49" s="426"/>
      <c r="GYQ49" s="426"/>
      <c r="GYR49" s="426"/>
      <c r="GYS49" s="426"/>
      <c r="GYT49" s="426"/>
      <c r="GYU49" s="426"/>
      <c r="GYV49" s="426"/>
      <c r="GYW49" s="426"/>
      <c r="GYX49" s="426"/>
      <c r="GYY49" s="426"/>
      <c r="GYZ49" s="426"/>
      <c r="GZA49" s="426"/>
      <c r="GZB49" s="426"/>
      <c r="GZC49" s="426"/>
      <c r="GZD49" s="426"/>
      <c r="GZE49" s="426"/>
      <c r="GZF49" s="426"/>
      <c r="GZG49" s="426"/>
      <c r="GZH49" s="426"/>
      <c r="GZI49" s="426"/>
      <c r="GZJ49" s="426"/>
      <c r="GZK49" s="426"/>
      <c r="GZL49" s="426"/>
      <c r="GZM49" s="426"/>
      <c r="GZN49" s="426"/>
      <c r="GZO49" s="426"/>
      <c r="GZP49" s="426"/>
      <c r="GZQ49" s="426"/>
      <c r="GZR49" s="426"/>
      <c r="GZS49" s="426"/>
      <c r="GZT49" s="426"/>
      <c r="GZU49" s="426"/>
      <c r="GZV49" s="426"/>
      <c r="GZW49" s="426"/>
      <c r="GZX49" s="426"/>
      <c r="GZY49" s="426"/>
      <c r="GZZ49" s="426"/>
      <c r="HAA49" s="426"/>
      <c r="HAB49" s="426"/>
      <c r="HAC49" s="426"/>
      <c r="HAD49" s="426"/>
      <c r="HAE49" s="426"/>
      <c r="HAF49" s="426"/>
      <c r="HAG49" s="426"/>
      <c r="HAH49" s="426"/>
      <c r="HAI49" s="426"/>
      <c r="HAJ49" s="426"/>
      <c r="HAK49" s="426"/>
      <c r="HAL49" s="426"/>
      <c r="HAM49" s="426"/>
      <c r="HAN49" s="426"/>
      <c r="HAO49" s="426"/>
      <c r="HAP49" s="426"/>
      <c r="HAQ49" s="426"/>
      <c r="HAR49" s="426"/>
      <c r="HAS49" s="426"/>
      <c r="HAT49" s="426"/>
      <c r="HAU49" s="426"/>
      <c r="HAV49" s="426"/>
      <c r="HAW49" s="426"/>
      <c r="HAX49" s="426"/>
      <c r="HAY49" s="426"/>
      <c r="HAZ49" s="426"/>
      <c r="HBA49" s="426"/>
      <c r="HBB49" s="426"/>
      <c r="HBC49" s="426"/>
      <c r="HBD49" s="426"/>
      <c r="HBE49" s="426"/>
      <c r="HBF49" s="426"/>
      <c r="HBG49" s="426"/>
      <c r="HBH49" s="426"/>
      <c r="HBI49" s="426"/>
      <c r="HBJ49" s="426"/>
      <c r="HBK49" s="426"/>
      <c r="HBL49" s="426"/>
      <c r="HBM49" s="426"/>
      <c r="HBN49" s="426"/>
      <c r="HBO49" s="426"/>
      <c r="HBP49" s="426"/>
      <c r="HBQ49" s="426"/>
      <c r="HBR49" s="426"/>
      <c r="HBS49" s="426"/>
      <c r="HBT49" s="426"/>
      <c r="HBU49" s="426"/>
      <c r="HBV49" s="426"/>
      <c r="HBW49" s="426"/>
      <c r="HBX49" s="426"/>
      <c r="HBY49" s="426"/>
      <c r="HBZ49" s="426"/>
      <c r="HCA49" s="426"/>
      <c r="HCB49" s="426"/>
      <c r="HCC49" s="426"/>
      <c r="HCD49" s="426"/>
      <c r="HCE49" s="426"/>
      <c r="HCF49" s="426"/>
      <c r="HCG49" s="426"/>
      <c r="HCH49" s="426"/>
      <c r="HCI49" s="426"/>
      <c r="HCJ49" s="426"/>
      <c r="HCK49" s="426"/>
      <c r="HCL49" s="426"/>
      <c r="HCM49" s="426"/>
      <c r="HCN49" s="426"/>
      <c r="HCO49" s="426"/>
      <c r="HCP49" s="426"/>
      <c r="HCQ49" s="426"/>
      <c r="HCR49" s="426"/>
      <c r="HCS49" s="426"/>
      <c r="HCT49" s="426"/>
      <c r="HCU49" s="426"/>
      <c r="HCV49" s="426"/>
      <c r="HCW49" s="426"/>
      <c r="HCX49" s="426"/>
      <c r="HCY49" s="426"/>
      <c r="HCZ49" s="426"/>
      <c r="HDA49" s="426"/>
      <c r="HDB49" s="426"/>
      <c r="HDC49" s="426"/>
      <c r="HDD49" s="426"/>
      <c r="HDE49" s="426"/>
      <c r="HDF49" s="426"/>
      <c r="HDG49" s="426"/>
      <c r="HDH49" s="426"/>
      <c r="HDI49" s="426"/>
      <c r="HDJ49" s="426"/>
      <c r="HDK49" s="426"/>
      <c r="HDL49" s="426"/>
      <c r="HDM49" s="426"/>
      <c r="HDN49" s="426"/>
      <c r="HDO49" s="426"/>
      <c r="HDP49" s="426"/>
      <c r="HDQ49" s="426"/>
      <c r="HDR49" s="426"/>
      <c r="HDS49" s="426"/>
      <c r="HDT49" s="426"/>
      <c r="HDU49" s="426"/>
      <c r="HDV49" s="426"/>
      <c r="HDW49" s="426"/>
      <c r="HDX49" s="426"/>
      <c r="HDY49" s="426"/>
      <c r="HDZ49" s="426"/>
      <c r="HEA49" s="426"/>
      <c r="HEB49" s="426"/>
      <c r="HEC49" s="426"/>
      <c r="HED49" s="426"/>
      <c r="HEE49" s="426"/>
      <c r="HEF49" s="426"/>
      <c r="HEG49" s="426"/>
      <c r="HEH49" s="426"/>
      <c r="HEI49" s="426"/>
      <c r="HEJ49" s="426"/>
      <c r="HEK49" s="426"/>
      <c r="HEL49" s="426"/>
      <c r="HEM49" s="426"/>
      <c r="HEN49" s="426"/>
      <c r="HEO49" s="426"/>
      <c r="HEP49" s="426"/>
      <c r="HEQ49" s="426"/>
      <c r="HER49" s="426"/>
      <c r="HES49" s="426"/>
      <c r="HET49" s="426"/>
      <c r="HEU49" s="426"/>
      <c r="HEV49" s="426"/>
      <c r="HEW49" s="426"/>
      <c r="HEX49" s="426"/>
      <c r="HEY49" s="426"/>
      <c r="HEZ49" s="426"/>
      <c r="HFA49" s="426"/>
      <c r="HFB49" s="426"/>
      <c r="HFC49" s="426"/>
      <c r="HFD49" s="426"/>
      <c r="HFE49" s="426"/>
      <c r="HFF49" s="426"/>
      <c r="HFG49" s="426"/>
      <c r="HFH49" s="426"/>
      <c r="HFI49" s="426"/>
      <c r="HFJ49" s="426"/>
      <c r="HFK49" s="426"/>
      <c r="HFL49" s="426"/>
      <c r="HFM49" s="426"/>
      <c r="HFN49" s="426"/>
      <c r="HFO49" s="426"/>
      <c r="HFP49" s="426"/>
      <c r="HFQ49" s="426"/>
      <c r="HFR49" s="426"/>
      <c r="HFS49" s="426"/>
      <c r="HFT49" s="426"/>
      <c r="HFU49" s="426"/>
      <c r="HFV49" s="426"/>
      <c r="HFW49" s="426"/>
      <c r="HFX49" s="426"/>
      <c r="HFY49" s="426"/>
      <c r="HFZ49" s="426"/>
      <c r="HGA49" s="426"/>
      <c r="HGB49" s="426"/>
      <c r="HGC49" s="426"/>
      <c r="HGD49" s="426"/>
      <c r="HGE49" s="426"/>
      <c r="HGF49" s="426"/>
      <c r="HGG49" s="426"/>
      <c r="HGH49" s="426"/>
      <c r="HGI49" s="426"/>
      <c r="HGJ49" s="426"/>
      <c r="HGK49" s="426"/>
      <c r="HGL49" s="426"/>
      <c r="HGM49" s="426"/>
      <c r="HGN49" s="426"/>
      <c r="HGO49" s="426"/>
      <c r="HGP49" s="426"/>
      <c r="HGQ49" s="426"/>
      <c r="HGR49" s="426"/>
      <c r="HGS49" s="426"/>
      <c r="HGT49" s="426"/>
      <c r="HGU49" s="426"/>
      <c r="HGV49" s="426"/>
      <c r="HGW49" s="426"/>
      <c r="HGX49" s="426"/>
      <c r="HGY49" s="426"/>
      <c r="HGZ49" s="426"/>
      <c r="HHA49" s="426"/>
      <c r="HHB49" s="426"/>
      <c r="HHC49" s="426"/>
      <c r="HHD49" s="426"/>
      <c r="HHE49" s="426"/>
      <c r="HHF49" s="426"/>
      <c r="HHG49" s="426"/>
      <c r="HHH49" s="426"/>
      <c r="HHI49" s="426"/>
      <c r="HHJ49" s="426"/>
      <c r="HHK49" s="426"/>
      <c r="HHL49" s="426"/>
      <c r="HHM49" s="426"/>
      <c r="HHN49" s="426"/>
      <c r="HHO49" s="426"/>
      <c r="HHP49" s="426"/>
      <c r="HHQ49" s="426"/>
      <c r="HHR49" s="426"/>
      <c r="HHS49" s="426"/>
      <c r="HHT49" s="426"/>
      <c r="HHU49" s="426"/>
      <c r="HHV49" s="426"/>
      <c r="HHW49" s="426"/>
      <c r="HHX49" s="426"/>
      <c r="HHY49" s="426"/>
      <c r="HHZ49" s="426"/>
      <c r="HIA49" s="426"/>
      <c r="HIB49" s="426"/>
      <c r="HIC49" s="426"/>
      <c r="HID49" s="426"/>
      <c r="HIE49" s="426"/>
      <c r="HIF49" s="426"/>
      <c r="HIG49" s="426"/>
      <c r="HIH49" s="426"/>
      <c r="HII49" s="426"/>
      <c r="HIJ49" s="426"/>
      <c r="HIK49" s="426"/>
      <c r="HIL49" s="426"/>
      <c r="HIM49" s="426"/>
      <c r="HIN49" s="426"/>
      <c r="HIO49" s="426"/>
      <c r="HIP49" s="426"/>
      <c r="HIQ49" s="426"/>
      <c r="HIR49" s="426"/>
      <c r="HIS49" s="426"/>
      <c r="HIT49" s="426"/>
      <c r="HIU49" s="426"/>
      <c r="HIV49" s="426"/>
      <c r="HIW49" s="426"/>
      <c r="HIX49" s="426"/>
      <c r="HIY49" s="426"/>
      <c r="HIZ49" s="426"/>
      <c r="HJA49" s="426"/>
      <c r="HJB49" s="426"/>
      <c r="HJC49" s="426"/>
      <c r="HJD49" s="426"/>
      <c r="HJE49" s="426"/>
      <c r="HJF49" s="426"/>
      <c r="HJG49" s="426"/>
      <c r="HJH49" s="426"/>
      <c r="HJI49" s="426"/>
      <c r="HJJ49" s="426"/>
      <c r="HJK49" s="426"/>
      <c r="HJL49" s="426"/>
      <c r="HJM49" s="426"/>
      <c r="HJN49" s="426"/>
      <c r="HJO49" s="426"/>
      <c r="HJP49" s="426"/>
      <c r="HJQ49" s="426"/>
      <c r="HJR49" s="426"/>
      <c r="HJS49" s="426"/>
      <c r="HJT49" s="426"/>
      <c r="HJU49" s="426"/>
      <c r="HJV49" s="426"/>
      <c r="HJW49" s="426"/>
      <c r="HJX49" s="426"/>
      <c r="HJY49" s="426"/>
      <c r="HJZ49" s="426"/>
      <c r="HKA49" s="426"/>
      <c r="HKB49" s="426"/>
      <c r="HKC49" s="426"/>
      <c r="HKD49" s="426"/>
      <c r="HKE49" s="426"/>
      <c r="HKF49" s="426"/>
      <c r="HKG49" s="426"/>
      <c r="HKH49" s="426"/>
      <c r="HKI49" s="426"/>
      <c r="HKJ49" s="426"/>
      <c r="HKK49" s="426"/>
      <c r="HKL49" s="426"/>
      <c r="HKM49" s="426"/>
      <c r="HKN49" s="426"/>
      <c r="HKO49" s="426"/>
      <c r="HKP49" s="426"/>
      <c r="HKQ49" s="426"/>
      <c r="HKR49" s="426"/>
      <c r="HKS49" s="426"/>
      <c r="HKT49" s="426"/>
      <c r="HKU49" s="426"/>
      <c r="HKV49" s="426"/>
      <c r="HKW49" s="426"/>
      <c r="HKX49" s="426"/>
      <c r="HKY49" s="426"/>
      <c r="HKZ49" s="426"/>
      <c r="HLA49" s="426"/>
      <c r="HLB49" s="426"/>
      <c r="HLC49" s="426"/>
      <c r="HLD49" s="426"/>
      <c r="HLE49" s="426"/>
      <c r="HLF49" s="426"/>
      <c r="HLG49" s="426"/>
      <c r="HLH49" s="426"/>
      <c r="HLI49" s="426"/>
      <c r="HLJ49" s="426"/>
      <c r="HLK49" s="426"/>
      <c r="HLL49" s="426"/>
      <c r="HLM49" s="426"/>
      <c r="HLN49" s="426"/>
      <c r="HLO49" s="426"/>
      <c r="HLP49" s="426"/>
      <c r="HLQ49" s="426"/>
      <c r="HLR49" s="426"/>
      <c r="HLS49" s="426"/>
      <c r="HLT49" s="426"/>
      <c r="HLU49" s="426"/>
      <c r="HLV49" s="426"/>
      <c r="HLW49" s="426"/>
      <c r="HLX49" s="426"/>
      <c r="HLY49" s="426"/>
      <c r="HLZ49" s="426"/>
      <c r="HMA49" s="426"/>
      <c r="HMB49" s="426"/>
      <c r="HMC49" s="426"/>
      <c r="HMD49" s="426"/>
      <c r="HME49" s="426"/>
      <c r="HMF49" s="426"/>
      <c r="HMG49" s="426"/>
      <c r="HMH49" s="426"/>
      <c r="HMI49" s="426"/>
      <c r="HMJ49" s="426"/>
      <c r="HMK49" s="426"/>
      <c r="HML49" s="426"/>
      <c r="HMM49" s="426"/>
      <c r="HMN49" s="426"/>
      <c r="HMO49" s="426"/>
      <c r="HMP49" s="426"/>
      <c r="HMQ49" s="426"/>
      <c r="HMR49" s="426"/>
      <c r="HMS49" s="426"/>
      <c r="HMT49" s="426"/>
      <c r="HMU49" s="426"/>
      <c r="HMV49" s="426"/>
      <c r="HMW49" s="426"/>
      <c r="HMX49" s="426"/>
      <c r="HMY49" s="426"/>
      <c r="HMZ49" s="426"/>
      <c r="HNA49" s="426"/>
      <c r="HNB49" s="426"/>
      <c r="HNC49" s="426"/>
      <c r="HND49" s="426"/>
      <c r="HNE49" s="426"/>
      <c r="HNF49" s="426"/>
      <c r="HNG49" s="426"/>
      <c r="HNH49" s="426"/>
      <c r="HNI49" s="426"/>
      <c r="HNJ49" s="426"/>
      <c r="HNK49" s="426"/>
      <c r="HNL49" s="426"/>
      <c r="HNM49" s="426"/>
      <c r="HNN49" s="426"/>
      <c r="HNO49" s="426"/>
      <c r="HNP49" s="426"/>
      <c r="HNQ49" s="426"/>
      <c r="HNR49" s="426"/>
      <c r="HNS49" s="426"/>
      <c r="HNT49" s="426"/>
      <c r="HNU49" s="426"/>
      <c r="HNV49" s="426"/>
      <c r="HNW49" s="426"/>
      <c r="HNX49" s="426"/>
      <c r="HNY49" s="426"/>
      <c r="HNZ49" s="426"/>
      <c r="HOA49" s="426"/>
      <c r="HOB49" s="426"/>
      <c r="HOC49" s="426"/>
      <c r="HOD49" s="426"/>
      <c r="HOE49" s="426"/>
      <c r="HOF49" s="426"/>
      <c r="HOG49" s="426"/>
      <c r="HOH49" s="426"/>
      <c r="HOI49" s="426"/>
      <c r="HOJ49" s="426"/>
      <c r="HOK49" s="426"/>
      <c r="HOL49" s="426"/>
      <c r="HOM49" s="426"/>
      <c r="HON49" s="426"/>
      <c r="HOO49" s="426"/>
      <c r="HOP49" s="426"/>
      <c r="HOQ49" s="426"/>
      <c r="HOR49" s="426"/>
      <c r="HOS49" s="426"/>
      <c r="HOT49" s="426"/>
      <c r="HOU49" s="426"/>
      <c r="HOV49" s="426"/>
      <c r="HOW49" s="426"/>
      <c r="HOX49" s="426"/>
      <c r="HOY49" s="426"/>
      <c r="HOZ49" s="426"/>
      <c r="HPA49" s="426"/>
      <c r="HPB49" s="426"/>
      <c r="HPC49" s="426"/>
      <c r="HPD49" s="426"/>
      <c r="HPE49" s="426"/>
      <c r="HPF49" s="426"/>
      <c r="HPG49" s="426"/>
      <c r="HPH49" s="426"/>
      <c r="HPI49" s="426"/>
      <c r="HPJ49" s="426"/>
      <c r="HPK49" s="426"/>
      <c r="HPL49" s="426"/>
      <c r="HPM49" s="426"/>
      <c r="HPN49" s="426"/>
      <c r="HPO49" s="426"/>
      <c r="HPP49" s="426"/>
      <c r="HPQ49" s="426"/>
      <c r="HPR49" s="426"/>
      <c r="HPS49" s="426"/>
      <c r="HPT49" s="426"/>
      <c r="HPU49" s="426"/>
      <c r="HPV49" s="426"/>
      <c r="HPW49" s="426"/>
      <c r="HPX49" s="426"/>
      <c r="HPY49" s="426"/>
      <c r="HPZ49" s="426"/>
      <c r="HQA49" s="426"/>
      <c r="HQB49" s="426"/>
      <c r="HQC49" s="426"/>
      <c r="HQD49" s="426"/>
      <c r="HQE49" s="426"/>
      <c r="HQF49" s="426"/>
      <c r="HQG49" s="426"/>
      <c r="HQH49" s="426"/>
      <c r="HQI49" s="426"/>
      <c r="HQJ49" s="426"/>
      <c r="HQK49" s="426"/>
      <c r="HQL49" s="426"/>
      <c r="HQM49" s="426"/>
      <c r="HQN49" s="426"/>
      <c r="HQO49" s="426"/>
      <c r="HQP49" s="426"/>
      <c r="HQQ49" s="426"/>
      <c r="HQR49" s="426"/>
      <c r="HQS49" s="426"/>
      <c r="HQT49" s="426"/>
      <c r="HQU49" s="426"/>
      <c r="HQV49" s="426"/>
      <c r="HQW49" s="426"/>
      <c r="HQX49" s="426"/>
      <c r="HQY49" s="426"/>
      <c r="HQZ49" s="426"/>
      <c r="HRA49" s="426"/>
      <c r="HRB49" s="426"/>
      <c r="HRC49" s="426"/>
      <c r="HRD49" s="426"/>
      <c r="HRE49" s="426"/>
      <c r="HRF49" s="426"/>
      <c r="HRG49" s="426"/>
      <c r="HRH49" s="426"/>
      <c r="HRI49" s="426"/>
      <c r="HRJ49" s="426"/>
      <c r="HRK49" s="426"/>
      <c r="HRL49" s="426"/>
      <c r="HRM49" s="426"/>
      <c r="HRN49" s="426"/>
      <c r="HRO49" s="426"/>
      <c r="HRP49" s="426"/>
      <c r="HRQ49" s="426"/>
      <c r="HRR49" s="426"/>
      <c r="HRS49" s="426"/>
      <c r="HRT49" s="426"/>
      <c r="HRU49" s="426"/>
      <c r="HRV49" s="426"/>
      <c r="HRW49" s="426"/>
      <c r="HRX49" s="426"/>
      <c r="HRY49" s="426"/>
      <c r="HRZ49" s="426"/>
      <c r="HSA49" s="426"/>
      <c r="HSB49" s="426"/>
      <c r="HSC49" s="426"/>
      <c r="HSD49" s="426"/>
      <c r="HSE49" s="426"/>
      <c r="HSF49" s="426"/>
      <c r="HSG49" s="426"/>
      <c r="HSH49" s="426"/>
      <c r="HSI49" s="426"/>
      <c r="HSJ49" s="426"/>
      <c r="HSK49" s="426"/>
      <c r="HSL49" s="426"/>
      <c r="HSM49" s="426"/>
      <c r="HSN49" s="426"/>
      <c r="HSO49" s="426"/>
      <c r="HSP49" s="426"/>
      <c r="HSQ49" s="426"/>
      <c r="HSR49" s="426"/>
      <c r="HSS49" s="426"/>
      <c r="HST49" s="426"/>
      <c r="HSU49" s="426"/>
      <c r="HSV49" s="426"/>
      <c r="HSW49" s="426"/>
      <c r="HSX49" s="426"/>
      <c r="HSY49" s="426"/>
      <c r="HSZ49" s="426"/>
      <c r="HTA49" s="426"/>
      <c r="HTB49" s="426"/>
      <c r="HTC49" s="426"/>
      <c r="HTD49" s="426"/>
      <c r="HTE49" s="426"/>
      <c r="HTF49" s="426"/>
      <c r="HTG49" s="426"/>
      <c r="HTH49" s="426"/>
      <c r="HTI49" s="426"/>
      <c r="HTJ49" s="426"/>
      <c r="HTK49" s="426"/>
      <c r="HTL49" s="426"/>
      <c r="HTM49" s="426"/>
      <c r="HTN49" s="426"/>
      <c r="HTO49" s="426"/>
      <c r="HTP49" s="426"/>
      <c r="HTQ49" s="426"/>
      <c r="HTR49" s="426"/>
      <c r="HTS49" s="426"/>
      <c r="HTT49" s="426"/>
      <c r="HTU49" s="426"/>
      <c r="HTV49" s="426"/>
      <c r="HTW49" s="426"/>
      <c r="HTX49" s="426"/>
      <c r="HTY49" s="426"/>
      <c r="HTZ49" s="426"/>
      <c r="HUA49" s="426"/>
      <c r="HUB49" s="426"/>
      <c r="HUC49" s="426"/>
      <c r="HUD49" s="426"/>
      <c r="HUE49" s="426"/>
      <c r="HUF49" s="426"/>
      <c r="HUG49" s="426"/>
      <c r="HUH49" s="426"/>
      <c r="HUI49" s="426"/>
      <c r="HUJ49" s="426"/>
      <c r="HUK49" s="426"/>
      <c r="HUL49" s="426"/>
      <c r="HUM49" s="426"/>
      <c r="HUN49" s="426"/>
      <c r="HUO49" s="426"/>
      <c r="HUP49" s="426"/>
      <c r="HUQ49" s="426"/>
      <c r="HUR49" s="426"/>
      <c r="HUS49" s="426"/>
      <c r="HUT49" s="426"/>
      <c r="HUU49" s="426"/>
      <c r="HUV49" s="426"/>
      <c r="HUW49" s="426"/>
      <c r="HUX49" s="426"/>
      <c r="HUY49" s="426"/>
      <c r="HUZ49" s="426"/>
      <c r="HVA49" s="426"/>
      <c r="HVB49" s="426"/>
      <c r="HVC49" s="426"/>
      <c r="HVD49" s="426"/>
      <c r="HVE49" s="426"/>
      <c r="HVF49" s="426"/>
      <c r="HVG49" s="426"/>
      <c r="HVH49" s="426"/>
      <c r="HVI49" s="426"/>
      <c r="HVJ49" s="426"/>
      <c r="HVK49" s="426"/>
      <c r="HVL49" s="426"/>
      <c r="HVM49" s="426"/>
      <c r="HVN49" s="426"/>
      <c r="HVO49" s="426"/>
      <c r="HVP49" s="426"/>
      <c r="HVQ49" s="426"/>
      <c r="HVR49" s="426"/>
      <c r="HVS49" s="426"/>
      <c r="HVT49" s="426"/>
      <c r="HVU49" s="426"/>
      <c r="HVV49" s="426"/>
      <c r="HVW49" s="426"/>
      <c r="HVX49" s="426"/>
      <c r="HVY49" s="426"/>
      <c r="HVZ49" s="426"/>
      <c r="HWA49" s="426"/>
      <c r="HWB49" s="426"/>
      <c r="HWC49" s="426"/>
      <c r="HWD49" s="426"/>
      <c r="HWE49" s="426"/>
      <c r="HWF49" s="426"/>
      <c r="HWG49" s="426"/>
      <c r="HWH49" s="426"/>
      <c r="HWI49" s="426"/>
      <c r="HWJ49" s="426"/>
      <c r="HWK49" s="426"/>
      <c r="HWL49" s="426"/>
      <c r="HWM49" s="426"/>
      <c r="HWN49" s="426"/>
      <c r="HWO49" s="426"/>
      <c r="HWP49" s="426"/>
      <c r="HWQ49" s="426"/>
      <c r="HWR49" s="426"/>
      <c r="HWS49" s="426"/>
      <c r="HWT49" s="426"/>
      <c r="HWU49" s="426"/>
      <c r="HWV49" s="426"/>
      <c r="HWW49" s="426"/>
      <c r="HWX49" s="426"/>
      <c r="HWY49" s="426"/>
      <c r="HWZ49" s="426"/>
      <c r="HXA49" s="426"/>
      <c r="HXB49" s="426"/>
      <c r="HXC49" s="426"/>
      <c r="HXD49" s="426"/>
      <c r="HXE49" s="426"/>
      <c r="HXF49" s="426"/>
      <c r="HXG49" s="426"/>
      <c r="HXH49" s="426"/>
      <c r="HXI49" s="426"/>
      <c r="HXJ49" s="426"/>
      <c r="HXK49" s="426"/>
      <c r="HXL49" s="426"/>
      <c r="HXM49" s="426"/>
      <c r="HXN49" s="426"/>
      <c r="HXO49" s="426"/>
      <c r="HXP49" s="426"/>
      <c r="HXQ49" s="426"/>
      <c r="HXR49" s="426"/>
      <c r="HXS49" s="426"/>
      <c r="HXT49" s="426"/>
      <c r="HXU49" s="426"/>
      <c r="HXV49" s="426"/>
      <c r="HXW49" s="426"/>
      <c r="HXX49" s="426"/>
      <c r="HXY49" s="426"/>
      <c r="HXZ49" s="426"/>
      <c r="HYA49" s="426"/>
      <c r="HYB49" s="426"/>
      <c r="HYC49" s="426"/>
      <c r="HYD49" s="426"/>
      <c r="HYE49" s="426"/>
      <c r="HYF49" s="426"/>
      <c r="HYG49" s="426"/>
      <c r="HYH49" s="426"/>
      <c r="HYI49" s="426"/>
      <c r="HYJ49" s="426"/>
      <c r="HYK49" s="426"/>
      <c r="HYL49" s="426"/>
      <c r="HYM49" s="426"/>
      <c r="HYN49" s="426"/>
      <c r="HYO49" s="426"/>
      <c r="HYP49" s="426"/>
      <c r="HYQ49" s="426"/>
      <c r="HYR49" s="426"/>
      <c r="HYS49" s="426"/>
      <c r="HYT49" s="426"/>
      <c r="HYU49" s="426"/>
      <c r="HYV49" s="426"/>
      <c r="HYW49" s="426"/>
      <c r="HYX49" s="426"/>
      <c r="HYY49" s="426"/>
      <c r="HYZ49" s="426"/>
      <c r="HZA49" s="426"/>
      <c r="HZB49" s="426"/>
      <c r="HZC49" s="426"/>
      <c r="HZD49" s="426"/>
      <c r="HZE49" s="426"/>
      <c r="HZF49" s="426"/>
      <c r="HZG49" s="426"/>
      <c r="HZH49" s="426"/>
      <c r="HZI49" s="426"/>
      <c r="HZJ49" s="426"/>
      <c r="HZK49" s="426"/>
      <c r="HZL49" s="426"/>
      <c r="HZM49" s="426"/>
      <c r="HZN49" s="426"/>
      <c r="HZO49" s="426"/>
      <c r="HZP49" s="426"/>
      <c r="HZQ49" s="426"/>
      <c r="HZR49" s="426"/>
      <c r="HZS49" s="426"/>
      <c r="HZT49" s="426"/>
      <c r="HZU49" s="426"/>
      <c r="HZV49" s="426"/>
      <c r="HZW49" s="426"/>
      <c r="HZX49" s="426"/>
      <c r="HZY49" s="426"/>
      <c r="HZZ49" s="426"/>
      <c r="IAA49" s="426"/>
      <c r="IAB49" s="426"/>
      <c r="IAC49" s="426"/>
      <c r="IAD49" s="426"/>
      <c r="IAE49" s="426"/>
      <c r="IAF49" s="426"/>
      <c r="IAG49" s="426"/>
      <c r="IAH49" s="426"/>
      <c r="IAI49" s="426"/>
      <c r="IAJ49" s="426"/>
      <c r="IAK49" s="426"/>
      <c r="IAL49" s="426"/>
      <c r="IAM49" s="426"/>
      <c r="IAN49" s="426"/>
      <c r="IAO49" s="426"/>
      <c r="IAP49" s="426"/>
      <c r="IAQ49" s="426"/>
      <c r="IAR49" s="426"/>
      <c r="IAS49" s="426"/>
      <c r="IAT49" s="426"/>
      <c r="IAU49" s="426"/>
      <c r="IAV49" s="426"/>
      <c r="IAW49" s="426"/>
      <c r="IAX49" s="426"/>
      <c r="IAY49" s="426"/>
      <c r="IAZ49" s="426"/>
      <c r="IBA49" s="426"/>
      <c r="IBB49" s="426"/>
      <c r="IBC49" s="426"/>
      <c r="IBD49" s="426"/>
      <c r="IBE49" s="426"/>
      <c r="IBF49" s="426"/>
      <c r="IBG49" s="426"/>
      <c r="IBH49" s="426"/>
      <c r="IBI49" s="426"/>
      <c r="IBJ49" s="426"/>
      <c r="IBK49" s="426"/>
      <c r="IBL49" s="426"/>
      <c r="IBM49" s="426"/>
      <c r="IBN49" s="426"/>
      <c r="IBO49" s="426"/>
      <c r="IBP49" s="426"/>
      <c r="IBQ49" s="426"/>
      <c r="IBR49" s="426"/>
      <c r="IBS49" s="426"/>
      <c r="IBT49" s="426"/>
      <c r="IBU49" s="426"/>
      <c r="IBV49" s="426"/>
      <c r="IBW49" s="426"/>
      <c r="IBX49" s="426"/>
      <c r="IBY49" s="426"/>
      <c r="IBZ49" s="426"/>
      <c r="ICA49" s="426"/>
      <c r="ICB49" s="426"/>
      <c r="ICC49" s="426"/>
      <c r="ICD49" s="426"/>
      <c r="ICE49" s="426"/>
      <c r="ICF49" s="426"/>
      <c r="ICG49" s="426"/>
      <c r="ICH49" s="426"/>
      <c r="ICI49" s="426"/>
      <c r="ICJ49" s="426"/>
      <c r="ICK49" s="426"/>
      <c r="ICL49" s="426"/>
      <c r="ICM49" s="426"/>
      <c r="ICN49" s="426"/>
      <c r="ICO49" s="426"/>
      <c r="ICP49" s="426"/>
      <c r="ICQ49" s="426"/>
      <c r="ICR49" s="426"/>
      <c r="ICS49" s="426"/>
      <c r="ICT49" s="426"/>
      <c r="ICU49" s="426"/>
      <c r="ICV49" s="426"/>
      <c r="ICW49" s="426"/>
      <c r="ICX49" s="426"/>
      <c r="ICY49" s="426"/>
      <c r="ICZ49" s="426"/>
      <c r="IDA49" s="426"/>
      <c r="IDB49" s="426"/>
      <c r="IDC49" s="426"/>
      <c r="IDD49" s="426"/>
      <c r="IDE49" s="426"/>
      <c r="IDF49" s="426"/>
      <c r="IDG49" s="426"/>
      <c r="IDH49" s="426"/>
      <c r="IDI49" s="426"/>
      <c r="IDJ49" s="426"/>
      <c r="IDK49" s="426"/>
      <c r="IDL49" s="426"/>
      <c r="IDM49" s="426"/>
      <c r="IDN49" s="426"/>
      <c r="IDO49" s="426"/>
      <c r="IDP49" s="426"/>
      <c r="IDQ49" s="426"/>
      <c r="IDR49" s="426"/>
      <c r="IDS49" s="426"/>
      <c r="IDT49" s="426"/>
      <c r="IDU49" s="426"/>
      <c r="IDV49" s="426"/>
      <c r="IDW49" s="426"/>
      <c r="IDX49" s="426"/>
      <c r="IDY49" s="426"/>
      <c r="IDZ49" s="426"/>
      <c r="IEA49" s="426"/>
      <c r="IEB49" s="426"/>
      <c r="IEC49" s="426"/>
      <c r="IED49" s="426"/>
      <c r="IEE49" s="426"/>
      <c r="IEF49" s="426"/>
      <c r="IEG49" s="426"/>
      <c r="IEH49" s="426"/>
      <c r="IEI49" s="426"/>
      <c r="IEJ49" s="426"/>
      <c r="IEK49" s="426"/>
      <c r="IEL49" s="426"/>
      <c r="IEM49" s="426"/>
      <c r="IEN49" s="426"/>
      <c r="IEO49" s="426"/>
      <c r="IEP49" s="426"/>
      <c r="IEQ49" s="426"/>
      <c r="IER49" s="426"/>
      <c r="IES49" s="426"/>
      <c r="IET49" s="426"/>
      <c r="IEU49" s="426"/>
      <c r="IEV49" s="426"/>
      <c r="IEW49" s="426"/>
      <c r="IEX49" s="426"/>
      <c r="IEY49" s="426"/>
      <c r="IEZ49" s="426"/>
      <c r="IFA49" s="426"/>
      <c r="IFB49" s="426"/>
      <c r="IFC49" s="426"/>
      <c r="IFD49" s="426"/>
      <c r="IFE49" s="426"/>
      <c r="IFF49" s="426"/>
      <c r="IFG49" s="426"/>
      <c r="IFH49" s="426"/>
      <c r="IFI49" s="426"/>
      <c r="IFJ49" s="426"/>
      <c r="IFK49" s="426"/>
      <c r="IFL49" s="426"/>
      <c r="IFM49" s="426"/>
      <c r="IFN49" s="426"/>
      <c r="IFO49" s="426"/>
      <c r="IFP49" s="426"/>
      <c r="IFQ49" s="426"/>
      <c r="IFR49" s="426"/>
      <c r="IFS49" s="426"/>
      <c r="IFT49" s="426"/>
      <c r="IFU49" s="426"/>
      <c r="IFV49" s="426"/>
      <c r="IFW49" s="426"/>
      <c r="IFX49" s="426"/>
      <c r="IFY49" s="426"/>
      <c r="IFZ49" s="426"/>
      <c r="IGA49" s="426"/>
      <c r="IGB49" s="426"/>
      <c r="IGC49" s="426"/>
      <c r="IGD49" s="426"/>
      <c r="IGE49" s="426"/>
      <c r="IGF49" s="426"/>
      <c r="IGG49" s="426"/>
      <c r="IGH49" s="426"/>
      <c r="IGI49" s="426"/>
      <c r="IGJ49" s="426"/>
      <c r="IGK49" s="426"/>
      <c r="IGL49" s="426"/>
      <c r="IGM49" s="426"/>
      <c r="IGN49" s="426"/>
      <c r="IGO49" s="426"/>
      <c r="IGP49" s="426"/>
      <c r="IGQ49" s="426"/>
      <c r="IGR49" s="426"/>
      <c r="IGS49" s="426"/>
      <c r="IGT49" s="426"/>
      <c r="IGU49" s="426"/>
      <c r="IGV49" s="426"/>
      <c r="IGW49" s="426"/>
      <c r="IGX49" s="426"/>
      <c r="IGY49" s="426"/>
      <c r="IGZ49" s="426"/>
      <c r="IHA49" s="426"/>
      <c r="IHB49" s="426"/>
      <c r="IHC49" s="426"/>
      <c r="IHD49" s="426"/>
      <c r="IHE49" s="426"/>
      <c r="IHF49" s="426"/>
      <c r="IHG49" s="426"/>
      <c r="IHH49" s="426"/>
      <c r="IHI49" s="426"/>
      <c r="IHJ49" s="426"/>
      <c r="IHK49" s="426"/>
      <c r="IHL49" s="426"/>
      <c r="IHM49" s="426"/>
      <c r="IHN49" s="426"/>
      <c r="IHO49" s="426"/>
      <c r="IHP49" s="426"/>
      <c r="IHQ49" s="426"/>
      <c r="IHR49" s="426"/>
      <c r="IHS49" s="426"/>
      <c r="IHT49" s="426"/>
      <c r="IHU49" s="426"/>
      <c r="IHV49" s="426"/>
      <c r="IHW49" s="426"/>
      <c r="IHX49" s="426"/>
      <c r="IHY49" s="426"/>
      <c r="IHZ49" s="426"/>
      <c r="IIA49" s="426"/>
      <c r="IIB49" s="426"/>
      <c r="IIC49" s="426"/>
      <c r="IID49" s="426"/>
      <c r="IIE49" s="426"/>
      <c r="IIF49" s="426"/>
      <c r="IIG49" s="426"/>
      <c r="IIH49" s="426"/>
      <c r="III49" s="426"/>
      <c r="IIJ49" s="426"/>
      <c r="IIK49" s="426"/>
      <c r="IIL49" s="426"/>
      <c r="IIM49" s="426"/>
      <c r="IIN49" s="426"/>
      <c r="IIO49" s="426"/>
      <c r="IIP49" s="426"/>
      <c r="IIQ49" s="426"/>
      <c r="IIR49" s="426"/>
      <c r="IIS49" s="426"/>
      <c r="IIT49" s="426"/>
      <c r="IIU49" s="426"/>
      <c r="IIV49" s="426"/>
      <c r="IIW49" s="426"/>
      <c r="IIX49" s="426"/>
      <c r="IIY49" s="426"/>
      <c r="IIZ49" s="426"/>
      <c r="IJA49" s="426"/>
      <c r="IJB49" s="426"/>
      <c r="IJC49" s="426"/>
      <c r="IJD49" s="426"/>
      <c r="IJE49" s="426"/>
      <c r="IJF49" s="426"/>
      <c r="IJG49" s="426"/>
      <c r="IJH49" s="426"/>
      <c r="IJI49" s="426"/>
      <c r="IJJ49" s="426"/>
      <c r="IJK49" s="426"/>
      <c r="IJL49" s="426"/>
      <c r="IJM49" s="426"/>
      <c r="IJN49" s="426"/>
      <c r="IJO49" s="426"/>
      <c r="IJP49" s="426"/>
      <c r="IJQ49" s="426"/>
      <c r="IJR49" s="426"/>
      <c r="IJS49" s="426"/>
      <c r="IJT49" s="426"/>
      <c r="IJU49" s="426"/>
      <c r="IJV49" s="426"/>
      <c r="IJW49" s="426"/>
      <c r="IJX49" s="426"/>
      <c r="IJY49" s="426"/>
      <c r="IJZ49" s="426"/>
      <c r="IKA49" s="426"/>
      <c r="IKB49" s="426"/>
      <c r="IKC49" s="426"/>
      <c r="IKD49" s="426"/>
      <c r="IKE49" s="426"/>
      <c r="IKF49" s="426"/>
      <c r="IKG49" s="426"/>
      <c r="IKH49" s="426"/>
      <c r="IKI49" s="426"/>
      <c r="IKJ49" s="426"/>
      <c r="IKK49" s="426"/>
      <c r="IKL49" s="426"/>
      <c r="IKM49" s="426"/>
      <c r="IKN49" s="426"/>
      <c r="IKO49" s="426"/>
      <c r="IKP49" s="426"/>
      <c r="IKQ49" s="426"/>
      <c r="IKR49" s="426"/>
      <c r="IKS49" s="426"/>
      <c r="IKT49" s="426"/>
      <c r="IKU49" s="426"/>
      <c r="IKV49" s="426"/>
      <c r="IKW49" s="426"/>
      <c r="IKX49" s="426"/>
      <c r="IKY49" s="426"/>
      <c r="IKZ49" s="426"/>
      <c r="ILA49" s="426"/>
      <c r="ILB49" s="426"/>
      <c r="ILC49" s="426"/>
      <c r="ILD49" s="426"/>
      <c r="ILE49" s="426"/>
      <c r="ILF49" s="426"/>
      <c r="ILG49" s="426"/>
      <c r="ILH49" s="426"/>
      <c r="ILI49" s="426"/>
      <c r="ILJ49" s="426"/>
      <c r="ILK49" s="426"/>
      <c r="ILL49" s="426"/>
      <c r="ILM49" s="426"/>
      <c r="ILN49" s="426"/>
      <c r="ILO49" s="426"/>
      <c r="ILP49" s="426"/>
      <c r="ILQ49" s="426"/>
      <c r="ILR49" s="426"/>
      <c r="ILS49" s="426"/>
      <c r="ILT49" s="426"/>
      <c r="ILU49" s="426"/>
      <c r="ILV49" s="426"/>
      <c r="ILW49" s="426"/>
      <c r="ILX49" s="426"/>
      <c r="ILY49" s="426"/>
      <c r="ILZ49" s="426"/>
      <c r="IMA49" s="426"/>
      <c r="IMB49" s="426"/>
      <c r="IMC49" s="426"/>
      <c r="IMD49" s="426"/>
      <c r="IME49" s="426"/>
      <c r="IMF49" s="426"/>
      <c r="IMG49" s="426"/>
      <c r="IMH49" s="426"/>
      <c r="IMI49" s="426"/>
      <c r="IMJ49" s="426"/>
      <c r="IMK49" s="426"/>
      <c r="IML49" s="426"/>
      <c r="IMM49" s="426"/>
      <c r="IMN49" s="426"/>
      <c r="IMO49" s="426"/>
      <c r="IMP49" s="426"/>
      <c r="IMQ49" s="426"/>
      <c r="IMR49" s="426"/>
      <c r="IMS49" s="426"/>
      <c r="IMT49" s="426"/>
      <c r="IMU49" s="426"/>
      <c r="IMV49" s="426"/>
      <c r="IMW49" s="426"/>
      <c r="IMX49" s="426"/>
      <c r="IMY49" s="426"/>
      <c r="IMZ49" s="426"/>
      <c r="INA49" s="426"/>
      <c r="INB49" s="426"/>
      <c r="INC49" s="426"/>
      <c r="IND49" s="426"/>
      <c r="INE49" s="426"/>
      <c r="INF49" s="426"/>
      <c r="ING49" s="426"/>
      <c r="INH49" s="426"/>
      <c r="INI49" s="426"/>
      <c r="INJ49" s="426"/>
      <c r="INK49" s="426"/>
      <c r="INL49" s="426"/>
      <c r="INM49" s="426"/>
      <c r="INN49" s="426"/>
      <c r="INO49" s="426"/>
      <c r="INP49" s="426"/>
      <c r="INQ49" s="426"/>
      <c r="INR49" s="426"/>
      <c r="INS49" s="426"/>
      <c r="INT49" s="426"/>
      <c r="INU49" s="426"/>
      <c r="INV49" s="426"/>
      <c r="INW49" s="426"/>
      <c r="INX49" s="426"/>
      <c r="INY49" s="426"/>
      <c r="INZ49" s="426"/>
      <c r="IOA49" s="426"/>
      <c r="IOB49" s="426"/>
      <c r="IOC49" s="426"/>
      <c r="IOD49" s="426"/>
      <c r="IOE49" s="426"/>
      <c r="IOF49" s="426"/>
      <c r="IOG49" s="426"/>
      <c r="IOH49" s="426"/>
      <c r="IOI49" s="426"/>
      <c r="IOJ49" s="426"/>
      <c r="IOK49" s="426"/>
      <c r="IOL49" s="426"/>
      <c r="IOM49" s="426"/>
      <c r="ION49" s="426"/>
      <c r="IOO49" s="426"/>
      <c r="IOP49" s="426"/>
      <c r="IOQ49" s="426"/>
      <c r="IOR49" s="426"/>
      <c r="IOS49" s="426"/>
      <c r="IOT49" s="426"/>
      <c r="IOU49" s="426"/>
      <c r="IOV49" s="426"/>
      <c r="IOW49" s="426"/>
      <c r="IOX49" s="426"/>
      <c r="IOY49" s="426"/>
      <c r="IOZ49" s="426"/>
      <c r="IPA49" s="426"/>
      <c r="IPB49" s="426"/>
      <c r="IPC49" s="426"/>
      <c r="IPD49" s="426"/>
      <c r="IPE49" s="426"/>
      <c r="IPF49" s="426"/>
      <c r="IPG49" s="426"/>
      <c r="IPH49" s="426"/>
      <c r="IPI49" s="426"/>
      <c r="IPJ49" s="426"/>
      <c r="IPK49" s="426"/>
      <c r="IPL49" s="426"/>
      <c r="IPM49" s="426"/>
      <c r="IPN49" s="426"/>
      <c r="IPO49" s="426"/>
      <c r="IPP49" s="426"/>
      <c r="IPQ49" s="426"/>
      <c r="IPR49" s="426"/>
      <c r="IPS49" s="426"/>
      <c r="IPT49" s="426"/>
      <c r="IPU49" s="426"/>
      <c r="IPV49" s="426"/>
      <c r="IPW49" s="426"/>
      <c r="IPX49" s="426"/>
      <c r="IPY49" s="426"/>
      <c r="IPZ49" s="426"/>
      <c r="IQA49" s="426"/>
      <c r="IQB49" s="426"/>
      <c r="IQC49" s="426"/>
      <c r="IQD49" s="426"/>
      <c r="IQE49" s="426"/>
      <c r="IQF49" s="426"/>
      <c r="IQG49" s="426"/>
      <c r="IQH49" s="426"/>
      <c r="IQI49" s="426"/>
      <c r="IQJ49" s="426"/>
      <c r="IQK49" s="426"/>
      <c r="IQL49" s="426"/>
      <c r="IQM49" s="426"/>
      <c r="IQN49" s="426"/>
      <c r="IQO49" s="426"/>
      <c r="IQP49" s="426"/>
      <c r="IQQ49" s="426"/>
      <c r="IQR49" s="426"/>
      <c r="IQS49" s="426"/>
      <c r="IQT49" s="426"/>
      <c r="IQU49" s="426"/>
      <c r="IQV49" s="426"/>
      <c r="IQW49" s="426"/>
      <c r="IQX49" s="426"/>
      <c r="IQY49" s="426"/>
      <c r="IQZ49" s="426"/>
      <c r="IRA49" s="426"/>
      <c r="IRB49" s="426"/>
      <c r="IRC49" s="426"/>
      <c r="IRD49" s="426"/>
      <c r="IRE49" s="426"/>
      <c r="IRF49" s="426"/>
      <c r="IRG49" s="426"/>
      <c r="IRH49" s="426"/>
      <c r="IRI49" s="426"/>
      <c r="IRJ49" s="426"/>
      <c r="IRK49" s="426"/>
      <c r="IRL49" s="426"/>
      <c r="IRM49" s="426"/>
      <c r="IRN49" s="426"/>
      <c r="IRO49" s="426"/>
      <c r="IRP49" s="426"/>
      <c r="IRQ49" s="426"/>
      <c r="IRR49" s="426"/>
      <c r="IRS49" s="426"/>
      <c r="IRT49" s="426"/>
      <c r="IRU49" s="426"/>
      <c r="IRV49" s="426"/>
      <c r="IRW49" s="426"/>
      <c r="IRX49" s="426"/>
      <c r="IRY49" s="426"/>
      <c r="IRZ49" s="426"/>
      <c r="ISA49" s="426"/>
      <c r="ISB49" s="426"/>
      <c r="ISC49" s="426"/>
      <c r="ISD49" s="426"/>
      <c r="ISE49" s="426"/>
      <c r="ISF49" s="426"/>
      <c r="ISG49" s="426"/>
      <c r="ISH49" s="426"/>
      <c r="ISI49" s="426"/>
      <c r="ISJ49" s="426"/>
      <c r="ISK49" s="426"/>
      <c r="ISL49" s="426"/>
      <c r="ISM49" s="426"/>
      <c r="ISN49" s="426"/>
      <c r="ISO49" s="426"/>
      <c r="ISP49" s="426"/>
      <c r="ISQ49" s="426"/>
      <c r="ISR49" s="426"/>
      <c r="ISS49" s="426"/>
      <c r="IST49" s="426"/>
      <c r="ISU49" s="426"/>
      <c r="ISV49" s="426"/>
      <c r="ISW49" s="426"/>
      <c r="ISX49" s="426"/>
      <c r="ISY49" s="426"/>
      <c r="ISZ49" s="426"/>
      <c r="ITA49" s="426"/>
      <c r="ITB49" s="426"/>
      <c r="ITC49" s="426"/>
      <c r="ITD49" s="426"/>
      <c r="ITE49" s="426"/>
      <c r="ITF49" s="426"/>
      <c r="ITG49" s="426"/>
      <c r="ITH49" s="426"/>
      <c r="ITI49" s="426"/>
      <c r="ITJ49" s="426"/>
      <c r="ITK49" s="426"/>
      <c r="ITL49" s="426"/>
      <c r="ITM49" s="426"/>
      <c r="ITN49" s="426"/>
      <c r="ITO49" s="426"/>
      <c r="ITP49" s="426"/>
      <c r="ITQ49" s="426"/>
      <c r="ITR49" s="426"/>
      <c r="ITS49" s="426"/>
      <c r="ITT49" s="426"/>
      <c r="ITU49" s="426"/>
      <c r="ITV49" s="426"/>
      <c r="ITW49" s="426"/>
      <c r="ITX49" s="426"/>
      <c r="ITY49" s="426"/>
      <c r="ITZ49" s="426"/>
      <c r="IUA49" s="426"/>
      <c r="IUB49" s="426"/>
      <c r="IUC49" s="426"/>
      <c r="IUD49" s="426"/>
      <c r="IUE49" s="426"/>
      <c r="IUF49" s="426"/>
      <c r="IUG49" s="426"/>
      <c r="IUH49" s="426"/>
      <c r="IUI49" s="426"/>
      <c r="IUJ49" s="426"/>
      <c r="IUK49" s="426"/>
      <c r="IUL49" s="426"/>
      <c r="IUM49" s="426"/>
      <c r="IUN49" s="426"/>
      <c r="IUO49" s="426"/>
      <c r="IUP49" s="426"/>
      <c r="IUQ49" s="426"/>
      <c r="IUR49" s="426"/>
      <c r="IUS49" s="426"/>
      <c r="IUT49" s="426"/>
      <c r="IUU49" s="426"/>
      <c r="IUV49" s="426"/>
      <c r="IUW49" s="426"/>
      <c r="IUX49" s="426"/>
      <c r="IUY49" s="426"/>
      <c r="IUZ49" s="426"/>
      <c r="IVA49" s="426"/>
      <c r="IVB49" s="426"/>
      <c r="IVC49" s="426"/>
      <c r="IVD49" s="426"/>
      <c r="IVE49" s="426"/>
      <c r="IVF49" s="426"/>
      <c r="IVG49" s="426"/>
      <c r="IVH49" s="426"/>
      <c r="IVI49" s="426"/>
      <c r="IVJ49" s="426"/>
      <c r="IVK49" s="426"/>
      <c r="IVL49" s="426"/>
      <c r="IVM49" s="426"/>
      <c r="IVN49" s="426"/>
      <c r="IVO49" s="426"/>
      <c r="IVP49" s="426"/>
      <c r="IVQ49" s="426"/>
      <c r="IVR49" s="426"/>
      <c r="IVS49" s="426"/>
      <c r="IVT49" s="426"/>
      <c r="IVU49" s="426"/>
      <c r="IVV49" s="426"/>
      <c r="IVW49" s="426"/>
      <c r="IVX49" s="426"/>
      <c r="IVY49" s="426"/>
      <c r="IVZ49" s="426"/>
      <c r="IWA49" s="426"/>
      <c r="IWB49" s="426"/>
      <c r="IWC49" s="426"/>
      <c r="IWD49" s="426"/>
      <c r="IWE49" s="426"/>
      <c r="IWF49" s="426"/>
      <c r="IWG49" s="426"/>
      <c r="IWH49" s="426"/>
      <c r="IWI49" s="426"/>
      <c r="IWJ49" s="426"/>
      <c r="IWK49" s="426"/>
      <c r="IWL49" s="426"/>
      <c r="IWM49" s="426"/>
      <c r="IWN49" s="426"/>
      <c r="IWO49" s="426"/>
      <c r="IWP49" s="426"/>
      <c r="IWQ49" s="426"/>
      <c r="IWR49" s="426"/>
      <c r="IWS49" s="426"/>
      <c r="IWT49" s="426"/>
      <c r="IWU49" s="426"/>
      <c r="IWV49" s="426"/>
      <c r="IWW49" s="426"/>
      <c r="IWX49" s="426"/>
      <c r="IWY49" s="426"/>
      <c r="IWZ49" s="426"/>
      <c r="IXA49" s="426"/>
      <c r="IXB49" s="426"/>
      <c r="IXC49" s="426"/>
      <c r="IXD49" s="426"/>
      <c r="IXE49" s="426"/>
      <c r="IXF49" s="426"/>
      <c r="IXG49" s="426"/>
      <c r="IXH49" s="426"/>
      <c r="IXI49" s="426"/>
      <c r="IXJ49" s="426"/>
      <c r="IXK49" s="426"/>
      <c r="IXL49" s="426"/>
      <c r="IXM49" s="426"/>
      <c r="IXN49" s="426"/>
      <c r="IXO49" s="426"/>
      <c r="IXP49" s="426"/>
      <c r="IXQ49" s="426"/>
      <c r="IXR49" s="426"/>
      <c r="IXS49" s="426"/>
      <c r="IXT49" s="426"/>
      <c r="IXU49" s="426"/>
      <c r="IXV49" s="426"/>
      <c r="IXW49" s="426"/>
      <c r="IXX49" s="426"/>
      <c r="IXY49" s="426"/>
      <c r="IXZ49" s="426"/>
      <c r="IYA49" s="426"/>
      <c r="IYB49" s="426"/>
      <c r="IYC49" s="426"/>
      <c r="IYD49" s="426"/>
      <c r="IYE49" s="426"/>
      <c r="IYF49" s="426"/>
      <c r="IYG49" s="426"/>
      <c r="IYH49" s="426"/>
      <c r="IYI49" s="426"/>
      <c r="IYJ49" s="426"/>
      <c r="IYK49" s="426"/>
      <c r="IYL49" s="426"/>
      <c r="IYM49" s="426"/>
      <c r="IYN49" s="426"/>
      <c r="IYO49" s="426"/>
      <c r="IYP49" s="426"/>
      <c r="IYQ49" s="426"/>
      <c r="IYR49" s="426"/>
      <c r="IYS49" s="426"/>
      <c r="IYT49" s="426"/>
      <c r="IYU49" s="426"/>
      <c r="IYV49" s="426"/>
      <c r="IYW49" s="426"/>
      <c r="IYX49" s="426"/>
      <c r="IYY49" s="426"/>
      <c r="IYZ49" s="426"/>
      <c r="IZA49" s="426"/>
      <c r="IZB49" s="426"/>
      <c r="IZC49" s="426"/>
      <c r="IZD49" s="426"/>
      <c r="IZE49" s="426"/>
      <c r="IZF49" s="426"/>
      <c r="IZG49" s="426"/>
      <c r="IZH49" s="426"/>
      <c r="IZI49" s="426"/>
      <c r="IZJ49" s="426"/>
      <c r="IZK49" s="426"/>
      <c r="IZL49" s="426"/>
      <c r="IZM49" s="426"/>
      <c r="IZN49" s="426"/>
      <c r="IZO49" s="426"/>
      <c r="IZP49" s="426"/>
      <c r="IZQ49" s="426"/>
      <c r="IZR49" s="426"/>
      <c r="IZS49" s="426"/>
      <c r="IZT49" s="426"/>
      <c r="IZU49" s="426"/>
      <c r="IZV49" s="426"/>
      <c r="IZW49" s="426"/>
      <c r="IZX49" s="426"/>
      <c r="IZY49" s="426"/>
      <c r="IZZ49" s="426"/>
      <c r="JAA49" s="426"/>
      <c r="JAB49" s="426"/>
      <c r="JAC49" s="426"/>
      <c r="JAD49" s="426"/>
      <c r="JAE49" s="426"/>
      <c r="JAF49" s="426"/>
      <c r="JAG49" s="426"/>
      <c r="JAH49" s="426"/>
      <c r="JAI49" s="426"/>
      <c r="JAJ49" s="426"/>
      <c r="JAK49" s="426"/>
      <c r="JAL49" s="426"/>
      <c r="JAM49" s="426"/>
      <c r="JAN49" s="426"/>
      <c r="JAO49" s="426"/>
      <c r="JAP49" s="426"/>
      <c r="JAQ49" s="426"/>
      <c r="JAR49" s="426"/>
      <c r="JAS49" s="426"/>
      <c r="JAT49" s="426"/>
      <c r="JAU49" s="426"/>
      <c r="JAV49" s="426"/>
      <c r="JAW49" s="426"/>
      <c r="JAX49" s="426"/>
      <c r="JAY49" s="426"/>
      <c r="JAZ49" s="426"/>
      <c r="JBA49" s="426"/>
      <c r="JBB49" s="426"/>
      <c r="JBC49" s="426"/>
      <c r="JBD49" s="426"/>
      <c r="JBE49" s="426"/>
      <c r="JBF49" s="426"/>
      <c r="JBG49" s="426"/>
      <c r="JBH49" s="426"/>
      <c r="JBI49" s="426"/>
      <c r="JBJ49" s="426"/>
      <c r="JBK49" s="426"/>
      <c r="JBL49" s="426"/>
      <c r="JBM49" s="426"/>
      <c r="JBN49" s="426"/>
      <c r="JBO49" s="426"/>
      <c r="JBP49" s="426"/>
      <c r="JBQ49" s="426"/>
      <c r="JBR49" s="426"/>
      <c r="JBS49" s="426"/>
      <c r="JBT49" s="426"/>
      <c r="JBU49" s="426"/>
      <c r="JBV49" s="426"/>
      <c r="JBW49" s="426"/>
      <c r="JBX49" s="426"/>
      <c r="JBY49" s="426"/>
      <c r="JBZ49" s="426"/>
      <c r="JCA49" s="426"/>
      <c r="JCB49" s="426"/>
      <c r="JCC49" s="426"/>
      <c r="JCD49" s="426"/>
      <c r="JCE49" s="426"/>
      <c r="JCF49" s="426"/>
      <c r="JCG49" s="426"/>
      <c r="JCH49" s="426"/>
      <c r="JCI49" s="426"/>
      <c r="JCJ49" s="426"/>
      <c r="JCK49" s="426"/>
      <c r="JCL49" s="426"/>
      <c r="JCM49" s="426"/>
      <c r="JCN49" s="426"/>
      <c r="JCO49" s="426"/>
      <c r="JCP49" s="426"/>
      <c r="JCQ49" s="426"/>
      <c r="JCR49" s="426"/>
      <c r="JCS49" s="426"/>
      <c r="JCT49" s="426"/>
      <c r="JCU49" s="426"/>
      <c r="JCV49" s="426"/>
      <c r="JCW49" s="426"/>
      <c r="JCX49" s="426"/>
      <c r="JCY49" s="426"/>
      <c r="JCZ49" s="426"/>
      <c r="JDA49" s="426"/>
      <c r="JDB49" s="426"/>
      <c r="JDC49" s="426"/>
      <c r="JDD49" s="426"/>
      <c r="JDE49" s="426"/>
      <c r="JDF49" s="426"/>
      <c r="JDG49" s="426"/>
      <c r="JDH49" s="426"/>
      <c r="JDI49" s="426"/>
      <c r="JDJ49" s="426"/>
      <c r="JDK49" s="426"/>
      <c r="JDL49" s="426"/>
      <c r="JDM49" s="426"/>
      <c r="JDN49" s="426"/>
      <c r="JDO49" s="426"/>
      <c r="JDP49" s="426"/>
      <c r="JDQ49" s="426"/>
      <c r="JDR49" s="426"/>
      <c r="JDS49" s="426"/>
      <c r="JDT49" s="426"/>
      <c r="JDU49" s="426"/>
      <c r="JDV49" s="426"/>
      <c r="JDW49" s="426"/>
      <c r="JDX49" s="426"/>
      <c r="JDY49" s="426"/>
      <c r="JDZ49" s="426"/>
      <c r="JEA49" s="426"/>
      <c r="JEB49" s="426"/>
      <c r="JEC49" s="426"/>
      <c r="JED49" s="426"/>
      <c r="JEE49" s="426"/>
      <c r="JEF49" s="426"/>
      <c r="JEG49" s="426"/>
      <c r="JEH49" s="426"/>
      <c r="JEI49" s="426"/>
      <c r="JEJ49" s="426"/>
      <c r="JEK49" s="426"/>
      <c r="JEL49" s="426"/>
      <c r="JEM49" s="426"/>
      <c r="JEN49" s="426"/>
      <c r="JEO49" s="426"/>
      <c r="JEP49" s="426"/>
      <c r="JEQ49" s="426"/>
      <c r="JER49" s="426"/>
      <c r="JES49" s="426"/>
      <c r="JET49" s="426"/>
      <c r="JEU49" s="426"/>
      <c r="JEV49" s="426"/>
      <c r="JEW49" s="426"/>
      <c r="JEX49" s="426"/>
      <c r="JEY49" s="426"/>
      <c r="JEZ49" s="426"/>
      <c r="JFA49" s="426"/>
      <c r="JFB49" s="426"/>
      <c r="JFC49" s="426"/>
      <c r="JFD49" s="426"/>
      <c r="JFE49" s="426"/>
      <c r="JFF49" s="426"/>
      <c r="JFG49" s="426"/>
      <c r="JFH49" s="426"/>
      <c r="JFI49" s="426"/>
      <c r="JFJ49" s="426"/>
      <c r="JFK49" s="426"/>
      <c r="JFL49" s="426"/>
      <c r="JFM49" s="426"/>
      <c r="JFN49" s="426"/>
      <c r="JFO49" s="426"/>
      <c r="JFP49" s="426"/>
      <c r="JFQ49" s="426"/>
      <c r="JFR49" s="426"/>
      <c r="JFS49" s="426"/>
      <c r="JFT49" s="426"/>
      <c r="JFU49" s="426"/>
      <c r="JFV49" s="426"/>
      <c r="JFW49" s="426"/>
      <c r="JFX49" s="426"/>
      <c r="JFY49" s="426"/>
      <c r="JFZ49" s="426"/>
      <c r="JGA49" s="426"/>
      <c r="JGB49" s="426"/>
      <c r="JGC49" s="426"/>
      <c r="JGD49" s="426"/>
      <c r="JGE49" s="426"/>
      <c r="JGF49" s="426"/>
      <c r="JGG49" s="426"/>
      <c r="JGH49" s="426"/>
      <c r="JGI49" s="426"/>
      <c r="JGJ49" s="426"/>
      <c r="JGK49" s="426"/>
      <c r="JGL49" s="426"/>
      <c r="JGM49" s="426"/>
      <c r="JGN49" s="426"/>
      <c r="JGO49" s="426"/>
      <c r="JGP49" s="426"/>
      <c r="JGQ49" s="426"/>
      <c r="JGR49" s="426"/>
      <c r="JGS49" s="426"/>
      <c r="JGT49" s="426"/>
      <c r="JGU49" s="426"/>
      <c r="JGV49" s="426"/>
      <c r="JGW49" s="426"/>
      <c r="JGX49" s="426"/>
      <c r="JGY49" s="426"/>
      <c r="JGZ49" s="426"/>
      <c r="JHA49" s="426"/>
      <c r="JHB49" s="426"/>
      <c r="JHC49" s="426"/>
      <c r="JHD49" s="426"/>
      <c r="JHE49" s="426"/>
      <c r="JHF49" s="426"/>
      <c r="JHG49" s="426"/>
      <c r="JHH49" s="426"/>
      <c r="JHI49" s="426"/>
      <c r="JHJ49" s="426"/>
      <c r="JHK49" s="426"/>
      <c r="JHL49" s="426"/>
      <c r="JHM49" s="426"/>
      <c r="JHN49" s="426"/>
      <c r="JHO49" s="426"/>
      <c r="JHP49" s="426"/>
      <c r="JHQ49" s="426"/>
      <c r="JHR49" s="426"/>
      <c r="JHS49" s="426"/>
      <c r="JHT49" s="426"/>
      <c r="JHU49" s="426"/>
      <c r="JHV49" s="426"/>
      <c r="JHW49" s="426"/>
      <c r="JHX49" s="426"/>
      <c r="JHY49" s="426"/>
      <c r="JHZ49" s="426"/>
      <c r="JIA49" s="426"/>
      <c r="JIB49" s="426"/>
      <c r="JIC49" s="426"/>
      <c r="JID49" s="426"/>
      <c r="JIE49" s="426"/>
      <c r="JIF49" s="426"/>
      <c r="JIG49" s="426"/>
      <c r="JIH49" s="426"/>
      <c r="JII49" s="426"/>
      <c r="JIJ49" s="426"/>
      <c r="JIK49" s="426"/>
      <c r="JIL49" s="426"/>
      <c r="JIM49" s="426"/>
      <c r="JIN49" s="426"/>
      <c r="JIO49" s="426"/>
      <c r="JIP49" s="426"/>
      <c r="JIQ49" s="426"/>
      <c r="JIR49" s="426"/>
      <c r="JIS49" s="426"/>
      <c r="JIT49" s="426"/>
      <c r="JIU49" s="426"/>
      <c r="JIV49" s="426"/>
      <c r="JIW49" s="426"/>
      <c r="JIX49" s="426"/>
      <c r="JIY49" s="426"/>
      <c r="JIZ49" s="426"/>
      <c r="JJA49" s="426"/>
      <c r="JJB49" s="426"/>
      <c r="JJC49" s="426"/>
      <c r="JJD49" s="426"/>
      <c r="JJE49" s="426"/>
      <c r="JJF49" s="426"/>
      <c r="JJG49" s="426"/>
      <c r="JJH49" s="426"/>
      <c r="JJI49" s="426"/>
      <c r="JJJ49" s="426"/>
      <c r="JJK49" s="426"/>
      <c r="JJL49" s="426"/>
      <c r="JJM49" s="426"/>
      <c r="JJN49" s="426"/>
      <c r="JJO49" s="426"/>
      <c r="JJP49" s="426"/>
      <c r="JJQ49" s="426"/>
      <c r="JJR49" s="426"/>
      <c r="JJS49" s="426"/>
      <c r="JJT49" s="426"/>
      <c r="JJU49" s="426"/>
      <c r="JJV49" s="426"/>
      <c r="JJW49" s="426"/>
      <c r="JJX49" s="426"/>
      <c r="JJY49" s="426"/>
      <c r="JJZ49" s="426"/>
      <c r="JKA49" s="426"/>
      <c r="JKB49" s="426"/>
      <c r="JKC49" s="426"/>
      <c r="JKD49" s="426"/>
      <c r="JKE49" s="426"/>
      <c r="JKF49" s="426"/>
      <c r="JKG49" s="426"/>
      <c r="JKH49" s="426"/>
      <c r="JKI49" s="426"/>
      <c r="JKJ49" s="426"/>
      <c r="JKK49" s="426"/>
      <c r="JKL49" s="426"/>
      <c r="JKM49" s="426"/>
      <c r="JKN49" s="426"/>
      <c r="JKO49" s="426"/>
      <c r="JKP49" s="426"/>
      <c r="JKQ49" s="426"/>
      <c r="JKR49" s="426"/>
      <c r="JKS49" s="426"/>
      <c r="JKT49" s="426"/>
      <c r="JKU49" s="426"/>
      <c r="JKV49" s="426"/>
      <c r="JKW49" s="426"/>
      <c r="JKX49" s="426"/>
      <c r="JKY49" s="426"/>
      <c r="JKZ49" s="426"/>
      <c r="JLA49" s="426"/>
      <c r="JLB49" s="426"/>
      <c r="JLC49" s="426"/>
      <c r="JLD49" s="426"/>
      <c r="JLE49" s="426"/>
      <c r="JLF49" s="426"/>
      <c r="JLG49" s="426"/>
      <c r="JLH49" s="426"/>
      <c r="JLI49" s="426"/>
      <c r="JLJ49" s="426"/>
      <c r="JLK49" s="426"/>
      <c r="JLL49" s="426"/>
      <c r="JLM49" s="426"/>
      <c r="JLN49" s="426"/>
      <c r="JLO49" s="426"/>
      <c r="JLP49" s="426"/>
      <c r="JLQ49" s="426"/>
      <c r="JLR49" s="426"/>
      <c r="JLS49" s="426"/>
      <c r="JLT49" s="426"/>
      <c r="JLU49" s="426"/>
      <c r="JLV49" s="426"/>
      <c r="JLW49" s="426"/>
      <c r="JLX49" s="426"/>
      <c r="JLY49" s="426"/>
      <c r="JLZ49" s="426"/>
      <c r="JMA49" s="426"/>
      <c r="JMB49" s="426"/>
      <c r="JMC49" s="426"/>
      <c r="JMD49" s="426"/>
      <c r="JME49" s="426"/>
      <c r="JMF49" s="426"/>
      <c r="JMG49" s="426"/>
      <c r="JMH49" s="426"/>
      <c r="JMI49" s="426"/>
      <c r="JMJ49" s="426"/>
      <c r="JMK49" s="426"/>
      <c r="JML49" s="426"/>
      <c r="JMM49" s="426"/>
      <c r="JMN49" s="426"/>
      <c r="JMO49" s="426"/>
      <c r="JMP49" s="426"/>
      <c r="JMQ49" s="426"/>
      <c r="JMR49" s="426"/>
      <c r="JMS49" s="426"/>
      <c r="JMT49" s="426"/>
      <c r="JMU49" s="426"/>
      <c r="JMV49" s="426"/>
      <c r="JMW49" s="426"/>
      <c r="JMX49" s="426"/>
      <c r="JMY49" s="426"/>
      <c r="JMZ49" s="426"/>
      <c r="JNA49" s="426"/>
      <c r="JNB49" s="426"/>
      <c r="JNC49" s="426"/>
      <c r="JND49" s="426"/>
      <c r="JNE49" s="426"/>
      <c r="JNF49" s="426"/>
      <c r="JNG49" s="426"/>
      <c r="JNH49" s="426"/>
      <c r="JNI49" s="426"/>
      <c r="JNJ49" s="426"/>
      <c r="JNK49" s="426"/>
      <c r="JNL49" s="426"/>
      <c r="JNM49" s="426"/>
      <c r="JNN49" s="426"/>
      <c r="JNO49" s="426"/>
      <c r="JNP49" s="426"/>
      <c r="JNQ49" s="426"/>
      <c r="JNR49" s="426"/>
      <c r="JNS49" s="426"/>
      <c r="JNT49" s="426"/>
      <c r="JNU49" s="426"/>
      <c r="JNV49" s="426"/>
      <c r="JNW49" s="426"/>
      <c r="JNX49" s="426"/>
      <c r="JNY49" s="426"/>
      <c r="JNZ49" s="426"/>
      <c r="JOA49" s="426"/>
      <c r="JOB49" s="426"/>
      <c r="JOC49" s="426"/>
      <c r="JOD49" s="426"/>
      <c r="JOE49" s="426"/>
      <c r="JOF49" s="426"/>
      <c r="JOG49" s="426"/>
      <c r="JOH49" s="426"/>
      <c r="JOI49" s="426"/>
      <c r="JOJ49" s="426"/>
      <c r="JOK49" s="426"/>
      <c r="JOL49" s="426"/>
      <c r="JOM49" s="426"/>
      <c r="JON49" s="426"/>
      <c r="JOO49" s="426"/>
      <c r="JOP49" s="426"/>
      <c r="JOQ49" s="426"/>
      <c r="JOR49" s="426"/>
      <c r="JOS49" s="426"/>
      <c r="JOT49" s="426"/>
      <c r="JOU49" s="426"/>
      <c r="JOV49" s="426"/>
      <c r="JOW49" s="426"/>
      <c r="JOX49" s="426"/>
      <c r="JOY49" s="426"/>
      <c r="JOZ49" s="426"/>
      <c r="JPA49" s="426"/>
      <c r="JPB49" s="426"/>
      <c r="JPC49" s="426"/>
      <c r="JPD49" s="426"/>
      <c r="JPE49" s="426"/>
      <c r="JPF49" s="426"/>
      <c r="JPG49" s="426"/>
      <c r="JPH49" s="426"/>
      <c r="JPI49" s="426"/>
      <c r="JPJ49" s="426"/>
      <c r="JPK49" s="426"/>
      <c r="JPL49" s="426"/>
      <c r="JPM49" s="426"/>
      <c r="JPN49" s="426"/>
      <c r="JPO49" s="426"/>
      <c r="JPP49" s="426"/>
      <c r="JPQ49" s="426"/>
      <c r="JPR49" s="426"/>
      <c r="JPS49" s="426"/>
      <c r="JPT49" s="426"/>
      <c r="JPU49" s="426"/>
      <c r="JPV49" s="426"/>
      <c r="JPW49" s="426"/>
      <c r="JPX49" s="426"/>
      <c r="JPY49" s="426"/>
      <c r="JPZ49" s="426"/>
      <c r="JQA49" s="426"/>
      <c r="JQB49" s="426"/>
      <c r="JQC49" s="426"/>
      <c r="JQD49" s="426"/>
      <c r="JQE49" s="426"/>
      <c r="JQF49" s="426"/>
      <c r="JQG49" s="426"/>
      <c r="JQH49" s="426"/>
      <c r="JQI49" s="426"/>
      <c r="JQJ49" s="426"/>
      <c r="JQK49" s="426"/>
      <c r="JQL49" s="426"/>
      <c r="JQM49" s="426"/>
      <c r="JQN49" s="426"/>
      <c r="JQO49" s="426"/>
      <c r="JQP49" s="426"/>
      <c r="JQQ49" s="426"/>
      <c r="JQR49" s="426"/>
      <c r="JQS49" s="426"/>
      <c r="JQT49" s="426"/>
      <c r="JQU49" s="426"/>
      <c r="JQV49" s="426"/>
      <c r="JQW49" s="426"/>
      <c r="JQX49" s="426"/>
      <c r="JQY49" s="426"/>
      <c r="JQZ49" s="426"/>
      <c r="JRA49" s="426"/>
      <c r="JRB49" s="426"/>
      <c r="JRC49" s="426"/>
      <c r="JRD49" s="426"/>
      <c r="JRE49" s="426"/>
      <c r="JRF49" s="426"/>
      <c r="JRG49" s="426"/>
      <c r="JRH49" s="426"/>
      <c r="JRI49" s="426"/>
      <c r="JRJ49" s="426"/>
      <c r="JRK49" s="426"/>
      <c r="JRL49" s="426"/>
      <c r="JRM49" s="426"/>
      <c r="JRN49" s="426"/>
      <c r="JRO49" s="426"/>
      <c r="JRP49" s="426"/>
      <c r="JRQ49" s="426"/>
      <c r="JRR49" s="426"/>
      <c r="JRS49" s="426"/>
      <c r="JRT49" s="426"/>
      <c r="JRU49" s="426"/>
      <c r="JRV49" s="426"/>
      <c r="JRW49" s="426"/>
      <c r="JRX49" s="426"/>
      <c r="JRY49" s="426"/>
      <c r="JRZ49" s="426"/>
      <c r="JSA49" s="426"/>
      <c r="JSB49" s="426"/>
      <c r="JSC49" s="426"/>
      <c r="JSD49" s="426"/>
      <c r="JSE49" s="426"/>
      <c r="JSF49" s="426"/>
      <c r="JSG49" s="426"/>
      <c r="JSH49" s="426"/>
      <c r="JSI49" s="426"/>
      <c r="JSJ49" s="426"/>
      <c r="JSK49" s="426"/>
      <c r="JSL49" s="426"/>
      <c r="JSM49" s="426"/>
      <c r="JSN49" s="426"/>
      <c r="JSO49" s="426"/>
      <c r="JSP49" s="426"/>
      <c r="JSQ49" s="426"/>
      <c r="JSR49" s="426"/>
      <c r="JSS49" s="426"/>
      <c r="JST49" s="426"/>
      <c r="JSU49" s="426"/>
      <c r="JSV49" s="426"/>
      <c r="JSW49" s="426"/>
      <c r="JSX49" s="426"/>
      <c r="JSY49" s="426"/>
      <c r="JSZ49" s="426"/>
      <c r="JTA49" s="426"/>
      <c r="JTB49" s="426"/>
      <c r="JTC49" s="426"/>
      <c r="JTD49" s="426"/>
      <c r="JTE49" s="426"/>
      <c r="JTF49" s="426"/>
      <c r="JTG49" s="426"/>
      <c r="JTH49" s="426"/>
      <c r="JTI49" s="426"/>
      <c r="JTJ49" s="426"/>
      <c r="JTK49" s="426"/>
      <c r="JTL49" s="426"/>
      <c r="JTM49" s="426"/>
      <c r="JTN49" s="426"/>
      <c r="JTO49" s="426"/>
      <c r="JTP49" s="426"/>
      <c r="JTQ49" s="426"/>
      <c r="JTR49" s="426"/>
      <c r="JTS49" s="426"/>
      <c r="JTT49" s="426"/>
      <c r="JTU49" s="426"/>
      <c r="JTV49" s="426"/>
      <c r="JTW49" s="426"/>
      <c r="JTX49" s="426"/>
      <c r="JTY49" s="426"/>
      <c r="JTZ49" s="426"/>
      <c r="JUA49" s="426"/>
      <c r="JUB49" s="426"/>
      <c r="JUC49" s="426"/>
      <c r="JUD49" s="426"/>
      <c r="JUE49" s="426"/>
      <c r="JUF49" s="426"/>
      <c r="JUG49" s="426"/>
      <c r="JUH49" s="426"/>
      <c r="JUI49" s="426"/>
      <c r="JUJ49" s="426"/>
      <c r="JUK49" s="426"/>
      <c r="JUL49" s="426"/>
      <c r="JUM49" s="426"/>
      <c r="JUN49" s="426"/>
      <c r="JUO49" s="426"/>
      <c r="JUP49" s="426"/>
      <c r="JUQ49" s="426"/>
      <c r="JUR49" s="426"/>
      <c r="JUS49" s="426"/>
      <c r="JUT49" s="426"/>
      <c r="JUU49" s="426"/>
      <c r="JUV49" s="426"/>
      <c r="JUW49" s="426"/>
      <c r="JUX49" s="426"/>
      <c r="JUY49" s="426"/>
      <c r="JUZ49" s="426"/>
      <c r="JVA49" s="426"/>
      <c r="JVB49" s="426"/>
      <c r="JVC49" s="426"/>
      <c r="JVD49" s="426"/>
      <c r="JVE49" s="426"/>
      <c r="JVF49" s="426"/>
      <c r="JVG49" s="426"/>
      <c r="JVH49" s="426"/>
      <c r="JVI49" s="426"/>
      <c r="JVJ49" s="426"/>
      <c r="JVK49" s="426"/>
      <c r="JVL49" s="426"/>
      <c r="JVM49" s="426"/>
      <c r="JVN49" s="426"/>
      <c r="JVO49" s="426"/>
      <c r="JVP49" s="426"/>
      <c r="JVQ49" s="426"/>
      <c r="JVR49" s="426"/>
      <c r="JVS49" s="426"/>
      <c r="JVT49" s="426"/>
      <c r="JVU49" s="426"/>
      <c r="JVV49" s="426"/>
      <c r="JVW49" s="426"/>
      <c r="JVX49" s="426"/>
      <c r="JVY49" s="426"/>
      <c r="JVZ49" s="426"/>
      <c r="JWA49" s="426"/>
      <c r="JWB49" s="426"/>
      <c r="JWC49" s="426"/>
      <c r="JWD49" s="426"/>
      <c r="JWE49" s="426"/>
      <c r="JWF49" s="426"/>
      <c r="JWG49" s="426"/>
      <c r="JWH49" s="426"/>
      <c r="JWI49" s="426"/>
      <c r="JWJ49" s="426"/>
      <c r="JWK49" s="426"/>
      <c r="JWL49" s="426"/>
      <c r="JWM49" s="426"/>
      <c r="JWN49" s="426"/>
      <c r="JWO49" s="426"/>
      <c r="JWP49" s="426"/>
      <c r="JWQ49" s="426"/>
      <c r="JWR49" s="426"/>
      <c r="JWS49" s="426"/>
      <c r="JWT49" s="426"/>
      <c r="JWU49" s="426"/>
      <c r="JWV49" s="426"/>
      <c r="JWW49" s="426"/>
      <c r="JWX49" s="426"/>
      <c r="JWY49" s="426"/>
      <c r="JWZ49" s="426"/>
      <c r="JXA49" s="426"/>
      <c r="JXB49" s="426"/>
      <c r="JXC49" s="426"/>
      <c r="JXD49" s="426"/>
      <c r="JXE49" s="426"/>
      <c r="JXF49" s="426"/>
      <c r="JXG49" s="426"/>
      <c r="JXH49" s="426"/>
      <c r="JXI49" s="426"/>
      <c r="JXJ49" s="426"/>
      <c r="JXK49" s="426"/>
      <c r="JXL49" s="426"/>
      <c r="JXM49" s="426"/>
      <c r="JXN49" s="426"/>
      <c r="JXO49" s="426"/>
      <c r="JXP49" s="426"/>
      <c r="JXQ49" s="426"/>
      <c r="JXR49" s="426"/>
      <c r="JXS49" s="426"/>
      <c r="JXT49" s="426"/>
      <c r="JXU49" s="426"/>
      <c r="JXV49" s="426"/>
      <c r="JXW49" s="426"/>
      <c r="JXX49" s="426"/>
      <c r="JXY49" s="426"/>
      <c r="JXZ49" s="426"/>
      <c r="JYA49" s="426"/>
      <c r="JYB49" s="426"/>
      <c r="JYC49" s="426"/>
      <c r="JYD49" s="426"/>
      <c r="JYE49" s="426"/>
      <c r="JYF49" s="426"/>
      <c r="JYG49" s="426"/>
      <c r="JYH49" s="426"/>
      <c r="JYI49" s="426"/>
      <c r="JYJ49" s="426"/>
      <c r="JYK49" s="426"/>
      <c r="JYL49" s="426"/>
      <c r="JYM49" s="426"/>
      <c r="JYN49" s="426"/>
      <c r="JYO49" s="426"/>
      <c r="JYP49" s="426"/>
      <c r="JYQ49" s="426"/>
      <c r="JYR49" s="426"/>
      <c r="JYS49" s="426"/>
      <c r="JYT49" s="426"/>
      <c r="JYU49" s="426"/>
      <c r="JYV49" s="426"/>
      <c r="JYW49" s="426"/>
      <c r="JYX49" s="426"/>
      <c r="JYY49" s="426"/>
      <c r="JYZ49" s="426"/>
      <c r="JZA49" s="426"/>
      <c r="JZB49" s="426"/>
      <c r="JZC49" s="426"/>
      <c r="JZD49" s="426"/>
      <c r="JZE49" s="426"/>
      <c r="JZF49" s="426"/>
      <c r="JZG49" s="426"/>
      <c r="JZH49" s="426"/>
      <c r="JZI49" s="426"/>
      <c r="JZJ49" s="426"/>
      <c r="JZK49" s="426"/>
      <c r="JZL49" s="426"/>
      <c r="JZM49" s="426"/>
      <c r="JZN49" s="426"/>
      <c r="JZO49" s="426"/>
      <c r="JZP49" s="426"/>
      <c r="JZQ49" s="426"/>
      <c r="JZR49" s="426"/>
      <c r="JZS49" s="426"/>
      <c r="JZT49" s="426"/>
      <c r="JZU49" s="426"/>
      <c r="JZV49" s="426"/>
      <c r="JZW49" s="426"/>
      <c r="JZX49" s="426"/>
      <c r="JZY49" s="426"/>
      <c r="JZZ49" s="426"/>
      <c r="KAA49" s="426"/>
      <c r="KAB49" s="426"/>
      <c r="KAC49" s="426"/>
      <c r="KAD49" s="426"/>
      <c r="KAE49" s="426"/>
      <c r="KAF49" s="426"/>
      <c r="KAG49" s="426"/>
      <c r="KAH49" s="426"/>
      <c r="KAI49" s="426"/>
      <c r="KAJ49" s="426"/>
      <c r="KAK49" s="426"/>
      <c r="KAL49" s="426"/>
      <c r="KAM49" s="426"/>
      <c r="KAN49" s="426"/>
      <c r="KAO49" s="426"/>
      <c r="KAP49" s="426"/>
      <c r="KAQ49" s="426"/>
      <c r="KAR49" s="426"/>
      <c r="KAS49" s="426"/>
      <c r="KAT49" s="426"/>
      <c r="KAU49" s="426"/>
      <c r="KAV49" s="426"/>
      <c r="KAW49" s="426"/>
      <c r="KAX49" s="426"/>
      <c r="KAY49" s="426"/>
      <c r="KAZ49" s="426"/>
      <c r="KBA49" s="426"/>
      <c r="KBB49" s="426"/>
      <c r="KBC49" s="426"/>
      <c r="KBD49" s="426"/>
      <c r="KBE49" s="426"/>
      <c r="KBF49" s="426"/>
      <c r="KBG49" s="426"/>
      <c r="KBH49" s="426"/>
      <c r="KBI49" s="426"/>
      <c r="KBJ49" s="426"/>
      <c r="KBK49" s="426"/>
      <c r="KBL49" s="426"/>
      <c r="KBM49" s="426"/>
      <c r="KBN49" s="426"/>
      <c r="KBO49" s="426"/>
      <c r="KBP49" s="426"/>
      <c r="KBQ49" s="426"/>
      <c r="KBR49" s="426"/>
      <c r="KBS49" s="426"/>
      <c r="KBT49" s="426"/>
      <c r="KBU49" s="426"/>
      <c r="KBV49" s="426"/>
      <c r="KBW49" s="426"/>
      <c r="KBX49" s="426"/>
      <c r="KBY49" s="426"/>
      <c r="KBZ49" s="426"/>
      <c r="KCA49" s="426"/>
      <c r="KCB49" s="426"/>
      <c r="KCC49" s="426"/>
      <c r="KCD49" s="426"/>
      <c r="KCE49" s="426"/>
      <c r="KCF49" s="426"/>
      <c r="KCG49" s="426"/>
      <c r="KCH49" s="426"/>
      <c r="KCI49" s="426"/>
      <c r="KCJ49" s="426"/>
      <c r="KCK49" s="426"/>
      <c r="KCL49" s="426"/>
      <c r="KCM49" s="426"/>
      <c r="KCN49" s="426"/>
      <c r="KCO49" s="426"/>
      <c r="KCP49" s="426"/>
      <c r="KCQ49" s="426"/>
      <c r="KCR49" s="426"/>
      <c r="KCS49" s="426"/>
      <c r="KCT49" s="426"/>
      <c r="KCU49" s="426"/>
      <c r="KCV49" s="426"/>
      <c r="KCW49" s="426"/>
      <c r="KCX49" s="426"/>
      <c r="KCY49" s="426"/>
      <c r="KCZ49" s="426"/>
      <c r="KDA49" s="426"/>
      <c r="KDB49" s="426"/>
      <c r="KDC49" s="426"/>
      <c r="KDD49" s="426"/>
      <c r="KDE49" s="426"/>
      <c r="KDF49" s="426"/>
      <c r="KDG49" s="426"/>
      <c r="KDH49" s="426"/>
      <c r="KDI49" s="426"/>
      <c r="KDJ49" s="426"/>
      <c r="KDK49" s="426"/>
      <c r="KDL49" s="426"/>
      <c r="KDM49" s="426"/>
      <c r="KDN49" s="426"/>
      <c r="KDO49" s="426"/>
      <c r="KDP49" s="426"/>
      <c r="KDQ49" s="426"/>
      <c r="KDR49" s="426"/>
      <c r="KDS49" s="426"/>
      <c r="KDT49" s="426"/>
      <c r="KDU49" s="426"/>
      <c r="KDV49" s="426"/>
      <c r="KDW49" s="426"/>
      <c r="KDX49" s="426"/>
      <c r="KDY49" s="426"/>
      <c r="KDZ49" s="426"/>
      <c r="KEA49" s="426"/>
      <c r="KEB49" s="426"/>
      <c r="KEC49" s="426"/>
      <c r="KED49" s="426"/>
      <c r="KEE49" s="426"/>
      <c r="KEF49" s="426"/>
      <c r="KEG49" s="426"/>
      <c r="KEH49" s="426"/>
      <c r="KEI49" s="426"/>
      <c r="KEJ49" s="426"/>
      <c r="KEK49" s="426"/>
      <c r="KEL49" s="426"/>
      <c r="KEM49" s="426"/>
      <c r="KEN49" s="426"/>
      <c r="KEO49" s="426"/>
      <c r="KEP49" s="426"/>
      <c r="KEQ49" s="426"/>
      <c r="KER49" s="426"/>
      <c r="KES49" s="426"/>
      <c r="KET49" s="426"/>
      <c r="KEU49" s="426"/>
      <c r="KEV49" s="426"/>
      <c r="KEW49" s="426"/>
      <c r="KEX49" s="426"/>
      <c r="KEY49" s="426"/>
      <c r="KEZ49" s="426"/>
      <c r="KFA49" s="426"/>
      <c r="KFB49" s="426"/>
      <c r="KFC49" s="426"/>
      <c r="KFD49" s="426"/>
      <c r="KFE49" s="426"/>
      <c r="KFF49" s="426"/>
      <c r="KFG49" s="426"/>
      <c r="KFH49" s="426"/>
      <c r="KFI49" s="426"/>
      <c r="KFJ49" s="426"/>
      <c r="KFK49" s="426"/>
      <c r="KFL49" s="426"/>
      <c r="KFM49" s="426"/>
      <c r="KFN49" s="426"/>
      <c r="KFO49" s="426"/>
      <c r="KFP49" s="426"/>
      <c r="KFQ49" s="426"/>
      <c r="KFR49" s="426"/>
      <c r="KFS49" s="426"/>
      <c r="KFT49" s="426"/>
      <c r="KFU49" s="426"/>
      <c r="KFV49" s="426"/>
      <c r="KFW49" s="426"/>
      <c r="KFX49" s="426"/>
      <c r="KFY49" s="426"/>
      <c r="KFZ49" s="426"/>
      <c r="KGA49" s="426"/>
      <c r="KGB49" s="426"/>
      <c r="KGC49" s="426"/>
      <c r="KGD49" s="426"/>
      <c r="KGE49" s="426"/>
      <c r="KGF49" s="426"/>
      <c r="KGG49" s="426"/>
      <c r="KGH49" s="426"/>
      <c r="KGI49" s="426"/>
      <c r="KGJ49" s="426"/>
      <c r="KGK49" s="426"/>
      <c r="KGL49" s="426"/>
      <c r="KGM49" s="426"/>
      <c r="KGN49" s="426"/>
      <c r="KGO49" s="426"/>
      <c r="KGP49" s="426"/>
      <c r="KGQ49" s="426"/>
      <c r="KGR49" s="426"/>
      <c r="KGS49" s="426"/>
      <c r="KGT49" s="426"/>
      <c r="KGU49" s="426"/>
      <c r="KGV49" s="426"/>
      <c r="KGW49" s="426"/>
      <c r="KGX49" s="426"/>
      <c r="KGY49" s="426"/>
      <c r="KGZ49" s="426"/>
      <c r="KHA49" s="426"/>
      <c r="KHB49" s="426"/>
      <c r="KHC49" s="426"/>
      <c r="KHD49" s="426"/>
      <c r="KHE49" s="426"/>
      <c r="KHF49" s="426"/>
      <c r="KHG49" s="426"/>
      <c r="KHH49" s="426"/>
      <c r="KHI49" s="426"/>
      <c r="KHJ49" s="426"/>
      <c r="KHK49" s="426"/>
      <c r="KHL49" s="426"/>
      <c r="KHM49" s="426"/>
      <c r="KHN49" s="426"/>
      <c r="KHO49" s="426"/>
      <c r="KHP49" s="426"/>
      <c r="KHQ49" s="426"/>
      <c r="KHR49" s="426"/>
      <c r="KHS49" s="426"/>
      <c r="KHT49" s="426"/>
      <c r="KHU49" s="426"/>
      <c r="KHV49" s="426"/>
      <c r="KHW49" s="426"/>
      <c r="KHX49" s="426"/>
      <c r="KHY49" s="426"/>
      <c r="KHZ49" s="426"/>
      <c r="KIA49" s="426"/>
      <c r="KIB49" s="426"/>
      <c r="KIC49" s="426"/>
      <c r="KID49" s="426"/>
      <c r="KIE49" s="426"/>
      <c r="KIF49" s="426"/>
      <c r="KIG49" s="426"/>
      <c r="KIH49" s="426"/>
      <c r="KII49" s="426"/>
      <c r="KIJ49" s="426"/>
      <c r="KIK49" s="426"/>
      <c r="KIL49" s="426"/>
      <c r="KIM49" s="426"/>
      <c r="KIN49" s="426"/>
      <c r="KIO49" s="426"/>
      <c r="KIP49" s="426"/>
      <c r="KIQ49" s="426"/>
      <c r="KIR49" s="426"/>
      <c r="KIS49" s="426"/>
      <c r="KIT49" s="426"/>
      <c r="KIU49" s="426"/>
      <c r="KIV49" s="426"/>
      <c r="KIW49" s="426"/>
      <c r="KIX49" s="426"/>
      <c r="KIY49" s="426"/>
      <c r="KIZ49" s="426"/>
      <c r="KJA49" s="426"/>
      <c r="KJB49" s="426"/>
      <c r="KJC49" s="426"/>
      <c r="KJD49" s="426"/>
      <c r="KJE49" s="426"/>
      <c r="KJF49" s="426"/>
      <c r="KJG49" s="426"/>
      <c r="KJH49" s="426"/>
      <c r="KJI49" s="426"/>
      <c r="KJJ49" s="426"/>
      <c r="KJK49" s="426"/>
      <c r="KJL49" s="426"/>
      <c r="KJM49" s="426"/>
      <c r="KJN49" s="426"/>
      <c r="KJO49" s="426"/>
      <c r="KJP49" s="426"/>
      <c r="KJQ49" s="426"/>
      <c r="KJR49" s="426"/>
      <c r="KJS49" s="426"/>
      <c r="KJT49" s="426"/>
      <c r="KJU49" s="426"/>
      <c r="KJV49" s="426"/>
      <c r="KJW49" s="426"/>
      <c r="KJX49" s="426"/>
      <c r="KJY49" s="426"/>
      <c r="KJZ49" s="426"/>
      <c r="KKA49" s="426"/>
      <c r="KKB49" s="426"/>
      <c r="KKC49" s="426"/>
      <c r="KKD49" s="426"/>
      <c r="KKE49" s="426"/>
      <c r="KKF49" s="426"/>
      <c r="KKG49" s="426"/>
      <c r="KKH49" s="426"/>
      <c r="KKI49" s="426"/>
      <c r="KKJ49" s="426"/>
      <c r="KKK49" s="426"/>
      <c r="KKL49" s="426"/>
      <c r="KKM49" s="426"/>
      <c r="KKN49" s="426"/>
      <c r="KKO49" s="426"/>
      <c r="KKP49" s="426"/>
      <c r="KKQ49" s="426"/>
      <c r="KKR49" s="426"/>
      <c r="KKS49" s="426"/>
      <c r="KKT49" s="426"/>
      <c r="KKU49" s="426"/>
      <c r="KKV49" s="426"/>
      <c r="KKW49" s="426"/>
      <c r="KKX49" s="426"/>
      <c r="KKY49" s="426"/>
      <c r="KKZ49" s="426"/>
      <c r="KLA49" s="426"/>
      <c r="KLB49" s="426"/>
      <c r="KLC49" s="426"/>
      <c r="KLD49" s="426"/>
      <c r="KLE49" s="426"/>
      <c r="KLF49" s="426"/>
      <c r="KLG49" s="426"/>
      <c r="KLH49" s="426"/>
      <c r="KLI49" s="426"/>
      <c r="KLJ49" s="426"/>
      <c r="KLK49" s="426"/>
      <c r="KLL49" s="426"/>
      <c r="KLM49" s="426"/>
      <c r="KLN49" s="426"/>
      <c r="KLO49" s="426"/>
      <c r="KLP49" s="426"/>
      <c r="KLQ49" s="426"/>
      <c r="KLR49" s="426"/>
      <c r="KLS49" s="426"/>
      <c r="KLT49" s="426"/>
      <c r="KLU49" s="426"/>
      <c r="KLV49" s="426"/>
      <c r="KLW49" s="426"/>
      <c r="KLX49" s="426"/>
      <c r="KLY49" s="426"/>
      <c r="KLZ49" s="426"/>
      <c r="KMA49" s="426"/>
      <c r="KMB49" s="426"/>
      <c r="KMC49" s="426"/>
      <c r="KMD49" s="426"/>
      <c r="KME49" s="426"/>
      <c r="KMF49" s="426"/>
      <c r="KMG49" s="426"/>
      <c r="KMH49" s="426"/>
      <c r="KMI49" s="426"/>
      <c r="KMJ49" s="426"/>
      <c r="KMK49" s="426"/>
      <c r="KML49" s="426"/>
      <c r="KMM49" s="426"/>
      <c r="KMN49" s="426"/>
      <c r="KMO49" s="426"/>
      <c r="KMP49" s="426"/>
      <c r="KMQ49" s="426"/>
      <c r="KMR49" s="426"/>
      <c r="KMS49" s="426"/>
      <c r="KMT49" s="426"/>
      <c r="KMU49" s="426"/>
      <c r="KMV49" s="426"/>
      <c r="KMW49" s="426"/>
      <c r="KMX49" s="426"/>
      <c r="KMY49" s="426"/>
      <c r="KMZ49" s="426"/>
      <c r="KNA49" s="426"/>
      <c r="KNB49" s="426"/>
      <c r="KNC49" s="426"/>
      <c r="KND49" s="426"/>
      <c r="KNE49" s="426"/>
      <c r="KNF49" s="426"/>
      <c r="KNG49" s="426"/>
      <c r="KNH49" s="426"/>
      <c r="KNI49" s="426"/>
      <c r="KNJ49" s="426"/>
      <c r="KNK49" s="426"/>
      <c r="KNL49" s="426"/>
      <c r="KNM49" s="426"/>
      <c r="KNN49" s="426"/>
      <c r="KNO49" s="426"/>
      <c r="KNP49" s="426"/>
      <c r="KNQ49" s="426"/>
      <c r="KNR49" s="426"/>
      <c r="KNS49" s="426"/>
      <c r="KNT49" s="426"/>
      <c r="KNU49" s="426"/>
      <c r="KNV49" s="426"/>
      <c r="KNW49" s="426"/>
      <c r="KNX49" s="426"/>
      <c r="KNY49" s="426"/>
      <c r="KNZ49" s="426"/>
      <c r="KOA49" s="426"/>
      <c r="KOB49" s="426"/>
      <c r="KOC49" s="426"/>
      <c r="KOD49" s="426"/>
      <c r="KOE49" s="426"/>
      <c r="KOF49" s="426"/>
      <c r="KOG49" s="426"/>
      <c r="KOH49" s="426"/>
      <c r="KOI49" s="426"/>
      <c r="KOJ49" s="426"/>
      <c r="KOK49" s="426"/>
      <c r="KOL49" s="426"/>
      <c r="KOM49" s="426"/>
      <c r="KON49" s="426"/>
      <c r="KOO49" s="426"/>
      <c r="KOP49" s="426"/>
      <c r="KOQ49" s="426"/>
      <c r="KOR49" s="426"/>
      <c r="KOS49" s="426"/>
      <c r="KOT49" s="426"/>
      <c r="KOU49" s="426"/>
      <c r="KOV49" s="426"/>
      <c r="KOW49" s="426"/>
      <c r="KOX49" s="426"/>
      <c r="KOY49" s="426"/>
      <c r="KOZ49" s="426"/>
      <c r="KPA49" s="426"/>
      <c r="KPB49" s="426"/>
      <c r="KPC49" s="426"/>
      <c r="KPD49" s="426"/>
      <c r="KPE49" s="426"/>
      <c r="KPF49" s="426"/>
      <c r="KPG49" s="426"/>
      <c r="KPH49" s="426"/>
      <c r="KPI49" s="426"/>
      <c r="KPJ49" s="426"/>
      <c r="KPK49" s="426"/>
      <c r="KPL49" s="426"/>
      <c r="KPM49" s="426"/>
      <c r="KPN49" s="426"/>
      <c r="KPO49" s="426"/>
      <c r="KPP49" s="426"/>
      <c r="KPQ49" s="426"/>
      <c r="KPR49" s="426"/>
      <c r="KPS49" s="426"/>
      <c r="KPT49" s="426"/>
      <c r="KPU49" s="426"/>
      <c r="KPV49" s="426"/>
      <c r="KPW49" s="426"/>
      <c r="KPX49" s="426"/>
      <c r="KPY49" s="426"/>
      <c r="KPZ49" s="426"/>
      <c r="KQA49" s="426"/>
      <c r="KQB49" s="426"/>
      <c r="KQC49" s="426"/>
      <c r="KQD49" s="426"/>
      <c r="KQE49" s="426"/>
      <c r="KQF49" s="426"/>
      <c r="KQG49" s="426"/>
      <c r="KQH49" s="426"/>
      <c r="KQI49" s="426"/>
      <c r="KQJ49" s="426"/>
      <c r="KQK49" s="426"/>
      <c r="KQL49" s="426"/>
      <c r="KQM49" s="426"/>
      <c r="KQN49" s="426"/>
      <c r="KQO49" s="426"/>
      <c r="KQP49" s="426"/>
      <c r="KQQ49" s="426"/>
      <c r="KQR49" s="426"/>
      <c r="KQS49" s="426"/>
      <c r="KQT49" s="426"/>
      <c r="KQU49" s="426"/>
      <c r="KQV49" s="426"/>
      <c r="KQW49" s="426"/>
      <c r="KQX49" s="426"/>
      <c r="KQY49" s="426"/>
      <c r="KQZ49" s="426"/>
      <c r="KRA49" s="426"/>
      <c r="KRB49" s="426"/>
      <c r="KRC49" s="426"/>
      <c r="KRD49" s="426"/>
      <c r="KRE49" s="426"/>
      <c r="KRF49" s="426"/>
      <c r="KRG49" s="426"/>
      <c r="KRH49" s="426"/>
      <c r="KRI49" s="426"/>
      <c r="KRJ49" s="426"/>
      <c r="KRK49" s="426"/>
      <c r="KRL49" s="426"/>
      <c r="KRM49" s="426"/>
      <c r="KRN49" s="426"/>
      <c r="KRO49" s="426"/>
      <c r="KRP49" s="426"/>
      <c r="KRQ49" s="426"/>
      <c r="KRR49" s="426"/>
      <c r="KRS49" s="426"/>
      <c r="KRT49" s="426"/>
      <c r="KRU49" s="426"/>
      <c r="KRV49" s="426"/>
      <c r="KRW49" s="426"/>
      <c r="KRX49" s="426"/>
      <c r="KRY49" s="426"/>
      <c r="KRZ49" s="426"/>
      <c r="KSA49" s="426"/>
      <c r="KSB49" s="426"/>
      <c r="KSC49" s="426"/>
      <c r="KSD49" s="426"/>
      <c r="KSE49" s="426"/>
      <c r="KSF49" s="426"/>
      <c r="KSG49" s="426"/>
      <c r="KSH49" s="426"/>
      <c r="KSI49" s="426"/>
      <c r="KSJ49" s="426"/>
      <c r="KSK49" s="426"/>
      <c r="KSL49" s="426"/>
      <c r="KSM49" s="426"/>
      <c r="KSN49" s="426"/>
      <c r="KSO49" s="426"/>
      <c r="KSP49" s="426"/>
      <c r="KSQ49" s="426"/>
      <c r="KSR49" s="426"/>
      <c r="KSS49" s="426"/>
      <c r="KST49" s="426"/>
      <c r="KSU49" s="426"/>
      <c r="KSV49" s="426"/>
      <c r="KSW49" s="426"/>
      <c r="KSX49" s="426"/>
      <c r="KSY49" s="426"/>
      <c r="KSZ49" s="426"/>
      <c r="KTA49" s="426"/>
      <c r="KTB49" s="426"/>
      <c r="KTC49" s="426"/>
      <c r="KTD49" s="426"/>
      <c r="KTE49" s="426"/>
      <c r="KTF49" s="426"/>
      <c r="KTG49" s="426"/>
      <c r="KTH49" s="426"/>
      <c r="KTI49" s="426"/>
      <c r="KTJ49" s="426"/>
      <c r="KTK49" s="426"/>
      <c r="KTL49" s="426"/>
      <c r="KTM49" s="426"/>
      <c r="KTN49" s="426"/>
      <c r="KTO49" s="426"/>
      <c r="KTP49" s="426"/>
      <c r="KTQ49" s="426"/>
      <c r="KTR49" s="426"/>
      <c r="KTS49" s="426"/>
      <c r="KTT49" s="426"/>
      <c r="KTU49" s="426"/>
      <c r="KTV49" s="426"/>
      <c r="KTW49" s="426"/>
      <c r="KTX49" s="426"/>
      <c r="KTY49" s="426"/>
      <c r="KTZ49" s="426"/>
      <c r="KUA49" s="426"/>
      <c r="KUB49" s="426"/>
      <c r="KUC49" s="426"/>
      <c r="KUD49" s="426"/>
      <c r="KUE49" s="426"/>
      <c r="KUF49" s="426"/>
      <c r="KUG49" s="426"/>
      <c r="KUH49" s="426"/>
      <c r="KUI49" s="426"/>
      <c r="KUJ49" s="426"/>
      <c r="KUK49" s="426"/>
      <c r="KUL49" s="426"/>
      <c r="KUM49" s="426"/>
      <c r="KUN49" s="426"/>
      <c r="KUO49" s="426"/>
      <c r="KUP49" s="426"/>
      <c r="KUQ49" s="426"/>
      <c r="KUR49" s="426"/>
      <c r="KUS49" s="426"/>
      <c r="KUT49" s="426"/>
      <c r="KUU49" s="426"/>
      <c r="KUV49" s="426"/>
      <c r="KUW49" s="426"/>
      <c r="KUX49" s="426"/>
      <c r="KUY49" s="426"/>
      <c r="KUZ49" s="426"/>
      <c r="KVA49" s="426"/>
      <c r="KVB49" s="426"/>
      <c r="KVC49" s="426"/>
      <c r="KVD49" s="426"/>
      <c r="KVE49" s="426"/>
      <c r="KVF49" s="426"/>
      <c r="KVG49" s="426"/>
      <c r="KVH49" s="426"/>
      <c r="KVI49" s="426"/>
      <c r="KVJ49" s="426"/>
      <c r="KVK49" s="426"/>
      <c r="KVL49" s="426"/>
      <c r="KVM49" s="426"/>
      <c r="KVN49" s="426"/>
      <c r="KVO49" s="426"/>
      <c r="KVP49" s="426"/>
      <c r="KVQ49" s="426"/>
      <c r="KVR49" s="426"/>
      <c r="KVS49" s="426"/>
      <c r="KVT49" s="426"/>
      <c r="KVU49" s="426"/>
      <c r="KVV49" s="426"/>
      <c r="KVW49" s="426"/>
      <c r="KVX49" s="426"/>
      <c r="KVY49" s="426"/>
      <c r="KVZ49" s="426"/>
      <c r="KWA49" s="426"/>
      <c r="KWB49" s="426"/>
      <c r="KWC49" s="426"/>
      <c r="KWD49" s="426"/>
      <c r="KWE49" s="426"/>
      <c r="KWF49" s="426"/>
      <c r="KWG49" s="426"/>
      <c r="KWH49" s="426"/>
      <c r="KWI49" s="426"/>
      <c r="KWJ49" s="426"/>
      <c r="KWK49" s="426"/>
      <c r="KWL49" s="426"/>
      <c r="KWM49" s="426"/>
      <c r="KWN49" s="426"/>
      <c r="KWO49" s="426"/>
      <c r="KWP49" s="426"/>
      <c r="KWQ49" s="426"/>
      <c r="KWR49" s="426"/>
      <c r="KWS49" s="426"/>
      <c r="KWT49" s="426"/>
      <c r="KWU49" s="426"/>
      <c r="KWV49" s="426"/>
      <c r="KWW49" s="426"/>
      <c r="KWX49" s="426"/>
      <c r="KWY49" s="426"/>
      <c r="KWZ49" s="426"/>
      <c r="KXA49" s="426"/>
      <c r="KXB49" s="426"/>
      <c r="KXC49" s="426"/>
      <c r="KXD49" s="426"/>
      <c r="KXE49" s="426"/>
      <c r="KXF49" s="426"/>
      <c r="KXG49" s="426"/>
      <c r="KXH49" s="426"/>
      <c r="KXI49" s="426"/>
      <c r="KXJ49" s="426"/>
      <c r="KXK49" s="426"/>
      <c r="KXL49" s="426"/>
      <c r="KXM49" s="426"/>
      <c r="KXN49" s="426"/>
      <c r="KXO49" s="426"/>
      <c r="KXP49" s="426"/>
      <c r="KXQ49" s="426"/>
      <c r="KXR49" s="426"/>
      <c r="KXS49" s="426"/>
      <c r="KXT49" s="426"/>
      <c r="KXU49" s="426"/>
      <c r="KXV49" s="426"/>
      <c r="KXW49" s="426"/>
      <c r="KXX49" s="426"/>
      <c r="KXY49" s="426"/>
      <c r="KXZ49" s="426"/>
      <c r="KYA49" s="426"/>
      <c r="KYB49" s="426"/>
      <c r="KYC49" s="426"/>
      <c r="KYD49" s="426"/>
      <c r="KYE49" s="426"/>
      <c r="KYF49" s="426"/>
      <c r="KYG49" s="426"/>
      <c r="KYH49" s="426"/>
      <c r="KYI49" s="426"/>
      <c r="KYJ49" s="426"/>
      <c r="KYK49" s="426"/>
      <c r="KYL49" s="426"/>
      <c r="KYM49" s="426"/>
      <c r="KYN49" s="426"/>
      <c r="KYO49" s="426"/>
      <c r="KYP49" s="426"/>
      <c r="KYQ49" s="426"/>
      <c r="KYR49" s="426"/>
      <c r="KYS49" s="426"/>
      <c r="KYT49" s="426"/>
      <c r="KYU49" s="426"/>
      <c r="KYV49" s="426"/>
      <c r="KYW49" s="426"/>
      <c r="KYX49" s="426"/>
      <c r="KYY49" s="426"/>
      <c r="KYZ49" s="426"/>
      <c r="KZA49" s="426"/>
      <c r="KZB49" s="426"/>
      <c r="KZC49" s="426"/>
      <c r="KZD49" s="426"/>
      <c r="KZE49" s="426"/>
      <c r="KZF49" s="426"/>
      <c r="KZG49" s="426"/>
      <c r="KZH49" s="426"/>
      <c r="KZI49" s="426"/>
      <c r="KZJ49" s="426"/>
      <c r="KZK49" s="426"/>
      <c r="KZL49" s="426"/>
      <c r="KZM49" s="426"/>
      <c r="KZN49" s="426"/>
      <c r="KZO49" s="426"/>
      <c r="KZP49" s="426"/>
      <c r="KZQ49" s="426"/>
      <c r="KZR49" s="426"/>
      <c r="KZS49" s="426"/>
      <c r="KZT49" s="426"/>
      <c r="KZU49" s="426"/>
      <c r="KZV49" s="426"/>
      <c r="KZW49" s="426"/>
      <c r="KZX49" s="426"/>
      <c r="KZY49" s="426"/>
      <c r="KZZ49" s="426"/>
      <c r="LAA49" s="426"/>
      <c r="LAB49" s="426"/>
      <c r="LAC49" s="426"/>
      <c r="LAD49" s="426"/>
      <c r="LAE49" s="426"/>
      <c r="LAF49" s="426"/>
      <c r="LAG49" s="426"/>
      <c r="LAH49" s="426"/>
      <c r="LAI49" s="426"/>
      <c r="LAJ49" s="426"/>
      <c r="LAK49" s="426"/>
      <c r="LAL49" s="426"/>
      <c r="LAM49" s="426"/>
      <c r="LAN49" s="426"/>
      <c r="LAO49" s="426"/>
      <c r="LAP49" s="426"/>
      <c r="LAQ49" s="426"/>
      <c r="LAR49" s="426"/>
      <c r="LAS49" s="426"/>
      <c r="LAT49" s="426"/>
      <c r="LAU49" s="426"/>
      <c r="LAV49" s="426"/>
      <c r="LAW49" s="426"/>
      <c r="LAX49" s="426"/>
      <c r="LAY49" s="426"/>
      <c r="LAZ49" s="426"/>
      <c r="LBA49" s="426"/>
      <c r="LBB49" s="426"/>
      <c r="LBC49" s="426"/>
      <c r="LBD49" s="426"/>
      <c r="LBE49" s="426"/>
      <c r="LBF49" s="426"/>
      <c r="LBG49" s="426"/>
      <c r="LBH49" s="426"/>
      <c r="LBI49" s="426"/>
      <c r="LBJ49" s="426"/>
      <c r="LBK49" s="426"/>
      <c r="LBL49" s="426"/>
      <c r="LBM49" s="426"/>
      <c r="LBN49" s="426"/>
      <c r="LBO49" s="426"/>
      <c r="LBP49" s="426"/>
      <c r="LBQ49" s="426"/>
      <c r="LBR49" s="426"/>
      <c r="LBS49" s="426"/>
      <c r="LBT49" s="426"/>
      <c r="LBU49" s="426"/>
      <c r="LBV49" s="426"/>
      <c r="LBW49" s="426"/>
      <c r="LBX49" s="426"/>
      <c r="LBY49" s="426"/>
      <c r="LBZ49" s="426"/>
      <c r="LCA49" s="426"/>
      <c r="LCB49" s="426"/>
      <c r="LCC49" s="426"/>
      <c r="LCD49" s="426"/>
      <c r="LCE49" s="426"/>
      <c r="LCF49" s="426"/>
      <c r="LCG49" s="426"/>
      <c r="LCH49" s="426"/>
      <c r="LCI49" s="426"/>
      <c r="LCJ49" s="426"/>
      <c r="LCK49" s="426"/>
      <c r="LCL49" s="426"/>
      <c r="LCM49" s="426"/>
      <c r="LCN49" s="426"/>
      <c r="LCO49" s="426"/>
      <c r="LCP49" s="426"/>
      <c r="LCQ49" s="426"/>
      <c r="LCR49" s="426"/>
      <c r="LCS49" s="426"/>
      <c r="LCT49" s="426"/>
      <c r="LCU49" s="426"/>
      <c r="LCV49" s="426"/>
      <c r="LCW49" s="426"/>
      <c r="LCX49" s="426"/>
      <c r="LCY49" s="426"/>
      <c r="LCZ49" s="426"/>
      <c r="LDA49" s="426"/>
      <c r="LDB49" s="426"/>
      <c r="LDC49" s="426"/>
      <c r="LDD49" s="426"/>
      <c r="LDE49" s="426"/>
      <c r="LDF49" s="426"/>
      <c r="LDG49" s="426"/>
      <c r="LDH49" s="426"/>
      <c r="LDI49" s="426"/>
      <c r="LDJ49" s="426"/>
      <c r="LDK49" s="426"/>
      <c r="LDL49" s="426"/>
      <c r="LDM49" s="426"/>
      <c r="LDN49" s="426"/>
      <c r="LDO49" s="426"/>
      <c r="LDP49" s="426"/>
      <c r="LDQ49" s="426"/>
      <c r="LDR49" s="426"/>
      <c r="LDS49" s="426"/>
      <c r="LDT49" s="426"/>
      <c r="LDU49" s="426"/>
      <c r="LDV49" s="426"/>
      <c r="LDW49" s="426"/>
      <c r="LDX49" s="426"/>
      <c r="LDY49" s="426"/>
      <c r="LDZ49" s="426"/>
      <c r="LEA49" s="426"/>
      <c r="LEB49" s="426"/>
      <c r="LEC49" s="426"/>
      <c r="LED49" s="426"/>
      <c r="LEE49" s="426"/>
      <c r="LEF49" s="426"/>
      <c r="LEG49" s="426"/>
      <c r="LEH49" s="426"/>
      <c r="LEI49" s="426"/>
      <c r="LEJ49" s="426"/>
      <c r="LEK49" s="426"/>
      <c r="LEL49" s="426"/>
      <c r="LEM49" s="426"/>
      <c r="LEN49" s="426"/>
      <c r="LEO49" s="426"/>
      <c r="LEP49" s="426"/>
      <c r="LEQ49" s="426"/>
      <c r="LER49" s="426"/>
      <c r="LES49" s="426"/>
      <c r="LET49" s="426"/>
      <c r="LEU49" s="426"/>
      <c r="LEV49" s="426"/>
      <c r="LEW49" s="426"/>
      <c r="LEX49" s="426"/>
      <c r="LEY49" s="426"/>
      <c r="LEZ49" s="426"/>
      <c r="LFA49" s="426"/>
      <c r="LFB49" s="426"/>
      <c r="LFC49" s="426"/>
      <c r="LFD49" s="426"/>
      <c r="LFE49" s="426"/>
      <c r="LFF49" s="426"/>
      <c r="LFG49" s="426"/>
      <c r="LFH49" s="426"/>
      <c r="LFI49" s="426"/>
      <c r="LFJ49" s="426"/>
      <c r="LFK49" s="426"/>
      <c r="LFL49" s="426"/>
      <c r="LFM49" s="426"/>
      <c r="LFN49" s="426"/>
      <c r="LFO49" s="426"/>
      <c r="LFP49" s="426"/>
      <c r="LFQ49" s="426"/>
      <c r="LFR49" s="426"/>
      <c r="LFS49" s="426"/>
      <c r="LFT49" s="426"/>
      <c r="LFU49" s="426"/>
      <c r="LFV49" s="426"/>
      <c r="LFW49" s="426"/>
      <c r="LFX49" s="426"/>
      <c r="LFY49" s="426"/>
      <c r="LFZ49" s="426"/>
      <c r="LGA49" s="426"/>
      <c r="LGB49" s="426"/>
      <c r="LGC49" s="426"/>
      <c r="LGD49" s="426"/>
      <c r="LGE49" s="426"/>
      <c r="LGF49" s="426"/>
      <c r="LGG49" s="426"/>
      <c r="LGH49" s="426"/>
      <c r="LGI49" s="426"/>
      <c r="LGJ49" s="426"/>
      <c r="LGK49" s="426"/>
      <c r="LGL49" s="426"/>
      <c r="LGM49" s="426"/>
      <c r="LGN49" s="426"/>
      <c r="LGO49" s="426"/>
      <c r="LGP49" s="426"/>
      <c r="LGQ49" s="426"/>
      <c r="LGR49" s="426"/>
      <c r="LGS49" s="426"/>
      <c r="LGT49" s="426"/>
      <c r="LGU49" s="426"/>
      <c r="LGV49" s="426"/>
      <c r="LGW49" s="426"/>
      <c r="LGX49" s="426"/>
      <c r="LGY49" s="426"/>
      <c r="LGZ49" s="426"/>
      <c r="LHA49" s="426"/>
      <c r="LHB49" s="426"/>
      <c r="LHC49" s="426"/>
      <c r="LHD49" s="426"/>
      <c r="LHE49" s="426"/>
      <c r="LHF49" s="426"/>
      <c r="LHG49" s="426"/>
      <c r="LHH49" s="426"/>
      <c r="LHI49" s="426"/>
      <c r="LHJ49" s="426"/>
      <c r="LHK49" s="426"/>
      <c r="LHL49" s="426"/>
      <c r="LHM49" s="426"/>
      <c r="LHN49" s="426"/>
      <c r="LHO49" s="426"/>
      <c r="LHP49" s="426"/>
      <c r="LHQ49" s="426"/>
      <c r="LHR49" s="426"/>
      <c r="LHS49" s="426"/>
      <c r="LHT49" s="426"/>
      <c r="LHU49" s="426"/>
      <c r="LHV49" s="426"/>
      <c r="LHW49" s="426"/>
      <c r="LHX49" s="426"/>
      <c r="LHY49" s="426"/>
      <c r="LHZ49" s="426"/>
      <c r="LIA49" s="426"/>
      <c r="LIB49" s="426"/>
      <c r="LIC49" s="426"/>
      <c r="LID49" s="426"/>
      <c r="LIE49" s="426"/>
      <c r="LIF49" s="426"/>
      <c r="LIG49" s="426"/>
      <c r="LIH49" s="426"/>
      <c r="LII49" s="426"/>
      <c r="LIJ49" s="426"/>
      <c r="LIK49" s="426"/>
      <c r="LIL49" s="426"/>
      <c r="LIM49" s="426"/>
      <c r="LIN49" s="426"/>
      <c r="LIO49" s="426"/>
      <c r="LIP49" s="426"/>
      <c r="LIQ49" s="426"/>
      <c r="LIR49" s="426"/>
      <c r="LIS49" s="426"/>
      <c r="LIT49" s="426"/>
      <c r="LIU49" s="426"/>
      <c r="LIV49" s="426"/>
      <c r="LIW49" s="426"/>
      <c r="LIX49" s="426"/>
      <c r="LIY49" s="426"/>
      <c r="LIZ49" s="426"/>
      <c r="LJA49" s="426"/>
      <c r="LJB49" s="426"/>
      <c r="LJC49" s="426"/>
      <c r="LJD49" s="426"/>
      <c r="LJE49" s="426"/>
      <c r="LJF49" s="426"/>
      <c r="LJG49" s="426"/>
      <c r="LJH49" s="426"/>
      <c r="LJI49" s="426"/>
      <c r="LJJ49" s="426"/>
      <c r="LJK49" s="426"/>
      <c r="LJL49" s="426"/>
      <c r="LJM49" s="426"/>
      <c r="LJN49" s="426"/>
      <c r="LJO49" s="426"/>
      <c r="LJP49" s="426"/>
      <c r="LJQ49" s="426"/>
      <c r="LJR49" s="426"/>
      <c r="LJS49" s="426"/>
      <c r="LJT49" s="426"/>
      <c r="LJU49" s="426"/>
      <c r="LJV49" s="426"/>
      <c r="LJW49" s="426"/>
      <c r="LJX49" s="426"/>
      <c r="LJY49" s="426"/>
      <c r="LJZ49" s="426"/>
      <c r="LKA49" s="426"/>
      <c r="LKB49" s="426"/>
      <c r="LKC49" s="426"/>
      <c r="LKD49" s="426"/>
      <c r="LKE49" s="426"/>
      <c r="LKF49" s="426"/>
      <c r="LKG49" s="426"/>
      <c r="LKH49" s="426"/>
      <c r="LKI49" s="426"/>
      <c r="LKJ49" s="426"/>
      <c r="LKK49" s="426"/>
      <c r="LKL49" s="426"/>
      <c r="LKM49" s="426"/>
      <c r="LKN49" s="426"/>
      <c r="LKO49" s="426"/>
      <c r="LKP49" s="426"/>
      <c r="LKQ49" s="426"/>
      <c r="LKR49" s="426"/>
      <c r="LKS49" s="426"/>
      <c r="LKT49" s="426"/>
      <c r="LKU49" s="426"/>
      <c r="LKV49" s="426"/>
      <c r="LKW49" s="426"/>
      <c r="LKX49" s="426"/>
      <c r="LKY49" s="426"/>
      <c r="LKZ49" s="426"/>
      <c r="LLA49" s="426"/>
      <c r="LLB49" s="426"/>
      <c r="LLC49" s="426"/>
      <c r="LLD49" s="426"/>
      <c r="LLE49" s="426"/>
      <c r="LLF49" s="426"/>
      <c r="LLG49" s="426"/>
      <c r="LLH49" s="426"/>
      <c r="LLI49" s="426"/>
      <c r="LLJ49" s="426"/>
      <c r="LLK49" s="426"/>
      <c r="LLL49" s="426"/>
      <c r="LLM49" s="426"/>
      <c r="LLN49" s="426"/>
      <c r="LLO49" s="426"/>
      <c r="LLP49" s="426"/>
      <c r="LLQ49" s="426"/>
      <c r="LLR49" s="426"/>
      <c r="LLS49" s="426"/>
      <c r="LLT49" s="426"/>
      <c r="LLU49" s="426"/>
      <c r="LLV49" s="426"/>
      <c r="LLW49" s="426"/>
      <c r="LLX49" s="426"/>
      <c r="LLY49" s="426"/>
      <c r="LLZ49" s="426"/>
      <c r="LMA49" s="426"/>
      <c r="LMB49" s="426"/>
      <c r="LMC49" s="426"/>
      <c r="LMD49" s="426"/>
      <c r="LME49" s="426"/>
      <c r="LMF49" s="426"/>
      <c r="LMG49" s="426"/>
      <c r="LMH49" s="426"/>
      <c r="LMI49" s="426"/>
      <c r="LMJ49" s="426"/>
      <c r="LMK49" s="426"/>
      <c r="LML49" s="426"/>
      <c r="LMM49" s="426"/>
      <c r="LMN49" s="426"/>
      <c r="LMO49" s="426"/>
      <c r="LMP49" s="426"/>
      <c r="LMQ49" s="426"/>
      <c r="LMR49" s="426"/>
      <c r="LMS49" s="426"/>
      <c r="LMT49" s="426"/>
      <c r="LMU49" s="426"/>
      <c r="LMV49" s="426"/>
      <c r="LMW49" s="426"/>
      <c r="LMX49" s="426"/>
      <c r="LMY49" s="426"/>
      <c r="LMZ49" s="426"/>
      <c r="LNA49" s="426"/>
      <c r="LNB49" s="426"/>
      <c r="LNC49" s="426"/>
      <c r="LND49" s="426"/>
      <c r="LNE49" s="426"/>
      <c r="LNF49" s="426"/>
      <c r="LNG49" s="426"/>
      <c r="LNH49" s="426"/>
      <c r="LNI49" s="426"/>
      <c r="LNJ49" s="426"/>
      <c r="LNK49" s="426"/>
      <c r="LNL49" s="426"/>
      <c r="LNM49" s="426"/>
      <c r="LNN49" s="426"/>
      <c r="LNO49" s="426"/>
      <c r="LNP49" s="426"/>
      <c r="LNQ49" s="426"/>
      <c r="LNR49" s="426"/>
      <c r="LNS49" s="426"/>
      <c r="LNT49" s="426"/>
      <c r="LNU49" s="426"/>
      <c r="LNV49" s="426"/>
      <c r="LNW49" s="426"/>
      <c r="LNX49" s="426"/>
      <c r="LNY49" s="426"/>
      <c r="LNZ49" s="426"/>
      <c r="LOA49" s="426"/>
      <c r="LOB49" s="426"/>
      <c r="LOC49" s="426"/>
      <c r="LOD49" s="426"/>
      <c r="LOE49" s="426"/>
      <c r="LOF49" s="426"/>
      <c r="LOG49" s="426"/>
      <c r="LOH49" s="426"/>
      <c r="LOI49" s="426"/>
      <c r="LOJ49" s="426"/>
      <c r="LOK49" s="426"/>
      <c r="LOL49" s="426"/>
      <c r="LOM49" s="426"/>
      <c r="LON49" s="426"/>
      <c r="LOO49" s="426"/>
      <c r="LOP49" s="426"/>
      <c r="LOQ49" s="426"/>
      <c r="LOR49" s="426"/>
      <c r="LOS49" s="426"/>
      <c r="LOT49" s="426"/>
      <c r="LOU49" s="426"/>
      <c r="LOV49" s="426"/>
      <c r="LOW49" s="426"/>
      <c r="LOX49" s="426"/>
      <c r="LOY49" s="426"/>
      <c r="LOZ49" s="426"/>
      <c r="LPA49" s="426"/>
      <c r="LPB49" s="426"/>
      <c r="LPC49" s="426"/>
      <c r="LPD49" s="426"/>
      <c r="LPE49" s="426"/>
      <c r="LPF49" s="426"/>
      <c r="LPG49" s="426"/>
      <c r="LPH49" s="426"/>
      <c r="LPI49" s="426"/>
      <c r="LPJ49" s="426"/>
      <c r="LPK49" s="426"/>
      <c r="LPL49" s="426"/>
      <c r="LPM49" s="426"/>
      <c r="LPN49" s="426"/>
      <c r="LPO49" s="426"/>
      <c r="LPP49" s="426"/>
      <c r="LPQ49" s="426"/>
      <c r="LPR49" s="426"/>
      <c r="LPS49" s="426"/>
      <c r="LPT49" s="426"/>
      <c r="LPU49" s="426"/>
      <c r="LPV49" s="426"/>
      <c r="LPW49" s="426"/>
      <c r="LPX49" s="426"/>
      <c r="LPY49" s="426"/>
      <c r="LPZ49" s="426"/>
      <c r="LQA49" s="426"/>
      <c r="LQB49" s="426"/>
      <c r="LQC49" s="426"/>
      <c r="LQD49" s="426"/>
      <c r="LQE49" s="426"/>
      <c r="LQF49" s="426"/>
      <c r="LQG49" s="426"/>
      <c r="LQH49" s="426"/>
      <c r="LQI49" s="426"/>
      <c r="LQJ49" s="426"/>
      <c r="LQK49" s="426"/>
      <c r="LQL49" s="426"/>
      <c r="LQM49" s="426"/>
      <c r="LQN49" s="426"/>
      <c r="LQO49" s="426"/>
      <c r="LQP49" s="426"/>
      <c r="LQQ49" s="426"/>
      <c r="LQR49" s="426"/>
      <c r="LQS49" s="426"/>
      <c r="LQT49" s="426"/>
      <c r="LQU49" s="426"/>
      <c r="LQV49" s="426"/>
      <c r="LQW49" s="426"/>
      <c r="LQX49" s="426"/>
      <c r="LQY49" s="426"/>
      <c r="LQZ49" s="426"/>
      <c r="LRA49" s="426"/>
      <c r="LRB49" s="426"/>
      <c r="LRC49" s="426"/>
      <c r="LRD49" s="426"/>
      <c r="LRE49" s="426"/>
      <c r="LRF49" s="426"/>
      <c r="LRG49" s="426"/>
      <c r="LRH49" s="426"/>
      <c r="LRI49" s="426"/>
      <c r="LRJ49" s="426"/>
      <c r="LRK49" s="426"/>
      <c r="LRL49" s="426"/>
      <c r="LRM49" s="426"/>
      <c r="LRN49" s="426"/>
      <c r="LRO49" s="426"/>
      <c r="LRP49" s="426"/>
      <c r="LRQ49" s="426"/>
      <c r="LRR49" s="426"/>
      <c r="LRS49" s="426"/>
      <c r="LRT49" s="426"/>
      <c r="LRU49" s="426"/>
      <c r="LRV49" s="426"/>
      <c r="LRW49" s="426"/>
      <c r="LRX49" s="426"/>
      <c r="LRY49" s="426"/>
      <c r="LRZ49" s="426"/>
      <c r="LSA49" s="426"/>
      <c r="LSB49" s="426"/>
      <c r="LSC49" s="426"/>
      <c r="LSD49" s="426"/>
      <c r="LSE49" s="426"/>
      <c r="LSF49" s="426"/>
      <c r="LSG49" s="426"/>
      <c r="LSH49" s="426"/>
      <c r="LSI49" s="426"/>
      <c r="LSJ49" s="426"/>
      <c r="LSK49" s="426"/>
      <c r="LSL49" s="426"/>
      <c r="LSM49" s="426"/>
      <c r="LSN49" s="426"/>
      <c r="LSO49" s="426"/>
      <c r="LSP49" s="426"/>
      <c r="LSQ49" s="426"/>
      <c r="LSR49" s="426"/>
      <c r="LSS49" s="426"/>
      <c r="LST49" s="426"/>
      <c r="LSU49" s="426"/>
      <c r="LSV49" s="426"/>
      <c r="LSW49" s="426"/>
      <c r="LSX49" s="426"/>
      <c r="LSY49" s="426"/>
      <c r="LSZ49" s="426"/>
      <c r="LTA49" s="426"/>
      <c r="LTB49" s="426"/>
      <c r="LTC49" s="426"/>
      <c r="LTD49" s="426"/>
      <c r="LTE49" s="426"/>
      <c r="LTF49" s="426"/>
      <c r="LTG49" s="426"/>
      <c r="LTH49" s="426"/>
      <c r="LTI49" s="426"/>
      <c r="LTJ49" s="426"/>
      <c r="LTK49" s="426"/>
      <c r="LTL49" s="426"/>
      <c r="LTM49" s="426"/>
      <c r="LTN49" s="426"/>
      <c r="LTO49" s="426"/>
      <c r="LTP49" s="426"/>
      <c r="LTQ49" s="426"/>
      <c r="LTR49" s="426"/>
      <c r="LTS49" s="426"/>
      <c r="LTT49" s="426"/>
      <c r="LTU49" s="426"/>
      <c r="LTV49" s="426"/>
      <c r="LTW49" s="426"/>
      <c r="LTX49" s="426"/>
      <c r="LTY49" s="426"/>
      <c r="LTZ49" s="426"/>
      <c r="LUA49" s="426"/>
      <c r="LUB49" s="426"/>
      <c r="LUC49" s="426"/>
      <c r="LUD49" s="426"/>
      <c r="LUE49" s="426"/>
      <c r="LUF49" s="426"/>
      <c r="LUG49" s="426"/>
      <c r="LUH49" s="426"/>
      <c r="LUI49" s="426"/>
      <c r="LUJ49" s="426"/>
      <c r="LUK49" s="426"/>
      <c r="LUL49" s="426"/>
      <c r="LUM49" s="426"/>
      <c r="LUN49" s="426"/>
      <c r="LUO49" s="426"/>
      <c r="LUP49" s="426"/>
      <c r="LUQ49" s="426"/>
      <c r="LUR49" s="426"/>
      <c r="LUS49" s="426"/>
      <c r="LUT49" s="426"/>
      <c r="LUU49" s="426"/>
      <c r="LUV49" s="426"/>
      <c r="LUW49" s="426"/>
      <c r="LUX49" s="426"/>
      <c r="LUY49" s="426"/>
      <c r="LUZ49" s="426"/>
      <c r="LVA49" s="426"/>
      <c r="LVB49" s="426"/>
      <c r="LVC49" s="426"/>
      <c r="LVD49" s="426"/>
      <c r="LVE49" s="426"/>
      <c r="LVF49" s="426"/>
      <c r="LVG49" s="426"/>
      <c r="LVH49" s="426"/>
      <c r="LVI49" s="426"/>
      <c r="LVJ49" s="426"/>
      <c r="LVK49" s="426"/>
      <c r="LVL49" s="426"/>
      <c r="LVM49" s="426"/>
      <c r="LVN49" s="426"/>
      <c r="LVO49" s="426"/>
      <c r="LVP49" s="426"/>
      <c r="LVQ49" s="426"/>
      <c r="LVR49" s="426"/>
      <c r="LVS49" s="426"/>
      <c r="LVT49" s="426"/>
      <c r="LVU49" s="426"/>
      <c r="LVV49" s="426"/>
      <c r="LVW49" s="426"/>
      <c r="LVX49" s="426"/>
      <c r="LVY49" s="426"/>
      <c r="LVZ49" s="426"/>
      <c r="LWA49" s="426"/>
      <c r="LWB49" s="426"/>
      <c r="LWC49" s="426"/>
      <c r="LWD49" s="426"/>
      <c r="LWE49" s="426"/>
      <c r="LWF49" s="426"/>
      <c r="LWG49" s="426"/>
      <c r="LWH49" s="426"/>
      <c r="LWI49" s="426"/>
      <c r="LWJ49" s="426"/>
      <c r="LWK49" s="426"/>
      <c r="LWL49" s="426"/>
      <c r="LWM49" s="426"/>
      <c r="LWN49" s="426"/>
      <c r="LWO49" s="426"/>
      <c r="LWP49" s="426"/>
      <c r="LWQ49" s="426"/>
      <c r="LWR49" s="426"/>
      <c r="LWS49" s="426"/>
      <c r="LWT49" s="426"/>
      <c r="LWU49" s="426"/>
      <c r="LWV49" s="426"/>
      <c r="LWW49" s="426"/>
      <c r="LWX49" s="426"/>
      <c r="LWY49" s="426"/>
      <c r="LWZ49" s="426"/>
      <c r="LXA49" s="426"/>
      <c r="LXB49" s="426"/>
      <c r="LXC49" s="426"/>
      <c r="LXD49" s="426"/>
      <c r="LXE49" s="426"/>
      <c r="LXF49" s="426"/>
      <c r="LXG49" s="426"/>
      <c r="LXH49" s="426"/>
      <c r="LXI49" s="426"/>
      <c r="LXJ49" s="426"/>
      <c r="LXK49" s="426"/>
      <c r="LXL49" s="426"/>
      <c r="LXM49" s="426"/>
      <c r="LXN49" s="426"/>
      <c r="LXO49" s="426"/>
      <c r="LXP49" s="426"/>
      <c r="LXQ49" s="426"/>
      <c r="LXR49" s="426"/>
      <c r="LXS49" s="426"/>
      <c r="LXT49" s="426"/>
      <c r="LXU49" s="426"/>
      <c r="LXV49" s="426"/>
      <c r="LXW49" s="426"/>
      <c r="LXX49" s="426"/>
      <c r="LXY49" s="426"/>
      <c r="LXZ49" s="426"/>
      <c r="LYA49" s="426"/>
      <c r="LYB49" s="426"/>
      <c r="LYC49" s="426"/>
      <c r="LYD49" s="426"/>
      <c r="LYE49" s="426"/>
      <c r="LYF49" s="426"/>
      <c r="LYG49" s="426"/>
      <c r="LYH49" s="426"/>
      <c r="LYI49" s="426"/>
      <c r="LYJ49" s="426"/>
      <c r="LYK49" s="426"/>
      <c r="LYL49" s="426"/>
      <c r="LYM49" s="426"/>
      <c r="LYN49" s="426"/>
      <c r="LYO49" s="426"/>
      <c r="LYP49" s="426"/>
      <c r="LYQ49" s="426"/>
      <c r="LYR49" s="426"/>
      <c r="LYS49" s="426"/>
      <c r="LYT49" s="426"/>
      <c r="LYU49" s="426"/>
      <c r="LYV49" s="426"/>
      <c r="LYW49" s="426"/>
      <c r="LYX49" s="426"/>
      <c r="LYY49" s="426"/>
      <c r="LYZ49" s="426"/>
      <c r="LZA49" s="426"/>
      <c r="LZB49" s="426"/>
      <c r="LZC49" s="426"/>
      <c r="LZD49" s="426"/>
      <c r="LZE49" s="426"/>
      <c r="LZF49" s="426"/>
      <c r="LZG49" s="426"/>
      <c r="LZH49" s="426"/>
      <c r="LZI49" s="426"/>
      <c r="LZJ49" s="426"/>
      <c r="LZK49" s="426"/>
      <c r="LZL49" s="426"/>
      <c r="LZM49" s="426"/>
      <c r="LZN49" s="426"/>
      <c r="LZO49" s="426"/>
      <c r="LZP49" s="426"/>
      <c r="LZQ49" s="426"/>
      <c r="LZR49" s="426"/>
      <c r="LZS49" s="426"/>
      <c r="LZT49" s="426"/>
      <c r="LZU49" s="426"/>
      <c r="LZV49" s="426"/>
      <c r="LZW49" s="426"/>
      <c r="LZX49" s="426"/>
      <c r="LZY49" s="426"/>
      <c r="LZZ49" s="426"/>
      <c r="MAA49" s="426"/>
      <c r="MAB49" s="426"/>
      <c r="MAC49" s="426"/>
      <c r="MAD49" s="426"/>
      <c r="MAE49" s="426"/>
      <c r="MAF49" s="426"/>
      <c r="MAG49" s="426"/>
      <c r="MAH49" s="426"/>
      <c r="MAI49" s="426"/>
      <c r="MAJ49" s="426"/>
      <c r="MAK49" s="426"/>
      <c r="MAL49" s="426"/>
      <c r="MAM49" s="426"/>
      <c r="MAN49" s="426"/>
      <c r="MAO49" s="426"/>
      <c r="MAP49" s="426"/>
      <c r="MAQ49" s="426"/>
      <c r="MAR49" s="426"/>
      <c r="MAS49" s="426"/>
      <c r="MAT49" s="426"/>
      <c r="MAU49" s="426"/>
      <c r="MAV49" s="426"/>
      <c r="MAW49" s="426"/>
      <c r="MAX49" s="426"/>
      <c r="MAY49" s="426"/>
      <c r="MAZ49" s="426"/>
      <c r="MBA49" s="426"/>
      <c r="MBB49" s="426"/>
      <c r="MBC49" s="426"/>
      <c r="MBD49" s="426"/>
      <c r="MBE49" s="426"/>
      <c r="MBF49" s="426"/>
      <c r="MBG49" s="426"/>
      <c r="MBH49" s="426"/>
      <c r="MBI49" s="426"/>
      <c r="MBJ49" s="426"/>
      <c r="MBK49" s="426"/>
      <c r="MBL49" s="426"/>
      <c r="MBM49" s="426"/>
      <c r="MBN49" s="426"/>
      <c r="MBO49" s="426"/>
      <c r="MBP49" s="426"/>
      <c r="MBQ49" s="426"/>
      <c r="MBR49" s="426"/>
      <c r="MBS49" s="426"/>
      <c r="MBT49" s="426"/>
      <c r="MBU49" s="426"/>
      <c r="MBV49" s="426"/>
      <c r="MBW49" s="426"/>
      <c r="MBX49" s="426"/>
      <c r="MBY49" s="426"/>
      <c r="MBZ49" s="426"/>
      <c r="MCA49" s="426"/>
      <c r="MCB49" s="426"/>
      <c r="MCC49" s="426"/>
      <c r="MCD49" s="426"/>
      <c r="MCE49" s="426"/>
      <c r="MCF49" s="426"/>
      <c r="MCG49" s="426"/>
      <c r="MCH49" s="426"/>
      <c r="MCI49" s="426"/>
      <c r="MCJ49" s="426"/>
      <c r="MCK49" s="426"/>
      <c r="MCL49" s="426"/>
      <c r="MCM49" s="426"/>
      <c r="MCN49" s="426"/>
      <c r="MCO49" s="426"/>
      <c r="MCP49" s="426"/>
      <c r="MCQ49" s="426"/>
      <c r="MCR49" s="426"/>
      <c r="MCS49" s="426"/>
      <c r="MCT49" s="426"/>
      <c r="MCU49" s="426"/>
      <c r="MCV49" s="426"/>
      <c r="MCW49" s="426"/>
      <c r="MCX49" s="426"/>
      <c r="MCY49" s="426"/>
      <c r="MCZ49" s="426"/>
      <c r="MDA49" s="426"/>
      <c r="MDB49" s="426"/>
      <c r="MDC49" s="426"/>
      <c r="MDD49" s="426"/>
      <c r="MDE49" s="426"/>
      <c r="MDF49" s="426"/>
      <c r="MDG49" s="426"/>
      <c r="MDH49" s="426"/>
      <c r="MDI49" s="426"/>
      <c r="MDJ49" s="426"/>
      <c r="MDK49" s="426"/>
      <c r="MDL49" s="426"/>
      <c r="MDM49" s="426"/>
      <c r="MDN49" s="426"/>
      <c r="MDO49" s="426"/>
      <c r="MDP49" s="426"/>
      <c r="MDQ49" s="426"/>
      <c r="MDR49" s="426"/>
      <c r="MDS49" s="426"/>
      <c r="MDT49" s="426"/>
      <c r="MDU49" s="426"/>
      <c r="MDV49" s="426"/>
      <c r="MDW49" s="426"/>
      <c r="MDX49" s="426"/>
      <c r="MDY49" s="426"/>
      <c r="MDZ49" s="426"/>
      <c r="MEA49" s="426"/>
      <c r="MEB49" s="426"/>
      <c r="MEC49" s="426"/>
      <c r="MED49" s="426"/>
      <c r="MEE49" s="426"/>
      <c r="MEF49" s="426"/>
      <c r="MEG49" s="426"/>
      <c r="MEH49" s="426"/>
      <c r="MEI49" s="426"/>
      <c r="MEJ49" s="426"/>
      <c r="MEK49" s="426"/>
      <c r="MEL49" s="426"/>
      <c r="MEM49" s="426"/>
      <c r="MEN49" s="426"/>
      <c r="MEO49" s="426"/>
      <c r="MEP49" s="426"/>
      <c r="MEQ49" s="426"/>
      <c r="MER49" s="426"/>
      <c r="MES49" s="426"/>
      <c r="MET49" s="426"/>
      <c r="MEU49" s="426"/>
      <c r="MEV49" s="426"/>
      <c r="MEW49" s="426"/>
      <c r="MEX49" s="426"/>
      <c r="MEY49" s="426"/>
      <c r="MEZ49" s="426"/>
      <c r="MFA49" s="426"/>
      <c r="MFB49" s="426"/>
      <c r="MFC49" s="426"/>
      <c r="MFD49" s="426"/>
      <c r="MFE49" s="426"/>
      <c r="MFF49" s="426"/>
      <c r="MFG49" s="426"/>
      <c r="MFH49" s="426"/>
      <c r="MFI49" s="426"/>
      <c r="MFJ49" s="426"/>
      <c r="MFK49" s="426"/>
      <c r="MFL49" s="426"/>
      <c r="MFM49" s="426"/>
      <c r="MFN49" s="426"/>
      <c r="MFO49" s="426"/>
      <c r="MFP49" s="426"/>
      <c r="MFQ49" s="426"/>
      <c r="MFR49" s="426"/>
      <c r="MFS49" s="426"/>
      <c r="MFT49" s="426"/>
      <c r="MFU49" s="426"/>
      <c r="MFV49" s="426"/>
      <c r="MFW49" s="426"/>
      <c r="MFX49" s="426"/>
      <c r="MFY49" s="426"/>
      <c r="MFZ49" s="426"/>
      <c r="MGA49" s="426"/>
      <c r="MGB49" s="426"/>
      <c r="MGC49" s="426"/>
      <c r="MGD49" s="426"/>
      <c r="MGE49" s="426"/>
      <c r="MGF49" s="426"/>
      <c r="MGG49" s="426"/>
      <c r="MGH49" s="426"/>
      <c r="MGI49" s="426"/>
      <c r="MGJ49" s="426"/>
      <c r="MGK49" s="426"/>
      <c r="MGL49" s="426"/>
      <c r="MGM49" s="426"/>
      <c r="MGN49" s="426"/>
      <c r="MGO49" s="426"/>
      <c r="MGP49" s="426"/>
      <c r="MGQ49" s="426"/>
      <c r="MGR49" s="426"/>
      <c r="MGS49" s="426"/>
      <c r="MGT49" s="426"/>
      <c r="MGU49" s="426"/>
      <c r="MGV49" s="426"/>
      <c r="MGW49" s="426"/>
      <c r="MGX49" s="426"/>
      <c r="MGY49" s="426"/>
      <c r="MGZ49" s="426"/>
      <c r="MHA49" s="426"/>
      <c r="MHB49" s="426"/>
      <c r="MHC49" s="426"/>
      <c r="MHD49" s="426"/>
      <c r="MHE49" s="426"/>
      <c r="MHF49" s="426"/>
      <c r="MHG49" s="426"/>
      <c r="MHH49" s="426"/>
      <c r="MHI49" s="426"/>
      <c r="MHJ49" s="426"/>
      <c r="MHK49" s="426"/>
      <c r="MHL49" s="426"/>
      <c r="MHM49" s="426"/>
      <c r="MHN49" s="426"/>
      <c r="MHO49" s="426"/>
      <c r="MHP49" s="426"/>
      <c r="MHQ49" s="426"/>
      <c r="MHR49" s="426"/>
      <c r="MHS49" s="426"/>
      <c r="MHT49" s="426"/>
      <c r="MHU49" s="426"/>
      <c r="MHV49" s="426"/>
      <c r="MHW49" s="426"/>
      <c r="MHX49" s="426"/>
      <c r="MHY49" s="426"/>
      <c r="MHZ49" s="426"/>
      <c r="MIA49" s="426"/>
      <c r="MIB49" s="426"/>
      <c r="MIC49" s="426"/>
      <c r="MID49" s="426"/>
      <c r="MIE49" s="426"/>
      <c r="MIF49" s="426"/>
      <c r="MIG49" s="426"/>
      <c r="MIH49" s="426"/>
      <c r="MII49" s="426"/>
      <c r="MIJ49" s="426"/>
      <c r="MIK49" s="426"/>
      <c r="MIL49" s="426"/>
      <c r="MIM49" s="426"/>
      <c r="MIN49" s="426"/>
      <c r="MIO49" s="426"/>
      <c r="MIP49" s="426"/>
      <c r="MIQ49" s="426"/>
      <c r="MIR49" s="426"/>
      <c r="MIS49" s="426"/>
      <c r="MIT49" s="426"/>
      <c r="MIU49" s="426"/>
      <c r="MIV49" s="426"/>
      <c r="MIW49" s="426"/>
      <c r="MIX49" s="426"/>
      <c r="MIY49" s="426"/>
      <c r="MIZ49" s="426"/>
      <c r="MJA49" s="426"/>
      <c r="MJB49" s="426"/>
      <c r="MJC49" s="426"/>
      <c r="MJD49" s="426"/>
      <c r="MJE49" s="426"/>
      <c r="MJF49" s="426"/>
      <c r="MJG49" s="426"/>
      <c r="MJH49" s="426"/>
      <c r="MJI49" s="426"/>
      <c r="MJJ49" s="426"/>
      <c r="MJK49" s="426"/>
      <c r="MJL49" s="426"/>
      <c r="MJM49" s="426"/>
      <c r="MJN49" s="426"/>
      <c r="MJO49" s="426"/>
      <c r="MJP49" s="426"/>
      <c r="MJQ49" s="426"/>
      <c r="MJR49" s="426"/>
      <c r="MJS49" s="426"/>
      <c r="MJT49" s="426"/>
      <c r="MJU49" s="426"/>
      <c r="MJV49" s="426"/>
      <c r="MJW49" s="426"/>
      <c r="MJX49" s="426"/>
      <c r="MJY49" s="426"/>
      <c r="MJZ49" s="426"/>
      <c r="MKA49" s="426"/>
      <c r="MKB49" s="426"/>
      <c r="MKC49" s="426"/>
      <c r="MKD49" s="426"/>
      <c r="MKE49" s="426"/>
      <c r="MKF49" s="426"/>
      <c r="MKG49" s="426"/>
      <c r="MKH49" s="426"/>
      <c r="MKI49" s="426"/>
      <c r="MKJ49" s="426"/>
      <c r="MKK49" s="426"/>
      <c r="MKL49" s="426"/>
      <c r="MKM49" s="426"/>
      <c r="MKN49" s="426"/>
      <c r="MKO49" s="426"/>
      <c r="MKP49" s="426"/>
      <c r="MKQ49" s="426"/>
      <c r="MKR49" s="426"/>
      <c r="MKS49" s="426"/>
      <c r="MKT49" s="426"/>
      <c r="MKU49" s="426"/>
      <c r="MKV49" s="426"/>
      <c r="MKW49" s="426"/>
      <c r="MKX49" s="426"/>
      <c r="MKY49" s="426"/>
      <c r="MKZ49" s="426"/>
      <c r="MLA49" s="426"/>
      <c r="MLB49" s="426"/>
      <c r="MLC49" s="426"/>
      <c r="MLD49" s="426"/>
      <c r="MLE49" s="426"/>
      <c r="MLF49" s="426"/>
      <c r="MLG49" s="426"/>
      <c r="MLH49" s="426"/>
      <c r="MLI49" s="426"/>
      <c r="MLJ49" s="426"/>
      <c r="MLK49" s="426"/>
      <c r="MLL49" s="426"/>
      <c r="MLM49" s="426"/>
      <c r="MLN49" s="426"/>
      <c r="MLO49" s="426"/>
      <c r="MLP49" s="426"/>
      <c r="MLQ49" s="426"/>
      <c r="MLR49" s="426"/>
      <c r="MLS49" s="426"/>
      <c r="MLT49" s="426"/>
      <c r="MLU49" s="426"/>
      <c r="MLV49" s="426"/>
      <c r="MLW49" s="426"/>
      <c r="MLX49" s="426"/>
      <c r="MLY49" s="426"/>
      <c r="MLZ49" s="426"/>
      <c r="MMA49" s="426"/>
      <c r="MMB49" s="426"/>
      <c r="MMC49" s="426"/>
      <c r="MMD49" s="426"/>
      <c r="MME49" s="426"/>
      <c r="MMF49" s="426"/>
      <c r="MMG49" s="426"/>
      <c r="MMH49" s="426"/>
      <c r="MMI49" s="426"/>
      <c r="MMJ49" s="426"/>
      <c r="MMK49" s="426"/>
      <c r="MML49" s="426"/>
      <c r="MMM49" s="426"/>
      <c r="MMN49" s="426"/>
      <c r="MMO49" s="426"/>
      <c r="MMP49" s="426"/>
      <c r="MMQ49" s="426"/>
      <c r="MMR49" s="426"/>
      <c r="MMS49" s="426"/>
      <c r="MMT49" s="426"/>
      <c r="MMU49" s="426"/>
      <c r="MMV49" s="426"/>
      <c r="MMW49" s="426"/>
      <c r="MMX49" s="426"/>
      <c r="MMY49" s="426"/>
      <c r="MMZ49" s="426"/>
      <c r="MNA49" s="426"/>
      <c r="MNB49" s="426"/>
      <c r="MNC49" s="426"/>
      <c r="MND49" s="426"/>
      <c r="MNE49" s="426"/>
      <c r="MNF49" s="426"/>
      <c r="MNG49" s="426"/>
      <c r="MNH49" s="426"/>
      <c r="MNI49" s="426"/>
      <c r="MNJ49" s="426"/>
      <c r="MNK49" s="426"/>
      <c r="MNL49" s="426"/>
      <c r="MNM49" s="426"/>
      <c r="MNN49" s="426"/>
      <c r="MNO49" s="426"/>
      <c r="MNP49" s="426"/>
      <c r="MNQ49" s="426"/>
      <c r="MNR49" s="426"/>
      <c r="MNS49" s="426"/>
      <c r="MNT49" s="426"/>
      <c r="MNU49" s="426"/>
      <c r="MNV49" s="426"/>
      <c r="MNW49" s="426"/>
      <c r="MNX49" s="426"/>
      <c r="MNY49" s="426"/>
      <c r="MNZ49" s="426"/>
      <c r="MOA49" s="426"/>
      <c r="MOB49" s="426"/>
      <c r="MOC49" s="426"/>
      <c r="MOD49" s="426"/>
      <c r="MOE49" s="426"/>
      <c r="MOF49" s="426"/>
      <c r="MOG49" s="426"/>
      <c r="MOH49" s="426"/>
      <c r="MOI49" s="426"/>
      <c r="MOJ49" s="426"/>
      <c r="MOK49" s="426"/>
      <c r="MOL49" s="426"/>
      <c r="MOM49" s="426"/>
      <c r="MON49" s="426"/>
      <c r="MOO49" s="426"/>
      <c r="MOP49" s="426"/>
      <c r="MOQ49" s="426"/>
      <c r="MOR49" s="426"/>
      <c r="MOS49" s="426"/>
      <c r="MOT49" s="426"/>
      <c r="MOU49" s="426"/>
      <c r="MOV49" s="426"/>
      <c r="MOW49" s="426"/>
      <c r="MOX49" s="426"/>
      <c r="MOY49" s="426"/>
      <c r="MOZ49" s="426"/>
      <c r="MPA49" s="426"/>
      <c r="MPB49" s="426"/>
      <c r="MPC49" s="426"/>
      <c r="MPD49" s="426"/>
      <c r="MPE49" s="426"/>
      <c r="MPF49" s="426"/>
      <c r="MPG49" s="426"/>
      <c r="MPH49" s="426"/>
      <c r="MPI49" s="426"/>
      <c r="MPJ49" s="426"/>
      <c r="MPK49" s="426"/>
      <c r="MPL49" s="426"/>
      <c r="MPM49" s="426"/>
      <c r="MPN49" s="426"/>
      <c r="MPO49" s="426"/>
      <c r="MPP49" s="426"/>
      <c r="MPQ49" s="426"/>
      <c r="MPR49" s="426"/>
      <c r="MPS49" s="426"/>
      <c r="MPT49" s="426"/>
      <c r="MPU49" s="426"/>
      <c r="MPV49" s="426"/>
      <c r="MPW49" s="426"/>
      <c r="MPX49" s="426"/>
      <c r="MPY49" s="426"/>
      <c r="MPZ49" s="426"/>
      <c r="MQA49" s="426"/>
      <c r="MQB49" s="426"/>
      <c r="MQC49" s="426"/>
      <c r="MQD49" s="426"/>
      <c r="MQE49" s="426"/>
      <c r="MQF49" s="426"/>
      <c r="MQG49" s="426"/>
      <c r="MQH49" s="426"/>
      <c r="MQI49" s="426"/>
      <c r="MQJ49" s="426"/>
      <c r="MQK49" s="426"/>
      <c r="MQL49" s="426"/>
      <c r="MQM49" s="426"/>
      <c r="MQN49" s="426"/>
      <c r="MQO49" s="426"/>
      <c r="MQP49" s="426"/>
      <c r="MQQ49" s="426"/>
      <c r="MQR49" s="426"/>
      <c r="MQS49" s="426"/>
      <c r="MQT49" s="426"/>
      <c r="MQU49" s="426"/>
      <c r="MQV49" s="426"/>
      <c r="MQW49" s="426"/>
      <c r="MQX49" s="426"/>
      <c r="MQY49" s="426"/>
      <c r="MQZ49" s="426"/>
      <c r="MRA49" s="426"/>
      <c r="MRB49" s="426"/>
      <c r="MRC49" s="426"/>
      <c r="MRD49" s="426"/>
      <c r="MRE49" s="426"/>
      <c r="MRF49" s="426"/>
      <c r="MRG49" s="426"/>
      <c r="MRH49" s="426"/>
      <c r="MRI49" s="426"/>
      <c r="MRJ49" s="426"/>
      <c r="MRK49" s="426"/>
      <c r="MRL49" s="426"/>
      <c r="MRM49" s="426"/>
      <c r="MRN49" s="426"/>
      <c r="MRO49" s="426"/>
      <c r="MRP49" s="426"/>
      <c r="MRQ49" s="426"/>
      <c r="MRR49" s="426"/>
      <c r="MRS49" s="426"/>
      <c r="MRT49" s="426"/>
      <c r="MRU49" s="426"/>
      <c r="MRV49" s="426"/>
      <c r="MRW49" s="426"/>
      <c r="MRX49" s="426"/>
      <c r="MRY49" s="426"/>
      <c r="MRZ49" s="426"/>
      <c r="MSA49" s="426"/>
      <c r="MSB49" s="426"/>
      <c r="MSC49" s="426"/>
      <c r="MSD49" s="426"/>
      <c r="MSE49" s="426"/>
      <c r="MSF49" s="426"/>
      <c r="MSG49" s="426"/>
      <c r="MSH49" s="426"/>
      <c r="MSI49" s="426"/>
      <c r="MSJ49" s="426"/>
      <c r="MSK49" s="426"/>
      <c r="MSL49" s="426"/>
      <c r="MSM49" s="426"/>
      <c r="MSN49" s="426"/>
      <c r="MSO49" s="426"/>
      <c r="MSP49" s="426"/>
      <c r="MSQ49" s="426"/>
      <c r="MSR49" s="426"/>
      <c r="MSS49" s="426"/>
      <c r="MST49" s="426"/>
      <c r="MSU49" s="426"/>
      <c r="MSV49" s="426"/>
      <c r="MSW49" s="426"/>
      <c r="MSX49" s="426"/>
      <c r="MSY49" s="426"/>
      <c r="MSZ49" s="426"/>
      <c r="MTA49" s="426"/>
      <c r="MTB49" s="426"/>
      <c r="MTC49" s="426"/>
      <c r="MTD49" s="426"/>
      <c r="MTE49" s="426"/>
      <c r="MTF49" s="426"/>
      <c r="MTG49" s="426"/>
      <c r="MTH49" s="426"/>
      <c r="MTI49" s="426"/>
      <c r="MTJ49" s="426"/>
      <c r="MTK49" s="426"/>
      <c r="MTL49" s="426"/>
      <c r="MTM49" s="426"/>
      <c r="MTN49" s="426"/>
      <c r="MTO49" s="426"/>
      <c r="MTP49" s="426"/>
      <c r="MTQ49" s="426"/>
      <c r="MTR49" s="426"/>
      <c r="MTS49" s="426"/>
      <c r="MTT49" s="426"/>
      <c r="MTU49" s="426"/>
      <c r="MTV49" s="426"/>
      <c r="MTW49" s="426"/>
      <c r="MTX49" s="426"/>
      <c r="MTY49" s="426"/>
      <c r="MTZ49" s="426"/>
      <c r="MUA49" s="426"/>
      <c r="MUB49" s="426"/>
      <c r="MUC49" s="426"/>
      <c r="MUD49" s="426"/>
      <c r="MUE49" s="426"/>
      <c r="MUF49" s="426"/>
      <c r="MUG49" s="426"/>
      <c r="MUH49" s="426"/>
      <c r="MUI49" s="426"/>
      <c r="MUJ49" s="426"/>
      <c r="MUK49" s="426"/>
      <c r="MUL49" s="426"/>
      <c r="MUM49" s="426"/>
      <c r="MUN49" s="426"/>
      <c r="MUO49" s="426"/>
      <c r="MUP49" s="426"/>
      <c r="MUQ49" s="426"/>
      <c r="MUR49" s="426"/>
      <c r="MUS49" s="426"/>
      <c r="MUT49" s="426"/>
      <c r="MUU49" s="426"/>
      <c r="MUV49" s="426"/>
      <c r="MUW49" s="426"/>
      <c r="MUX49" s="426"/>
      <c r="MUY49" s="426"/>
      <c r="MUZ49" s="426"/>
      <c r="MVA49" s="426"/>
      <c r="MVB49" s="426"/>
      <c r="MVC49" s="426"/>
      <c r="MVD49" s="426"/>
      <c r="MVE49" s="426"/>
      <c r="MVF49" s="426"/>
      <c r="MVG49" s="426"/>
      <c r="MVH49" s="426"/>
      <c r="MVI49" s="426"/>
      <c r="MVJ49" s="426"/>
      <c r="MVK49" s="426"/>
      <c r="MVL49" s="426"/>
      <c r="MVM49" s="426"/>
      <c r="MVN49" s="426"/>
      <c r="MVO49" s="426"/>
      <c r="MVP49" s="426"/>
      <c r="MVQ49" s="426"/>
      <c r="MVR49" s="426"/>
      <c r="MVS49" s="426"/>
      <c r="MVT49" s="426"/>
      <c r="MVU49" s="426"/>
      <c r="MVV49" s="426"/>
      <c r="MVW49" s="426"/>
      <c r="MVX49" s="426"/>
      <c r="MVY49" s="426"/>
      <c r="MVZ49" s="426"/>
      <c r="MWA49" s="426"/>
      <c r="MWB49" s="426"/>
      <c r="MWC49" s="426"/>
      <c r="MWD49" s="426"/>
      <c r="MWE49" s="426"/>
      <c r="MWF49" s="426"/>
      <c r="MWG49" s="426"/>
      <c r="MWH49" s="426"/>
      <c r="MWI49" s="426"/>
      <c r="MWJ49" s="426"/>
      <c r="MWK49" s="426"/>
      <c r="MWL49" s="426"/>
      <c r="MWM49" s="426"/>
      <c r="MWN49" s="426"/>
      <c r="MWO49" s="426"/>
      <c r="MWP49" s="426"/>
      <c r="MWQ49" s="426"/>
      <c r="MWR49" s="426"/>
      <c r="MWS49" s="426"/>
      <c r="MWT49" s="426"/>
      <c r="MWU49" s="426"/>
      <c r="MWV49" s="426"/>
      <c r="MWW49" s="426"/>
      <c r="MWX49" s="426"/>
      <c r="MWY49" s="426"/>
      <c r="MWZ49" s="426"/>
      <c r="MXA49" s="426"/>
      <c r="MXB49" s="426"/>
      <c r="MXC49" s="426"/>
      <c r="MXD49" s="426"/>
      <c r="MXE49" s="426"/>
      <c r="MXF49" s="426"/>
      <c r="MXG49" s="426"/>
      <c r="MXH49" s="426"/>
      <c r="MXI49" s="426"/>
      <c r="MXJ49" s="426"/>
      <c r="MXK49" s="426"/>
      <c r="MXL49" s="426"/>
      <c r="MXM49" s="426"/>
      <c r="MXN49" s="426"/>
      <c r="MXO49" s="426"/>
      <c r="MXP49" s="426"/>
      <c r="MXQ49" s="426"/>
      <c r="MXR49" s="426"/>
      <c r="MXS49" s="426"/>
      <c r="MXT49" s="426"/>
      <c r="MXU49" s="426"/>
      <c r="MXV49" s="426"/>
      <c r="MXW49" s="426"/>
      <c r="MXX49" s="426"/>
      <c r="MXY49" s="426"/>
      <c r="MXZ49" s="426"/>
      <c r="MYA49" s="426"/>
      <c r="MYB49" s="426"/>
      <c r="MYC49" s="426"/>
      <c r="MYD49" s="426"/>
      <c r="MYE49" s="426"/>
      <c r="MYF49" s="426"/>
      <c r="MYG49" s="426"/>
      <c r="MYH49" s="426"/>
      <c r="MYI49" s="426"/>
      <c r="MYJ49" s="426"/>
      <c r="MYK49" s="426"/>
      <c r="MYL49" s="426"/>
      <c r="MYM49" s="426"/>
      <c r="MYN49" s="426"/>
      <c r="MYO49" s="426"/>
      <c r="MYP49" s="426"/>
      <c r="MYQ49" s="426"/>
      <c r="MYR49" s="426"/>
      <c r="MYS49" s="426"/>
      <c r="MYT49" s="426"/>
      <c r="MYU49" s="426"/>
      <c r="MYV49" s="426"/>
      <c r="MYW49" s="426"/>
      <c r="MYX49" s="426"/>
      <c r="MYY49" s="426"/>
      <c r="MYZ49" s="426"/>
      <c r="MZA49" s="426"/>
      <c r="MZB49" s="426"/>
      <c r="MZC49" s="426"/>
      <c r="MZD49" s="426"/>
      <c r="MZE49" s="426"/>
      <c r="MZF49" s="426"/>
      <c r="MZG49" s="426"/>
      <c r="MZH49" s="426"/>
      <c r="MZI49" s="426"/>
      <c r="MZJ49" s="426"/>
      <c r="MZK49" s="426"/>
      <c r="MZL49" s="426"/>
      <c r="MZM49" s="426"/>
      <c r="MZN49" s="426"/>
      <c r="MZO49" s="426"/>
      <c r="MZP49" s="426"/>
      <c r="MZQ49" s="426"/>
      <c r="MZR49" s="426"/>
      <c r="MZS49" s="426"/>
      <c r="MZT49" s="426"/>
      <c r="MZU49" s="426"/>
      <c r="MZV49" s="426"/>
      <c r="MZW49" s="426"/>
      <c r="MZX49" s="426"/>
      <c r="MZY49" s="426"/>
      <c r="MZZ49" s="426"/>
      <c r="NAA49" s="426"/>
      <c r="NAB49" s="426"/>
      <c r="NAC49" s="426"/>
      <c r="NAD49" s="426"/>
      <c r="NAE49" s="426"/>
      <c r="NAF49" s="426"/>
      <c r="NAG49" s="426"/>
      <c r="NAH49" s="426"/>
      <c r="NAI49" s="426"/>
      <c r="NAJ49" s="426"/>
      <c r="NAK49" s="426"/>
      <c r="NAL49" s="426"/>
      <c r="NAM49" s="426"/>
      <c r="NAN49" s="426"/>
      <c r="NAO49" s="426"/>
      <c r="NAP49" s="426"/>
      <c r="NAQ49" s="426"/>
      <c r="NAR49" s="426"/>
      <c r="NAS49" s="426"/>
      <c r="NAT49" s="426"/>
      <c r="NAU49" s="426"/>
      <c r="NAV49" s="426"/>
      <c r="NAW49" s="426"/>
      <c r="NAX49" s="426"/>
      <c r="NAY49" s="426"/>
      <c r="NAZ49" s="426"/>
      <c r="NBA49" s="426"/>
      <c r="NBB49" s="426"/>
      <c r="NBC49" s="426"/>
      <c r="NBD49" s="426"/>
      <c r="NBE49" s="426"/>
      <c r="NBF49" s="426"/>
      <c r="NBG49" s="426"/>
      <c r="NBH49" s="426"/>
      <c r="NBI49" s="426"/>
      <c r="NBJ49" s="426"/>
      <c r="NBK49" s="426"/>
      <c r="NBL49" s="426"/>
      <c r="NBM49" s="426"/>
      <c r="NBN49" s="426"/>
      <c r="NBO49" s="426"/>
      <c r="NBP49" s="426"/>
      <c r="NBQ49" s="426"/>
      <c r="NBR49" s="426"/>
      <c r="NBS49" s="426"/>
      <c r="NBT49" s="426"/>
      <c r="NBU49" s="426"/>
      <c r="NBV49" s="426"/>
      <c r="NBW49" s="426"/>
      <c r="NBX49" s="426"/>
      <c r="NBY49" s="426"/>
      <c r="NBZ49" s="426"/>
      <c r="NCA49" s="426"/>
      <c r="NCB49" s="426"/>
      <c r="NCC49" s="426"/>
      <c r="NCD49" s="426"/>
      <c r="NCE49" s="426"/>
      <c r="NCF49" s="426"/>
      <c r="NCG49" s="426"/>
      <c r="NCH49" s="426"/>
      <c r="NCI49" s="426"/>
      <c r="NCJ49" s="426"/>
      <c r="NCK49" s="426"/>
      <c r="NCL49" s="426"/>
      <c r="NCM49" s="426"/>
      <c r="NCN49" s="426"/>
      <c r="NCO49" s="426"/>
      <c r="NCP49" s="426"/>
      <c r="NCQ49" s="426"/>
      <c r="NCR49" s="426"/>
      <c r="NCS49" s="426"/>
      <c r="NCT49" s="426"/>
      <c r="NCU49" s="426"/>
      <c r="NCV49" s="426"/>
      <c r="NCW49" s="426"/>
      <c r="NCX49" s="426"/>
      <c r="NCY49" s="426"/>
      <c r="NCZ49" s="426"/>
      <c r="NDA49" s="426"/>
      <c r="NDB49" s="426"/>
      <c r="NDC49" s="426"/>
      <c r="NDD49" s="426"/>
      <c r="NDE49" s="426"/>
      <c r="NDF49" s="426"/>
      <c r="NDG49" s="426"/>
      <c r="NDH49" s="426"/>
      <c r="NDI49" s="426"/>
      <c r="NDJ49" s="426"/>
      <c r="NDK49" s="426"/>
      <c r="NDL49" s="426"/>
      <c r="NDM49" s="426"/>
      <c r="NDN49" s="426"/>
      <c r="NDO49" s="426"/>
      <c r="NDP49" s="426"/>
      <c r="NDQ49" s="426"/>
      <c r="NDR49" s="426"/>
      <c r="NDS49" s="426"/>
      <c r="NDT49" s="426"/>
      <c r="NDU49" s="426"/>
      <c r="NDV49" s="426"/>
      <c r="NDW49" s="426"/>
      <c r="NDX49" s="426"/>
      <c r="NDY49" s="426"/>
      <c r="NDZ49" s="426"/>
      <c r="NEA49" s="426"/>
      <c r="NEB49" s="426"/>
      <c r="NEC49" s="426"/>
      <c r="NED49" s="426"/>
      <c r="NEE49" s="426"/>
      <c r="NEF49" s="426"/>
      <c r="NEG49" s="426"/>
      <c r="NEH49" s="426"/>
      <c r="NEI49" s="426"/>
      <c r="NEJ49" s="426"/>
      <c r="NEK49" s="426"/>
      <c r="NEL49" s="426"/>
      <c r="NEM49" s="426"/>
      <c r="NEN49" s="426"/>
      <c r="NEO49" s="426"/>
      <c r="NEP49" s="426"/>
      <c r="NEQ49" s="426"/>
      <c r="NER49" s="426"/>
      <c r="NES49" s="426"/>
      <c r="NET49" s="426"/>
      <c r="NEU49" s="426"/>
      <c r="NEV49" s="426"/>
      <c r="NEW49" s="426"/>
      <c r="NEX49" s="426"/>
      <c r="NEY49" s="426"/>
      <c r="NEZ49" s="426"/>
      <c r="NFA49" s="426"/>
      <c r="NFB49" s="426"/>
      <c r="NFC49" s="426"/>
      <c r="NFD49" s="426"/>
      <c r="NFE49" s="426"/>
      <c r="NFF49" s="426"/>
      <c r="NFG49" s="426"/>
      <c r="NFH49" s="426"/>
      <c r="NFI49" s="426"/>
      <c r="NFJ49" s="426"/>
      <c r="NFK49" s="426"/>
      <c r="NFL49" s="426"/>
      <c r="NFM49" s="426"/>
      <c r="NFN49" s="426"/>
      <c r="NFO49" s="426"/>
      <c r="NFP49" s="426"/>
      <c r="NFQ49" s="426"/>
      <c r="NFR49" s="426"/>
      <c r="NFS49" s="426"/>
      <c r="NFT49" s="426"/>
      <c r="NFU49" s="426"/>
      <c r="NFV49" s="426"/>
      <c r="NFW49" s="426"/>
      <c r="NFX49" s="426"/>
      <c r="NFY49" s="426"/>
      <c r="NFZ49" s="426"/>
      <c r="NGA49" s="426"/>
      <c r="NGB49" s="426"/>
      <c r="NGC49" s="426"/>
      <c r="NGD49" s="426"/>
      <c r="NGE49" s="426"/>
      <c r="NGF49" s="426"/>
      <c r="NGG49" s="426"/>
      <c r="NGH49" s="426"/>
      <c r="NGI49" s="426"/>
      <c r="NGJ49" s="426"/>
      <c r="NGK49" s="426"/>
      <c r="NGL49" s="426"/>
      <c r="NGM49" s="426"/>
      <c r="NGN49" s="426"/>
      <c r="NGO49" s="426"/>
      <c r="NGP49" s="426"/>
      <c r="NGQ49" s="426"/>
      <c r="NGR49" s="426"/>
      <c r="NGS49" s="426"/>
      <c r="NGT49" s="426"/>
      <c r="NGU49" s="426"/>
      <c r="NGV49" s="426"/>
      <c r="NGW49" s="426"/>
      <c r="NGX49" s="426"/>
      <c r="NGY49" s="426"/>
      <c r="NGZ49" s="426"/>
      <c r="NHA49" s="426"/>
      <c r="NHB49" s="426"/>
      <c r="NHC49" s="426"/>
      <c r="NHD49" s="426"/>
      <c r="NHE49" s="426"/>
      <c r="NHF49" s="426"/>
      <c r="NHG49" s="426"/>
      <c r="NHH49" s="426"/>
      <c r="NHI49" s="426"/>
      <c r="NHJ49" s="426"/>
      <c r="NHK49" s="426"/>
      <c r="NHL49" s="426"/>
      <c r="NHM49" s="426"/>
      <c r="NHN49" s="426"/>
      <c r="NHO49" s="426"/>
      <c r="NHP49" s="426"/>
      <c r="NHQ49" s="426"/>
      <c r="NHR49" s="426"/>
      <c r="NHS49" s="426"/>
      <c r="NHT49" s="426"/>
      <c r="NHU49" s="426"/>
      <c r="NHV49" s="426"/>
      <c r="NHW49" s="426"/>
      <c r="NHX49" s="426"/>
      <c r="NHY49" s="426"/>
      <c r="NHZ49" s="426"/>
      <c r="NIA49" s="426"/>
      <c r="NIB49" s="426"/>
      <c r="NIC49" s="426"/>
      <c r="NID49" s="426"/>
      <c r="NIE49" s="426"/>
      <c r="NIF49" s="426"/>
      <c r="NIG49" s="426"/>
      <c r="NIH49" s="426"/>
      <c r="NII49" s="426"/>
      <c r="NIJ49" s="426"/>
      <c r="NIK49" s="426"/>
      <c r="NIL49" s="426"/>
      <c r="NIM49" s="426"/>
      <c r="NIN49" s="426"/>
      <c r="NIO49" s="426"/>
      <c r="NIP49" s="426"/>
      <c r="NIQ49" s="426"/>
      <c r="NIR49" s="426"/>
      <c r="NIS49" s="426"/>
      <c r="NIT49" s="426"/>
      <c r="NIU49" s="426"/>
      <c r="NIV49" s="426"/>
      <c r="NIW49" s="426"/>
      <c r="NIX49" s="426"/>
      <c r="NIY49" s="426"/>
      <c r="NIZ49" s="426"/>
      <c r="NJA49" s="426"/>
      <c r="NJB49" s="426"/>
      <c r="NJC49" s="426"/>
      <c r="NJD49" s="426"/>
      <c r="NJE49" s="426"/>
      <c r="NJF49" s="426"/>
      <c r="NJG49" s="426"/>
      <c r="NJH49" s="426"/>
      <c r="NJI49" s="426"/>
      <c r="NJJ49" s="426"/>
      <c r="NJK49" s="426"/>
      <c r="NJL49" s="426"/>
      <c r="NJM49" s="426"/>
      <c r="NJN49" s="426"/>
      <c r="NJO49" s="426"/>
      <c r="NJP49" s="426"/>
      <c r="NJQ49" s="426"/>
      <c r="NJR49" s="426"/>
      <c r="NJS49" s="426"/>
      <c r="NJT49" s="426"/>
      <c r="NJU49" s="426"/>
      <c r="NJV49" s="426"/>
      <c r="NJW49" s="426"/>
      <c r="NJX49" s="426"/>
      <c r="NJY49" s="426"/>
      <c r="NJZ49" s="426"/>
      <c r="NKA49" s="426"/>
      <c r="NKB49" s="426"/>
      <c r="NKC49" s="426"/>
      <c r="NKD49" s="426"/>
      <c r="NKE49" s="426"/>
      <c r="NKF49" s="426"/>
      <c r="NKG49" s="426"/>
      <c r="NKH49" s="426"/>
      <c r="NKI49" s="426"/>
      <c r="NKJ49" s="426"/>
      <c r="NKK49" s="426"/>
      <c r="NKL49" s="426"/>
      <c r="NKM49" s="426"/>
      <c r="NKN49" s="426"/>
      <c r="NKO49" s="426"/>
      <c r="NKP49" s="426"/>
      <c r="NKQ49" s="426"/>
      <c r="NKR49" s="426"/>
      <c r="NKS49" s="426"/>
      <c r="NKT49" s="426"/>
      <c r="NKU49" s="426"/>
      <c r="NKV49" s="426"/>
      <c r="NKW49" s="426"/>
      <c r="NKX49" s="426"/>
      <c r="NKY49" s="426"/>
      <c r="NKZ49" s="426"/>
      <c r="NLA49" s="426"/>
      <c r="NLB49" s="426"/>
      <c r="NLC49" s="426"/>
      <c r="NLD49" s="426"/>
      <c r="NLE49" s="426"/>
      <c r="NLF49" s="426"/>
      <c r="NLG49" s="426"/>
      <c r="NLH49" s="426"/>
      <c r="NLI49" s="426"/>
      <c r="NLJ49" s="426"/>
      <c r="NLK49" s="426"/>
      <c r="NLL49" s="426"/>
      <c r="NLM49" s="426"/>
      <c r="NLN49" s="426"/>
      <c r="NLO49" s="426"/>
      <c r="NLP49" s="426"/>
      <c r="NLQ49" s="426"/>
      <c r="NLR49" s="426"/>
      <c r="NLS49" s="426"/>
      <c r="NLT49" s="426"/>
      <c r="NLU49" s="426"/>
      <c r="NLV49" s="426"/>
      <c r="NLW49" s="426"/>
      <c r="NLX49" s="426"/>
      <c r="NLY49" s="426"/>
      <c r="NLZ49" s="426"/>
      <c r="NMA49" s="426"/>
      <c r="NMB49" s="426"/>
      <c r="NMC49" s="426"/>
      <c r="NMD49" s="426"/>
      <c r="NME49" s="426"/>
      <c r="NMF49" s="426"/>
      <c r="NMG49" s="426"/>
      <c r="NMH49" s="426"/>
      <c r="NMI49" s="426"/>
      <c r="NMJ49" s="426"/>
      <c r="NMK49" s="426"/>
      <c r="NML49" s="426"/>
      <c r="NMM49" s="426"/>
      <c r="NMN49" s="426"/>
      <c r="NMO49" s="426"/>
      <c r="NMP49" s="426"/>
      <c r="NMQ49" s="426"/>
      <c r="NMR49" s="426"/>
      <c r="NMS49" s="426"/>
      <c r="NMT49" s="426"/>
      <c r="NMU49" s="426"/>
      <c r="NMV49" s="426"/>
      <c r="NMW49" s="426"/>
      <c r="NMX49" s="426"/>
      <c r="NMY49" s="426"/>
      <c r="NMZ49" s="426"/>
      <c r="NNA49" s="426"/>
      <c r="NNB49" s="426"/>
      <c r="NNC49" s="426"/>
      <c r="NND49" s="426"/>
      <c r="NNE49" s="426"/>
      <c r="NNF49" s="426"/>
      <c r="NNG49" s="426"/>
      <c r="NNH49" s="426"/>
      <c r="NNI49" s="426"/>
      <c r="NNJ49" s="426"/>
      <c r="NNK49" s="426"/>
      <c r="NNL49" s="426"/>
      <c r="NNM49" s="426"/>
      <c r="NNN49" s="426"/>
      <c r="NNO49" s="426"/>
      <c r="NNP49" s="426"/>
      <c r="NNQ49" s="426"/>
      <c r="NNR49" s="426"/>
      <c r="NNS49" s="426"/>
      <c r="NNT49" s="426"/>
      <c r="NNU49" s="426"/>
      <c r="NNV49" s="426"/>
      <c r="NNW49" s="426"/>
      <c r="NNX49" s="426"/>
      <c r="NNY49" s="426"/>
      <c r="NNZ49" s="426"/>
      <c r="NOA49" s="426"/>
      <c r="NOB49" s="426"/>
      <c r="NOC49" s="426"/>
      <c r="NOD49" s="426"/>
      <c r="NOE49" s="426"/>
      <c r="NOF49" s="426"/>
      <c r="NOG49" s="426"/>
      <c r="NOH49" s="426"/>
      <c r="NOI49" s="426"/>
      <c r="NOJ49" s="426"/>
      <c r="NOK49" s="426"/>
      <c r="NOL49" s="426"/>
      <c r="NOM49" s="426"/>
      <c r="NON49" s="426"/>
      <c r="NOO49" s="426"/>
      <c r="NOP49" s="426"/>
      <c r="NOQ49" s="426"/>
      <c r="NOR49" s="426"/>
      <c r="NOS49" s="426"/>
      <c r="NOT49" s="426"/>
      <c r="NOU49" s="426"/>
      <c r="NOV49" s="426"/>
      <c r="NOW49" s="426"/>
      <c r="NOX49" s="426"/>
      <c r="NOY49" s="426"/>
      <c r="NOZ49" s="426"/>
      <c r="NPA49" s="426"/>
      <c r="NPB49" s="426"/>
      <c r="NPC49" s="426"/>
      <c r="NPD49" s="426"/>
      <c r="NPE49" s="426"/>
      <c r="NPF49" s="426"/>
      <c r="NPG49" s="426"/>
      <c r="NPH49" s="426"/>
      <c r="NPI49" s="426"/>
      <c r="NPJ49" s="426"/>
      <c r="NPK49" s="426"/>
      <c r="NPL49" s="426"/>
      <c r="NPM49" s="426"/>
      <c r="NPN49" s="426"/>
      <c r="NPO49" s="426"/>
      <c r="NPP49" s="426"/>
      <c r="NPQ49" s="426"/>
      <c r="NPR49" s="426"/>
      <c r="NPS49" s="426"/>
      <c r="NPT49" s="426"/>
      <c r="NPU49" s="426"/>
      <c r="NPV49" s="426"/>
      <c r="NPW49" s="426"/>
      <c r="NPX49" s="426"/>
      <c r="NPY49" s="426"/>
      <c r="NPZ49" s="426"/>
      <c r="NQA49" s="426"/>
      <c r="NQB49" s="426"/>
      <c r="NQC49" s="426"/>
      <c r="NQD49" s="426"/>
      <c r="NQE49" s="426"/>
      <c r="NQF49" s="426"/>
      <c r="NQG49" s="426"/>
      <c r="NQH49" s="426"/>
      <c r="NQI49" s="426"/>
      <c r="NQJ49" s="426"/>
      <c r="NQK49" s="426"/>
      <c r="NQL49" s="426"/>
      <c r="NQM49" s="426"/>
      <c r="NQN49" s="426"/>
      <c r="NQO49" s="426"/>
      <c r="NQP49" s="426"/>
      <c r="NQQ49" s="426"/>
      <c r="NQR49" s="426"/>
      <c r="NQS49" s="426"/>
      <c r="NQT49" s="426"/>
      <c r="NQU49" s="426"/>
      <c r="NQV49" s="426"/>
      <c r="NQW49" s="426"/>
      <c r="NQX49" s="426"/>
      <c r="NQY49" s="426"/>
      <c r="NQZ49" s="426"/>
      <c r="NRA49" s="426"/>
      <c r="NRB49" s="426"/>
      <c r="NRC49" s="426"/>
      <c r="NRD49" s="426"/>
      <c r="NRE49" s="426"/>
      <c r="NRF49" s="426"/>
      <c r="NRG49" s="426"/>
      <c r="NRH49" s="426"/>
      <c r="NRI49" s="426"/>
      <c r="NRJ49" s="426"/>
      <c r="NRK49" s="426"/>
      <c r="NRL49" s="426"/>
      <c r="NRM49" s="426"/>
      <c r="NRN49" s="426"/>
      <c r="NRO49" s="426"/>
      <c r="NRP49" s="426"/>
      <c r="NRQ49" s="426"/>
      <c r="NRR49" s="426"/>
      <c r="NRS49" s="426"/>
      <c r="NRT49" s="426"/>
      <c r="NRU49" s="426"/>
      <c r="NRV49" s="426"/>
      <c r="NRW49" s="426"/>
      <c r="NRX49" s="426"/>
      <c r="NRY49" s="426"/>
      <c r="NRZ49" s="426"/>
      <c r="NSA49" s="426"/>
      <c r="NSB49" s="426"/>
      <c r="NSC49" s="426"/>
      <c r="NSD49" s="426"/>
      <c r="NSE49" s="426"/>
      <c r="NSF49" s="426"/>
      <c r="NSG49" s="426"/>
      <c r="NSH49" s="426"/>
      <c r="NSI49" s="426"/>
      <c r="NSJ49" s="426"/>
      <c r="NSK49" s="426"/>
      <c r="NSL49" s="426"/>
      <c r="NSM49" s="426"/>
      <c r="NSN49" s="426"/>
      <c r="NSO49" s="426"/>
      <c r="NSP49" s="426"/>
      <c r="NSQ49" s="426"/>
      <c r="NSR49" s="426"/>
      <c r="NSS49" s="426"/>
      <c r="NST49" s="426"/>
      <c r="NSU49" s="426"/>
      <c r="NSV49" s="426"/>
      <c r="NSW49" s="426"/>
      <c r="NSX49" s="426"/>
      <c r="NSY49" s="426"/>
      <c r="NSZ49" s="426"/>
      <c r="NTA49" s="426"/>
      <c r="NTB49" s="426"/>
      <c r="NTC49" s="426"/>
      <c r="NTD49" s="426"/>
      <c r="NTE49" s="426"/>
      <c r="NTF49" s="426"/>
      <c r="NTG49" s="426"/>
      <c r="NTH49" s="426"/>
      <c r="NTI49" s="426"/>
      <c r="NTJ49" s="426"/>
      <c r="NTK49" s="426"/>
      <c r="NTL49" s="426"/>
      <c r="NTM49" s="426"/>
      <c r="NTN49" s="426"/>
      <c r="NTO49" s="426"/>
      <c r="NTP49" s="426"/>
      <c r="NTQ49" s="426"/>
      <c r="NTR49" s="426"/>
      <c r="NTS49" s="426"/>
      <c r="NTT49" s="426"/>
      <c r="NTU49" s="426"/>
      <c r="NTV49" s="426"/>
      <c r="NTW49" s="426"/>
      <c r="NTX49" s="426"/>
      <c r="NTY49" s="426"/>
      <c r="NTZ49" s="426"/>
      <c r="NUA49" s="426"/>
      <c r="NUB49" s="426"/>
      <c r="NUC49" s="426"/>
      <c r="NUD49" s="426"/>
      <c r="NUE49" s="426"/>
      <c r="NUF49" s="426"/>
      <c r="NUG49" s="426"/>
      <c r="NUH49" s="426"/>
      <c r="NUI49" s="426"/>
      <c r="NUJ49" s="426"/>
      <c r="NUK49" s="426"/>
      <c r="NUL49" s="426"/>
      <c r="NUM49" s="426"/>
      <c r="NUN49" s="426"/>
      <c r="NUO49" s="426"/>
      <c r="NUP49" s="426"/>
      <c r="NUQ49" s="426"/>
      <c r="NUR49" s="426"/>
      <c r="NUS49" s="426"/>
      <c r="NUT49" s="426"/>
      <c r="NUU49" s="426"/>
      <c r="NUV49" s="426"/>
      <c r="NUW49" s="426"/>
      <c r="NUX49" s="426"/>
      <c r="NUY49" s="426"/>
      <c r="NUZ49" s="426"/>
      <c r="NVA49" s="426"/>
      <c r="NVB49" s="426"/>
      <c r="NVC49" s="426"/>
      <c r="NVD49" s="426"/>
      <c r="NVE49" s="426"/>
      <c r="NVF49" s="426"/>
      <c r="NVG49" s="426"/>
      <c r="NVH49" s="426"/>
      <c r="NVI49" s="426"/>
      <c r="NVJ49" s="426"/>
      <c r="NVK49" s="426"/>
      <c r="NVL49" s="426"/>
      <c r="NVM49" s="426"/>
      <c r="NVN49" s="426"/>
      <c r="NVO49" s="426"/>
      <c r="NVP49" s="426"/>
      <c r="NVQ49" s="426"/>
      <c r="NVR49" s="426"/>
      <c r="NVS49" s="426"/>
      <c r="NVT49" s="426"/>
      <c r="NVU49" s="426"/>
      <c r="NVV49" s="426"/>
      <c r="NVW49" s="426"/>
      <c r="NVX49" s="426"/>
      <c r="NVY49" s="426"/>
      <c r="NVZ49" s="426"/>
      <c r="NWA49" s="426"/>
      <c r="NWB49" s="426"/>
      <c r="NWC49" s="426"/>
      <c r="NWD49" s="426"/>
      <c r="NWE49" s="426"/>
      <c r="NWF49" s="426"/>
      <c r="NWG49" s="426"/>
      <c r="NWH49" s="426"/>
      <c r="NWI49" s="426"/>
      <c r="NWJ49" s="426"/>
      <c r="NWK49" s="426"/>
      <c r="NWL49" s="426"/>
      <c r="NWM49" s="426"/>
      <c r="NWN49" s="426"/>
      <c r="NWO49" s="426"/>
      <c r="NWP49" s="426"/>
      <c r="NWQ49" s="426"/>
      <c r="NWR49" s="426"/>
      <c r="NWS49" s="426"/>
      <c r="NWT49" s="426"/>
      <c r="NWU49" s="426"/>
      <c r="NWV49" s="426"/>
      <c r="NWW49" s="426"/>
      <c r="NWX49" s="426"/>
      <c r="NWY49" s="426"/>
      <c r="NWZ49" s="426"/>
      <c r="NXA49" s="426"/>
      <c r="NXB49" s="426"/>
      <c r="NXC49" s="426"/>
      <c r="NXD49" s="426"/>
      <c r="NXE49" s="426"/>
      <c r="NXF49" s="426"/>
      <c r="NXG49" s="426"/>
      <c r="NXH49" s="426"/>
      <c r="NXI49" s="426"/>
      <c r="NXJ49" s="426"/>
      <c r="NXK49" s="426"/>
      <c r="NXL49" s="426"/>
      <c r="NXM49" s="426"/>
      <c r="NXN49" s="426"/>
      <c r="NXO49" s="426"/>
      <c r="NXP49" s="426"/>
      <c r="NXQ49" s="426"/>
      <c r="NXR49" s="426"/>
      <c r="NXS49" s="426"/>
      <c r="NXT49" s="426"/>
      <c r="NXU49" s="426"/>
      <c r="NXV49" s="426"/>
      <c r="NXW49" s="426"/>
      <c r="NXX49" s="426"/>
      <c r="NXY49" s="426"/>
      <c r="NXZ49" s="426"/>
      <c r="NYA49" s="426"/>
      <c r="NYB49" s="426"/>
      <c r="NYC49" s="426"/>
      <c r="NYD49" s="426"/>
      <c r="NYE49" s="426"/>
      <c r="NYF49" s="426"/>
      <c r="NYG49" s="426"/>
      <c r="NYH49" s="426"/>
      <c r="NYI49" s="426"/>
      <c r="NYJ49" s="426"/>
      <c r="NYK49" s="426"/>
      <c r="NYL49" s="426"/>
      <c r="NYM49" s="426"/>
      <c r="NYN49" s="426"/>
      <c r="NYO49" s="426"/>
      <c r="NYP49" s="426"/>
      <c r="NYQ49" s="426"/>
      <c r="NYR49" s="426"/>
      <c r="NYS49" s="426"/>
      <c r="NYT49" s="426"/>
      <c r="NYU49" s="426"/>
      <c r="NYV49" s="426"/>
      <c r="NYW49" s="426"/>
      <c r="NYX49" s="426"/>
      <c r="NYY49" s="426"/>
      <c r="NYZ49" s="426"/>
      <c r="NZA49" s="426"/>
      <c r="NZB49" s="426"/>
      <c r="NZC49" s="426"/>
      <c r="NZD49" s="426"/>
      <c r="NZE49" s="426"/>
      <c r="NZF49" s="426"/>
      <c r="NZG49" s="426"/>
      <c r="NZH49" s="426"/>
      <c r="NZI49" s="426"/>
      <c r="NZJ49" s="426"/>
      <c r="NZK49" s="426"/>
      <c r="NZL49" s="426"/>
      <c r="NZM49" s="426"/>
      <c r="NZN49" s="426"/>
      <c r="NZO49" s="426"/>
      <c r="NZP49" s="426"/>
      <c r="NZQ49" s="426"/>
      <c r="NZR49" s="426"/>
      <c r="NZS49" s="426"/>
      <c r="NZT49" s="426"/>
      <c r="NZU49" s="426"/>
      <c r="NZV49" s="426"/>
      <c r="NZW49" s="426"/>
      <c r="NZX49" s="426"/>
      <c r="NZY49" s="426"/>
      <c r="NZZ49" s="426"/>
      <c r="OAA49" s="426"/>
      <c r="OAB49" s="426"/>
      <c r="OAC49" s="426"/>
      <c r="OAD49" s="426"/>
      <c r="OAE49" s="426"/>
      <c r="OAF49" s="426"/>
      <c r="OAG49" s="426"/>
      <c r="OAH49" s="426"/>
      <c r="OAI49" s="426"/>
      <c r="OAJ49" s="426"/>
      <c r="OAK49" s="426"/>
      <c r="OAL49" s="426"/>
      <c r="OAM49" s="426"/>
      <c r="OAN49" s="426"/>
      <c r="OAO49" s="426"/>
      <c r="OAP49" s="426"/>
      <c r="OAQ49" s="426"/>
      <c r="OAR49" s="426"/>
      <c r="OAS49" s="426"/>
      <c r="OAT49" s="426"/>
      <c r="OAU49" s="426"/>
      <c r="OAV49" s="426"/>
      <c r="OAW49" s="426"/>
      <c r="OAX49" s="426"/>
      <c r="OAY49" s="426"/>
      <c r="OAZ49" s="426"/>
      <c r="OBA49" s="426"/>
      <c r="OBB49" s="426"/>
      <c r="OBC49" s="426"/>
      <c r="OBD49" s="426"/>
      <c r="OBE49" s="426"/>
      <c r="OBF49" s="426"/>
      <c r="OBG49" s="426"/>
      <c r="OBH49" s="426"/>
      <c r="OBI49" s="426"/>
      <c r="OBJ49" s="426"/>
      <c r="OBK49" s="426"/>
      <c r="OBL49" s="426"/>
      <c r="OBM49" s="426"/>
      <c r="OBN49" s="426"/>
      <c r="OBO49" s="426"/>
      <c r="OBP49" s="426"/>
      <c r="OBQ49" s="426"/>
      <c r="OBR49" s="426"/>
      <c r="OBS49" s="426"/>
      <c r="OBT49" s="426"/>
      <c r="OBU49" s="426"/>
      <c r="OBV49" s="426"/>
      <c r="OBW49" s="426"/>
      <c r="OBX49" s="426"/>
      <c r="OBY49" s="426"/>
      <c r="OBZ49" s="426"/>
      <c r="OCA49" s="426"/>
      <c r="OCB49" s="426"/>
      <c r="OCC49" s="426"/>
      <c r="OCD49" s="426"/>
      <c r="OCE49" s="426"/>
      <c r="OCF49" s="426"/>
      <c r="OCG49" s="426"/>
      <c r="OCH49" s="426"/>
      <c r="OCI49" s="426"/>
      <c r="OCJ49" s="426"/>
      <c r="OCK49" s="426"/>
      <c r="OCL49" s="426"/>
      <c r="OCM49" s="426"/>
      <c r="OCN49" s="426"/>
      <c r="OCO49" s="426"/>
      <c r="OCP49" s="426"/>
      <c r="OCQ49" s="426"/>
      <c r="OCR49" s="426"/>
      <c r="OCS49" s="426"/>
      <c r="OCT49" s="426"/>
      <c r="OCU49" s="426"/>
      <c r="OCV49" s="426"/>
      <c r="OCW49" s="426"/>
      <c r="OCX49" s="426"/>
      <c r="OCY49" s="426"/>
      <c r="OCZ49" s="426"/>
      <c r="ODA49" s="426"/>
      <c r="ODB49" s="426"/>
      <c r="ODC49" s="426"/>
      <c r="ODD49" s="426"/>
      <c r="ODE49" s="426"/>
      <c r="ODF49" s="426"/>
      <c r="ODG49" s="426"/>
      <c r="ODH49" s="426"/>
      <c r="ODI49" s="426"/>
      <c r="ODJ49" s="426"/>
      <c r="ODK49" s="426"/>
      <c r="ODL49" s="426"/>
      <c r="ODM49" s="426"/>
      <c r="ODN49" s="426"/>
      <c r="ODO49" s="426"/>
      <c r="ODP49" s="426"/>
      <c r="ODQ49" s="426"/>
      <c r="ODR49" s="426"/>
      <c r="ODS49" s="426"/>
      <c r="ODT49" s="426"/>
      <c r="ODU49" s="426"/>
      <c r="ODV49" s="426"/>
      <c r="ODW49" s="426"/>
      <c r="ODX49" s="426"/>
      <c r="ODY49" s="426"/>
      <c r="ODZ49" s="426"/>
      <c r="OEA49" s="426"/>
      <c r="OEB49" s="426"/>
      <c r="OEC49" s="426"/>
      <c r="OED49" s="426"/>
      <c r="OEE49" s="426"/>
      <c r="OEF49" s="426"/>
      <c r="OEG49" s="426"/>
      <c r="OEH49" s="426"/>
      <c r="OEI49" s="426"/>
      <c r="OEJ49" s="426"/>
      <c r="OEK49" s="426"/>
      <c r="OEL49" s="426"/>
      <c r="OEM49" s="426"/>
      <c r="OEN49" s="426"/>
      <c r="OEO49" s="426"/>
      <c r="OEP49" s="426"/>
      <c r="OEQ49" s="426"/>
      <c r="OER49" s="426"/>
      <c r="OES49" s="426"/>
      <c r="OET49" s="426"/>
      <c r="OEU49" s="426"/>
      <c r="OEV49" s="426"/>
      <c r="OEW49" s="426"/>
      <c r="OEX49" s="426"/>
      <c r="OEY49" s="426"/>
      <c r="OEZ49" s="426"/>
      <c r="OFA49" s="426"/>
      <c r="OFB49" s="426"/>
      <c r="OFC49" s="426"/>
      <c r="OFD49" s="426"/>
      <c r="OFE49" s="426"/>
      <c r="OFF49" s="426"/>
      <c r="OFG49" s="426"/>
      <c r="OFH49" s="426"/>
      <c r="OFI49" s="426"/>
      <c r="OFJ49" s="426"/>
      <c r="OFK49" s="426"/>
      <c r="OFL49" s="426"/>
      <c r="OFM49" s="426"/>
      <c r="OFN49" s="426"/>
      <c r="OFO49" s="426"/>
      <c r="OFP49" s="426"/>
      <c r="OFQ49" s="426"/>
      <c r="OFR49" s="426"/>
      <c r="OFS49" s="426"/>
      <c r="OFT49" s="426"/>
      <c r="OFU49" s="426"/>
      <c r="OFV49" s="426"/>
      <c r="OFW49" s="426"/>
      <c r="OFX49" s="426"/>
      <c r="OFY49" s="426"/>
      <c r="OFZ49" s="426"/>
      <c r="OGA49" s="426"/>
      <c r="OGB49" s="426"/>
      <c r="OGC49" s="426"/>
      <c r="OGD49" s="426"/>
      <c r="OGE49" s="426"/>
      <c r="OGF49" s="426"/>
      <c r="OGG49" s="426"/>
      <c r="OGH49" s="426"/>
      <c r="OGI49" s="426"/>
      <c r="OGJ49" s="426"/>
      <c r="OGK49" s="426"/>
      <c r="OGL49" s="426"/>
      <c r="OGM49" s="426"/>
      <c r="OGN49" s="426"/>
      <c r="OGO49" s="426"/>
      <c r="OGP49" s="426"/>
      <c r="OGQ49" s="426"/>
      <c r="OGR49" s="426"/>
      <c r="OGS49" s="426"/>
      <c r="OGT49" s="426"/>
      <c r="OGU49" s="426"/>
      <c r="OGV49" s="426"/>
      <c r="OGW49" s="426"/>
      <c r="OGX49" s="426"/>
      <c r="OGY49" s="426"/>
      <c r="OGZ49" s="426"/>
      <c r="OHA49" s="426"/>
      <c r="OHB49" s="426"/>
      <c r="OHC49" s="426"/>
      <c r="OHD49" s="426"/>
      <c r="OHE49" s="426"/>
      <c r="OHF49" s="426"/>
      <c r="OHG49" s="426"/>
      <c r="OHH49" s="426"/>
      <c r="OHI49" s="426"/>
      <c r="OHJ49" s="426"/>
      <c r="OHK49" s="426"/>
      <c r="OHL49" s="426"/>
      <c r="OHM49" s="426"/>
      <c r="OHN49" s="426"/>
      <c r="OHO49" s="426"/>
      <c r="OHP49" s="426"/>
      <c r="OHQ49" s="426"/>
      <c r="OHR49" s="426"/>
      <c r="OHS49" s="426"/>
      <c r="OHT49" s="426"/>
      <c r="OHU49" s="426"/>
      <c r="OHV49" s="426"/>
      <c r="OHW49" s="426"/>
      <c r="OHX49" s="426"/>
      <c r="OHY49" s="426"/>
      <c r="OHZ49" s="426"/>
      <c r="OIA49" s="426"/>
      <c r="OIB49" s="426"/>
      <c r="OIC49" s="426"/>
      <c r="OID49" s="426"/>
      <c r="OIE49" s="426"/>
      <c r="OIF49" s="426"/>
      <c r="OIG49" s="426"/>
      <c r="OIH49" s="426"/>
      <c r="OII49" s="426"/>
      <c r="OIJ49" s="426"/>
      <c r="OIK49" s="426"/>
      <c r="OIL49" s="426"/>
      <c r="OIM49" s="426"/>
      <c r="OIN49" s="426"/>
      <c r="OIO49" s="426"/>
      <c r="OIP49" s="426"/>
      <c r="OIQ49" s="426"/>
      <c r="OIR49" s="426"/>
      <c r="OIS49" s="426"/>
      <c r="OIT49" s="426"/>
      <c r="OIU49" s="426"/>
      <c r="OIV49" s="426"/>
      <c r="OIW49" s="426"/>
      <c r="OIX49" s="426"/>
      <c r="OIY49" s="426"/>
      <c r="OIZ49" s="426"/>
      <c r="OJA49" s="426"/>
      <c r="OJB49" s="426"/>
      <c r="OJC49" s="426"/>
      <c r="OJD49" s="426"/>
      <c r="OJE49" s="426"/>
      <c r="OJF49" s="426"/>
      <c r="OJG49" s="426"/>
      <c r="OJH49" s="426"/>
      <c r="OJI49" s="426"/>
      <c r="OJJ49" s="426"/>
      <c r="OJK49" s="426"/>
      <c r="OJL49" s="426"/>
      <c r="OJM49" s="426"/>
      <c r="OJN49" s="426"/>
      <c r="OJO49" s="426"/>
      <c r="OJP49" s="426"/>
      <c r="OJQ49" s="426"/>
      <c r="OJR49" s="426"/>
      <c r="OJS49" s="426"/>
      <c r="OJT49" s="426"/>
      <c r="OJU49" s="426"/>
      <c r="OJV49" s="426"/>
      <c r="OJW49" s="426"/>
      <c r="OJX49" s="426"/>
      <c r="OJY49" s="426"/>
      <c r="OJZ49" s="426"/>
      <c r="OKA49" s="426"/>
      <c r="OKB49" s="426"/>
      <c r="OKC49" s="426"/>
      <c r="OKD49" s="426"/>
      <c r="OKE49" s="426"/>
      <c r="OKF49" s="426"/>
      <c r="OKG49" s="426"/>
      <c r="OKH49" s="426"/>
      <c r="OKI49" s="426"/>
      <c r="OKJ49" s="426"/>
      <c r="OKK49" s="426"/>
      <c r="OKL49" s="426"/>
      <c r="OKM49" s="426"/>
      <c r="OKN49" s="426"/>
      <c r="OKO49" s="426"/>
      <c r="OKP49" s="426"/>
      <c r="OKQ49" s="426"/>
      <c r="OKR49" s="426"/>
      <c r="OKS49" s="426"/>
      <c r="OKT49" s="426"/>
      <c r="OKU49" s="426"/>
      <c r="OKV49" s="426"/>
      <c r="OKW49" s="426"/>
      <c r="OKX49" s="426"/>
      <c r="OKY49" s="426"/>
      <c r="OKZ49" s="426"/>
      <c r="OLA49" s="426"/>
      <c r="OLB49" s="426"/>
      <c r="OLC49" s="426"/>
      <c r="OLD49" s="426"/>
      <c r="OLE49" s="426"/>
      <c r="OLF49" s="426"/>
      <c r="OLG49" s="426"/>
      <c r="OLH49" s="426"/>
      <c r="OLI49" s="426"/>
      <c r="OLJ49" s="426"/>
      <c r="OLK49" s="426"/>
      <c r="OLL49" s="426"/>
      <c r="OLM49" s="426"/>
      <c r="OLN49" s="426"/>
      <c r="OLO49" s="426"/>
      <c r="OLP49" s="426"/>
      <c r="OLQ49" s="426"/>
      <c r="OLR49" s="426"/>
      <c r="OLS49" s="426"/>
      <c r="OLT49" s="426"/>
      <c r="OLU49" s="426"/>
      <c r="OLV49" s="426"/>
      <c r="OLW49" s="426"/>
      <c r="OLX49" s="426"/>
      <c r="OLY49" s="426"/>
      <c r="OLZ49" s="426"/>
      <c r="OMA49" s="426"/>
      <c r="OMB49" s="426"/>
      <c r="OMC49" s="426"/>
      <c r="OMD49" s="426"/>
      <c r="OME49" s="426"/>
      <c r="OMF49" s="426"/>
      <c r="OMG49" s="426"/>
      <c r="OMH49" s="426"/>
      <c r="OMI49" s="426"/>
      <c r="OMJ49" s="426"/>
      <c r="OMK49" s="426"/>
      <c r="OML49" s="426"/>
      <c r="OMM49" s="426"/>
      <c r="OMN49" s="426"/>
      <c r="OMO49" s="426"/>
      <c r="OMP49" s="426"/>
      <c r="OMQ49" s="426"/>
      <c r="OMR49" s="426"/>
      <c r="OMS49" s="426"/>
      <c r="OMT49" s="426"/>
      <c r="OMU49" s="426"/>
      <c r="OMV49" s="426"/>
      <c r="OMW49" s="426"/>
      <c r="OMX49" s="426"/>
      <c r="OMY49" s="426"/>
      <c r="OMZ49" s="426"/>
      <c r="ONA49" s="426"/>
      <c r="ONB49" s="426"/>
      <c r="ONC49" s="426"/>
      <c r="OND49" s="426"/>
      <c r="ONE49" s="426"/>
      <c r="ONF49" s="426"/>
      <c r="ONG49" s="426"/>
      <c r="ONH49" s="426"/>
      <c r="ONI49" s="426"/>
      <c r="ONJ49" s="426"/>
      <c r="ONK49" s="426"/>
      <c r="ONL49" s="426"/>
      <c r="ONM49" s="426"/>
      <c r="ONN49" s="426"/>
      <c r="ONO49" s="426"/>
      <c r="ONP49" s="426"/>
      <c r="ONQ49" s="426"/>
      <c r="ONR49" s="426"/>
      <c r="ONS49" s="426"/>
      <c r="ONT49" s="426"/>
      <c r="ONU49" s="426"/>
      <c r="ONV49" s="426"/>
      <c r="ONW49" s="426"/>
      <c r="ONX49" s="426"/>
      <c r="ONY49" s="426"/>
      <c r="ONZ49" s="426"/>
      <c r="OOA49" s="426"/>
      <c r="OOB49" s="426"/>
      <c r="OOC49" s="426"/>
      <c r="OOD49" s="426"/>
      <c r="OOE49" s="426"/>
      <c r="OOF49" s="426"/>
      <c r="OOG49" s="426"/>
      <c r="OOH49" s="426"/>
      <c r="OOI49" s="426"/>
      <c r="OOJ49" s="426"/>
      <c r="OOK49" s="426"/>
      <c r="OOL49" s="426"/>
      <c r="OOM49" s="426"/>
      <c r="OON49" s="426"/>
      <c r="OOO49" s="426"/>
      <c r="OOP49" s="426"/>
      <c r="OOQ49" s="426"/>
      <c r="OOR49" s="426"/>
      <c r="OOS49" s="426"/>
      <c r="OOT49" s="426"/>
      <c r="OOU49" s="426"/>
      <c r="OOV49" s="426"/>
      <c r="OOW49" s="426"/>
      <c r="OOX49" s="426"/>
      <c r="OOY49" s="426"/>
      <c r="OOZ49" s="426"/>
      <c r="OPA49" s="426"/>
      <c r="OPB49" s="426"/>
      <c r="OPC49" s="426"/>
      <c r="OPD49" s="426"/>
      <c r="OPE49" s="426"/>
      <c r="OPF49" s="426"/>
      <c r="OPG49" s="426"/>
      <c r="OPH49" s="426"/>
      <c r="OPI49" s="426"/>
      <c r="OPJ49" s="426"/>
      <c r="OPK49" s="426"/>
      <c r="OPL49" s="426"/>
      <c r="OPM49" s="426"/>
      <c r="OPN49" s="426"/>
      <c r="OPO49" s="426"/>
      <c r="OPP49" s="426"/>
      <c r="OPQ49" s="426"/>
      <c r="OPR49" s="426"/>
      <c r="OPS49" s="426"/>
      <c r="OPT49" s="426"/>
      <c r="OPU49" s="426"/>
      <c r="OPV49" s="426"/>
      <c r="OPW49" s="426"/>
      <c r="OPX49" s="426"/>
      <c r="OPY49" s="426"/>
      <c r="OPZ49" s="426"/>
      <c r="OQA49" s="426"/>
      <c r="OQB49" s="426"/>
      <c r="OQC49" s="426"/>
      <c r="OQD49" s="426"/>
      <c r="OQE49" s="426"/>
      <c r="OQF49" s="426"/>
      <c r="OQG49" s="426"/>
      <c r="OQH49" s="426"/>
      <c r="OQI49" s="426"/>
      <c r="OQJ49" s="426"/>
      <c r="OQK49" s="426"/>
      <c r="OQL49" s="426"/>
      <c r="OQM49" s="426"/>
      <c r="OQN49" s="426"/>
      <c r="OQO49" s="426"/>
      <c r="OQP49" s="426"/>
      <c r="OQQ49" s="426"/>
      <c r="OQR49" s="426"/>
      <c r="OQS49" s="426"/>
      <c r="OQT49" s="426"/>
      <c r="OQU49" s="426"/>
      <c r="OQV49" s="426"/>
      <c r="OQW49" s="426"/>
      <c r="OQX49" s="426"/>
      <c r="OQY49" s="426"/>
      <c r="OQZ49" s="426"/>
      <c r="ORA49" s="426"/>
      <c r="ORB49" s="426"/>
      <c r="ORC49" s="426"/>
      <c r="ORD49" s="426"/>
      <c r="ORE49" s="426"/>
      <c r="ORF49" s="426"/>
      <c r="ORG49" s="426"/>
      <c r="ORH49" s="426"/>
      <c r="ORI49" s="426"/>
      <c r="ORJ49" s="426"/>
      <c r="ORK49" s="426"/>
      <c r="ORL49" s="426"/>
      <c r="ORM49" s="426"/>
      <c r="ORN49" s="426"/>
      <c r="ORO49" s="426"/>
      <c r="ORP49" s="426"/>
      <c r="ORQ49" s="426"/>
      <c r="ORR49" s="426"/>
      <c r="ORS49" s="426"/>
      <c r="ORT49" s="426"/>
      <c r="ORU49" s="426"/>
      <c r="ORV49" s="426"/>
      <c r="ORW49" s="426"/>
      <c r="ORX49" s="426"/>
      <c r="ORY49" s="426"/>
      <c r="ORZ49" s="426"/>
      <c r="OSA49" s="426"/>
      <c r="OSB49" s="426"/>
      <c r="OSC49" s="426"/>
      <c r="OSD49" s="426"/>
      <c r="OSE49" s="426"/>
      <c r="OSF49" s="426"/>
      <c r="OSG49" s="426"/>
      <c r="OSH49" s="426"/>
      <c r="OSI49" s="426"/>
      <c r="OSJ49" s="426"/>
      <c r="OSK49" s="426"/>
      <c r="OSL49" s="426"/>
      <c r="OSM49" s="426"/>
      <c r="OSN49" s="426"/>
      <c r="OSO49" s="426"/>
      <c r="OSP49" s="426"/>
      <c r="OSQ49" s="426"/>
      <c r="OSR49" s="426"/>
      <c r="OSS49" s="426"/>
      <c r="OST49" s="426"/>
      <c r="OSU49" s="426"/>
      <c r="OSV49" s="426"/>
      <c r="OSW49" s="426"/>
      <c r="OSX49" s="426"/>
      <c r="OSY49" s="426"/>
      <c r="OSZ49" s="426"/>
      <c r="OTA49" s="426"/>
      <c r="OTB49" s="426"/>
      <c r="OTC49" s="426"/>
      <c r="OTD49" s="426"/>
      <c r="OTE49" s="426"/>
      <c r="OTF49" s="426"/>
      <c r="OTG49" s="426"/>
      <c r="OTH49" s="426"/>
      <c r="OTI49" s="426"/>
      <c r="OTJ49" s="426"/>
      <c r="OTK49" s="426"/>
      <c r="OTL49" s="426"/>
      <c r="OTM49" s="426"/>
      <c r="OTN49" s="426"/>
      <c r="OTO49" s="426"/>
      <c r="OTP49" s="426"/>
      <c r="OTQ49" s="426"/>
      <c r="OTR49" s="426"/>
      <c r="OTS49" s="426"/>
      <c r="OTT49" s="426"/>
      <c r="OTU49" s="426"/>
      <c r="OTV49" s="426"/>
      <c r="OTW49" s="426"/>
      <c r="OTX49" s="426"/>
      <c r="OTY49" s="426"/>
      <c r="OTZ49" s="426"/>
      <c r="OUA49" s="426"/>
      <c r="OUB49" s="426"/>
      <c r="OUC49" s="426"/>
      <c r="OUD49" s="426"/>
      <c r="OUE49" s="426"/>
      <c r="OUF49" s="426"/>
      <c r="OUG49" s="426"/>
      <c r="OUH49" s="426"/>
      <c r="OUI49" s="426"/>
      <c r="OUJ49" s="426"/>
      <c r="OUK49" s="426"/>
      <c r="OUL49" s="426"/>
      <c r="OUM49" s="426"/>
      <c r="OUN49" s="426"/>
      <c r="OUO49" s="426"/>
      <c r="OUP49" s="426"/>
      <c r="OUQ49" s="426"/>
      <c r="OUR49" s="426"/>
      <c r="OUS49" s="426"/>
      <c r="OUT49" s="426"/>
      <c r="OUU49" s="426"/>
      <c r="OUV49" s="426"/>
      <c r="OUW49" s="426"/>
      <c r="OUX49" s="426"/>
      <c r="OUY49" s="426"/>
      <c r="OUZ49" s="426"/>
      <c r="OVA49" s="426"/>
      <c r="OVB49" s="426"/>
      <c r="OVC49" s="426"/>
      <c r="OVD49" s="426"/>
      <c r="OVE49" s="426"/>
      <c r="OVF49" s="426"/>
      <c r="OVG49" s="426"/>
      <c r="OVH49" s="426"/>
      <c r="OVI49" s="426"/>
      <c r="OVJ49" s="426"/>
      <c r="OVK49" s="426"/>
      <c r="OVL49" s="426"/>
      <c r="OVM49" s="426"/>
      <c r="OVN49" s="426"/>
      <c r="OVO49" s="426"/>
      <c r="OVP49" s="426"/>
      <c r="OVQ49" s="426"/>
      <c r="OVR49" s="426"/>
      <c r="OVS49" s="426"/>
      <c r="OVT49" s="426"/>
      <c r="OVU49" s="426"/>
      <c r="OVV49" s="426"/>
      <c r="OVW49" s="426"/>
      <c r="OVX49" s="426"/>
      <c r="OVY49" s="426"/>
      <c r="OVZ49" s="426"/>
      <c r="OWA49" s="426"/>
      <c r="OWB49" s="426"/>
      <c r="OWC49" s="426"/>
      <c r="OWD49" s="426"/>
      <c r="OWE49" s="426"/>
      <c r="OWF49" s="426"/>
      <c r="OWG49" s="426"/>
      <c r="OWH49" s="426"/>
      <c r="OWI49" s="426"/>
      <c r="OWJ49" s="426"/>
      <c r="OWK49" s="426"/>
      <c r="OWL49" s="426"/>
      <c r="OWM49" s="426"/>
      <c r="OWN49" s="426"/>
      <c r="OWO49" s="426"/>
      <c r="OWP49" s="426"/>
      <c r="OWQ49" s="426"/>
      <c r="OWR49" s="426"/>
      <c r="OWS49" s="426"/>
      <c r="OWT49" s="426"/>
      <c r="OWU49" s="426"/>
      <c r="OWV49" s="426"/>
      <c r="OWW49" s="426"/>
      <c r="OWX49" s="426"/>
      <c r="OWY49" s="426"/>
      <c r="OWZ49" s="426"/>
      <c r="OXA49" s="426"/>
      <c r="OXB49" s="426"/>
      <c r="OXC49" s="426"/>
      <c r="OXD49" s="426"/>
      <c r="OXE49" s="426"/>
      <c r="OXF49" s="426"/>
      <c r="OXG49" s="426"/>
      <c r="OXH49" s="426"/>
      <c r="OXI49" s="426"/>
      <c r="OXJ49" s="426"/>
      <c r="OXK49" s="426"/>
      <c r="OXL49" s="426"/>
      <c r="OXM49" s="426"/>
      <c r="OXN49" s="426"/>
      <c r="OXO49" s="426"/>
      <c r="OXP49" s="426"/>
      <c r="OXQ49" s="426"/>
      <c r="OXR49" s="426"/>
      <c r="OXS49" s="426"/>
      <c r="OXT49" s="426"/>
      <c r="OXU49" s="426"/>
      <c r="OXV49" s="426"/>
      <c r="OXW49" s="426"/>
      <c r="OXX49" s="426"/>
      <c r="OXY49" s="426"/>
      <c r="OXZ49" s="426"/>
      <c r="OYA49" s="426"/>
      <c r="OYB49" s="426"/>
      <c r="OYC49" s="426"/>
      <c r="OYD49" s="426"/>
      <c r="OYE49" s="426"/>
      <c r="OYF49" s="426"/>
      <c r="OYG49" s="426"/>
      <c r="OYH49" s="426"/>
      <c r="OYI49" s="426"/>
      <c r="OYJ49" s="426"/>
      <c r="OYK49" s="426"/>
      <c r="OYL49" s="426"/>
      <c r="OYM49" s="426"/>
      <c r="OYN49" s="426"/>
      <c r="OYO49" s="426"/>
      <c r="OYP49" s="426"/>
      <c r="OYQ49" s="426"/>
      <c r="OYR49" s="426"/>
      <c r="OYS49" s="426"/>
      <c r="OYT49" s="426"/>
      <c r="OYU49" s="426"/>
      <c r="OYV49" s="426"/>
      <c r="OYW49" s="426"/>
      <c r="OYX49" s="426"/>
      <c r="OYY49" s="426"/>
      <c r="OYZ49" s="426"/>
      <c r="OZA49" s="426"/>
      <c r="OZB49" s="426"/>
      <c r="OZC49" s="426"/>
      <c r="OZD49" s="426"/>
      <c r="OZE49" s="426"/>
      <c r="OZF49" s="426"/>
      <c r="OZG49" s="426"/>
      <c r="OZH49" s="426"/>
      <c r="OZI49" s="426"/>
      <c r="OZJ49" s="426"/>
      <c r="OZK49" s="426"/>
      <c r="OZL49" s="426"/>
      <c r="OZM49" s="426"/>
      <c r="OZN49" s="426"/>
      <c r="OZO49" s="426"/>
      <c r="OZP49" s="426"/>
      <c r="OZQ49" s="426"/>
      <c r="OZR49" s="426"/>
      <c r="OZS49" s="426"/>
      <c r="OZT49" s="426"/>
      <c r="OZU49" s="426"/>
      <c r="OZV49" s="426"/>
      <c r="OZW49" s="426"/>
      <c r="OZX49" s="426"/>
      <c r="OZY49" s="426"/>
      <c r="OZZ49" s="426"/>
      <c r="PAA49" s="426"/>
      <c r="PAB49" s="426"/>
      <c r="PAC49" s="426"/>
      <c r="PAD49" s="426"/>
      <c r="PAE49" s="426"/>
      <c r="PAF49" s="426"/>
      <c r="PAG49" s="426"/>
      <c r="PAH49" s="426"/>
      <c r="PAI49" s="426"/>
      <c r="PAJ49" s="426"/>
      <c r="PAK49" s="426"/>
      <c r="PAL49" s="426"/>
      <c r="PAM49" s="426"/>
      <c r="PAN49" s="426"/>
      <c r="PAO49" s="426"/>
      <c r="PAP49" s="426"/>
      <c r="PAQ49" s="426"/>
      <c r="PAR49" s="426"/>
      <c r="PAS49" s="426"/>
      <c r="PAT49" s="426"/>
      <c r="PAU49" s="426"/>
      <c r="PAV49" s="426"/>
      <c r="PAW49" s="426"/>
      <c r="PAX49" s="426"/>
      <c r="PAY49" s="426"/>
      <c r="PAZ49" s="426"/>
      <c r="PBA49" s="426"/>
      <c r="PBB49" s="426"/>
      <c r="PBC49" s="426"/>
      <c r="PBD49" s="426"/>
      <c r="PBE49" s="426"/>
      <c r="PBF49" s="426"/>
      <c r="PBG49" s="426"/>
      <c r="PBH49" s="426"/>
      <c r="PBI49" s="426"/>
      <c r="PBJ49" s="426"/>
      <c r="PBK49" s="426"/>
      <c r="PBL49" s="426"/>
      <c r="PBM49" s="426"/>
      <c r="PBN49" s="426"/>
      <c r="PBO49" s="426"/>
      <c r="PBP49" s="426"/>
      <c r="PBQ49" s="426"/>
      <c r="PBR49" s="426"/>
      <c r="PBS49" s="426"/>
      <c r="PBT49" s="426"/>
      <c r="PBU49" s="426"/>
      <c r="PBV49" s="426"/>
      <c r="PBW49" s="426"/>
      <c r="PBX49" s="426"/>
      <c r="PBY49" s="426"/>
      <c r="PBZ49" s="426"/>
      <c r="PCA49" s="426"/>
      <c r="PCB49" s="426"/>
      <c r="PCC49" s="426"/>
      <c r="PCD49" s="426"/>
      <c r="PCE49" s="426"/>
      <c r="PCF49" s="426"/>
      <c r="PCG49" s="426"/>
      <c r="PCH49" s="426"/>
      <c r="PCI49" s="426"/>
      <c r="PCJ49" s="426"/>
      <c r="PCK49" s="426"/>
      <c r="PCL49" s="426"/>
      <c r="PCM49" s="426"/>
      <c r="PCN49" s="426"/>
      <c r="PCO49" s="426"/>
      <c r="PCP49" s="426"/>
      <c r="PCQ49" s="426"/>
      <c r="PCR49" s="426"/>
      <c r="PCS49" s="426"/>
      <c r="PCT49" s="426"/>
      <c r="PCU49" s="426"/>
      <c r="PCV49" s="426"/>
      <c r="PCW49" s="426"/>
      <c r="PCX49" s="426"/>
      <c r="PCY49" s="426"/>
      <c r="PCZ49" s="426"/>
      <c r="PDA49" s="426"/>
      <c r="PDB49" s="426"/>
      <c r="PDC49" s="426"/>
      <c r="PDD49" s="426"/>
      <c r="PDE49" s="426"/>
      <c r="PDF49" s="426"/>
      <c r="PDG49" s="426"/>
      <c r="PDH49" s="426"/>
      <c r="PDI49" s="426"/>
      <c r="PDJ49" s="426"/>
      <c r="PDK49" s="426"/>
      <c r="PDL49" s="426"/>
      <c r="PDM49" s="426"/>
      <c r="PDN49" s="426"/>
      <c r="PDO49" s="426"/>
      <c r="PDP49" s="426"/>
      <c r="PDQ49" s="426"/>
      <c r="PDR49" s="426"/>
      <c r="PDS49" s="426"/>
      <c r="PDT49" s="426"/>
      <c r="PDU49" s="426"/>
      <c r="PDV49" s="426"/>
      <c r="PDW49" s="426"/>
      <c r="PDX49" s="426"/>
      <c r="PDY49" s="426"/>
      <c r="PDZ49" s="426"/>
      <c r="PEA49" s="426"/>
      <c r="PEB49" s="426"/>
      <c r="PEC49" s="426"/>
      <c r="PED49" s="426"/>
      <c r="PEE49" s="426"/>
      <c r="PEF49" s="426"/>
      <c r="PEG49" s="426"/>
      <c r="PEH49" s="426"/>
      <c r="PEI49" s="426"/>
      <c r="PEJ49" s="426"/>
      <c r="PEK49" s="426"/>
      <c r="PEL49" s="426"/>
      <c r="PEM49" s="426"/>
      <c r="PEN49" s="426"/>
      <c r="PEO49" s="426"/>
      <c r="PEP49" s="426"/>
      <c r="PEQ49" s="426"/>
      <c r="PER49" s="426"/>
      <c r="PES49" s="426"/>
      <c r="PET49" s="426"/>
      <c r="PEU49" s="426"/>
      <c r="PEV49" s="426"/>
      <c r="PEW49" s="426"/>
      <c r="PEX49" s="426"/>
      <c r="PEY49" s="426"/>
      <c r="PEZ49" s="426"/>
      <c r="PFA49" s="426"/>
      <c r="PFB49" s="426"/>
      <c r="PFC49" s="426"/>
      <c r="PFD49" s="426"/>
      <c r="PFE49" s="426"/>
      <c r="PFF49" s="426"/>
      <c r="PFG49" s="426"/>
      <c r="PFH49" s="426"/>
      <c r="PFI49" s="426"/>
      <c r="PFJ49" s="426"/>
      <c r="PFK49" s="426"/>
      <c r="PFL49" s="426"/>
      <c r="PFM49" s="426"/>
      <c r="PFN49" s="426"/>
      <c r="PFO49" s="426"/>
      <c r="PFP49" s="426"/>
      <c r="PFQ49" s="426"/>
      <c r="PFR49" s="426"/>
      <c r="PFS49" s="426"/>
      <c r="PFT49" s="426"/>
      <c r="PFU49" s="426"/>
      <c r="PFV49" s="426"/>
      <c r="PFW49" s="426"/>
      <c r="PFX49" s="426"/>
      <c r="PFY49" s="426"/>
      <c r="PFZ49" s="426"/>
      <c r="PGA49" s="426"/>
      <c r="PGB49" s="426"/>
      <c r="PGC49" s="426"/>
      <c r="PGD49" s="426"/>
      <c r="PGE49" s="426"/>
      <c r="PGF49" s="426"/>
      <c r="PGG49" s="426"/>
      <c r="PGH49" s="426"/>
      <c r="PGI49" s="426"/>
      <c r="PGJ49" s="426"/>
      <c r="PGK49" s="426"/>
      <c r="PGL49" s="426"/>
      <c r="PGM49" s="426"/>
      <c r="PGN49" s="426"/>
      <c r="PGO49" s="426"/>
      <c r="PGP49" s="426"/>
      <c r="PGQ49" s="426"/>
      <c r="PGR49" s="426"/>
      <c r="PGS49" s="426"/>
      <c r="PGT49" s="426"/>
      <c r="PGU49" s="426"/>
      <c r="PGV49" s="426"/>
      <c r="PGW49" s="426"/>
      <c r="PGX49" s="426"/>
      <c r="PGY49" s="426"/>
      <c r="PGZ49" s="426"/>
      <c r="PHA49" s="426"/>
      <c r="PHB49" s="426"/>
      <c r="PHC49" s="426"/>
      <c r="PHD49" s="426"/>
      <c r="PHE49" s="426"/>
      <c r="PHF49" s="426"/>
      <c r="PHG49" s="426"/>
      <c r="PHH49" s="426"/>
      <c r="PHI49" s="426"/>
      <c r="PHJ49" s="426"/>
      <c r="PHK49" s="426"/>
      <c r="PHL49" s="426"/>
      <c r="PHM49" s="426"/>
      <c r="PHN49" s="426"/>
      <c r="PHO49" s="426"/>
      <c r="PHP49" s="426"/>
      <c r="PHQ49" s="426"/>
      <c r="PHR49" s="426"/>
      <c r="PHS49" s="426"/>
      <c r="PHT49" s="426"/>
      <c r="PHU49" s="426"/>
      <c r="PHV49" s="426"/>
      <c r="PHW49" s="426"/>
      <c r="PHX49" s="426"/>
      <c r="PHY49" s="426"/>
      <c r="PHZ49" s="426"/>
      <c r="PIA49" s="426"/>
      <c r="PIB49" s="426"/>
      <c r="PIC49" s="426"/>
      <c r="PID49" s="426"/>
      <c r="PIE49" s="426"/>
      <c r="PIF49" s="426"/>
      <c r="PIG49" s="426"/>
      <c r="PIH49" s="426"/>
      <c r="PII49" s="426"/>
      <c r="PIJ49" s="426"/>
      <c r="PIK49" s="426"/>
      <c r="PIL49" s="426"/>
      <c r="PIM49" s="426"/>
      <c r="PIN49" s="426"/>
      <c r="PIO49" s="426"/>
      <c r="PIP49" s="426"/>
      <c r="PIQ49" s="426"/>
      <c r="PIR49" s="426"/>
      <c r="PIS49" s="426"/>
      <c r="PIT49" s="426"/>
      <c r="PIU49" s="426"/>
      <c r="PIV49" s="426"/>
      <c r="PIW49" s="426"/>
      <c r="PIX49" s="426"/>
      <c r="PIY49" s="426"/>
      <c r="PIZ49" s="426"/>
      <c r="PJA49" s="426"/>
      <c r="PJB49" s="426"/>
      <c r="PJC49" s="426"/>
      <c r="PJD49" s="426"/>
      <c r="PJE49" s="426"/>
      <c r="PJF49" s="426"/>
      <c r="PJG49" s="426"/>
      <c r="PJH49" s="426"/>
      <c r="PJI49" s="426"/>
      <c r="PJJ49" s="426"/>
      <c r="PJK49" s="426"/>
      <c r="PJL49" s="426"/>
      <c r="PJM49" s="426"/>
      <c r="PJN49" s="426"/>
      <c r="PJO49" s="426"/>
      <c r="PJP49" s="426"/>
      <c r="PJQ49" s="426"/>
      <c r="PJR49" s="426"/>
      <c r="PJS49" s="426"/>
      <c r="PJT49" s="426"/>
      <c r="PJU49" s="426"/>
      <c r="PJV49" s="426"/>
      <c r="PJW49" s="426"/>
      <c r="PJX49" s="426"/>
      <c r="PJY49" s="426"/>
      <c r="PJZ49" s="426"/>
      <c r="PKA49" s="426"/>
      <c r="PKB49" s="426"/>
      <c r="PKC49" s="426"/>
      <c r="PKD49" s="426"/>
      <c r="PKE49" s="426"/>
      <c r="PKF49" s="426"/>
      <c r="PKG49" s="426"/>
      <c r="PKH49" s="426"/>
      <c r="PKI49" s="426"/>
      <c r="PKJ49" s="426"/>
      <c r="PKK49" s="426"/>
      <c r="PKL49" s="426"/>
      <c r="PKM49" s="426"/>
      <c r="PKN49" s="426"/>
      <c r="PKO49" s="426"/>
      <c r="PKP49" s="426"/>
      <c r="PKQ49" s="426"/>
      <c r="PKR49" s="426"/>
      <c r="PKS49" s="426"/>
      <c r="PKT49" s="426"/>
      <c r="PKU49" s="426"/>
      <c r="PKV49" s="426"/>
      <c r="PKW49" s="426"/>
      <c r="PKX49" s="426"/>
      <c r="PKY49" s="426"/>
      <c r="PKZ49" s="426"/>
      <c r="PLA49" s="426"/>
      <c r="PLB49" s="426"/>
      <c r="PLC49" s="426"/>
      <c r="PLD49" s="426"/>
      <c r="PLE49" s="426"/>
      <c r="PLF49" s="426"/>
      <c r="PLG49" s="426"/>
      <c r="PLH49" s="426"/>
      <c r="PLI49" s="426"/>
      <c r="PLJ49" s="426"/>
      <c r="PLK49" s="426"/>
      <c r="PLL49" s="426"/>
      <c r="PLM49" s="426"/>
      <c r="PLN49" s="426"/>
      <c r="PLO49" s="426"/>
      <c r="PLP49" s="426"/>
      <c r="PLQ49" s="426"/>
      <c r="PLR49" s="426"/>
      <c r="PLS49" s="426"/>
      <c r="PLT49" s="426"/>
      <c r="PLU49" s="426"/>
      <c r="PLV49" s="426"/>
      <c r="PLW49" s="426"/>
      <c r="PLX49" s="426"/>
      <c r="PLY49" s="426"/>
      <c r="PLZ49" s="426"/>
      <c r="PMA49" s="426"/>
      <c r="PMB49" s="426"/>
      <c r="PMC49" s="426"/>
      <c r="PMD49" s="426"/>
      <c r="PME49" s="426"/>
      <c r="PMF49" s="426"/>
      <c r="PMG49" s="426"/>
      <c r="PMH49" s="426"/>
      <c r="PMI49" s="426"/>
      <c r="PMJ49" s="426"/>
      <c r="PMK49" s="426"/>
      <c r="PML49" s="426"/>
      <c r="PMM49" s="426"/>
      <c r="PMN49" s="426"/>
      <c r="PMO49" s="426"/>
      <c r="PMP49" s="426"/>
      <c r="PMQ49" s="426"/>
      <c r="PMR49" s="426"/>
      <c r="PMS49" s="426"/>
      <c r="PMT49" s="426"/>
      <c r="PMU49" s="426"/>
      <c r="PMV49" s="426"/>
      <c r="PMW49" s="426"/>
      <c r="PMX49" s="426"/>
      <c r="PMY49" s="426"/>
      <c r="PMZ49" s="426"/>
      <c r="PNA49" s="426"/>
      <c r="PNB49" s="426"/>
      <c r="PNC49" s="426"/>
      <c r="PND49" s="426"/>
      <c r="PNE49" s="426"/>
      <c r="PNF49" s="426"/>
      <c r="PNG49" s="426"/>
      <c r="PNH49" s="426"/>
      <c r="PNI49" s="426"/>
      <c r="PNJ49" s="426"/>
      <c r="PNK49" s="426"/>
      <c r="PNL49" s="426"/>
      <c r="PNM49" s="426"/>
      <c r="PNN49" s="426"/>
      <c r="PNO49" s="426"/>
      <c r="PNP49" s="426"/>
      <c r="PNQ49" s="426"/>
      <c r="PNR49" s="426"/>
      <c r="PNS49" s="426"/>
      <c r="PNT49" s="426"/>
      <c r="PNU49" s="426"/>
      <c r="PNV49" s="426"/>
      <c r="PNW49" s="426"/>
      <c r="PNX49" s="426"/>
      <c r="PNY49" s="426"/>
      <c r="PNZ49" s="426"/>
      <c r="POA49" s="426"/>
      <c r="POB49" s="426"/>
      <c r="POC49" s="426"/>
      <c r="POD49" s="426"/>
      <c r="POE49" s="426"/>
      <c r="POF49" s="426"/>
      <c r="POG49" s="426"/>
      <c r="POH49" s="426"/>
      <c r="POI49" s="426"/>
      <c r="POJ49" s="426"/>
      <c r="POK49" s="426"/>
      <c r="POL49" s="426"/>
      <c r="POM49" s="426"/>
      <c r="PON49" s="426"/>
      <c r="POO49" s="426"/>
      <c r="POP49" s="426"/>
      <c r="POQ49" s="426"/>
      <c r="POR49" s="426"/>
      <c r="POS49" s="426"/>
      <c r="POT49" s="426"/>
      <c r="POU49" s="426"/>
      <c r="POV49" s="426"/>
      <c r="POW49" s="426"/>
      <c r="POX49" s="426"/>
      <c r="POY49" s="426"/>
      <c r="POZ49" s="426"/>
      <c r="PPA49" s="426"/>
      <c r="PPB49" s="426"/>
      <c r="PPC49" s="426"/>
      <c r="PPD49" s="426"/>
      <c r="PPE49" s="426"/>
      <c r="PPF49" s="426"/>
      <c r="PPG49" s="426"/>
      <c r="PPH49" s="426"/>
      <c r="PPI49" s="426"/>
      <c r="PPJ49" s="426"/>
      <c r="PPK49" s="426"/>
      <c r="PPL49" s="426"/>
      <c r="PPM49" s="426"/>
      <c r="PPN49" s="426"/>
      <c r="PPO49" s="426"/>
      <c r="PPP49" s="426"/>
      <c r="PPQ49" s="426"/>
      <c r="PPR49" s="426"/>
      <c r="PPS49" s="426"/>
      <c r="PPT49" s="426"/>
      <c r="PPU49" s="426"/>
      <c r="PPV49" s="426"/>
      <c r="PPW49" s="426"/>
      <c r="PPX49" s="426"/>
      <c r="PPY49" s="426"/>
      <c r="PPZ49" s="426"/>
      <c r="PQA49" s="426"/>
      <c r="PQB49" s="426"/>
      <c r="PQC49" s="426"/>
      <c r="PQD49" s="426"/>
      <c r="PQE49" s="426"/>
      <c r="PQF49" s="426"/>
      <c r="PQG49" s="426"/>
      <c r="PQH49" s="426"/>
      <c r="PQI49" s="426"/>
      <c r="PQJ49" s="426"/>
      <c r="PQK49" s="426"/>
      <c r="PQL49" s="426"/>
      <c r="PQM49" s="426"/>
      <c r="PQN49" s="426"/>
      <c r="PQO49" s="426"/>
      <c r="PQP49" s="426"/>
      <c r="PQQ49" s="426"/>
      <c r="PQR49" s="426"/>
      <c r="PQS49" s="426"/>
      <c r="PQT49" s="426"/>
      <c r="PQU49" s="426"/>
      <c r="PQV49" s="426"/>
      <c r="PQW49" s="426"/>
      <c r="PQX49" s="426"/>
      <c r="PQY49" s="426"/>
      <c r="PQZ49" s="426"/>
      <c r="PRA49" s="426"/>
      <c r="PRB49" s="426"/>
      <c r="PRC49" s="426"/>
      <c r="PRD49" s="426"/>
      <c r="PRE49" s="426"/>
      <c r="PRF49" s="426"/>
      <c r="PRG49" s="426"/>
      <c r="PRH49" s="426"/>
      <c r="PRI49" s="426"/>
      <c r="PRJ49" s="426"/>
      <c r="PRK49" s="426"/>
      <c r="PRL49" s="426"/>
      <c r="PRM49" s="426"/>
      <c r="PRN49" s="426"/>
      <c r="PRO49" s="426"/>
      <c r="PRP49" s="426"/>
      <c r="PRQ49" s="426"/>
      <c r="PRR49" s="426"/>
      <c r="PRS49" s="426"/>
      <c r="PRT49" s="426"/>
      <c r="PRU49" s="426"/>
      <c r="PRV49" s="426"/>
      <c r="PRW49" s="426"/>
      <c r="PRX49" s="426"/>
      <c r="PRY49" s="426"/>
      <c r="PRZ49" s="426"/>
      <c r="PSA49" s="426"/>
      <c r="PSB49" s="426"/>
      <c r="PSC49" s="426"/>
      <c r="PSD49" s="426"/>
      <c r="PSE49" s="426"/>
      <c r="PSF49" s="426"/>
      <c r="PSG49" s="426"/>
      <c r="PSH49" s="426"/>
      <c r="PSI49" s="426"/>
      <c r="PSJ49" s="426"/>
      <c r="PSK49" s="426"/>
      <c r="PSL49" s="426"/>
      <c r="PSM49" s="426"/>
      <c r="PSN49" s="426"/>
      <c r="PSO49" s="426"/>
      <c r="PSP49" s="426"/>
      <c r="PSQ49" s="426"/>
      <c r="PSR49" s="426"/>
      <c r="PSS49" s="426"/>
      <c r="PST49" s="426"/>
      <c r="PSU49" s="426"/>
      <c r="PSV49" s="426"/>
      <c r="PSW49" s="426"/>
      <c r="PSX49" s="426"/>
      <c r="PSY49" s="426"/>
      <c r="PSZ49" s="426"/>
      <c r="PTA49" s="426"/>
      <c r="PTB49" s="426"/>
      <c r="PTC49" s="426"/>
      <c r="PTD49" s="426"/>
      <c r="PTE49" s="426"/>
      <c r="PTF49" s="426"/>
      <c r="PTG49" s="426"/>
      <c r="PTH49" s="426"/>
      <c r="PTI49" s="426"/>
      <c r="PTJ49" s="426"/>
      <c r="PTK49" s="426"/>
      <c r="PTL49" s="426"/>
      <c r="PTM49" s="426"/>
      <c r="PTN49" s="426"/>
      <c r="PTO49" s="426"/>
      <c r="PTP49" s="426"/>
      <c r="PTQ49" s="426"/>
      <c r="PTR49" s="426"/>
      <c r="PTS49" s="426"/>
      <c r="PTT49" s="426"/>
      <c r="PTU49" s="426"/>
      <c r="PTV49" s="426"/>
      <c r="PTW49" s="426"/>
      <c r="PTX49" s="426"/>
      <c r="PTY49" s="426"/>
      <c r="PTZ49" s="426"/>
      <c r="PUA49" s="426"/>
      <c r="PUB49" s="426"/>
      <c r="PUC49" s="426"/>
      <c r="PUD49" s="426"/>
      <c r="PUE49" s="426"/>
      <c r="PUF49" s="426"/>
      <c r="PUG49" s="426"/>
      <c r="PUH49" s="426"/>
      <c r="PUI49" s="426"/>
      <c r="PUJ49" s="426"/>
      <c r="PUK49" s="426"/>
      <c r="PUL49" s="426"/>
      <c r="PUM49" s="426"/>
      <c r="PUN49" s="426"/>
      <c r="PUO49" s="426"/>
      <c r="PUP49" s="426"/>
      <c r="PUQ49" s="426"/>
      <c r="PUR49" s="426"/>
      <c r="PUS49" s="426"/>
      <c r="PUT49" s="426"/>
      <c r="PUU49" s="426"/>
      <c r="PUV49" s="426"/>
      <c r="PUW49" s="426"/>
      <c r="PUX49" s="426"/>
      <c r="PUY49" s="426"/>
      <c r="PUZ49" s="426"/>
      <c r="PVA49" s="426"/>
      <c r="PVB49" s="426"/>
      <c r="PVC49" s="426"/>
      <c r="PVD49" s="426"/>
      <c r="PVE49" s="426"/>
      <c r="PVF49" s="426"/>
      <c r="PVG49" s="426"/>
      <c r="PVH49" s="426"/>
      <c r="PVI49" s="426"/>
      <c r="PVJ49" s="426"/>
      <c r="PVK49" s="426"/>
      <c r="PVL49" s="426"/>
      <c r="PVM49" s="426"/>
      <c r="PVN49" s="426"/>
      <c r="PVO49" s="426"/>
      <c r="PVP49" s="426"/>
      <c r="PVQ49" s="426"/>
      <c r="PVR49" s="426"/>
      <c r="PVS49" s="426"/>
      <c r="PVT49" s="426"/>
      <c r="PVU49" s="426"/>
      <c r="PVV49" s="426"/>
      <c r="PVW49" s="426"/>
      <c r="PVX49" s="426"/>
      <c r="PVY49" s="426"/>
      <c r="PVZ49" s="426"/>
      <c r="PWA49" s="426"/>
      <c r="PWB49" s="426"/>
      <c r="PWC49" s="426"/>
      <c r="PWD49" s="426"/>
      <c r="PWE49" s="426"/>
      <c r="PWF49" s="426"/>
      <c r="PWG49" s="426"/>
      <c r="PWH49" s="426"/>
      <c r="PWI49" s="426"/>
      <c r="PWJ49" s="426"/>
      <c r="PWK49" s="426"/>
      <c r="PWL49" s="426"/>
      <c r="PWM49" s="426"/>
      <c r="PWN49" s="426"/>
      <c r="PWO49" s="426"/>
      <c r="PWP49" s="426"/>
      <c r="PWQ49" s="426"/>
      <c r="PWR49" s="426"/>
      <c r="PWS49" s="426"/>
      <c r="PWT49" s="426"/>
      <c r="PWU49" s="426"/>
      <c r="PWV49" s="426"/>
      <c r="PWW49" s="426"/>
      <c r="PWX49" s="426"/>
      <c r="PWY49" s="426"/>
      <c r="PWZ49" s="426"/>
      <c r="PXA49" s="426"/>
      <c r="PXB49" s="426"/>
      <c r="PXC49" s="426"/>
      <c r="PXD49" s="426"/>
      <c r="PXE49" s="426"/>
      <c r="PXF49" s="426"/>
      <c r="PXG49" s="426"/>
      <c r="PXH49" s="426"/>
      <c r="PXI49" s="426"/>
      <c r="PXJ49" s="426"/>
      <c r="PXK49" s="426"/>
      <c r="PXL49" s="426"/>
      <c r="PXM49" s="426"/>
      <c r="PXN49" s="426"/>
      <c r="PXO49" s="426"/>
      <c r="PXP49" s="426"/>
      <c r="PXQ49" s="426"/>
      <c r="PXR49" s="426"/>
      <c r="PXS49" s="426"/>
      <c r="PXT49" s="426"/>
      <c r="PXU49" s="426"/>
      <c r="PXV49" s="426"/>
      <c r="PXW49" s="426"/>
      <c r="PXX49" s="426"/>
      <c r="PXY49" s="426"/>
      <c r="PXZ49" s="426"/>
      <c r="PYA49" s="426"/>
      <c r="PYB49" s="426"/>
      <c r="PYC49" s="426"/>
      <c r="PYD49" s="426"/>
      <c r="PYE49" s="426"/>
      <c r="PYF49" s="426"/>
      <c r="PYG49" s="426"/>
      <c r="PYH49" s="426"/>
      <c r="PYI49" s="426"/>
      <c r="PYJ49" s="426"/>
      <c r="PYK49" s="426"/>
      <c r="PYL49" s="426"/>
      <c r="PYM49" s="426"/>
      <c r="PYN49" s="426"/>
      <c r="PYO49" s="426"/>
      <c r="PYP49" s="426"/>
      <c r="PYQ49" s="426"/>
      <c r="PYR49" s="426"/>
      <c r="PYS49" s="426"/>
      <c r="PYT49" s="426"/>
      <c r="PYU49" s="426"/>
      <c r="PYV49" s="426"/>
      <c r="PYW49" s="426"/>
      <c r="PYX49" s="426"/>
      <c r="PYY49" s="426"/>
      <c r="PYZ49" s="426"/>
      <c r="PZA49" s="426"/>
      <c r="PZB49" s="426"/>
      <c r="PZC49" s="426"/>
      <c r="PZD49" s="426"/>
      <c r="PZE49" s="426"/>
      <c r="PZF49" s="426"/>
      <c r="PZG49" s="426"/>
      <c r="PZH49" s="426"/>
      <c r="PZI49" s="426"/>
      <c r="PZJ49" s="426"/>
      <c r="PZK49" s="426"/>
      <c r="PZL49" s="426"/>
      <c r="PZM49" s="426"/>
      <c r="PZN49" s="426"/>
      <c r="PZO49" s="426"/>
      <c r="PZP49" s="426"/>
      <c r="PZQ49" s="426"/>
      <c r="PZR49" s="426"/>
      <c r="PZS49" s="426"/>
      <c r="PZT49" s="426"/>
      <c r="PZU49" s="426"/>
      <c r="PZV49" s="426"/>
      <c r="PZW49" s="426"/>
      <c r="PZX49" s="426"/>
      <c r="PZY49" s="426"/>
      <c r="PZZ49" s="426"/>
      <c r="QAA49" s="426"/>
      <c r="QAB49" s="426"/>
      <c r="QAC49" s="426"/>
      <c r="QAD49" s="426"/>
      <c r="QAE49" s="426"/>
      <c r="QAF49" s="426"/>
      <c r="QAG49" s="426"/>
      <c r="QAH49" s="426"/>
      <c r="QAI49" s="426"/>
      <c r="QAJ49" s="426"/>
      <c r="QAK49" s="426"/>
      <c r="QAL49" s="426"/>
      <c r="QAM49" s="426"/>
      <c r="QAN49" s="426"/>
      <c r="QAO49" s="426"/>
      <c r="QAP49" s="426"/>
      <c r="QAQ49" s="426"/>
      <c r="QAR49" s="426"/>
      <c r="QAS49" s="426"/>
      <c r="QAT49" s="426"/>
      <c r="QAU49" s="426"/>
      <c r="QAV49" s="426"/>
      <c r="QAW49" s="426"/>
      <c r="QAX49" s="426"/>
      <c r="QAY49" s="426"/>
      <c r="QAZ49" s="426"/>
      <c r="QBA49" s="426"/>
      <c r="QBB49" s="426"/>
      <c r="QBC49" s="426"/>
      <c r="QBD49" s="426"/>
      <c r="QBE49" s="426"/>
      <c r="QBF49" s="426"/>
      <c r="QBG49" s="426"/>
      <c r="QBH49" s="426"/>
      <c r="QBI49" s="426"/>
      <c r="QBJ49" s="426"/>
      <c r="QBK49" s="426"/>
      <c r="QBL49" s="426"/>
      <c r="QBM49" s="426"/>
      <c r="QBN49" s="426"/>
      <c r="QBO49" s="426"/>
      <c r="QBP49" s="426"/>
      <c r="QBQ49" s="426"/>
      <c r="QBR49" s="426"/>
      <c r="QBS49" s="426"/>
      <c r="QBT49" s="426"/>
      <c r="QBU49" s="426"/>
      <c r="QBV49" s="426"/>
      <c r="QBW49" s="426"/>
      <c r="QBX49" s="426"/>
      <c r="QBY49" s="426"/>
      <c r="QBZ49" s="426"/>
      <c r="QCA49" s="426"/>
      <c r="QCB49" s="426"/>
      <c r="QCC49" s="426"/>
      <c r="QCD49" s="426"/>
      <c r="QCE49" s="426"/>
      <c r="QCF49" s="426"/>
      <c r="QCG49" s="426"/>
      <c r="QCH49" s="426"/>
      <c r="QCI49" s="426"/>
      <c r="QCJ49" s="426"/>
      <c r="QCK49" s="426"/>
      <c r="QCL49" s="426"/>
      <c r="QCM49" s="426"/>
      <c r="QCN49" s="426"/>
      <c r="QCO49" s="426"/>
      <c r="QCP49" s="426"/>
      <c r="QCQ49" s="426"/>
      <c r="QCR49" s="426"/>
      <c r="QCS49" s="426"/>
      <c r="QCT49" s="426"/>
      <c r="QCU49" s="426"/>
      <c r="QCV49" s="426"/>
      <c r="QCW49" s="426"/>
      <c r="QCX49" s="426"/>
      <c r="QCY49" s="426"/>
      <c r="QCZ49" s="426"/>
      <c r="QDA49" s="426"/>
      <c r="QDB49" s="426"/>
      <c r="QDC49" s="426"/>
      <c r="QDD49" s="426"/>
      <c r="QDE49" s="426"/>
      <c r="QDF49" s="426"/>
      <c r="QDG49" s="426"/>
      <c r="QDH49" s="426"/>
      <c r="QDI49" s="426"/>
      <c r="QDJ49" s="426"/>
      <c r="QDK49" s="426"/>
      <c r="QDL49" s="426"/>
      <c r="QDM49" s="426"/>
      <c r="QDN49" s="426"/>
      <c r="QDO49" s="426"/>
      <c r="QDP49" s="426"/>
      <c r="QDQ49" s="426"/>
      <c r="QDR49" s="426"/>
      <c r="QDS49" s="426"/>
      <c r="QDT49" s="426"/>
      <c r="QDU49" s="426"/>
      <c r="QDV49" s="426"/>
      <c r="QDW49" s="426"/>
      <c r="QDX49" s="426"/>
      <c r="QDY49" s="426"/>
      <c r="QDZ49" s="426"/>
      <c r="QEA49" s="426"/>
      <c r="QEB49" s="426"/>
      <c r="QEC49" s="426"/>
      <c r="QED49" s="426"/>
      <c r="QEE49" s="426"/>
      <c r="QEF49" s="426"/>
      <c r="QEG49" s="426"/>
      <c r="QEH49" s="426"/>
      <c r="QEI49" s="426"/>
      <c r="QEJ49" s="426"/>
      <c r="QEK49" s="426"/>
      <c r="QEL49" s="426"/>
      <c r="QEM49" s="426"/>
      <c r="QEN49" s="426"/>
      <c r="QEO49" s="426"/>
      <c r="QEP49" s="426"/>
      <c r="QEQ49" s="426"/>
      <c r="QER49" s="426"/>
      <c r="QES49" s="426"/>
      <c r="QET49" s="426"/>
      <c r="QEU49" s="426"/>
      <c r="QEV49" s="426"/>
      <c r="QEW49" s="426"/>
      <c r="QEX49" s="426"/>
      <c r="QEY49" s="426"/>
      <c r="QEZ49" s="426"/>
      <c r="QFA49" s="426"/>
      <c r="QFB49" s="426"/>
      <c r="QFC49" s="426"/>
      <c r="QFD49" s="426"/>
      <c r="QFE49" s="426"/>
      <c r="QFF49" s="426"/>
      <c r="QFG49" s="426"/>
      <c r="QFH49" s="426"/>
      <c r="QFI49" s="426"/>
      <c r="QFJ49" s="426"/>
      <c r="QFK49" s="426"/>
      <c r="QFL49" s="426"/>
      <c r="QFM49" s="426"/>
      <c r="QFN49" s="426"/>
      <c r="QFO49" s="426"/>
      <c r="QFP49" s="426"/>
      <c r="QFQ49" s="426"/>
      <c r="QFR49" s="426"/>
      <c r="QFS49" s="426"/>
      <c r="QFT49" s="426"/>
      <c r="QFU49" s="426"/>
      <c r="QFV49" s="426"/>
      <c r="QFW49" s="426"/>
      <c r="QFX49" s="426"/>
      <c r="QFY49" s="426"/>
      <c r="QFZ49" s="426"/>
      <c r="QGA49" s="426"/>
      <c r="QGB49" s="426"/>
      <c r="QGC49" s="426"/>
      <c r="QGD49" s="426"/>
      <c r="QGE49" s="426"/>
      <c r="QGF49" s="426"/>
      <c r="QGG49" s="426"/>
      <c r="QGH49" s="426"/>
      <c r="QGI49" s="426"/>
      <c r="QGJ49" s="426"/>
      <c r="QGK49" s="426"/>
      <c r="QGL49" s="426"/>
      <c r="QGM49" s="426"/>
      <c r="QGN49" s="426"/>
      <c r="QGO49" s="426"/>
      <c r="QGP49" s="426"/>
      <c r="QGQ49" s="426"/>
      <c r="QGR49" s="426"/>
      <c r="QGS49" s="426"/>
      <c r="QGT49" s="426"/>
      <c r="QGU49" s="426"/>
      <c r="QGV49" s="426"/>
      <c r="QGW49" s="426"/>
      <c r="QGX49" s="426"/>
      <c r="QGY49" s="426"/>
      <c r="QGZ49" s="426"/>
      <c r="QHA49" s="426"/>
      <c r="QHB49" s="426"/>
      <c r="QHC49" s="426"/>
      <c r="QHD49" s="426"/>
      <c r="QHE49" s="426"/>
      <c r="QHF49" s="426"/>
      <c r="QHG49" s="426"/>
      <c r="QHH49" s="426"/>
      <c r="QHI49" s="426"/>
      <c r="QHJ49" s="426"/>
      <c r="QHK49" s="426"/>
      <c r="QHL49" s="426"/>
      <c r="QHM49" s="426"/>
      <c r="QHN49" s="426"/>
      <c r="QHO49" s="426"/>
      <c r="QHP49" s="426"/>
      <c r="QHQ49" s="426"/>
      <c r="QHR49" s="426"/>
      <c r="QHS49" s="426"/>
      <c r="QHT49" s="426"/>
      <c r="QHU49" s="426"/>
      <c r="QHV49" s="426"/>
      <c r="QHW49" s="426"/>
      <c r="QHX49" s="426"/>
      <c r="QHY49" s="426"/>
      <c r="QHZ49" s="426"/>
      <c r="QIA49" s="426"/>
      <c r="QIB49" s="426"/>
      <c r="QIC49" s="426"/>
      <c r="QID49" s="426"/>
      <c r="QIE49" s="426"/>
      <c r="QIF49" s="426"/>
      <c r="QIG49" s="426"/>
      <c r="QIH49" s="426"/>
      <c r="QII49" s="426"/>
      <c r="QIJ49" s="426"/>
      <c r="QIK49" s="426"/>
      <c r="QIL49" s="426"/>
      <c r="QIM49" s="426"/>
      <c r="QIN49" s="426"/>
      <c r="QIO49" s="426"/>
      <c r="QIP49" s="426"/>
      <c r="QIQ49" s="426"/>
      <c r="QIR49" s="426"/>
      <c r="QIS49" s="426"/>
      <c r="QIT49" s="426"/>
      <c r="QIU49" s="426"/>
      <c r="QIV49" s="426"/>
      <c r="QIW49" s="426"/>
      <c r="QIX49" s="426"/>
      <c r="QIY49" s="426"/>
      <c r="QIZ49" s="426"/>
      <c r="QJA49" s="426"/>
      <c r="QJB49" s="426"/>
      <c r="QJC49" s="426"/>
      <c r="QJD49" s="426"/>
      <c r="QJE49" s="426"/>
      <c r="QJF49" s="426"/>
      <c r="QJG49" s="426"/>
      <c r="QJH49" s="426"/>
      <c r="QJI49" s="426"/>
      <c r="QJJ49" s="426"/>
      <c r="QJK49" s="426"/>
      <c r="QJL49" s="426"/>
      <c r="QJM49" s="426"/>
      <c r="QJN49" s="426"/>
      <c r="QJO49" s="426"/>
      <c r="QJP49" s="426"/>
      <c r="QJQ49" s="426"/>
      <c r="QJR49" s="426"/>
      <c r="QJS49" s="426"/>
      <c r="QJT49" s="426"/>
      <c r="QJU49" s="426"/>
      <c r="QJV49" s="426"/>
      <c r="QJW49" s="426"/>
      <c r="QJX49" s="426"/>
      <c r="QJY49" s="426"/>
      <c r="QJZ49" s="426"/>
      <c r="QKA49" s="426"/>
      <c r="QKB49" s="426"/>
      <c r="QKC49" s="426"/>
      <c r="QKD49" s="426"/>
      <c r="QKE49" s="426"/>
      <c r="QKF49" s="426"/>
      <c r="QKG49" s="426"/>
      <c r="QKH49" s="426"/>
      <c r="QKI49" s="426"/>
      <c r="QKJ49" s="426"/>
      <c r="QKK49" s="426"/>
      <c r="QKL49" s="426"/>
      <c r="QKM49" s="426"/>
      <c r="QKN49" s="426"/>
      <c r="QKO49" s="426"/>
      <c r="QKP49" s="426"/>
      <c r="QKQ49" s="426"/>
      <c r="QKR49" s="426"/>
      <c r="QKS49" s="426"/>
      <c r="QKT49" s="426"/>
      <c r="QKU49" s="426"/>
      <c r="QKV49" s="426"/>
      <c r="QKW49" s="426"/>
      <c r="QKX49" s="426"/>
      <c r="QKY49" s="426"/>
      <c r="QKZ49" s="426"/>
      <c r="QLA49" s="426"/>
      <c r="QLB49" s="426"/>
      <c r="QLC49" s="426"/>
      <c r="QLD49" s="426"/>
      <c r="QLE49" s="426"/>
      <c r="QLF49" s="426"/>
      <c r="QLG49" s="426"/>
      <c r="QLH49" s="426"/>
      <c r="QLI49" s="426"/>
      <c r="QLJ49" s="426"/>
      <c r="QLK49" s="426"/>
      <c r="QLL49" s="426"/>
      <c r="QLM49" s="426"/>
      <c r="QLN49" s="426"/>
      <c r="QLO49" s="426"/>
      <c r="QLP49" s="426"/>
      <c r="QLQ49" s="426"/>
      <c r="QLR49" s="426"/>
      <c r="QLS49" s="426"/>
      <c r="QLT49" s="426"/>
      <c r="QLU49" s="426"/>
      <c r="QLV49" s="426"/>
      <c r="QLW49" s="426"/>
      <c r="QLX49" s="426"/>
      <c r="QLY49" s="426"/>
      <c r="QLZ49" s="426"/>
      <c r="QMA49" s="426"/>
      <c r="QMB49" s="426"/>
      <c r="QMC49" s="426"/>
      <c r="QMD49" s="426"/>
      <c r="QME49" s="426"/>
      <c r="QMF49" s="426"/>
      <c r="QMG49" s="426"/>
      <c r="QMH49" s="426"/>
      <c r="QMI49" s="426"/>
      <c r="QMJ49" s="426"/>
      <c r="QMK49" s="426"/>
      <c r="QML49" s="426"/>
      <c r="QMM49" s="426"/>
      <c r="QMN49" s="426"/>
      <c r="QMO49" s="426"/>
      <c r="QMP49" s="426"/>
      <c r="QMQ49" s="426"/>
      <c r="QMR49" s="426"/>
      <c r="QMS49" s="426"/>
      <c r="QMT49" s="426"/>
      <c r="QMU49" s="426"/>
      <c r="QMV49" s="426"/>
      <c r="QMW49" s="426"/>
      <c r="QMX49" s="426"/>
      <c r="QMY49" s="426"/>
      <c r="QMZ49" s="426"/>
      <c r="QNA49" s="426"/>
      <c r="QNB49" s="426"/>
      <c r="QNC49" s="426"/>
      <c r="QND49" s="426"/>
      <c r="QNE49" s="426"/>
      <c r="QNF49" s="426"/>
      <c r="QNG49" s="426"/>
      <c r="QNH49" s="426"/>
      <c r="QNI49" s="426"/>
      <c r="QNJ49" s="426"/>
      <c r="QNK49" s="426"/>
      <c r="QNL49" s="426"/>
      <c r="QNM49" s="426"/>
      <c r="QNN49" s="426"/>
      <c r="QNO49" s="426"/>
      <c r="QNP49" s="426"/>
      <c r="QNQ49" s="426"/>
      <c r="QNR49" s="426"/>
      <c r="QNS49" s="426"/>
      <c r="QNT49" s="426"/>
      <c r="QNU49" s="426"/>
      <c r="QNV49" s="426"/>
      <c r="QNW49" s="426"/>
      <c r="QNX49" s="426"/>
      <c r="QNY49" s="426"/>
      <c r="QNZ49" s="426"/>
      <c r="QOA49" s="426"/>
      <c r="QOB49" s="426"/>
      <c r="QOC49" s="426"/>
      <c r="QOD49" s="426"/>
      <c r="QOE49" s="426"/>
      <c r="QOF49" s="426"/>
      <c r="QOG49" s="426"/>
      <c r="QOH49" s="426"/>
      <c r="QOI49" s="426"/>
      <c r="QOJ49" s="426"/>
      <c r="QOK49" s="426"/>
      <c r="QOL49" s="426"/>
      <c r="QOM49" s="426"/>
      <c r="QON49" s="426"/>
      <c r="QOO49" s="426"/>
      <c r="QOP49" s="426"/>
      <c r="QOQ49" s="426"/>
      <c r="QOR49" s="426"/>
      <c r="QOS49" s="426"/>
      <c r="QOT49" s="426"/>
      <c r="QOU49" s="426"/>
      <c r="QOV49" s="426"/>
      <c r="QOW49" s="426"/>
      <c r="QOX49" s="426"/>
      <c r="QOY49" s="426"/>
      <c r="QOZ49" s="426"/>
      <c r="QPA49" s="426"/>
      <c r="QPB49" s="426"/>
      <c r="QPC49" s="426"/>
      <c r="QPD49" s="426"/>
      <c r="QPE49" s="426"/>
      <c r="QPF49" s="426"/>
      <c r="QPG49" s="426"/>
      <c r="QPH49" s="426"/>
      <c r="QPI49" s="426"/>
      <c r="QPJ49" s="426"/>
      <c r="QPK49" s="426"/>
      <c r="QPL49" s="426"/>
      <c r="QPM49" s="426"/>
      <c r="QPN49" s="426"/>
      <c r="QPO49" s="426"/>
      <c r="QPP49" s="426"/>
      <c r="QPQ49" s="426"/>
      <c r="QPR49" s="426"/>
      <c r="QPS49" s="426"/>
      <c r="QPT49" s="426"/>
      <c r="QPU49" s="426"/>
      <c r="QPV49" s="426"/>
      <c r="QPW49" s="426"/>
      <c r="QPX49" s="426"/>
      <c r="QPY49" s="426"/>
      <c r="QPZ49" s="426"/>
      <c r="QQA49" s="426"/>
      <c r="QQB49" s="426"/>
      <c r="QQC49" s="426"/>
      <c r="QQD49" s="426"/>
      <c r="QQE49" s="426"/>
      <c r="QQF49" s="426"/>
      <c r="QQG49" s="426"/>
      <c r="QQH49" s="426"/>
      <c r="QQI49" s="426"/>
      <c r="QQJ49" s="426"/>
      <c r="QQK49" s="426"/>
      <c r="QQL49" s="426"/>
      <c r="QQM49" s="426"/>
      <c r="QQN49" s="426"/>
      <c r="QQO49" s="426"/>
      <c r="QQP49" s="426"/>
      <c r="QQQ49" s="426"/>
      <c r="QQR49" s="426"/>
      <c r="QQS49" s="426"/>
      <c r="QQT49" s="426"/>
      <c r="QQU49" s="426"/>
      <c r="QQV49" s="426"/>
      <c r="QQW49" s="426"/>
      <c r="QQX49" s="426"/>
      <c r="QQY49" s="426"/>
      <c r="QQZ49" s="426"/>
      <c r="QRA49" s="426"/>
      <c r="QRB49" s="426"/>
      <c r="QRC49" s="426"/>
      <c r="QRD49" s="426"/>
      <c r="QRE49" s="426"/>
      <c r="QRF49" s="426"/>
      <c r="QRG49" s="426"/>
      <c r="QRH49" s="426"/>
      <c r="QRI49" s="426"/>
      <c r="QRJ49" s="426"/>
      <c r="QRK49" s="426"/>
      <c r="QRL49" s="426"/>
      <c r="QRM49" s="426"/>
      <c r="QRN49" s="426"/>
      <c r="QRO49" s="426"/>
      <c r="QRP49" s="426"/>
      <c r="QRQ49" s="426"/>
      <c r="QRR49" s="426"/>
      <c r="QRS49" s="426"/>
      <c r="QRT49" s="426"/>
      <c r="QRU49" s="426"/>
      <c r="QRV49" s="426"/>
      <c r="QRW49" s="426"/>
      <c r="QRX49" s="426"/>
      <c r="QRY49" s="426"/>
      <c r="QRZ49" s="426"/>
      <c r="QSA49" s="426"/>
      <c r="QSB49" s="426"/>
      <c r="QSC49" s="426"/>
      <c r="QSD49" s="426"/>
      <c r="QSE49" s="426"/>
      <c r="QSF49" s="426"/>
      <c r="QSG49" s="426"/>
      <c r="QSH49" s="426"/>
      <c r="QSI49" s="426"/>
      <c r="QSJ49" s="426"/>
      <c r="QSK49" s="426"/>
      <c r="QSL49" s="426"/>
      <c r="QSM49" s="426"/>
      <c r="QSN49" s="426"/>
      <c r="QSO49" s="426"/>
      <c r="QSP49" s="426"/>
      <c r="QSQ49" s="426"/>
      <c r="QSR49" s="426"/>
      <c r="QSS49" s="426"/>
      <c r="QST49" s="426"/>
      <c r="QSU49" s="426"/>
      <c r="QSV49" s="426"/>
      <c r="QSW49" s="426"/>
      <c r="QSX49" s="426"/>
      <c r="QSY49" s="426"/>
      <c r="QSZ49" s="426"/>
      <c r="QTA49" s="426"/>
      <c r="QTB49" s="426"/>
      <c r="QTC49" s="426"/>
      <c r="QTD49" s="426"/>
      <c r="QTE49" s="426"/>
      <c r="QTF49" s="426"/>
      <c r="QTG49" s="426"/>
      <c r="QTH49" s="426"/>
      <c r="QTI49" s="426"/>
      <c r="QTJ49" s="426"/>
      <c r="QTK49" s="426"/>
      <c r="QTL49" s="426"/>
      <c r="QTM49" s="426"/>
      <c r="QTN49" s="426"/>
      <c r="QTO49" s="426"/>
      <c r="QTP49" s="426"/>
      <c r="QTQ49" s="426"/>
      <c r="QTR49" s="426"/>
      <c r="QTS49" s="426"/>
      <c r="QTT49" s="426"/>
      <c r="QTU49" s="426"/>
      <c r="QTV49" s="426"/>
      <c r="QTW49" s="426"/>
      <c r="QTX49" s="426"/>
      <c r="QTY49" s="426"/>
      <c r="QTZ49" s="426"/>
      <c r="QUA49" s="426"/>
      <c r="QUB49" s="426"/>
      <c r="QUC49" s="426"/>
      <c r="QUD49" s="426"/>
      <c r="QUE49" s="426"/>
      <c r="QUF49" s="426"/>
      <c r="QUG49" s="426"/>
      <c r="QUH49" s="426"/>
      <c r="QUI49" s="426"/>
      <c r="QUJ49" s="426"/>
      <c r="QUK49" s="426"/>
      <c r="QUL49" s="426"/>
      <c r="QUM49" s="426"/>
      <c r="QUN49" s="426"/>
      <c r="QUO49" s="426"/>
      <c r="QUP49" s="426"/>
      <c r="QUQ49" s="426"/>
      <c r="QUR49" s="426"/>
      <c r="QUS49" s="426"/>
      <c r="QUT49" s="426"/>
      <c r="QUU49" s="426"/>
      <c r="QUV49" s="426"/>
      <c r="QUW49" s="426"/>
      <c r="QUX49" s="426"/>
      <c r="QUY49" s="426"/>
      <c r="QUZ49" s="426"/>
      <c r="QVA49" s="426"/>
      <c r="QVB49" s="426"/>
      <c r="QVC49" s="426"/>
      <c r="QVD49" s="426"/>
      <c r="QVE49" s="426"/>
      <c r="QVF49" s="426"/>
      <c r="QVG49" s="426"/>
      <c r="QVH49" s="426"/>
      <c r="QVI49" s="426"/>
      <c r="QVJ49" s="426"/>
      <c r="QVK49" s="426"/>
      <c r="QVL49" s="426"/>
      <c r="QVM49" s="426"/>
      <c r="QVN49" s="426"/>
      <c r="QVO49" s="426"/>
      <c r="QVP49" s="426"/>
      <c r="QVQ49" s="426"/>
      <c r="QVR49" s="426"/>
      <c r="QVS49" s="426"/>
      <c r="QVT49" s="426"/>
      <c r="QVU49" s="426"/>
      <c r="QVV49" s="426"/>
      <c r="QVW49" s="426"/>
      <c r="QVX49" s="426"/>
      <c r="QVY49" s="426"/>
      <c r="QVZ49" s="426"/>
      <c r="QWA49" s="426"/>
      <c r="QWB49" s="426"/>
      <c r="QWC49" s="426"/>
      <c r="QWD49" s="426"/>
      <c r="QWE49" s="426"/>
      <c r="QWF49" s="426"/>
      <c r="QWG49" s="426"/>
      <c r="QWH49" s="426"/>
      <c r="QWI49" s="426"/>
      <c r="QWJ49" s="426"/>
      <c r="QWK49" s="426"/>
      <c r="QWL49" s="426"/>
      <c r="QWM49" s="426"/>
      <c r="QWN49" s="426"/>
      <c r="QWO49" s="426"/>
      <c r="QWP49" s="426"/>
      <c r="QWQ49" s="426"/>
      <c r="QWR49" s="426"/>
      <c r="QWS49" s="426"/>
      <c r="QWT49" s="426"/>
      <c r="QWU49" s="426"/>
      <c r="QWV49" s="426"/>
      <c r="QWW49" s="426"/>
      <c r="QWX49" s="426"/>
      <c r="QWY49" s="426"/>
      <c r="QWZ49" s="426"/>
      <c r="QXA49" s="426"/>
      <c r="QXB49" s="426"/>
      <c r="QXC49" s="426"/>
      <c r="QXD49" s="426"/>
      <c r="QXE49" s="426"/>
      <c r="QXF49" s="426"/>
      <c r="QXG49" s="426"/>
      <c r="QXH49" s="426"/>
      <c r="QXI49" s="426"/>
      <c r="QXJ49" s="426"/>
      <c r="QXK49" s="426"/>
      <c r="QXL49" s="426"/>
      <c r="QXM49" s="426"/>
      <c r="QXN49" s="426"/>
      <c r="QXO49" s="426"/>
      <c r="QXP49" s="426"/>
      <c r="QXQ49" s="426"/>
      <c r="QXR49" s="426"/>
      <c r="QXS49" s="426"/>
      <c r="QXT49" s="426"/>
      <c r="QXU49" s="426"/>
      <c r="QXV49" s="426"/>
      <c r="QXW49" s="426"/>
      <c r="QXX49" s="426"/>
      <c r="QXY49" s="426"/>
      <c r="QXZ49" s="426"/>
      <c r="QYA49" s="426"/>
      <c r="QYB49" s="426"/>
      <c r="QYC49" s="426"/>
      <c r="QYD49" s="426"/>
      <c r="QYE49" s="426"/>
      <c r="QYF49" s="426"/>
      <c r="QYG49" s="426"/>
      <c r="QYH49" s="426"/>
      <c r="QYI49" s="426"/>
      <c r="QYJ49" s="426"/>
      <c r="QYK49" s="426"/>
      <c r="QYL49" s="426"/>
      <c r="QYM49" s="426"/>
      <c r="QYN49" s="426"/>
      <c r="QYO49" s="426"/>
      <c r="QYP49" s="426"/>
      <c r="QYQ49" s="426"/>
      <c r="QYR49" s="426"/>
      <c r="QYS49" s="426"/>
      <c r="QYT49" s="426"/>
      <c r="QYU49" s="426"/>
      <c r="QYV49" s="426"/>
      <c r="QYW49" s="426"/>
      <c r="QYX49" s="426"/>
      <c r="QYY49" s="426"/>
      <c r="QYZ49" s="426"/>
      <c r="QZA49" s="426"/>
      <c r="QZB49" s="426"/>
      <c r="QZC49" s="426"/>
      <c r="QZD49" s="426"/>
      <c r="QZE49" s="426"/>
      <c r="QZF49" s="426"/>
      <c r="QZG49" s="426"/>
      <c r="QZH49" s="426"/>
      <c r="QZI49" s="426"/>
      <c r="QZJ49" s="426"/>
      <c r="QZK49" s="426"/>
      <c r="QZL49" s="426"/>
      <c r="QZM49" s="426"/>
      <c r="QZN49" s="426"/>
      <c r="QZO49" s="426"/>
      <c r="QZP49" s="426"/>
      <c r="QZQ49" s="426"/>
      <c r="QZR49" s="426"/>
      <c r="QZS49" s="426"/>
      <c r="QZT49" s="426"/>
      <c r="QZU49" s="426"/>
      <c r="QZV49" s="426"/>
      <c r="QZW49" s="426"/>
      <c r="QZX49" s="426"/>
      <c r="QZY49" s="426"/>
      <c r="QZZ49" s="426"/>
      <c r="RAA49" s="426"/>
      <c r="RAB49" s="426"/>
      <c r="RAC49" s="426"/>
      <c r="RAD49" s="426"/>
      <c r="RAE49" s="426"/>
      <c r="RAF49" s="426"/>
      <c r="RAG49" s="426"/>
      <c r="RAH49" s="426"/>
      <c r="RAI49" s="426"/>
      <c r="RAJ49" s="426"/>
      <c r="RAK49" s="426"/>
      <c r="RAL49" s="426"/>
      <c r="RAM49" s="426"/>
      <c r="RAN49" s="426"/>
      <c r="RAO49" s="426"/>
      <c r="RAP49" s="426"/>
      <c r="RAQ49" s="426"/>
      <c r="RAR49" s="426"/>
      <c r="RAS49" s="426"/>
      <c r="RAT49" s="426"/>
      <c r="RAU49" s="426"/>
      <c r="RAV49" s="426"/>
      <c r="RAW49" s="426"/>
      <c r="RAX49" s="426"/>
      <c r="RAY49" s="426"/>
      <c r="RAZ49" s="426"/>
      <c r="RBA49" s="426"/>
      <c r="RBB49" s="426"/>
      <c r="RBC49" s="426"/>
      <c r="RBD49" s="426"/>
      <c r="RBE49" s="426"/>
      <c r="RBF49" s="426"/>
      <c r="RBG49" s="426"/>
      <c r="RBH49" s="426"/>
      <c r="RBI49" s="426"/>
      <c r="RBJ49" s="426"/>
      <c r="RBK49" s="426"/>
      <c r="RBL49" s="426"/>
      <c r="RBM49" s="426"/>
      <c r="RBN49" s="426"/>
      <c r="RBO49" s="426"/>
      <c r="RBP49" s="426"/>
      <c r="RBQ49" s="426"/>
      <c r="RBR49" s="426"/>
      <c r="RBS49" s="426"/>
      <c r="RBT49" s="426"/>
      <c r="RBU49" s="426"/>
      <c r="RBV49" s="426"/>
      <c r="RBW49" s="426"/>
      <c r="RBX49" s="426"/>
      <c r="RBY49" s="426"/>
      <c r="RBZ49" s="426"/>
      <c r="RCA49" s="426"/>
      <c r="RCB49" s="426"/>
      <c r="RCC49" s="426"/>
      <c r="RCD49" s="426"/>
      <c r="RCE49" s="426"/>
      <c r="RCF49" s="426"/>
      <c r="RCG49" s="426"/>
      <c r="RCH49" s="426"/>
      <c r="RCI49" s="426"/>
      <c r="RCJ49" s="426"/>
      <c r="RCK49" s="426"/>
      <c r="RCL49" s="426"/>
      <c r="RCM49" s="426"/>
      <c r="RCN49" s="426"/>
      <c r="RCO49" s="426"/>
      <c r="RCP49" s="426"/>
      <c r="RCQ49" s="426"/>
      <c r="RCR49" s="426"/>
      <c r="RCS49" s="426"/>
      <c r="RCT49" s="426"/>
      <c r="RCU49" s="426"/>
      <c r="RCV49" s="426"/>
      <c r="RCW49" s="426"/>
      <c r="RCX49" s="426"/>
      <c r="RCY49" s="426"/>
      <c r="RCZ49" s="426"/>
      <c r="RDA49" s="426"/>
      <c r="RDB49" s="426"/>
      <c r="RDC49" s="426"/>
      <c r="RDD49" s="426"/>
      <c r="RDE49" s="426"/>
      <c r="RDF49" s="426"/>
      <c r="RDG49" s="426"/>
      <c r="RDH49" s="426"/>
      <c r="RDI49" s="426"/>
      <c r="RDJ49" s="426"/>
      <c r="RDK49" s="426"/>
      <c r="RDL49" s="426"/>
      <c r="RDM49" s="426"/>
      <c r="RDN49" s="426"/>
      <c r="RDO49" s="426"/>
      <c r="RDP49" s="426"/>
      <c r="RDQ49" s="426"/>
      <c r="RDR49" s="426"/>
      <c r="RDS49" s="426"/>
      <c r="RDT49" s="426"/>
      <c r="RDU49" s="426"/>
      <c r="RDV49" s="426"/>
      <c r="RDW49" s="426"/>
      <c r="RDX49" s="426"/>
      <c r="RDY49" s="426"/>
      <c r="RDZ49" s="426"/>
      <c r="REA49" s="426"/>
      <c r="REB49" s="426"/>
      <c r="REC49" s="426"/>
      <c r="RED49" s="426"/>
      <c r="REE49" s="426"/>
      <c r="REF49" s="426"/>
      <c r="REG49" s="426"/>
      <c r="REH49" s="426"/>
      <c r="REI49" s="426"/>
      <c r="REJ49" s="426"/>
      <c r="REK49" s="426"/>
      <c r="REL49" s="426"/>
      <c r="REM49" s="426"/>
      <c r="REN49" s="426"/>
      <c r="REO49" s="426"/>
      <c r="REP49" s="426"/>
      <c r="REQ49" s="426"/>
      <c r="RER49" s="426"/>
      <c r="RES49" s="426"/>
      <c r="RET49" s="426"/>
      <c r="REU49" s="426"/>
      <c r="REV49" s="426"/>
      <c r="REW49" s="426"/>
      <c r="REX49" s="426"/>
      <c r="REY49" s="426"/>
      <c r="REZ49" s="426"/>
      <c r="RFA49" s="426"/>
      <c r="RFB49" s="426"/>
      <c r="RFC49" s="426"/>
      <c r="RFD49" s="426"/>
      <c r="RFE49" s="426"/>
      <c r="RFF49" s="426"/>
      <c r="RFG49" s="426"/>
      <c r="RFH49" s="426"/>
      <c r="RFI49" s="426"/>
      <c r="RFJ49" s="426"/>
      <c r="RFK49" s="426"/>
      <c r="RFL49" s="426"/>
      <c r="RFM49" s="426"/>
      <c r="RFN49" s="426"/>
      <c r="RFO49" s="426"/>
      <c r="RFP49" s="426"/>
      <c r="RFQ49" s="426"/>
      <c r="RFR49" s="426"/>
      <c r="RFS49" s="426"/>
      <c r="RFT49" s="426"/>
      <c r="RFU49" s="426"/>
      <c r="RFV49" s="426"/>
      <c r="RFW49" s="426"/>
      <c r="RFX49" s="426"/>
      <c r="RFY49" s="426"/>
      <c r="RFZ49" s="426"/>
      <c r="RGA49" s="426"/>
      <c r="RGB49" s="426"/>
      <c r="RGC49" s="426"/>
      <c r="RGD49" s="426"/>
      <c r="RGE49" s="426"/>
      <c r="RGF49" s="426"/>
      <c r="RGG49" s="426"/>
      <c r="RGH49" s="426"/>
      <c r="RGI49" s="426"/>
      <c r="RGJ49" s="426"/>
      <c r="RGK49" s="426"/>
      <c r="RGL49" s="426"/>
      <c r="RGM49" s="426"/>
      <c r="RGN49" s="426"/>
      <c r="RGO49" s="426"/>
      <c r="RGP49" s="426"/>
      <c r="RGQ49" s="426"/>
      <c r="RGR49" s="426"/>
      <c r="RGS49" s="426"/>
      <c r="RGT49" s="426"/>
      <c r="RGU49" s="426"/>
      <c r="RGV49" s="426"/>
      <c r="RGW49" s="426"/>
      <c r="RGX49" s="426"/>
      <c r="RGY49" s="426"/>
      <c r="RGZ49" s="426"/>
      <c r="RHA49" s="426"/>
      <c r="RHB49" s="426"/>
      <c r="RHC49" s="426"/>
      <c r="RHD49" s="426"/>
      <c r="RHE49" s="426"/>
      <c r="RHF49" s="426"/>
      <c r="RHG49" s="426"/>
      <c r="RHH49" s="426"/>
      <c r="RHI49" s="426"/>
      <c r="RHJ49" s="426"/>
      <c r="RHK49" s="426"/>
      <c r="RHL49" s="426"/>
      <c r="RHM49" s="426"/>
      <c r="RHN49" s="426"/>
      <c r="RHO49" s="426"/>
      <c r="RHP49" s="426"/>
      <c r="RHQ49" s="426"/>
      <c r="RHR49" s="426"/>
      <c r="RHS49" s="426"/>
      <c r="RHT49" s="426"/>
      <c r="RHU49" s="426"/>
      <c r="RHV49" s="426"/>
      <c r="RHW49" s="426"/>
      <c r="RHX49" s="426"/>
      <c r="RHY49" s="426"/>
      <c r="RHZ49" s="426"/>
      <c r="RIA49" s="426"/>
      <c r="RIB49" s="426"/>
      <c r="RIC49" s="426"/>
      <c r="RID49" s="426"/>
      <c r="RIE49" s="426"/>
      <c r="RIF49" s="426"/>
      <c r="RIG49" s="426"/>
      <c r="RIH49" s="426"/>
      <c r="RII49" s="426"/>
      <c r="RIJ49" s="426"/>
      <c r="RIK49" s="426"/>
      <c r="RIL49" s="426"/>
      <c r="RIM49" s="426"/>
      <c r="RIN49" s="426"/>
      <c r="RIO49" s="426"/>
      <c r="RIP49" s="426"/>
      <c r="RIQ49" s="426"/>
      <c r="RIR49" s="426"/>
      <c r="RIS49" s="426"/>
      <c r="RIT49" s="426"/>
      <c r="RIU49" s="426"/>
      <c r="RIV49" s="426"/>
      <c r="RIW49" s="426"/>
      <c r="RIX49" s="426"/>
      <c r="RIY49" s="426"/>
      <c r="RIZ49" s="426"/>
      <c r="RJA49" s="426"/>
      <c r="RJB49" s="426"/>
      <c r="RJC49" s="426"/>
      <c r="RJD49" s="426"/>
      <c r="RJE49" s="426"/>
      <c r="RJF49" s="426"/>
      <c r="RJG49" s="426"/>
      <c r="RJH49" s="426"/>
      <c r="RJI49" s="426"/>
      <c r="RJJ49" s="426"/>
      <c r="RJK49" s="426"/>
      <c r="RJL49" s="426"/>
      <c r="RJM49" s="426"/>
      <c r="RJN49" s="426"/>
      <c r="RJO49" s="426"/>
      <c r="RJP49" s="426"/>
      <c r="RJQ49" s="426"/>
      <c r="RJR49" s="426"/>
      <c r="RJS49" s="426"/>
      <c r="RJT49" s="426"/>
      <c r="RJU49" s="426"/>
      <c r="RJV49" s="426"/>
      <c r="RJW49" s="426"/>
      <c r="RJX49" s="426"/>
      <c r="RJY49" s="426"/>
      <c r="RJZ49" s="426"/>
      <c r="RKA49" s="426"/>
      <c r="RKB49" s="426"/>
      <c r="RKC49" s="426"/>
      <c r="RKD49" s="426"/>
      <c r="RKE49" s="426"/>
      <c r="RKF49" s="426"/>
      <c r="RKG49" s="426"/>
      <c r="RKH49" s="426"/>
      <c r="RKI49" s="426"/>
      <c r="RKJ49" s="426"/>
      <c r="RKK49" s="426"/>
      <c r="RKL49" s="426"/>
      <c r="RKM49" s="426"/>
      <c r="RKN49" s="426"/>
      <c r="RKO49" s="426"/>
      <c r="RKP49" s="426"/>
      <c r="RKQ49" s="426"/>
      <c r="RKR49" s="426"/>
      <c r="RKS49" s="426"/>
      <c r="RKT49" s="426"/>
      <c r="RKU49" s="426"/>
      <c r="RKV49" s="426"/>
      <c r="RKW49" s="426"/>
      <c r="RKX49" s="426"/>
      <c r="RKY49" s="426"/>
      <c r="RKZ49" s="426"/>
      <c r="RLA49" s="426"/>
      <c r="RLB49" s="426"/>
      <c r="RLC49" s="426"/>
      <c r="RLD49" s="426"/>
      <c r="RLE49" s="426"/>
      <c r="RLF49" s="426"/>
      <c r="RLG49" s="426"/>
      <c r="RLH49" s="426"/>
      <c r="RLI49" s="426"/>
      <c r="RLJ49" s="426"/>
      <c r="RLK49" s="426"/>
      <c r="RLL49" s="426"/>
      <c r="RLM49" s="426"/>
      <c r="RLN49" s="426"/>
      <c r="RLO49" s="426"/>
      <c r="RLP49" s="426"/>
      <c r="RLQ49" s="426"/>
      <c r="RLR49" s="426"/>
      <c r="RLS49" s="426"/>
      <c r="RLT49" s="426"/>
      <c r="RLU49" s="426"/>
      <c r="RLV49" s="426"/>
      <c r="RLW49" s="426"/>
      <c r="RLX49" s="426"/>
      <c r="RLY49" s="426"/>
      <c r="RLZ49" s="426"/>
      <c r="RMA49" s="426"/>
      <c r="RMB49" s="426"/>
      <c r="RMC49" s="426"/>
      <c r="RMD49" s="426"/>
      <c r="RME49" s="426"/>
      <c r="RMF49" s="426"/>
      <c r="RMG49" s="426"/>
      <c r="RMH49" s="426"/>
      <c r="RMI49" s="426"/>
      <c r="RMJ49" s="426"/>
      <c r="RMK49" s="426"/>
      <c r="RML49" s="426"/>
      <c r="RMM49" s="426"/>
      <c r="RMN49" s="426"/>
      <c r="RMO49" s="426"/>
      <c r="RMP49" s="426"/>
      <c r="RMQ49" s="426"/>
      <c r="RMR49" s="426"/>
      <c r="RMS49" s="426"/>
      <c r="RMT49" s="426"/>
      <c r="RMU49" s="426"/>
      <c r="RMV49" s="426"/>
      <c r="RMW49" s="426"/>
      <c r="RMX49" s="426"/>
      <c r="RMY49" s="426"/>
      <c r="RMZ49" s="426"/>
      <c r="RNA49" s="426"/>
      <c r="RNB49" s="426"/>
      <c r="RNC49" s="426"/>
      <c r="RND49" s="426"/>
      <c r="RNE49" s="426"/>
      <c r="RNF49" s="426"/>
      <c r="RNG49" s="426"/>
      <c r="RNH49" s="426"/>
      <c r="RNI49" s="426"/>
      <c r="RNJ49" s="426"/>
      <c r="RNK49" s="426"/>
      <c r="RNL49" s="426"/>
      <c r="RNM49" s="426"/>
      <c r="RNN49" s="426"/>
      <c r="RNO49" s="426"/>
      <c r="RNP49" s="426"/>
      <c r="RNQ49" s="426"/>
      <c r="RNR49" s="426"/>
      <c r="RNS49" s="426"/>
      <c r="RNT49" s="426"/>
      <c r="RNU49" s="426"/>
      <c r="RNV49" s="426"/>
      <c r="RNW49" s="426"/>
      <c r="RNX49" s="426"/>
      <c r="RNY49" s="426"/>
      <c r="RNZ49" s="426"/>
      <c r="ROA49" s="426"/>
      <c r="ROB49" s="426"/>
      <c r="ROC49" s="426"/>
      <c r="ROD49" s="426"/>
      <c r="ROE49" s="426"/>
      <c r="ROF49" s="426"/>
      <c r="ROG49" s="426"/>
      <c r="ROH49" s="426"/>
      <c r="ROI49" s="426"/>
      <c r="ROJ49" s="426"/>
      <c r="ROK49" s="426"/>
      <c r="ROL49" s="426"/>
      <c r="ROM49" s="426"/>
      <c r="RON49" s="426"/>
      <c r="ROO49" s="426"/>
      <c r="ROP49" s="426"/>
      <c r="ROQ49" s="426"/>
      <c r="ROR49" s="426"/>
      <c r="ROS49" s="426"/>
      <c r="ROT49" s="426"/>
      <c r="ROU49" s="426"/>
      <c r="ROV49" s="426"/>
      <c r="ROW49" s="426"/>
      <c r="ROX49" s="426"/>
      <c r="ROY49" s="426"/>
      <c r="ROZ49" s="426"/>
      <c r="RPA49" s="426"/>
      <c r="RPB49" s="426"/>
      <c r="RPC49" s="426"/>
      <c r="RPD49" s="426"/>
      <c r="RPE49" s="426"/>
      <c r="RPF49" s="426"/>
      <c r="RPG49" s="426"/>
      <c r="RPH49" s="426"/>
      <c r="RPI49" s="426"/>
      <c r="RPJ49" s="426"/>
      <c r="RPK49" s="426"/>
      <c r="RPL49" s="426"/>
      <c r="RPM49" s="426"/>
      <c r="RPN49" s="426"/>
      <c r="RPO49" s="426"/>
      <c r="RPP49" s="426"/>
      <c r="RPQ49" s="426"/>
      <c r="RPR49" s="426"/>
      <c r="RPS49" s="426"/>
      <c r="RPT49" s="426"/>
      <c r="RPU49" s="426"/>
      <c r="RPV49" s="426"/>
      <c r="RPW49" s="426"/>
      <c r="RPX49" s="426"/>
      <c r="RPY49" s="426"/>
      <c r="RPZ49" s="426"/>
      <c r="RQA49" s="426"/>
      <c r="RQB49" s="426"/>
      <c r="RQC49" s="426"/>
      <c r="RQD49" s="426"/>
      <c r="RQE49" s="426"/>
      <c r="RQF49" s="426"/>
      <c r="RQG49" s="426"/>
      <c r="RQH49" s="426"/>
      <c r="RQI49" s="426"/>
      <c r="RQJ49" s="426"/>
      <c r="RQK49" s="426"/>
      <c r="RQL49" s="426"/>
      <c r="RQM49" s="426"/>
      <c r="RQN49" s="426"/>
      <c r="RQO49" s="426"/>
      <c r="RQP49" s="426"/>
      <c r="RQQ49" s="426"/>
      <c r="RQR49" s="426"/>
      <c r="RQS49" s="426"/>
      <c r="RQT49" s="426"/>
      <c r="RQU49" s="426"/>
      <c r="RQV49" s="426"/>
      <c r="RQW49" s="426"/>
      <c r="RQX49" s="426"/>
      <c r="RQY49" s="426"/>
      <c r="RQZ49" s="426"/>
      <c r="RRA49" s="426"/>
      <c r="RRB49" s="426"/>
      <c r="RRC49" s="426"/>
      <c r="RRD49" s="426"/>
      <c r="RRE49" s="426"/>
      <c r="RRF49" s="426"/>
      <c r="RRG49" s="426"/>
      <c r="RRH49" s="426"/>
      <c r="RRI49" s="426"/>
      <c r="RRJ49" s="426"/>
      <c r="RRK49" s="426"/>
      <c r="RRL49" s="426"/>
      <c r="RRM49" s="426"/>
      <c r="RRN49" s="426"/>
      <c r="RRO49" s="426"/>
      <c r="RRP49" s="426"/>
      <c r="RRQ49" s="426"/>
      <c r="RRR49" s="426"/>
      <c r="RRS49" s="426"/>
      <c r="RRT49" s="426"/>
      <c r="RRU49" s="426"/>
      <c r="RRV49" s="426"/>
      <c r="RRW49" s="426"/>
      <c r="RRX49" s="426"/>
      <c r="RRY49" s="426"/>
      <c r="RRZ49" s="426"/>
      <c r="RSA49" s="426"/>
      <c r="RSB49" s="426"/>
      <c r="RSC49" s="426"/>
      <c r="RSD49" s="426"/>
      <c r="RSE49" s="426"/>
      <c r="RSF49" s="426"/>
      <c r="RSG49" s="426"/>
      <c r="RSH49" s="426"/>
      <c r="RSI49" s="426"/>
      <c r="RSJ49" s="426"/>
      <c r="RSK49" s="426"/>
      <c r="RSL49" s="426"/>
      <c r="RSM49" s="426"/>
      <c r="RSN49" s="426"/>
      <c r="RSO49" s="426"/>
      <c r="RSP49" s="426"/>
      <c r="RSQ49" s="426"/>
      <c r="RSR49" s="426"/>
      <c r="RSS49" s="426"/>
      <c r="RST49" s="426"/>
      <c r="RSU49" s="426"/>
      <c r="RSV49" s="426"/>
      <c r="RSW49" s="426"/>
      <c r="RSX49" s="426"/>
      <c r="RSY49" s="426"/>
      <c r="RSZ49" s="426"/>
      <c r="RTA49" s="426"/>
      <c r="RTB49" s="426"/>
      <c r="RTC49" s="426"/>
      <c r="RTD49" s="426"/>
      <c r="RTE49" s="426"/>
      <c r="RTF49" s="426"/>
      <c r="RTG49" s="426"/>
      <c r="RTH49" s="426"/>
      <c r="RTI49" s="426"/>
      <c r="RTJ49" s="426"/>
      <c r="RTK49" s="426"/>
      <c r="RTL49" s="426"/>
      <c r="RTM49" s="426"/>
      <c r="RTN49" s="426"/>
      <c r="RTO49" s="426"/>
      <c r="RTP49" s="426"/>
      <c r="RTQ49" s="426"/>
      <c r="RTR49" s="426"/>
      <c r="RTS49" s="426"/>
      <c r="RTT49" s="426"/>
      <c r="RTU49" s="426"/>
      <c r="RTV49" s="426"/>
      <c r="RTW49" s="426"/>
      <c r="RTX49" s="426"/>
      <c r="RTY49" s="426"/>
      <c r="RTZ49" s="426"/>
      <c r="RUA49" s="426"/>
      <c r="RUB49" s="426"/>
      <c r="RUC49" s="426"/>
      <c r="RUD49" s="426"/>
      <c r="RUE49" s="426"/>
      <c r="RUF49" s="426"/>
      <c r="RUG49" s="426"/>
      <c r="RUH49" s="426"/>
      <c r="RUI49" s="426"/>
      <c r="RUJ49" s="426"/>
      <c r="RUK49" s="426"/>
      <c r="RUL49" s="426"/>
      <c r="RUM49" s="426"/>
      <c r="RUN49" s="426"/>
      <c r="RUO49" s="426"/>
      <c r="RUP49" s="426"/>
      <c r="RUQ49" s="426"/>
      <c r="RUR49" s="426"/>
      <c r="RUS49" s="426"/>
      <c r="RUT49" s="426"/>
      <c r="RUU49" s="426"/>
      <c r="RUV49" s="426"/>
      <c r="RUW49" s="426"/>
      <c r="RUX49" s="426"/>
      <c r="RUY49" s="426"/>
      <c r="RUZ49" s="426"/>
      <c r="RVA49" s="426"/>
      <c r="RVB49" s="426"/>
      <c r="RVC49" s="426"/>
      <c r="RVD49" s="426"/>
      <c r="RVE49" s="426"/>
      <c r="RVF49" s="426"/>
      <c r="RVG49" s="426"/>
      <c r="RVH49" s="426"/>
      <c r="RVI49" s="426"/>
      <c r="RVJ49" s="426"/>
      <c r="RVK49" s="426"/>
      <c r="RVL49" s="426"/>
      <c r="RVM49" s="426"/>
      <c r="RVN49" s="426"/>
      <c r="RVO49" s="426"/>
      <c r="RVP49" s="426"/>
      <c r="RVQ49" s="426"/>
      <c r="RVR49" s="426"/>
      <c r="RVS49" s="426"/>
      <c r="RVT49" s="426"/>
      <c r="RVU49" s="426"/>
      <c r="RVV49" s="426"/>
      <c r="RVW49" s="426"/>
      <c r="RVX49" s="426"/>
      <c r="RVY49" s="426"/>
      <c r="RVZ49" s="426"/>
      <c r="RWA49" s="426"/>
      <c r="RWB49" s="426"/>
      <c r="RWC49" s="426"/>
      <c r="RWD49" s="426"/>
      <c r="RWE49" s="426"/>
      <c r="RWF49" s="426"/>
      <c r="RWG49" s="426"/>
      <c r="RWH49" s="426"/>
      <c r="RWI49" s="426"/>
      <c r="RWJ49" s="426"/>
      <c r="RWK49" s="426"/>
      <c r="RWL49" s="426"/>
      <c r="RWM49" s="426"/>
      <c r="RWN49" s="426"/>
      <c r="RWO49" s="426"/>
      <c r="RWP49" s="426"/>
      <c r="RWQ49" s="426"/>
      <c r="RWR49" s="426"/>
      <c r="RWS49" s="426"/>
      <c r="RWT49" s="426"/>
      <c r="RWU49" s="426"/>
      <c r="RWV49" s="426"/>
      <c r="RWW49" s="426"/>
      <c r="RWX49" s="426"/>
      <c r="RWY49" s="426"/>
      <c r="RWZ49" s="426"/>
      <c r="RXA49" s="426"/>
      <c r="RXB49" s="426"/>
      <c r="RXC49" s="426"/>
      <c r="RXD49" s="426"/>
      <c r="RXE49" s="426"/>
      <c r="RXF49" s="426"/>
      <c r="RXG49" s="426"/>
      <c r="RXH49" s="426"/>
      <c r="RXI49" s="426"/>
      <c r="RXJ49" s="426"/>
      <c r="RXK49" s="426"/>
      <c r="RXL49" s="426"/>
      <c r="RXM49" s="426"/>
      <c r="RXN49" s="426"/>
      <c r="RXO49" s="426"/>
      <c r="RXP49" s="426"/>
      <c r="RXQ49" s="426"/>
      <c r="RXR49" s="426"/>
      <c r="RXS49" s="426"/>
      <c r="RXT49" s="426"/>
      <c r="RXU49" s="426"/>
      <c r="RXV49" s="426"/>
      <c r="RXW49" s="426"/>
      <c r="RXX49" s="426"/>
      <c r="RXY49" s="426"/>
      <c r="RXZ49" s="426"/>
      <c r="RYA49" s="426"/>
      <c r="RYB49" s="426"/>
      <c r="RYC49" s="426"/>
      <c r="RYD49" s="426"/>
      <c r="RYE49" s="426"/>
      <c r="RYF49" s="426"/>
      <c r="RYG49" s="426"/>
      <c r="RYH49" s="426"/>
      <c r="RYI49" s="426"/>
      <c r="RYJ49" s="426"/>
      <c r="RYK49" s="426"/>
      <c r="RYL49" s="426"/>
      <c r="RYM49" s="426"/>
      <c r="RYN49" s="426"/>
      <c r="RYO49" s="426"/>
      <c r="RYP49" s="426"/>
      <c r="RYQ49" s="426"/>
      <c r="RYR49" s="426"/>
      <c r="RYS49" s="426"/>
      <c r="RYT49" s="426"/>
      <c r="RYU49" s="426"/>
      <c r="RYV49" s="426"/>
      <c r="RYW49" s="426"/>
      <c r="RYX49" s="426"/>
      <c r="RYY49" s="426"/>
      <c r="RYZ49" s="426"/>
      <c r="RZA49" s="426"/>
      <c r="RZB49" s="426"/>
      <c r="RZC49" s="426"/>
      <c r="RZD49" s="426"/>
      <c r="RZE49" s="426"/>
      <c r="RZF49" s="426"/>
      <c r="RZG49" s="426"/>
      <c r="RZH49" s="426"/>
      <c r="RZI49" s="426"/>
      <c r="RZJ49" s="426"/>
      <c r="RZK49" s="426"/>
      <c r="RZL49" s="426"/>
      <c r="RZM49" s="426"/>
      <c r="RZN49" s="426"/>
      <c r="RZO49" s="426"/>
      <c r="RZP49" s="426"/>
      <c r="RZQ49" s="426"/>
      <c r="RZR49" s="426"/>
      <c r="RZS49" s="426"/>
      <c r="RZT49" s="426"/>
      <c r="RZU49" s="426"/>
      <c r="RZV49" s="426"/>
      <c r="RZW49" s="426"/>
      <c r="RZX49" s="426"/>
      <c r="RZY49" s="426"/>
      <c r="RZZ49" s="426"/>
      <c r="SAA49" s="426"/>
      <c r="SAB49" s="426"/>
      <c r="SAC49" s="426"/>
      <c r="SAD49" s="426"/>
      <c r="SAE49" s="426"/>
      <c r="SAF49" s="426"/>
      <c r="SAG49" s="426"/>
      <c r="SAH49" s="426"/>
      <c r="SAI49" s="426"/>
      <c r="SAJ49" s="426"/>
      <c r="SAK49" s="426"/>
      <c r="SAL49" s="426"/>
      <c r="SAM49" s="426"/>
      <c r="SAN49" s="426"/>
      <c r="SAO49" s="426"/>
      <c r="SAP49" s="426"/>
      <c r="SAQ49" s="426"/>
      <c r="SAR49" s="426"/>
      <c r="SAS49" s="426"/>
      <c r="SAT49" s="426"/>
      <c r="SAU49" s="426"/>
      <c r="SAV49" s="426"/>
      <c r="SAW49" s="426"/>
      <c r="SAX49" s="426"/>
      <c r="SAY49" s="426"/>
      <c r="SAZ49" s="426"/>
      <c r="SBA49" s="426"/>
      <c r="SBB49" s="426"/>
      <c r="SBC49" s="426"/>
      <c r="SBD49" s="426"/>
      <c r="SBE49" s="426"/>
      <c r="SBF49" s="426"/>
      <c r="SBG49" s="426"/>
      <c r="SBH49" s="426"/>
      <c r="SBI49" s="426"/>
      <c r="SBJ49" s="426"/>
      <c r="SBK49" s="426"/>
      <c r="SBL49" s="426"/>
      <c r="SBM49" s="426"/>
      <c r="SBN49" s="426"/>
      <c r="SBO49" s="426"/>
      <c r="SBP49" s="426"/>
      <c r="SBQ49" s="426"/>
      <c r="SBR49" s="426"/>
      <c r="SBS49" s="426"/>
      <c r="SBT49" s="426"/>
      <c r="SBU49" s="426"/>
      <c r="SBV49" s="426"/>
      <c r="SBW49" s="426"/>
      <c r="SBX49" s="426"/>
      <c r="SBY49" s="426"/>
      <c r="SBZ49" s="426"/>
      <c r="SCA49" s="426"/>
      <c r="SCB49" s="426"/>
      <c r="SCC49" s="426"/>
      <c r="SCD49" s="426"/>
      <c r="SCE49" s="426"/>
      <c r="SCF49" s="426"/>
      <c r="SCG49" s="426"/>
      <c r="SCH49" s="426"/>
      <c r="SCI49" s="426"/>
      <c r="SCJ49" s="426"/>
      <c r="SCK49" s="426"/>
      <c r="SCL49" s="426"/>
      <c r="SCM49" s="426"/>
      <c r="SCN49" s="426"/>
      <c r="SCO49" s="426"/>
      <c r="SCP49" s="426"/>
      <c r="SCQ49" s="426"/>
      <c r="SCR49" s="426"/>
      <c r="SCS49" s="426"/>
      <c r="SCT49" s="426"/>
      <c r="SCU49" s="426"/>
      <c r="SCV49" s="426"/>
      <c r="SCW49" s="426"/>
      <c r="SCX49" s="426"/>
      <c r="SCY49" s="426"/>
      <c r="SCZ49" s="426"/>
      <c r="SDA49" s="426"/>
      <c r="SDB49" s="426"/>
      <c r="SDC49" s="426"/>
      <c r="SDD49" s="426"/>
      <c r="SDE49" s="426"/>
      <c r="SDF49" s="426"/>
      <c r="SDG49" s="426"/>
      <c r="SDH49" s="426"/>
      <c r="SDI49" s="426"/>
      <c r="SDJ49" s="426"/>
      <c r="SDK49" s="426"/>
      <c r="SDL49" s="426"/>
      <c r="SDM49" s="426"/>
      <c r="SDN49" s="426"/>
      <c r="SDO49" s="426"/>
      <c r="SDP49" s="426"/>
      <c r="SDQ49" s="426"/>
      <c r="SDR49" s="426"/>
      <c r="SDS49" s="426"/>
      <c r="SDT49" s="426"/>
      <c r="SDU49" s="426"/>
      <c r="SDV49" s="426"/>
      <c r="SDW49" s="426"/>
      <c r="SDX49" s="426"/>
      <c r="SDY49" s="426"/>
      <c r="SDZ49" s="426"/>
      <c r="SEA49" s="426"/>
      <c r="SEB49" s="426"/>
      <c r="SEC49" s="426"/>
      <c r="SED49" s="426"/>
      <c r="SEE49" s="426"/>
      <c r="SEF49" s="426"/>
      <c r="SEG49" s="426"/>
      <c r="SEH49" s="426"/>
      <c r="SEI49" s="426"/>
      <c r="SEJ49" s="426"/>
      <c r="SEK49" s="426"/>
      <c r="SEL49" s="426"/>
      <c r="SEM49" s="426"/>
      <c r="SEN49" s="426"/>
      <c r="SEO49" s="426"/>
      <c r="SEP49" s="426"/>
      <c r="SEQ49" s="426"/>
      <c r="SER49" s="426"/>
      <c r="SES49" s="426"/>
      <c r="SET49" s="426"/>
      <c r="SEU49" s="426"/>
      <c r="SEV49" s="426"/>
      <c r="SEW49" s="426"/>
      <c r="SEX49" s="426"/>
      <c r="SEY49" s="426"/>
      <c r="SEZ49" s="426"/>
      <c r="SFA49" s="426"/>
      <c r="SFB49" s="426"/>
      <c r="SFC49" s="426"/>
      <c r="SFD49" s="426"/>
      <c r="SFE49" s="426"/>
      <c r="SFF49" s="426"/>
      <c r="SFG49" s="426"/>
      <c r="SFH49" s="426"/>
      <c r="SFI49" s="426"/>
      <c r="SFJ49" s="426"/>
      <c r="SFK49" s="426"/>
      <c r="SFL49" s="426"/>
      <c r="SFM49" s="426"/>
      <c r="SFN49" s="426"/>
      <c r="SFO49" s="426"/>
      <c r="SFP49" s="426"/>
      <c r="SFQ49" s="426"/>
      <c r="SFR49" s="426"/>
      <c r="SFS49" s="426"/>
      <c r="SFT49" s="426"/>
      <c r="SFU49" s="426"/>
      <c r="SFV49" s="426"/>
      <c r="SFW49" s="426"/>
      <c r="SFX49" s="426"/>
      <c r="SFY49" s="426"/>
      <c r="SFZ49" s="426"/>
      <c r="SGA49" s="426"/>
      <c r="SGB49" s="426"/>
      <c r="SGC49" s="426"/>
      <c r="SGD49" s="426"/>
      <c r="SGE49" s="426"/>
      <c r="SGF49" s="426"/>
      <c r="SGG49" s="426"/>
      <c r="SGH49" s="426"/>
      <c r="SGI49" s="426"/>
      <c r="SGJ49" s="426"/>
      <c r="SGK49" s="426"/>
      <c r="SGL49" s="426"/>
      <c r="SGM49" s="426"/>
      <c r="SGN49" s="426"/>
      <c r="SGO49" s="426"/>
      <c r="SGP49" s="426"/>
      <c r="SGQ49" s="426"/>
      <c r="SGR49" s="426"/>
      <c r="SGS49" s="426"/>
      <c r="SGT49" s="426"/>
      <c r="SGU49" s="426"/>
      <c r="SGV49" s="426"/>
      <c r="SGW49" s="426"/>
      <c r="SGX49" s="426"/>
      <c r="SGY49" s="426"/>
      <c r="SGZ49" s="426"/>
      <c r="SHA49" s="426"/>
      <c r="SHB49" s="426"/>
      <c r="SHC49" s="426"/>
      <c r="SHD49" s="426"/>
      <c r="SHE49" s="426"/>
      <c r="SHF49" s="426"/>
      <c r="SHG49" s="426"/>
      <c r="SHH49" s="426"/>
      <c r="SHI49" s="426"/>
      <c r="SHJ49" s="426"/>
      <c r="SHK49" s="426"/>
      <c r="SHL49" s="426"/>
      <c r="SHM49" s="426"/>
      <c r="SHN49" s="426"/>
      <c r="SHO49" s="426"/>
      <c r="SHP49" s="426"/>
      <c r="SHQ49" s="426"/>
      <c r="SHR49" s="426"/>
      <c r="SHS49" s="426"/>
      <c r="SHT49" s="426"/>
      <c r="SHU49" s="426"/>
      <c r="SHV49" s="426"/>
      <c r="SHW49" s="426"/>
      <c r="SHX49" s="426"/>
      <c r="SHY49" s="426"/>
      <c r="SHZ49" s="426"/>
      <c r="SIA49" s="426"/>
      <c r="SIB49" s="426"/>
      <c r="SIC49" s="426"/>
      <c r="SID49" s="426"/>
      <c r="SIE49" s="426"/>
      <c r="SIF49" s="426"/>
      <c r="SIG49" s="426"/>
      <c r="SIH49" s="426"/>
      <c r="SII49" s="426"/>
      <c r="SIJ49" s="426"/>
      <c r="SIK49" s="426"/>
      <c r="SIL49" s="426"/>
      <c r="SIM49" s="426"/>
      <c r="SIN49" s="426"/>
      <c r="SIO49" s="426"/>
      <c r="SIP49" s="426"/>
      <c r="SIQ49" s="426"/>
      <c r="SIR49" s="426"/>
      <c r="SIS49" s="426"/>
      <c r="SIT49" s="426"/>
      <c r="SIU49" s="426"/>
      <c r="SIV49" s="426"/>
      <c r="SIW49" s="426"/>
      <c r="SIX49" s="426"/>
      <c r="SIY49" s="426"/>
      <c r="SIZ49" s="426"/>
      <c r="SJA49" s="426"/>
      <c r="SJB49" s="426"/>
      <c r="SJC49" s="426"/>
      <c r="SJD49" s="426"/>
      <c r="SJE49" s="426"/>
      <c r="SJF49" s="426"/>
      <c r="SJG49" s="426"/>
      <c r="SJH49" s="426"/>
      <c r="SJI49" s="426"/>
      <c r="SJJ49" s="426"/>
      <c r="SJK49" s="426"/>
      <c r="SJL49" s="426"/>
      <c r="SJM49" s="426"/>
      <c r="SJN49" s="426"/>
      <c r="SJO49" s="426"/>
      <c r="SJP49" s="426"/>
      <c r="SJQ49" s="426"/>
      <c r="SJR49" s="426"/>
      <c r="SJS49" s="426"/>
      <c r="SJT49" s="426"/>
      <c r="SJU49" s="426"/>
      <c r="SJV49" s="426"/>
      <c r="SJW49" s="426"/>
      <c r="SJX49" s="426"/>
      <c r="SJY49" s="426"/>
      <c r="SJZ49" s="426"/>
      <c r="SKA49" s="426"/>
      <c r="SKB49" s="426"/>
      <c r="SKC49" s="426"/>
      <c r="SKD49" s="426"/>
      <c r="SKE49" s="426"/>
      <c r="SKF49" s="426"/>
      <c r="SKG49" s="426"/>
      <c r="SKH49" s="426"/>
      <c r="SKI49" s="426"/>
      <c r="SKJ49" s="426"/>
      <c r="SKK49" s="426"/>
      <c r="SKL49" s="426"/>
      <c r="SKM49" s="426"/>
      <c r="SKN49" s="426"/>
      <c r="SKO49" s="426"/>
      <c r="SKP49" s="426"/>
      <c r="SKQ49" s="426"/>
      <c r="SKR49" s="426"/>
      <c r="SKS49" s="426"/>
      <c r="SKT49" s="426"/>
      <c r="SKU49" s="426"/>
      <c r="SKV49" s="426"/>
      <c r="SKW49" s="426"/>
      <c r="SKX49" s="426"/>
      <c r="SKY49" s="426"/>
      <c r="SKZ49" s="426"/>
      <c r="SLA49" s="426"/>
      <c r="SLB49" s="426"/>
      <c r="SLC49" s="426"/>
      <c r="SLD49" s="426"/>
      <c r="SLE49" s="426"/>
      <c r="SLF49" s="426"/>
      <c r="SLG49" s="426"/>
      <c r="SLH49" s="426"/>
      <c r="SLI49" s="426"/>
      <c r="SLJ49" s="426"/>
      <c r="SLK49" s="426"/>
      <c r="SLL49" s="426"/>
      <c r="SLM49" s="426"/>
      <c r="SLN49" s="426"/>
      <c r="SLO49" s="426"/>
      <c r="SLP49" s="426"/>
      <c r="SLQ49" s="426"/>
      <c r="SLR49" s="426"/>
      <c r="SLS49" s="426"/>
      <c r="SLT49" s="426"/>
      <c r="SLU49" s="426"/>
      <c r="SLV49" s="426"/>
      <c r="SLW49" s="426"/>
      <c r="SLX49" s="426"/>
      <c r="SLY49" s="426"/>
      <c r="SLZ49" s="426"/>
      <c r="SMA49" s="426"/>
      <c r="SMB49" s="426"/>
      <c r="SMC49" s="426"/>
      <c r="SMD49" s="426"/>
      <c r="SME49" s="426"/>
      <c r="SMF49" s="426"/>
      <c r="SMG49" s="426"/>
      <c r="SMH49" s="426"/>
      <c r="SMI49" s="426"/>
      <c r="SMJ49" s="426"/>
      <c r="SMK49" s="426"/>
      <c r="SML49" s="426"/>
      <c r="SMM49" s="426"/>
      <c r="SMN49" s="426"/>
      <c r="SMO49" s="426"/>
      <c r="SMP49" s="426"/>
      <c r="SMQ49" s="426"/>
      <c r="SMR49" s="426"/>
      <c r="SMS49" s="426"/>
      <c r="SMT49" s="426"/>
      <c r="SMU49" s="426"/>
      <c r="SMV49" s="426"/>
      <c r="SMW49" s="426"/>
      <c r="SMX49" s="426"/>
      <c r="SMY49" s="426"/>
      <c r="SMZ49" s="426"/>
      <c r="SNA49" s="426"/>
      <c r="SNB49" s="426"/>
      <c r="SNC49" s="426"/>
      <c r="SND49" s="426"/>
      <c r="SNE49" s="426"/>
      <c r="SNF49" s="426"/>
      <c r="SNG49" s="426"/>
      <c r="SNH49" s="426"/>
      <c r="SNI49" s="426"/>
      <c r="SNJ49" s="426"/>
      <c r="SNK49" s="426"/>
      <c r="SNL49" s="426"/>
      <c r="SNM49" s="426"/>
      <c r="SNN49" s="426"/>
      <c r="SNO49" s="426"/>
      <c r="SNP49" s="426"/>
      <c r="SNQ49" s="426"/>
      <c r="SNR49" s="426"/>
      <c r="SNS49" s="426"/>
      <c r="SNT49" s="426"/>
      <c r="SNU49" s="426"/>
      <c r="SNV49" s="426"/>
      <c r="SNW49" s="426"/>
      <c r="SNX49" s="426"/>
      <c r="SNY49" s="426"/>
      <c r="SNZ49" s="426"/>
      <c r="SOA49" s="426"/>
      <c r="SOB49" s="426"/>
      <c r="SOC49" s="426"/>
      <c r="SOD49" s="426"/>
      <c r="SOE49" s="426"/>
      <c r="SOF49" s="426"/>
      <c r="SOG49" s="426"/>
      <c r="SOH49" s="426"/>
      <c r="SOI49" s="426"/>
      <c r="SOJ49" s="426"/>
      <c r="SOK49" s="426"/>
      <c r="SOL49" s="426"/>
      <c r="SOM49" s="426"/>
      <c r="SON49" s="426"/>
      <c r="SOO49" s="426"/>
      <c r="SOP49" s="426"/>
      <c r="SOQ49" s="426"/>
      <c r="SOR49" s="426"/>
      <c r="SOS49" s="426"/>
      <c r="SOT49" s="426"/>
      <c r="SOU49" s="426"/>
      <c r="SOV49" s="426"/>
      <c r="SOW49" s="426"/>
      <c r="SOX49" s="426"/>
      <c r="SOY49" s="426"/>
      <c r="SOZ49" s="426"/>
      <c r="SPA49" s="426"/>
      <c r="SPB49" s="426"/>
      <c r="SPC49" s="426"/>
      <c r="SPD49" s="426"/>
      <c r="SPE49" s="426"/>
      <c r="SPF49" s="426"/>
      <c r="SPG49" s="426"/>
      <c r="SPH49" s="426"/>
      <c r="SPI49" s="426"/>
      <c r="SPJ49" s="426"/>
      <c r="SPK49" s="426"/>
      <c r="SPL49" s="426"/>
      <c r="SPM49" s="426"/>
      <c r="SPN49" s="426"/>
      <c r="SPO49" s="426"/>
      <c r="SPP49" s="426"/>
      <c r="SPQ49" s="426"/>
      <c r="SPR49" s="426"/>
      <c r="SPS49" s="426"/>
      <c r="SPT49" s="426"/>
      <c r="SPU49" s="426"/>
      <c r="SPV49" s="426"/>
      <c r="SPW49" s="426"/>
      <c r="SPX49" s="426"/>
      <c r="SPY49" s="426"/>
      <c r="SPZ49" s="426"/>
      <c r="SQA49" s="426"/>
      <c r="SQB49" s="426"/>
      <c r="SQC49" s="426"/>
      <c r="SQD49" s="426"/>
      <c r="SQE49" s="426"/>
      <c r="SQF49" s="426"/>
      <c r="SQG49" s="426"/>
      <c r="SQH49" s="426"/>
      <c r="SQI49" s="426"/>
      <c r="SQJ49" s="426"/>
      <c r="SQK49" s="426"/>
      <c r="SQL49" s="426"/>
      <c r="SQM49" s="426"/>
      <c r="SQN49" s="426"/>
      <c r="SQO49" s="426"/>
      <c r="SQP49" s="426"/>
      <c r="SQQ49" s="426"/>
      <c r="SQR49" s="426"/>
      <c r="SQS49" s="426"/>
      <c r="SQT49" s="426"/>
      <c r="SQU49" s="426"/>
      <c r="SQV49" s="426"/>
      <c r="SQW49" s="426"/>
      <c r="SQX49" s="426"/>
      <c r="SQY49" s="426"/>
      <c r="SQZ49" s="426"/>
      <c r="SRA49" s="426"/>
      <c r="SRB49" s="426"/>
      <c r="SRC49" s="426"/>
      <c r="SRD49" s="426"/>
      <c r="SRE49" s="426"/>
      <c r="SRF49" s="426"/>
      <c r="SRG49" s="426"/>
      <c r="SRH49" s="426"/>
      <c r="SRI49" s="426"/>
      <c r="SRJ49" s="426"/>
      <c r="SRK49" s="426"/>
      <c r="SRL49" s="426"/>
      <c r="SRM49" s="426"/>
      <c r="SRN49" s="426"/>
      <c r="SRO49" s="426"/>
      <c r="SRP49" s="426"/>
      <c r="SRQ49" s="426"/>
      <c r="SRR49" s="426"/>
      <c r="SRS49" s="426"/>
      <c r="SRT49" s="426"/>
      <c r="SRU49" s="426"/>
      <c r="SRV49" s="426"/>
      <c r="SRW49" s="426"/>
      <c r="SRX49" s="426"/>
      <c r="SRY49" s="426"/>
      <c r="SRZ49" s="426"/>
      <c r="SSA49" s="426"/>
      <c r="SSB49" s="426"/>
      <c r="SSC49" s="426"/>
      <c r="SSD49" s="426"/>
      <c r="SSE49" s="426"/>
      <c r="SSF49" s="426"/>
      <c r="SSG49" s="426"/>
      <c r="SSH49" s="426"/>
      <c r="SSI49" s="426"/>
      <c r="SSJ49" s="426"/>
      <c r="SSK49" s="426"/>
      <c r="SSL49" s="426"/>
      <c r="SSM49" s="426"/>
      <c r="SSN49" s="426"/>
      <c r="SSO49" s="426"/>
      <c r="SSP49" s="426"/>
      <c r="SSQ49" s="426"/>
      <c r="SSR49" s="426"/>
      <c r="SSS49" s="426"/>
      <c r="SST49" s="426"/>
      <c r="SSU49" s="426"/>
      <c r="SSV49" s="426"/>
      <c r="SSW49" s="426"/>
      <c r="SSX49" s="426"/>
      <c r="SSY49" s="426"/>
      <c r="SSZ49" s="426"/>
      <c r="STA49" s="426"/>
      <c r="STB49" s="426"/>
      <c r="STC49" s="426"/>
      <c r="STD49" s="426"/>
      <c r="STE49" s="426"/>
      <c r="STF49" s="426"/>
      <c r="STG49" s="426"/>
      <c r="STH49" s="426"/>
      <c r="STI49" s="426"/>
      <c r="STJ49" s="426"/>
      <c r="STK49" s="426"/>
      <c r="STL49" s="426"/>
      <c r="STM49" s="426"/>
      <c r="STN49" s="426"/>
      <c r="STO49" s="426"/>
      <c r="STP49" s="426"/>
      <c r="STQ49" s="426"/>
      <c r="STR49" s="426"/>
      <c r="STS49" s="426"/>
      <c r="STT49" s="426"/>
      <c r="STU49" s="426"/>
      <c r="STV49" s="426"/>
      <c r="STW49" s="426"/>
      <c r="STX49" s="426"/>
      <c r="STY49" s="426"/>
      <c r="STZ49" s="426"/>
      <c r="SUA49" s="426"/>
      <c r="SUB49" s="426"/>
      <c r="SUC49" s="426"/>
      <c r="SUD49" s="426"/>
      <c r="SUE49" s="426"/>
      <c r="SUF49" s="426"/>
      <c r="SUG49" s="426"/>
      <c r="SUH49" s="426"/>
      <c r="SUI49" s="426"/>
      <c r="SUJ49" s="426"/>
      <c r="SUK49" s="426"/>
      <c r="SUL49" s="426"/>
      <c r="SUM49" s="426"/>
      <c r="SUN49" s="426"/>
      <c r="SUO49" s="426"/>
      <c r="SUP49" s="426"/>
      <c r="SUQ49" s="426"/>
      <c r="SUR49" s="426"/>
      <c r="SUS49" s="426"/>
      <c r="SUT49" s="426"/>
      <c r="SUU49" s="426"/>
      <c r="SUV49" s="426"/>
      <c r="SUW49" s="426"/>
      <c r="SUX49" s="426"/>
      <c r="SUY49" s="426"/>
      <c r="SUZ49" s="426"/>
      <c r="SVA49" s="426"/>
      <c r="SVB49" s="426"/>
      <c r="SVC49" s="426"/>
      <c r="SVD49" s="426"/>
      <c r="SVE49" s="426"/>
      <c r="SVF49" s="426"/>
      <c r="SVG49" s="426"/>
      <c r="SVH49" s="426"/>
      <c r="SVI49" s="426"/>
      <c r="SVJ49" s="426"/>
      <c r="SVK49" s="426"/>
      <c r="SVL49" s="426"/>
      <c r="SVM49" s="426"/>
      <c r="SVN49" s="426"/>
      <c r="SVO49" s="426"/>
      <c r="SVP49" s="426"/>
      <c r="SVQ49" s="426"/>
      <c r="SVR49" s="426"/>
      <c r="SVS49" s="426"/>
      <c r="SVT49" s="426"/>
      <c r="SVU49" s="426"/>
      <c r="SVV49" s="426"/>
      <c r="SVW49" s="426"/>
      <c r="SVX49" s="426"/>
      <c r="SVY49" s="426"/>
      <c r="SVZ49" s="426"/>
      <c r="SWA49" s="426"/>
      <c r="SWB49" s="426"/>
      <c r="SWC49" s="426"/>
      <c r="SWD49" s="426"/>
      <c r="SWE49" s="426"/>
      <c r="SWF49" s="426"/>
      <c r="SWG49" s="426"/>
      <c r="SWH49" s="426"/>
      <c r="SWI49" s="426"/>
      <c r="SWJ49" s="426"/>
      <c r="SWK49" s="426"/>
      <c r="SWL49" s="426"/>
      <c r="SWM49" s="426"/>
      <c r="SWN49" s="426"/>
      <c r="SWO49" s="426"/>
      <c r="SWP49" s="426"/>
      <c r="SWQ49" s="426"/>
      <c r="SWR49" s="426"/>
      <c r="SWS49" s="426"/>
      <c r="SWT49" s="426"/>
      <c r="SWU49" s="426"/>
      <c r="SWV49" s="426"/>
      <c r="SWW49" s="426"/>
      <c r="SWX49" s="426"/>
      <c r="SWY49" s="426"/>
      <c r="SWZ49" s="426"/>
      <c r="SXA49" s="426"/>
      <c r="SXB49" s="426"/>
      <c r="SXC49" s="426"/>
      <c r="SXD49" s="426"/>
      <c r="SXE49" s="426"/>
      <c r="SXF49" s="426"/>
      <c r="SXG49" s="426"/>
      <c r="SXH49" s="426"/>
      <c r="SXI49" s="426"/>
      <c r="SXJ49" s="426"/>
      <c r="SXK49" s="426"/>
      <c r="SXL49" s="426"/>
      <c r="SXM49" s="426"/>
      <c r="SXN49" s="426"/>
      <c r="SXO49" s="426"/>
      <c r="SXP49" s="426"/>
      <c r="SXQ49" s="426"/>
      <c r="SXR49" s="426"/>
      <c r="SXS49" s="426"/>
      <c r="SXT49" s="426"/>
      <c r="SXU49" s="426"/>
      <c r="SXV49" s="426"/>
      <c r="SXW49" s="426"/>
      <c r="SXX49" s="426"/>
      <c r="SXY49" s="426"/>
      <c r="SXZ49" s="426"/>
      <c r="SYA49" s="426"/>
      <c r="SYB49" s="426"/>
      <c r="SYC49" s="426"/>
      <c r="SYD49" s="426"/>
      <c r="SYE49" s="426"/>
      <c r="SYF49" s="426"/>
      <c r="SYG49" s="426"/>
      <c r="SYH49" s="426"/>
      <c r="SYI49" s="426"/>
      <c r="SYJ49" s="426"/>
      <c r="SYK49" s="426"/>
      <c r="SYL49" s="426"/>
      <c r="SYM49" s="426"/>
      <c r="SYN49" s="426"/>
      <c r="SYO49" s="426"/>
      <c r="SYP49" s="426"/>
      <c r="SYQ49" s="426"/>
      <c r="SYR49" s="426"/>
      <c r="SYS49" s="426"/>
      <c r="SYT49" s="426"/>
      <c r="SYU49" s="426"/>
      <c r="SYV49" s="426"/>
      <c r="SYW49" s="426"/>
      <c r="SYX49" s="426"/>
      <c r="SYY49" s="426"/>
      <c r="SYZ49" s="426"/>
      <c r="SZA49" s="426"/>
      <c r="SZB49" s="426"/>
      <c r="SZC49" s="426"/>
      <c r="SZD49" s="426"/>
      <c r="SZE49" s="426"/>
      <c r="SZF49" s="426"/>
      <c r="SZG49" s="426"/>
      <c r="SZH49" s="426"/>
      <c r="SZI49" s="426"/>
      <c r="SZJ49" s="426"/>
      <c r="SZK49" s="426"/>
      <c r="SZL49" s="426"/>
      <c r="SZM49" s="426"/>
      <c r="SZN49" s="426"/>
      <c r="SZO49" s="426"/>
      <c r="SZP49" s="426"/>
      <c r="SZQ49" s="426"/>
      <c r="SZR49" s="426"/>
      <c r="SZS49" s="426"/>
      <c r="SZT49" s="426"/>
      <c r="SZU49" s="426"/>
      <c r="SZV49" s="426"/>
      <c r="SZW49" s="426"/>
      <c r="SZX49" s="426"/>
      <c r="SZY49" s="426"/>
      <c r="SZZ49" s="426"/>
      <c r="TAA49" s="426"/>
      <c r="TAB49" s="426"/>
      <c r="TAC49" s="426"/>
      <c r="TAD49" s="426"/>
      <c r="TAE49" s="426"/>
      <c r="TAF49" s="426"/>
      <c r="TAG49" s="426"/>
      <c r="TAH49" s="426"/>
      <c r="TAI49" s="426"/>
      <c r="TAJ49" s="426"/>
      <c r="TAK49" s="426"/>
      <c r="TAL49" s="426"/>
      <c r="TAM49" s="426"/>
      <c r="TAN49" s="426"/>
      <c r="TAO49" s="426"/>
      <c r="TAP49" s="426"/>
      <c r="TAQ49" s="426"/>
      <c r="TAR49" s="426"/>
      <c r="TAS49" s="426"/>
      <c r="TAT49" s="426"/>
      <c r="TAU49" s="426"/>
      <c r="TAV49" s="426"/>
      <c r="TAW49" s="426"/>
      <c r="TAX49" s="426"/>
      <c r="TAY49" s="426"/>
      <c r="TAZ49" s="426"/>
      <c r="TBA49" s="426"/>
      <c r="TBB49" s="426"/>
      <c r="TBC49" s="426"/>
      <c r="TBD49" s="426"/>
      <c r="TBE49" s="426"/>
      <c r="TBF49" s="426"/>
      <c r="TBG49" s="426"/>
      <c r="TBH49" s="426"/>
      <c r="TBI49" s="426"/>
      <c r="TBJ49" s="426"/>
      <c r="TBK49" s="426"/>
      <c r="TBL49" s="426"/>
      <c r="TBM49" s="426"/>
      <c r="TBN49" s="426"/>
      <c r="TBO49" s="426"/>
      <c r="TBP49" s="426"/>
      <c r="TBQ49" s="426"/>
      <c r="TBR49" s="426"/>
      <c r="TBS49" s="426"/>
      <c r="TBT49" s="426"/>
      <c r="TBU49" s="426"/>
      <c r="TBV49" s="426"/>
      <c r="TBW49" s="426"/>
      <c r="TBX49" s="426"/>
      <c r="TBY49" s="426"/>
      <c r="TBZ49" s="426"/>
      <c r="TCA49" s="426"/>
      <c r="TCB49" s="426"/>
      <c r="TCC49" s="426"/>
      <c r="TCD49" s="426"/>
      <c r="TCE49" s="426"/>
      <c r="TCF49" s="426"/>
      <c r="TCG49" s="426"/>
      <c r="TCH49" s="426"/>
      <c r="TCI49" s="426"/>
      <c r="TCJ49" s="426"/>
      <c r="TCK49" s="426"/>
      <c r="TCL49" s="426"/>
      <c r="TCM49" s="426"/>
      <c r="TCN49" s="426"/>
      <c r="TCO49" s="426"/>
      <c r="TCP49" s="426"/>
      <c r="TCQ49" s="426"/>
      <c r="TCR49" s="426"/>
      <c r="TCS49" s="426"/>
      <c r="TCT49" s="426"/>
      <c r="TCU49" s="426"/>
      <c r="TCV49" s="426"/>
      <c r="TCW49" s="426"/>
      <c r="TCX49" s="426"/>
      <c r="TCY49" s="426"/>
      <c r="TCZ49" s="426"/>
      <c r="TDA49" s="426"/>
      <c r="TDB49" s="426"/>
      <c r="TDC49" s="426"/>
      <c r="TDD49" s="426"/>
      <c r="TDE49" s="426"/>
      <c r="TDF49" s="426"/>
      <c r="TDG49" s="426"/>
      <c r="TDH49" s="426"/>
      <c r="TDI49" s="426"/>
      <c r="TDJ49" s="426"/>
      <c r="TDK49" s="426"/>
      <c r="TDL49" s="426"/>
      <c r="TDM49" s="426"/>
      <c r="TDN49" s="426"/>
      <c r="TDO49" s="426"/>
      <c r="TDP49" s="426"/>
      <c r="TDQ49" s="426"/>
      <c r="TDR49" s="426"/>
      <c r="TDS49" s="426"/>
      <c r="TDT49" s="426"/>
      <c r="TDU49" s="426"/>
      <c r="TDV49" s="426"/>
      <c r="TDW49" s="426"/>
      <c r="TDX49" s="426"/>
      <c r="TDY49" s="426"/>
      <c r="TDZ49" s="426"/>
      <c r="TEA49" s="426"/>
      <c r="TEB49" s="426"/>
      <c r="TEC49" s="426"/>
      <c r="TED49" s="426"/>
      <c r="TEE49" s="426"/>
      <c r="TEF49" s="426"/>
      <c r="TEG49" s="426"/>
      <c r="TEH49" s="426"/>
      <c r="TEI49" s="426"/>
      <c r="TEJ49" s="426"/>
      <c r="TEK49" s="426"/>
      <c r="TEL49" s="426"/>
      <c r="TEM49" s="426"/>
      <c r="TEN49" s="426"/>
      <c r="TEO49" s="426"/>
      <c r="TEP49" s="426"/>
      <c r="TEQ49" s="426"/>
      <c r="TER49" s="426"/>
      <c r="TES49" s="426"/>
      <c r="TET49" s="426"/>
      <c r="TEU49" s="426"/>
      <c r="TEV49" s="426"/>
      <c r="TEW49" s="426"/>
      <c r="TEX49" s="426"/>
      <c r="TEY49" s="426"/>
      <c r="TEZ49" s="426"/>
      <c r="TFA49" s="426"/>
      <c r="TFB49" s="426"/>
      <c r="TFC49" s="426"/>
      <c r="TFD49" s="426"/>
      <c r="TFE49" s="426"/>
      <c r="TFF49" s="426"/>
      <c r="TFG49" s="426"/>
      <c r="TFH49" s="426"/>
      <c r="TFI49" s="426"/>
      <c r="TFJ49" s="426"/>
      <c r="TFK49" s="426"/>
      <c r="TFL49" s="426"/>
      <c r="TFM49" s="426"/>
      <c r="TFN49" s="426"/>
      <c r="TFO49" s="426"/>
      <c r="TFP49" s="426"/>
      <c r="TFQ49" s="426"/>
      <c r="TFR49" s="426"/>
      <c r="TFS49" s="426"/>
      <c r="TFT49" s="426"/>
      <c r="TFU49" s="426"/>
      <c r="TFV49" s="426"/>
      <c r="TFW49" s="426"/>
      <c r="TFX49" s="426"/>
      <c r="TFY49" s="426"/>
      <c r="TFZ49" s="426"/>
      <c r="TGA49" s="426"/>
      <c r="TGB49" s="426"/>
      <c r="TGC49" s="426"/>
      <c r="TGD49" s="426"/>
      <c r="TGE49" s="426"/>
      <c r="TGF49" s="426"/>
      <c r="TGG49" s="426"/>
      <c r="TGH49" s="426"/>
      <c r="TGI49" s="426"/>
      <c r="TGJ49" s="426"/>
      <c r="TGK49" s="426"/>
      <c r="TGL49" s="426"/>
      <c r="TGM49" s="426"/>
      <c r="TGN49" s="426"/>
      <c r="TGO49" s="426"/>
      <c r="TGP49" s="426"/>
      <c r="TGQ49" s="426"/>
      <c r="TGR49" s="426"/>
      <c r="TGS49" s="426"/>
      <c r="TGT49" s="426"/>
      <c r="TGU49" s="426"/>
      <c r="TGV49" s="426"/>
      <c r="TGW49" s="426"/>
      <c r="TGX49" s="426"/>
      <c r="TGY49" s="426"/>
      <c r="TGZ49" s="426"/>
      <c r="THA49" s="426"/>
      <c r="THB49" s="426"/>
      <c r="THC49" s="426"/>
      <c r="THD49" s="426"/>
      <c r="THE49" s="426"/>
      <c r="THF49" s="426"/>
      <c r="THG49" s="426"/>
      <c r="THH49" s="426"/>
      <c r="THI49" s="426"/>
      <c r="THJ49" s="426"/>
      <c r="THK49" s="426"/>
      <c r="THL49" s="426"/>
      <c r="THM49" s="426"/>
      <c r="THN49" s="426"/>
      <c r="THO49" s="426"/>
      <c r="THP49" s="426"/>
      <c r="THQ49" s="426"/>
      <c r="THR49" s="426"/>
      <c r="THS49" s="426"/>
      <c r="THT49" s="426"/>
      <c r="THU49" s="426"/>
      <c r="THV49" s="426"/>
      <c r="THW49" s="426"/>
      <c r="THX49" s="426"/>
      <c r="THY49" s="426"/>
      <c r="THZ49" s="426"/>
      <c r="TIA49" s="426"/>
      <c r="TIB49" s="426"/>
      <c r="TIC49" s="426"/>
      <c r="TID49" s="426"/>
      <c r="TIE49" s="426"/>
      <c r="TIF49" s="426"/>
      <c r="TIG49" s="426"/>
      <c r="TIH49" s="426"/>
      <c r="TII49" s="426"/>
      <c r="TIJ49" s="426"/>
      <c r="TIK49" s="426"/>
      <c r="TIL49" s="426"/>
      <c r="TIM49" s="426"/>
      <c r="TIN49" s="426"/>
      <c r="TIO49" s="426"/>
      <c r="TIP49" s="426"/>
      <c r="TIQ49" s="426"/>
      <c r="TIR49" s="426"/>
      <c r="TIS49" s="426"/>
      <c r="TIT49" s="426"/>
      <c r="TIU49" s="426"/>
      <c r="TIV49" s="426"/>
      <c r="TIW49" s="426"/>
      <c r="TIX49" s="426"/>
      <c r="TIY49" s="426"/>
      <c r="TIZ49" s="426"/>
      <c r="TJA49" s="426"/>
      <c r="TJB49" s="426"/>
      <c r="TJC49" s="426"/>
      <c r="TJD49" s="426"/>
      <c r="TJE49" s="426"/>
      <c r="TJF49" s="426"/>
      <c r="TJG49" s="426"/>
      <c r="TJH49" s="426"/>
      <c r="TJI49" s="426"/>
      <c r="TJJ49" s="426"/>
      <c r="TJK49" s="426"/>
      <c r="TJL49" s="426"/>
      <c r="TJM49" s="426"/>
      <c r="TJN49" s="426"/>
      <c r="TJO49" s="426"/>
      <c r="TJP49" s="426"/>
      <c r="TJQ49" s="426"/>
      <c r="TJR49" s="426"/>
      <c r="TJS49" s="426"/>
      <c r="TJT49" s="426"/>
      <c r="TJU49" s="426"/>
      <c r="TJV49" s="426"/>
      <c r="TJW49" s="426"/>
      <c r="TJX49" s="426"/>
      <c r="TJY49" s="426"/>
      <c r="TJZ49" s="426"/>
      <c r="TKA49" s="426"/>
      <c r="TKB49" s="426"/>
      <c r="TKC49" s="426"/>
      <c r="TKD49" s="426"/>
      <c r="TKE49" s="426"/>
      <c r="TKF49" s="426"/>
      <c r="TKG49" s="426"/>
      <c r="TKH49" s="426"/>
      <c r="TKI49" s="426"/>
      <c r="TKJ49" s="426"/>
      <c r="TKK49" s="426"/>
      <c r="TKL49" s="426"/>
      <c r="TKM49" s="426"/>
      <c r="TKN49" s="426"/>
      <c r="TKO49" s="426"/>
      <c r="TKP49" s="426"/>
      <c r="TKQ49" s="426"/>
      <c r="TKR49" s="426"/>
      <c r="TKS49" s="426"/>
      <c r="TKT49" s="426"/>
      <c r="TKU49" s="426"/>
      <c r="TKV49" s="426"/>
      <c r="TKW49" s="426"/>
      <c r="TKX49" s="426"/>
      <c r="TKY49" s="426"/>
      <c r="TKZ49" s="426"/>
      <c r="TLA49" s="426"/>
      <c r="TLB49" s="426"/>
      <c r="TLC49" s="426"/>
      <c r="TLD49" s="426"/>
      <c r="TLE49" s="426"/>
      <c r="TLF49" s="426"/>
      <c r="TLG49" s="426"/>
      <c r="TLH49" s="426"/>
      <c r="TLI49" s="426"/>
      <c r="TLJ49" s="426"/>
      <c r="TLK49" s="426"/>
      <c r="TLL49" s="426"/>
      <c r="TLM49" s="426"/>
      <c r="TLN49" s="426"/>
      <c r="TLO49" s="426"/>
      <c r="TLP49" s="426"/>
      <c r="TLQ49" s="426"/>
      <c r="TLR49" s="426"/>
      <c r="TLS49" s="426"/>
      <c r="TLT49" s="426"/>
      <c r="TLU49" s="426"/>
      <c r="TLV49" s="426"/>
      <c r="TLW49" s="426"/>
      <c r="TLX49" s="426"/>
      <c r="TLY49" s="426"/>
      <c r="TLZ49" s="426"/>
      <c r="TMA49" s="426"/>
      <c r="TMB49" s="426"/>
      <c r="TMC49" s="426"/>
      <c r="TMD49" s="426"/>
      <c r="TME49" s="426"/>
      <c r="TMF49" s="426"/>
      <c r="TMG49" s="426"/>
      <c r="TMH49" s="426"/>
      <c r="TMI49" s="426"/>
      <c r="TMJ49" s="426"/>
      <c r="TMK49" s="426"/>
      <c r="TML49" s="426"/>
      <c r="TMM49" s="426"/>
      <c r="TMN49" s="426"/>
      <c r="TMO49" s="426"/>
      <c r="TMP49" s="426"/>
      <c r="TMQ49" s="426"/>
      <c r="TMR49" s="426"/>
      <c r="TMS49" s="426"/>
      <c r="TMT49" s="426"/>
      <c r="TMU49" s="426"/>
      <c r="TMV49" s="426"/>
      <c r="TMW49" s="426"/>
      <c r="TMX49" s="426"/>
      <c r="TMY49" s="426"/>
      <c r="TMZ49" s="426"/>
      <c r="TNA49" s="426"/>
      <c r="TNB49" s="426"/>
      <c r="TNC49" s="426"/>
      <c r="TND49" s="426"/>
      <c r="TNE49" s="426"/>
      <c r="TNF49" s="426"/>
      <c r="TNG49" s="426"/>
      <c r="TNH49" s="426"/>
      <c r="TNI49" s="426"/>
      <c r="TNJ49" s="426"/>
      <c r="TNK49" s="426"/>
      <c r="TNL49" s="426"/>
      <c r="TNM49" s="426"/>
      <c r="TNN49" s="426"/>
      <c r="TNO49" s="426"/>
      <c r="TNP49" s="426"/>
      <c r="TNQ49" s="426"/>
      <c r="TNR49" s="426"/>
      <c r="TNS49" s="426"/>
      <c r="TNT49" s="426"/>
      <c r="TNU49" s="426"/>
      <c r="TNV49" s="426"/>
      <c r="TNW49" s="426"/>
      <c r="TNX49" s="426"/>
      <c r="TNY49" s="426"/>
      <c r="TNZ49" s="426"/>
      <c r="TOA49" s="426"/>
      <c r="TOB49" s="426"/>
      <c r="TOC49" s="426"/>
      <c r="TOD49" s="426"/>
      <c r="TOE49" s="426"/>
      <c r="TOF49" s="426"/>
      <c r="TOG49" s="426"/>
      <c r="TOH49" s="426"/>
      <c r="TOI49" s="426"/>
      <c r="TOJ49" s="426"/>
      <c r="TOK49" s="426"/>
      <c r="TOL49" s="426"/>
      <c r="TOM49" s="426"/>
      <c r="TON49" s="426"/>
      <c r="TOO49" s="426"/>
      <c r="TOP49" s="426"/>
      <c r="TOQ49" s="426"/>
      <c r="TOR49" s="426"/>
      <c r="TOS49" s="426"/>
      <c r="TOT49" s="426"/>
      <c r="TOU49" s="426"/>
      <c r="TOV49" s="426"/>
      <c r="TOW49" s="426"/>
      <c r="TOX49" s="426"/>
      <c r="TOY49" s="426"/>
      <c r="TOZ49" s="426"/>
      <c r="TPA49" s="426"/>
      <c r="TPB49" s="426"/>
      <c r="TPC49" s="426"/>
      <c r="TPD49" s="426"/>
      <c r="TPE49" s="426"/>
      <c r="TPF49" s="426"/>
      <c r="TPG49" s="426"/>
      <c r="TPH49" s="426"/>
      <c r="TPI49" s="426"/>
      <c r="TPJ49" s="426"/>
      <c r="TPK49" s="426"/>
      <c r="TPL49" s="426"/>
      <c r="TPM49" s="426"/>
      <c r="TPN49" s="426"/>
      <c r="TPO49" s="426"/>
      <c r="TPP49" s="426"/>
      <c r="TPQ49" s="426"/>
      <c r="TPR49" s="426"/>
      <c r="TPS49" s="426"/>
      <c r="TPT49" s="426"/>
      <c r="TPU49" s="426"/>
      <c r="TPV49" s="426"/>
      <c r="TPW49" s="426"/>
      <c r="TPX49" s="426"/>
      <c r="TPY49" s="426"/>
      <c r="TPZ49" s="426"/>
      <c r="TQA49" s="426"/>
      <c r="TQB49" s="426"/>
      <c r="TQC49" s="426"/>
      <c r="TQD49" s="426"/>
      <c r="TQE49" s="426"/>
      <c r="TQF49" s="426"/>
      <c r="TQG49" s="426"/>
      <c r="TQH49" s="426"/>
      <c r="TQI49" s="426"/>
      <c r="TQJ49" s="426"/>
      <c r="TQK49" s="426"/>
      <c r="TQL49" s="426"/>
      <c r="TQM49" s="426"/>
      <c r="TQN49" s="426"/>
      <c r="TQO49" s="426"/>
      <c r="TQP49" s="426"/>
      <c r="TQQ49" s="426"/>
      <c r="TQR49" s="426"/>
      <c r="TQS49" s="426"/>
      <c r="TQT49" s="426"/>
      <c r="TQU49" s="426"/>
      <c r="TQV49" s="426"/>
      <c r="TQW49" s="426"/>
      <c r="TQX49" s="426"/>
      <c r="TQY49" s="426"/>
      <c r="TQZ49" s="426"/>
      <c r="TRA49" s="426"/>
      <c r="TRB49" s="426"/>
      <c r="TRC49" s="426"/>
      <c r="TRD49" s="426"/>
      <c r="TRE49" s="426"/>
      <c r="TRF49" s="426"/>
      <c r="TRG49" s="426"/>
      <c r="TRH49" s="426"/>
      <c r="TRI49" s="426"/>
      <c r="TRJ49" s="426"/>
      <c r="TRK49" s="426"/>
      <c r="TRL49" s="426"/>
      <c r="TRM49" s="426"/>
      <c r="TRN49" s="426"/>
      <c r="TRO49" s="426"/>
      <c r="TRP49" s="426"/>
      <c r="TRQ49" s="426"/>
      <c r="TRR49" s="426"/>
      <c r="TRS49" s="426"/>
      <c r="TRT49" s="426"/>
      <c r="TRU49" s="426"/>
      <c r="TRV49" s="426"/>
      <c r="TRW49" s="426"/>
      <c r="TRX49" s="426"/>
      <c r="TRY49" s="426"/>
      <c r="TRZ49" s="426"/>
      <c r="TSA49" s="426"/>
      <c r="TSB49" s="426"/>
      <c r="TSC49" s="426"/>
      <c r="TSD49" s="426"/>
      <c r="TSE49" s="426"/>
      <c r="TSF49" s="426"/>
      <c r="TSG49" s="426"/>
      <c r="TSH49" s="426"/>
      <c r="TSI49" s="426"/>
      <c r="TSJ49" s="426"/>
      <c r="TSK49" s="426"/>
      <c r="TSL49" s="426"/>
      <c r="TSM49" s="426"/>
      <c r="TSN49" s="426"/>
      <c r="TSO49" s="426"/>
      <c r="TSP49" s="426"/>
      <c r="TSQ49" s="426"/>
      <c r="TSR49" s="426"/>
      <c r="TSS49" s="426"/>
      <c r="TST49" s="426"/>
      <c r="TSU49" s="426"/>
      <c r="TSV49" s="426"/>
      <c r="TSW49" s="426"/>
      <c r="TSX49" s="426"/>
      <c r="TSY49" s="426"/>
      <c r="TSZ49" s="426"/>
      <c r="TTA49" s="426"/>
      <c r="TTB49" s="426"/>
      <c r="TTC49" s="426"/>
      <c r="TTD49" s="426"/>
      <c r="TTE49" s="426"/>
      <c r="TTF49" s="426"/>
      <c r="TTG49" s="426"/>
      <c r="TTH49" s="426"/>
      <c r="TTI49" s="426"/>
      <c r="TTJ49" s="426"/>
      <c r="TTK49" s="426"/>
      <c r="TTL49" s="426"/>
      <c r="TTM49" s="426"/>
      <c r="TTN49" s="426"/>
      <c r="TTO49" s="426"/>
      <c r="TTP49" s="426"/>
      <c r="TTQ49" s="426"/>
      <c r="TTR49" s="426"/>
      <c r="TTS49" s="426"/>
      <c r="TTT49" s="426"/>
      <c r="TTU49" s="426"/>
      <c r="TTV49" s="426"/>
      <c r="TTW49" s="426"/>
      <c r="TTX49" s="426"/>
      <c r="TTY49" s="426"/>
      <c r="TTZ49" s="426"/>
      <c r="TUA49" s="426"/>
      <c r="TUB49" s="426"/>
      <c r="TUC49" s="426"/>
      <c r="TUD49" s="426"/>
      <c r="TUE49" s="426"/>
      <c r="TUF49" s="426"/>
      <c r="TUG49" s="426"/>
      <c r="TUH49" s="426"/>
      <c r="TUI49" s="426"/>
      <c r="TUJ49" s="426"/>
      <c r="TUK49" s="426"/>
      <c r="TUL49" s="426"/>
      <c r="TUM49" s="426"/>
      <c r="TUN49" s="426"/>
      <c r="TUO49" s="426"/>
      <c r="TUP49" s="426"/>
      <c r="TUQ49" s="426"/>
      <c r="TUR49" s="426"/>
      <c r="TUS49" s="426"/>
      <c r="TUT49" s="426"/>
      <c r="TUU49" s="426"/>
      <c r="TUV49" s="426"/>
      <c r="TUW49" s="426"/>
      <c r="TUX49" s="426"/>
      <c r="TUY49" s="426"/>
      <c r="TUZ49" s="426"/>
      <c r="TVA49" s="426"/>
      <c r="TVB49" s="426"/>
      <c r="TVC49" s="426"/>
      <c r="TVD49" s="426"/>
      <c r="TVE49" s="426"/>
      <c r="TVF49" s="426"/>
      <c r="TVG49" s="426"/>
      <c r="TVH49" s="426"/>
      <c r="TVI49" s="426"/>
      <c r="TVJ49" s="426"/>
      <c r="TVK49" s="426"/>
      <c r="TVL49" s="426"/>
      <c r="TVM49" s="426"/>
      <c r="TVN49" s="426"/>
      <c r="TVO49" s="426"/>
      <c r="TVP49" s="426"/>
      <c r="TVQ49" s="426"/>
      <c r="TVR49" s="426"/>
      <c r="TVS49" s="426"/>
      <c r="TVT49" s="426"/>
      <c r="TVU49" s="426"/>
      <c r="TVV49" s="426"/>
      <c r="TVW49" s="426"/>
      <c r="TVX49" s="426"/>
      <c r="TVY49" s="426"/>
      <c r="TVZ49" s="426"/>
      <c r="TWA49" s="426"/>
      <c r="TWB49" s="426"/>
      <c r="TWC49" s="426"/>
      <c r="TWD49" s="426"/>
      <c r="TWE49" s="426"/>
      <c r="TWF49" s="426"/>
      <c r="TWG49" s="426"/>
      <c r="TWH49" s="426"/>
      <c r="TWI49" s="426"/>
      <c r="TWJ49" s="426"/>
      <c r="TWK49" s="426"/>
      <c r="TWL49" s="426"/>
      <c r="TWM49" s="426"/>
      <c r="TWN49" s="426"/>
      <c r="TWO49" s="426"/>
      <c r="TWP49" s="426"/>
      <c r="TWQ49" s="426"/>
      <c r="TWR49" s="426"/>
      <c r="TWS49" s="426"/>
      <c r="TWT49" s="426"/>
      <c r="TWU49" s="426"/>
      <c r="TWV49" s="426"/>
      <c r="TWW49" s="426"/>
      <c r="TWX49" s="426"/>
      <c r="TWY49" s="426"/>
      <c r="TWZ49" s="426"/>
      <c r="TXA49" s="426"/>
      <c r="TXB49" s="426"/>
      <c r="TXC49" s="426"/>
      <c r="TXD49" s="426"/>
      <c r="TXE49" s="426"/>
      <c r="TXF49" s="426"/>
      <c r="TXG49" s="426"/>
      <c r="TXH49" s="426"/>
      <c r="TXI49" s="426"/>
      <c r="TXJ49" s="426"/>
      <c r="TXK49" s="426"/>
      <c r="TXL49" s="426"/>
      <c r="TXM49" s="426"/>
      <c r="TXN49" s="426"/>
      <c r="TXO49" s="426"/>
      <c r="TXP49" s="426"/>
      <c r="TXQ49" s="426"/>
      <c r="TXR49" s="426"/>
      <c r="TXS49" s="426"/>
      <c r="TXT49" s="426"/>
      <c r="TXU49" s="426"/>
      <c r="TXV49" s="426"/>
      <c r="TXW49" s="426"/>
      <c r="TXX49" s="426"/>
      <c r="TXY49" s="426"/>
      <c r="TXZ49" s="426"/>
      <c r="TYA49" s="426"/>
      <c r="TYB49" s="426"/>
      <c r="TYC49" s="426"/>
      <c r="TYD49" s="426"/>
      <c r="TYE49" s="426"/>
      <c r="TYF49" s="426"/>
      <c r="TYG49" s="426"/>
      <c r="TYH49" s="426"/>
      <c r="TYI49" s="426"/>
      <c r="TYJ49" s="426"/>
      <c r="TYK49" s="426"/>
      <c r="TYL49" s="426"/>
      <c r="TYM49" s="426"/>
      <c r="TYN49" s="426"/>
      <c r="TYO49" s="426"/>
      <c r="TYP49" s="426"/>
      <c r="TYQ49" s="426"/>
      <c r="TYR49" s="426"/>
      <c r="TYS49" s="426"/>
      <c r="TYT49" s="426"/>
      <c r="TYU49" s="426"/>
      <c r="TYV49" s="426"/>
      <c r="TYW49" s="426"/>
      <c r="TYX49" s="426"/>
      <c r="TYY49" s="426"/>
      <c r="TYZ49" s="426"/>
      <c r="TZA49" s="426"/>
      <c r="TZB49" s="426"/>
      <c r="TZC49" s="426"/>
      <c r="TZD49" s="426"/>
      <c r="TZE49" s="426"/>
      <c r="TZF49" s="426"/>
      <c r="TZG49" s="426"/>
      <c r="TZH49" s="426"/>
      <c r="TZI49" s="426"/>
      <c r="TZJ49" s="426"/>
      <c r="TZK49" s="426"/>
      <c r="TZL49" s="426"/>
      <c r="TZM49" s="426"/>
      <c r="TZN49" s="426"/>
      <c r="TZO49" s="426"/>
      <c r="TZP49" s="426"/>
      <c r="TZQ49" s="426"/>
      <c r="TZR49" s="426"/>
      <c r="TZS49" s="426"/>
      <c r="TZT49" s="426"/>
      <c r="TZU49" s="426"/>
      <c r="TZV49" s="426"/>
      <c r="TZW49" s="426"/>
      <c r="TZX49" s="426"/>
      <c r="TZY49" s="426"/>
      <c r="TZZ49" s="426"/>
      <c r="UAA49" s="426"/>
      <c r="UAB49" s="426"/>
      <c r="UAC49" s="426"/>
      <c r="UAD49" s="426"/>
      <c r="UAE49" s="426"/>
      <c r="UAF49" s="426"/>
      <c r="UAG49" s="426"/>
      <c r="UAH49" s="426"/>
      <c r="UAI49" s="426"/>
      <c r="UAJ49" s="426"/>
      <c r="UAK49" s="426"/>
      <c r="UAL49" s="426"/>
      <c r="UAM49" s="426"/>
      <c r="UAN49" s="426"/>
      <c r="UAO49" s="426"/>
      <c r="UAP49" s="426"/>
      <c r="UAQ49" s="426"/>
      <c r="UAR49" s="426"/>
      <c r="UAS49" s="426"/>
      <c r="UAT49" s="426"/>
      <c r="UAU49" s="426"/>
      <c r="UAV49" s="426"/>
      <c r="UAW49" s="426"/>
      <c r="UAX49" s="426"/>
      <c r="UAY49" s="426"/>
      <c r="UAZ49" s="426"/>
      <c r="UBA49" s="426"/>
      <c r="UBB49" s="426"/>
      <c r="UBC49" s="426"/>
      <c r="UBD49" s="426"/>
      <c r="UBE49" s="426"/>
      <c r="UBF49" s="426"/>
      <c r="UBG49" s="426"/>
      <c r="UBH49" s="426"/>
      <c r="UBI49" s="426"/>
      <c r="UBJ49" s="426"/>
      <c r="UBK49" s="426"/>
      <c r="UBL49" s="426"/>
      <c r="UBM49" s="426"/>
      <c r="UBN49" s="426"/>
      <c r="UBO49" s="426"/>
      <c r="UBP49" s="426"/>
      <c r="UBQ49" s="426"/>
      <c r="UBR49" s="426"/>
      <c r="UBS49" s="426"/>
      <c r="UBT49" s="426"/>
      <c r="UBU49" s="426"/>
      <c r="UBV49" s="426"/>
      <c r="UBW49" s="426"/>
      <c r="UBX49" s="426"/>
      <c r="UBY49" s="426"/>
      <c r="UBZ49" s="426"/>
      <c r="UCA49" s="426"/>
      <c r="UCB49" s="426"/>
      <c r="UCC49" s="426"/>
      <c r="UCD49" s="426"/>
      <c r="UCE49" s="426"/>
      <c r="UCF49" s="426"/>
      <c r="UCG49" s="426"/>
      <c r="UCH49" s="426"/>
      <c r="UCI49" s="426"/>
      <c r="UCJ49" s="426"/>
      <c r="UCK49" s="426"/>
      <c r="UCL49" s="426"/>
      <c r="UCM49" s="426"/>
      <c r="UCN49" s="426"/>
      <c r="UCO49" s="426"/>
      <c r="UCP49" s="426"/>
      <c r="UCQ49" s="426"/>
      <c r="UCR49" s="426"/>
      <c r="UCS49" s="426"/>
      <c r="UCT49" s="426"/>
      <c r="UCU49" s="426"/>
      <c r="UCV49" s="426"/>
      <c r="UCW49" s="426"/>
      <c r="UCX49" s="426"/>
      <c r="UCY49" s="426"/>
      <c r="UCZ49" s="426"/>
      <c r="UDA49" s="426"/>
      <c r="UDB49" s="426"/>
      <c r="UDC49" s="426"/>
      <c r="UDD49" s="426"/>
      <c r="UDE49" s="426"/>
      <c r="UDF49" s="426"/>
      <c r="UDG49" s="426"/>
      <c r="UDH49" s="426"/>
      <c r="UDI49" s="426"/>
      <c r="UDJ49" s="426"/>
      <c r="UDK49" s="426"/>
      <c r="UDL49" s="426"/>
      <c r="UDM49" s="426"/>
      <c r="UDN49" s="426"/>
      <c r="UDO49" s="426"/>
      <c r="UDP49" s="426"/>
      <c r="UDQ49" s="426"/>
      <c r="UDR49" s="426"/>
      <c r="UDS49" s="426"/>
      <c r="UDT49" s="426"/>
      <c r="UDU49" s="426"/>
      <c r="UDV49" s="426"/>
      <c r="UDW49" s="426"/>
      <c r="UDX49" s="426"/>
      <c r="UDY49" s="426"/>
      <c r="UDZ49" s="426"/>
      <c r="UEA49" s="426"/>
      <c r="UEB49" s="426"/>
      <c r="UEC49" s="426"/>
      <c r="UED49" s="426"/>
      <c r="UEE49" s="426"/>
      <c r="UEF49" s="426"/>
      <c r="UEG49" s="426"/>
      <c r="UEH49" s="426"/>
      <c r="UEI49" s="426"/>
      <c r="UEJ49" s="426"/>
      <c r="UEK49" s="426"/>
      <c r="UEL49" s="426"/>
      <c r="UEM49" s="426"/>
      <c r="UEN49" s="426"/>
      <c r="UEO49" s="426"/>
      <c r="UEP49" s="426"/>
      <c r="UEQ49" s="426"/>
      <c r="UER49" s="426"/>
      <c r="UES49" s="426"/>
      <c r="UET49" s="426"/>
      <c r="UEU49" s="426"/>
      <c r="UEV49" s="426"/>
      <c r="UEW49" s="426"/>
      <c r="UEX49" s="426"/>
      <c r="UEY49" s="426"/>
      <c r="UEZ49" s="426"/>
      <c r="UFA49" s="426"/>
      <c r="UFB49" s="426"/>
      <c r="UFC49" s="426"/>
      <c r="UFD49" s="426"/>
      <c r="UFE49" s="426"/>
      <c r="UFF49" s="426"/>
      <c r="UFG49" s="426"/>
      <c r="UFH49" s="426"/>
      <c r="UFI49" s="426"/>
      <c r="UFJ49" s="426"/>
      <c r="UFK49" s="426"/>
      <c r="UFL49" s="426"/>
      <c r="UFM49" s="426"/>
      <c r="UFN49" s="426"/>
      <c r="UFO49" s="426"/>
      <c r="UFP49" s="426"/>
      <c r="UFQ49" s="426"/>
      <c r="UFR49" s="426"/>
      <c r="UFS49" s="426"/>
      <c r="UFT49" s="426"/>
      <c r="UFU49" s="426"/>
      <c r="UFV49" s="426"/>
      <c r="UFW49" s="426"/>
      <c r="UFX49" s="426"/>
      <c r="UFY49" s="426"/>
      <c r="UFZ49" s="426"/>
      <c r="UGA49" s="426"/>
      <c r="UGB49" s="426"/>
      <c r="UGC49" s="426"/>
      <c r="UGD49" s="426"/>
      <c r="UGE49" s="426"/>
      <c r="UGF49" s="426"/>
      <c r="UGG49" s="426"/>
      <c r="UGH49" s="426"/>
      <c r="UGI49" s="426"/>
      <c r="UGJ49" s="426"/>
      <c r="UGK49" s="426"/>
      <c r="UGL49" s="426"/>
      <c r="UGM49" s="426"/>
      <c r="UGN49" s="426"/>
      <c r="UGO49" s="426"/>
      <c r="UGP49" s="426"/>
      <c r="UGQ49" s="426"/>
      <c r="UGR49" s="426"/>
      <c r="UGS49" s="426"/>
      <c r="UGT49" s="426"/>
      <c r="UGU49" s="426"/>
      <c r="UGV49" s="426"/>
      <c r="UGW49" s="426"/>
      <c r="UGX49" s="426"/>
      <c r="UGY49" s="426"/>
      <c r="UGZ49" s="426"/>
      <c r="UHA49" s="426"/>
      <c r="UHB49" s="426"/>
      <c r="UHC49" s="426"/>
      <c r="UHD49" s="426"/>
      <c r="UHE49" s="426"/>
      <c r="UHF49" s="426"/>
      <c r="UHG49" s="426"/>
      <c r="UHH49" s="426"/>
      <c r="UHI49" s="426"/>
      <c r="UHJ49" s="426"/>
      <c r="UHK49" s="426"/>
      <c r="UHL49" s="426"/>
      <c r="UHM49" s="426"/>
      <c r="UHN49" s="426"/>
      <c r="UHO49" s="426"/>
      <c r="UHP49" s="426"/>
      <c r="UHQ49" s="426"/>
      <c r="UHR49" s="426"/>
      <c r="UHS49" s="426"/>
      <c r="UHT49" s="426"/>
      <c r="UHU49" s="426"/>
      <c r="UHV49" s="426"/>
      <c r="UHW49" s="426"/>
      <c r="UHX49" s="426"/>
      <c r="UHY49" s="426"/>
      <c r="UHZ49" s="426"/>
      <c r="UIA49" s="426"/>
      <c r="UIB49" s="426"/>
      <c r="UIC49" s="426"/>
      <c r="UID49" s="426"/>
      <c r="UIE49" s="426"/>
      <c r="UIF49" s="426"/>
      <c r="UIG49" s="426"/>
      <c r="UIH49" s="426"/>
      <c r="UII49" s="426"/>
      <c r="UIJ49" s="426"/>
      <c r="UIK49" s="426"/>
      <c r="UIL49" s="426"/>
      <c r="UIM49" s="426"/>
      <c r="UIN49" s="426"/>
      <c r="UIO49" s="426"/>
      <c r="UIP49" s="426"/>
      <c r="UIQ49" s="426"/>
      <c r="UIR49" s="426"/>
      <c r="UIS49" s="426"/>
      <c r="UIT49" s="426"/>
      <c r="UIU49" s="426"/>
      <c r="UIV49" s="426"/>
      <c r="UIW49" s="426"/>
      <c r="UIX49" s="426"/>
      <c r="UIY49" s="426"/>
      <c r="UIZ49" s="426"/>
      <c r="UJA49" s="426"/>
      <c r="UJB49" s="426"/>
      <c r="UJC49" s="426"/>
      <c r="UJD49" s="426"/>
      <c r="UJE49" s="426"/>
      <c r="UJF49" s="426"/>
      <c r="UJG49" s="426"/>
      <c r="UJH49" s="426"/>
      <c r="UJI49" s="426"/>
      <c r="UJJ49" s="426"/>
      <c r="UJK49" s="426"/>
      <c r="UJL49" s="426"/>
      <c r="UJM49" s="426"/>
      <c r="UJN49" s="426"/>
      <c r="UJO49" s="426"/>
      <c r="UJP49" s="426"/>
      <c r="UJQ49" s="426"/>
      <c r="UJR49" s="426"/>
      <c r="UJS49" s="426"/>
      <c r="UJT49" s="426"/>
      <c r="UJU49" s="426"/>
      <c r="UJV49" s="426"/>
      <c r="UJW49" s="426"/>
      <c r="UJX49" s="426"/>
      <c r="UJY49" s="426"/>
      <c r="UJZ49" s="426"/>
      <c r="UKA49" s="426"/>
      <c r="UKB49" s="426"/>
      <c r="UKC49" s="426"/>
      <c r="UKD49" s="426"/>
      <c r="UKE49" s="426"/>
      <c r="UKF49" s="426"/>
      <c r="UKG49" s="426"/>
      <c r="UKH49" s="426"/>
      <c r="UKI49" s="426"/>
      <c r="UKJ49" s="426"/>
      <c r="UKK49" s="426"/>
      <c r="UKL49" s="426"/>
      <c r="UKM49" s="426"/>
      <c r="UKN49" s="426"/>
      <c r="UKO49" s="426"/>
      <c r="UKP49" s="426"/>
      <c r="UKQ49" s="426"/>
      <c r="UKR49" s="426"/>
      <c r="UKS49" s="426"/>
      <c r="UKT49" s="426"/>
      <c r="UKU49" s="426"/>
      <c r="UKV49" s="426"/>
      <c r="UKW49" s="426"/>
      <c r="UKX49" s="426"/>
      <c r="UKY49" s="426"/>
      <c r="UKZ49" s="426"/>
      <c r="ULA49" s="426"/>
      <c r="ULB49" s="426"/>
      <c r="ULC49" s="426"/>
      <c r="ULD49" s="426"/>
      <c r="ULE49" s="426"/>
      <c r="ULF49" s="426"/>
      <c r="ULG49" s="426"/>
      <c r="ULH49" s="426"/>
      <c r="ULI49" s="426"/>
      <c r="ULJ49" s="426"/>
      <c r="ULK49" s="426"/>
      <c r="ULL49" s="426"/>
      <c r="ULM49" s="426"/>
      <c r="ULN49" s="426"/>
      <c r="ULO49" s="426"/>
      <c r="ULP49" s="426"/>
      <c r="ULQ49" s="426"/>
      <c r="ULR49" s="426"/>
      <c r="ULS49" s="426"/>
      <c r="ULT49" s="426"/>
      <c r="ULU49" s="426"/>
      <c r="ULV49" s="426"/>
      <c r="ULW49" s="426"/>
      <c r="ULX49" s="426"/>
      <c r="ULY49" s="426"/>
      <c r="ULZ49" s="426"/>
      <c r="UMA49" s="426"/>
      <c r="UMB49" s="426"/>
      <c r="UMC49" s="426"/>
      <c r="UMD49" s="426"/>
      <c r="UME49" s="426"/>
      <c r="UMF49" s="426"/>
      <c r="UMG49" s="426"/>
      <c r="UMH49" s="426"/>
      <c r="UMI49" s="426"/>
      <c r="UMJ49" s="426"/>
      <c r="UMK49" s="426"/>
      <c r="UML49" s="426"/>
      <c r="UMM49" s="426"/>
      <c r="UMN49" s="426"/>
      <c r="UMO49" s="426"/>
      <c r="UMP49" s="426"/>
      <c r="UMQ49" s="426"/>
      <c r="UMR49" s="426"/>
      <c r="UMS49" s="426"/>
      <c r="UMT49" s="426"/>
      <c r="UMU49" s="426"/>
      <c r="UMV49" s="426"/>
      <c r="UMW49" s="426"/>
      <c r="UMX49" s="426"/>
      <c r="UMY49" s="426"/>
      <c r="UMZ49" s="426"/>
      <c r="UNA49" s="426"/>
      <c r="UNB49" s="426"/>
      <c r="UNC49" s="426"/>
      <c r="UND49" s="426"/>
      <c r="UNE49" s="426"/>
      <c r="UNF49" s="426"/>
      <c r="UNG49" s="426"/>
      <c r="UNH49" s="426"/>
      <c r="UNI49" s="426"/>
      <c r="UNJ49" s="426"/>
      <c r="UNK49" s="426"/>
      <c r="UNL49" s="426"/>
      <c r="UNM49" s="426"/>
      <c r="UNN49" s="426"/>
      <c r="UNO49" s="426"/>
      <c r="UNP49" s="426"/>
      <c r="UNQ49" s="426"/>
      <c r="UNR49" s="426"/>
      <c r="UNS49" s="426"/>
      <c r="UNT49" s="426"/>
      <c r="UNU49" s="426"/>
      <c r="UNV49" s="426"/>
      <c r="UNW49" s="426"/>
      <c r="UNX49" s="426"/>
      <c r="UNY49" s="426"/>
      <c r="UNZ49" s="426"/>
      <c r="UOA49" s="426"/>
      <c r="UOB49" s="426"/>
      <c r="UOC49" s="426"/>
      <c r="UOD49" s="426"/>
      <c r="UOE49" s="426"/>
      <c r="UOF49" s="426"/>
      <c r="UOG49" s="426"/>
      <c r="UOH49" s="426"/>
      <c r="UOI49" s="426"/>
      <c r="UOJ49" s="426"/>
      <c r="UOK49" s="426"/>
      <c r="UOL49" s="426"/>
      <c r="UOM49" s="426"/>
      <c r="UON49" s="426"/>
      <c r="UOO49" s="426"/>
      <c r="UOP49" s="426"/>
      <c r="UOQ49" s="426"/>
      <c r="UOR49" s="426"/>
      <c r="UOS49" s="426"/>
      <c r="UOT49" s="426"/>
      <c r="UOU49" s="426"/>
      <c r="UOV49" s="426"/>
      <c r="UOW49" s="426"/>
      <c r="UOX49" s="426"/>
      <c r="UOY49" s="426"/>
      <c r="UOZ49" s="426"/>
      <c r="UPA49" s="426"/>
      <c r="UPB49" s="426"/>
      <c r="UPC49" s="426"/>
      <c r="UPD49" s="426"/>
      <c r="UPE49" s="426"/>
      <c r="UPF49" s="426"/>
      <c r="UPG49" s="426"/>
      <c r="UPH49" s="426"/>
      <c r="UPI49" s="426"/>
      <c r="UPJ49" s="426"/>
      <c r="UPK49" s="426"/>
      <c r="UPL49" s="426"/>
      <c r="UPM49" s="426"/>
      <c r="UPN49" s="426"/>
      <c r="UPO49" s="426"/>
      <c r="UPP49" s="426"/>
      <c r="UPQ49" s="426"/>
      <c r="UPR49" s="426"/>
      <c r="UPS49" s="426"/>
      <c r="UPT49" s="426"/>
      <c r="UPU49" s="426"/>
      <c r="UPV49" s="426"/>
      <c r="UPW49" s="426"/>
      <c r="UPX49" s="426"/>
      <c r="UPY49" s="426"/>
      <c r="UPZ49" s="426"/>
      <c r="UQA49" s="426"/>
      <c r="UQB49" s="426"/>
      <c r="UQC49" s="426"/>
      <c r="UQD49" s="426"/>
      <c r="UQE49" s="426"/>
      <c r="UQF49" s="426"/>
      <c r="UQG49" s="426"/>
      <c r="UQH49" s="426"/>
      <c r="UQI49" s="426"/>
      <c r="UQJ49" s="426"/>
      <c r="UQK49" s="426"/>
      <c r="UQL49" s="426"/>
      <c r="UQM49" s="426"/>
      <c r="UQN49" s="426"/>
      <c r="UQO49" s="426"/>
      <c r="UQP49" s="426"/>
      <c r="UQQ49" s="426"/>
      <c r="UQR49" s="426"/>
      <c r="UQS49" s="426"/>
      <c r="UQT49" s="426"/>
      <c r="UQU49" s="426"/>
      <c r="UQV49" s="426"/>
      <c r="UQW49" s="426"/>
      <c r="UQX49" s="426"/>
      <c r="UQY49" s="426"/>
      <c r="UQZ49" s="426"/>
      <c r="URA49" s="426"/>
      <c r="URB49" s="426"/>
      <c r="URC49" s="426"/>
      <c r="URD49" s="426"/>
      <c r="URE49" s="426"/>
      <c r="URF49" s="426"/>
      <c r="URG49" s="426"/>
      <c r="URH49" s="426"/>
      <c r="URI49" s="426"/>
      <c r="URJ49" s="426"/>
      <c r="URK49" s="426"/>
      <c r="URL49" s="426"/>
      <c r="URM49" s="426"/>
      <c r="URN49" s="426"/>
      <c r="URO49" s="426"/>
      <c r="URP49" s="426"/>
      <c r="URQ49" s="426"/>
      <c r="URR49" s="426"/>
      <c r="URS49" s="426"/>
      <c r="URT49" s="426"/>
      <c r="URU49" s="426"/>
      <c r="URV49" s="426"/>
      <c r="URW49" s="426"/>
      <c r="URX49" s="426"/>
      <c r="URY49" s="426"/>
      <c r="URZ49" s="426"/>
      <c r="USA49" s="426"/>
      <c r="USB49" s="426"/>
      <c r="USC49" s="426"/>
      <c r="USD49" s="426"/>
      <c r="USE49" s="426"/>
      <c r="USF49" s="426"/>
      <c r="USG49" s="426"/>
      <c r="USH49" s="426"/>
      <c r="USI49" s="426"/>
      <c r="USJ49" s="426"/>
      <c r="USK49" s="426"/>
      <c r="USL49" s="426"/>
      <c r="USM49" s="426"/>
      <c r="USN49" s="426"/>
      <c r="USO49" s="426"/>
      <c r="USP49" s="426"/>
      <c r="USQ49" s="426"/>
      <c r="USR49" s="426"/>
      <c r="USS49" s="426"/>
      <c r="UST49" s="426"/>
      <c r="USU49" s="426"/>
      <c r="USV49" s="426"/>
      <c r="USW49" s="426"/>
      <c r="USX49" s="426"/>
      <c r="USY49" s="426"/>
      <c r="USZ49" s="426"/>
      <c r="UTA49" s="426"/>
      <c r="UTB49" s="426"/>
      <c r="UTC49" s="426"/>
      <c r="UTD49" s="426"/>
      <c r="UTE49" s="426"/>
      <c r="UTF49" s="426"/>
      <c r="UTG49" s="426"/>
      <c r="UTH49" s="426"/>
      <c r="UTI49" s="426"/>
      <c r="UTJ49" s="426"/>
      <c r="UTK49" s="426"/>
      <c r="UTL49" s="426"/>
      <c r="UTM49" s="426"/>
      <c r="UTN49" s="426"/>
      <c r="UTO49" s="426"/>
      <c r="UTP49" s="426"/>
      <c r="UTQ49" s="426"/>
      <c r="UTR49" s="426"/>
      <c r="UTS49" s="426"/>
      <c r="UTT49" s="426"/>
      <c r="UTU49" s="426"/>
      <c r="UTV49" s="426"/>
      <c r="UTW49" s="426"/>
      <c r="UTX49" s="426"/>
      <c r="UTY49" s="426"/>
      <c r="UTZ49" s="426"/>
      <c r="UUA49" s="426"/>
      <c r="UUB49" s="426"/>
      <c r="UUC49" s="426"/>
      <c r="UUD49" s="426"/>
      <c r="UUE49" s="426"/>
      <c r="UUF49" s="426"/>
      <c r="UUG49" s="426"/>
      <c r="UUH49" s="426"/>
      <c r="UUI49" s="426"/>
      <c r="UUJ49" s="426"/>
      <c r="UUK49" s="426"/>
      <c r="UUL49" s="426"/>
      <c r="UUM49" s="426"/>
      <c r="UUN49" s="426"/>
      <c r="UUO49" s="426"/>
      <c r="UUP49" s="426"/>
      <c r="UUQ49" s="426"/>
      <c r="UUR49" s="426"/>
      <c r="UUS49" s="426"/>
      <c r="UUT49" s="426"/>
      <c r="UUU49" s="426"/>
      <c r="UUV49" s="426"/>
      <c r="UUW49" s="426"/>
      <c r="UUX49" s="426"/>
      <c r="UUY49" s="426"/>
      <c r="UUZ49" s="426"/>
      <c r="UVA49" s="426"/>
      <c r="UVB49" s="426"/>
      <c r="UVC49" s="426"/>
      <c r="UVD49" s="426"/>
      <c r="UVE49" s="426"/>
      <c r="UVF49" s="426"/>
      <c r="UVG49" s="426"/>
      <c r="UVH49" s="426"/>
      <c r="UVI49" s="426"/>
      <c r="UVJ49" s="426"/>
      <c r="UVK49" s="426"/>
      <c r="UVL49" s="426"/>
      <c r="UVM49" s="426"/>
      <c r="UVN49" s="426"/>
      <c r="UVO49" s="426"/>
      <c r="UVP49" s="426"/>
      <c r="UVQ49" s="426"/>
      <c r="UVR49" s="426"/>
      <c r="UVS49" s="426"/>
      <c r="UVT49" s="426"/>
      <c r="UVU49" s="426"/>
      <c r="UVV49" s="426"/>
      <c r="UVW49" s="426"/>
      <c r="UVX49" s="426"/>
      <c r="UVY49" s="426"/>
      <c r="UVZ49" s="426"/>
      <c r="UWA49" s="426"/>
      <c r="UWB49" s="426"/>
      <c r="UWC49" s="426"/>
      <c r="UWD49" s="426"/>
      <c r="UWE49" s="426"/>
      <c r="UWF49" s="426"/>
      <c r="UWG49" s="426"/>
      <c r="UWH49" s="426"/>
      <c r="UWI49" s="426"/>
      <c r="UWJ49" s="426"/>
      <c r="UWK49" s="426"/>
      <c r="UWL49" s="426"/>
      <c r="UWM49" s="426"/>
      <c r="UWN49" s="426"/>
      <c r="UWO49" s="426"/>
      <c r="UWP49" s="426"/>
      <c r="UWQ49" s="426"/>
      <c r="UWR49" s="426"/>
      <c r="UWS49" s="426"/>
      <c r="UWT49" s="426"/>
      <c r="UWU49" s="426"/>
      <c r="UWV49" s="426"/>
      <c r="UWW49" s="426"/>
      <c r="UWX49" s="426"/>
      <c r="UWY49" s="426"/>
      <c r="UWZ49" s="426"/>
      <c r="UXA49" s="426"/>
      <c r="UXB49" s="426"/>
      <c r="UXC49" s="426"/>
      <c r="UXD49" s="426"/>
      <c r="UXE49" s="426"/>
      <c r="UXF49" s="426"/>
      <c r="UXG49" s="426"/>
      <c r="UXH49" s="426"/>
      <c r="UXI49" s="426"/>
      <c r="UXJ49" s="426"/>
      <c r="UXK49" s="426"/>
      <c r="UXL49" s="426"/>
      <c r="UXM49" s="426"/>
      <c r="UXN49" s="426"/>
      <c r="UXO49" s="426"/>
      <c r="UXP49" s="426"/>
      <c r="UXQ49" s="426"/>
      <c r="UXR49" s="426"/>
      <c r="UXS49" s="426"/>
      <c r="UXT49" s="426"/>
      <c r="UXU49" s="426"/>
      <c r="UXV49" s="426"/>
      <c r="UXW49" s="426"/>
      <c r="UXX49" s="426"/>
      <c r="UXY49" s="426"/>
      <c r="UXZ49" s="426"/>
      <c r="UYA49" s="426"/>
      <c r="UYB49" s="426"/>
      <c r="UYC49" s="426"/>
      <c r="UYD49" s="426"/>
      <c r="UYE49" s="426"/>
      <c r="UYF49" s="426"/>
      <c r="UYG49" s="426"/>
      <c r="UYH49" s="426"/>
      <c r="UYI49" s="426"/>
      <c r="UYJ49" s="426"/>
      <c r="UYK49" s="426"/>
      <c r="UYL49" s="426"/>
      <c r="UYM49" s="426"/>
      <c r="UYN49" s="426"/>
      <c r="UYO49" s="426"/>
      <c r="UYP49" s="426"/>
      <c r="UYQ49" s="426"/>
      <c r="UYR49" s="426"/>
      <c r="UYS49" s="426"/>
      <c r="UYT49" s="426"/>
      <c r="UYU49" s="426"/>
      <c r="UYV49" s="426"/>
      <c r="UYW49" s="426"/>
      <c r="UYX49" s="426"/>
      <c r="UYY49" s="426"/>
      <c r="UYZ49" s="426"/>
      <c r="UZA49" s="426"/>
      <c r="UZB49" s="426"/>
      <c r="UZC49" s="426"/>
      <c r="UZD49" s="426"/>
      <c r="UZE49" s="426"/>
      <c r="UZF49" s="426"/>
      <c r="UZG49" s="426"/>
      <c r="UZH49" s="426"/>
      <c r="UZI49" s="426"/>
      <c r="UZJ49" s="426"/>
      <c r="UZK49" s="426"/>
      <c r="UZL49" s="426"/>
      <c r="UZM49" s="426"/>
      <c r="UZN49" s="426"/>
      <c r="UZO49" s="426"/>
      <c r="UZP49" s="426"/>
      <c r="UZQ49" s="426"/>
      <c r="UZR49" s="426"/>
      <c r="UZS49" s="426"/>
      <c r="UZT49" s="426"/>
      <c r="UZU49" s="426"/>
      <c r="UZV49" s="426"/>
      <c r="UZW49" s="426"/>
      <c r="UZX49" s="426"/>
      <c r="UZY49" s="426"/>
      <c r="UZZ49" s="426"/>
      <c r="VAA49" s="426"/>
      <c r="VAB49" s="426"/>
      <c r="VAC49" s="426"/>
      <c r="VAD49" s="426"/>
      <c r="VAE49" s="426"/>
      <c r="VAF49" s="426"/>
      <c r="VAG49" s="426"/>
      <c r="VAH49" s="426"/>
      <c r="VAI49" s="426"/>
      <c r="VAJ49" s="426"/>
      <c r="VAK49" s="426"/>
      <c r="VAL49" s="426"/>
      <c r="VAM49" s="426"/>
      <c r="VAN49" s="426"/>
      <c r="VAO49" s="426"/>
      <c r="VAP49" s="426"/>
      <c r="VAQ49" s="426"/>
      <c r="VAR49" s="426"/>
      <c r="VAS49" s="426"/>
      <c r="VAT49" s="426"/>
      <c r="VAU49" s="426"/>
      <c r="VAV49" s="426"/>
      <c r="VAW49" s="426"/>
      <c r="VAX49" s="426"/>
      <c r="VAY49" s="426"/>
      <c r="VAZ49" s="426"/>
      <c r="VBA49" s="426"/>
      <c r="VBB49" s="426"/>
      <c r="VBC49" s="426"/>
      <c r="VBD49" s="426"/>
      <c r="VBE49" s="426"/>
      <c r="VBF49" s="426"/>
      <c r="VBG49" s="426"/>
      <c r="VBH49" s="426"/>
      <c r="VBI49" s="426"/>
      <c r="VBJ49" s="426"/>
      <c r="VBK49" s="426"/>
      <c r="VBL49" s="426"/>
      <c r="VBM49" s="426"/>
      <c r="VBN49" s="426"/>
      <c r="VBO49" s="426"/>
      <c r="VBP49" s="426"/>
      <c r="VBQ49" s="426"/>
      <c r="VBR49" s="426"/>
      <c r="VBS49" s="426"/>
      <c r="VBT49" s="426"/>
      <c r="VBU49" s="426"/>
      <c r="VBV49" s="426"/>
      <c r="VBW49" s="426"/>
      <c r="VBX49" s="426"/>
      <c r="VBY49" s="426"/>
      <c r="VBZ49" s="426"/>
      <c r="VCA49" s="426"/>
      <c r="VCB49" s="426"/>
      <c r="VCC49" s="426"/>
      <c r="VCD49" s="426"/>
      <c r="VCE49" s="426"/>
      <c r="VCF49" s="426"/>
      <c r="VCG49" s="426"/>
      <c r="VCH49" s="426"/>
      <c r="VCI49" s="426"/>
      <c r="VCJ49" s="426"/>
      <c r="VCK49" s="426"/>
      <c r="VCL49" s="426"/>
      <c r="VCM49" s="426"/>
      <c r="VCN49" s="426"/>
      <c r="VCO49" s="426"/>
      <c r="VCP49" s="426"/>
      <c r="VCQ49" s="426"/>
      <c r="VCR49" s="426"/>
      <c r="VCS49" s="426"/>
      <c r="VCT49" s="426"/>
      <c r="VCU49" s="426"/>
      <c r="VCV49" s="426"/>
      <c r="VCW49" s="426"/>
      <c r="VCX49" s="426"/>
      <c r="VCY49" s="426"/>
      <c r="VCZ49" s="426"/>
      <c r="VDA49" s="426"/>
      <c r="VDB49" s="426"/>
      <c r="VDC49" s="426"/>
      <c r="VDD49" s="426"/>
      <c r="VDE49" s="426"/>
      <c r="VDF49" s="426"/>
      <c r="VDG49" s="426"/>
      <c r="VDH49" s="426"/>
      <c r="VDI49" s="426"/>
      <c r="VDJ49" s="426"/>
      <c r="VDK49" s="426"/>
      <c r="VDL49" s="426"/>
      <c r="VDM49" s="426"/>
      <c r="VDN49" s="426"/>
      <c r="VDO49" s="426"/>
      <c r="VDP49" s="426"/>
      <c r="VDQ49" s="426"/>
      <c r="VDR49" s="426"/>
      <c r="VDS49" s="426"/>
      <c r="VDT49" s="426"/>
      <c r="VDU49" s="426"/>
      <c r="VDV49" s="426"/>
      <c r="VDW49" s="426"/>
      <c r="VDX49" s="426"/>
      <c r="VDY49" s="426"/>
      <c r="VDZ49" s="426"/>
      <c r="VEA49" s="426"/>
      <c r="VEB49" s="426"/>
      <c r="VEC49" s="426"/>
      <c r="VED49" s="426"/>
      <c r="VEE49" s="426"/>
      <c r="VEF49" s="426"/>
      <c r="VEG49" s="426"/>
      <c r="VEH49" s="426"/>
      <c r="VEI49" s="426"/>
      <c r="VEJ49" s="426"/>
      <c r="VEK49" s="426"/>
      <c r="VEL49" s="426"/>
      <c r="VEM49" s="426"/>
      <c r="VEN49" s="426"/>
      <c r="VEO49" s="426"/>
      <c r="VEP49" s="426"/>
      <c r="VEQ49" s="426"/>
      <c r="VER49" s="426"/>
      <c r="VES49" s="426"/>
      <c r="VET49" s="426"/>
      <c r="VEU49" s="426"/>
      <c r="VEV49" s="426"/>
      <c r="VEW49" s="426"/>
      <c r="VEX49" s="426"/>
      <c r="VEY49" s="426"/>
      <c r="VEZ49" s="426"/>
      <c r="VFA49" s="426"/>
      <c r="VFB49" s="426"/>
      <c r="VFC49" s="426"/>
      <c r="VFD49" s="426"/>
      <c r="VFE49" s="426"/>
      <c r="VFF49" s="426"/>
      <c r="VFG49" s="426"/>
      <c r="VFH49" s="426"/>
      <c r="VFI49" s="426"/>
      <c r="VFJ49" s="426"/>
      <c r="VFK49" s="426"/>
      <c r="VFL49" s="426"/>
      <c r="VFM49" s="426"/>
      <c r="VFN49" s="426"/>
      <c r="VFO49" s="426"/>
      <c r="VFP49" s="426"/>
      <c r="VFQ49" s="426"/>
      <c r="VFR49" s="426"/>
      <c r="VFS49" s="426"/>
      <c r="VFT49" s="426"/>
      <c r="VFU49" s="426"/>
      <c r="VFV49" s="426"/>
      <c r="VFW49" s="426"/>
      <c r="VFX49" s="426"/>
      <c r="VFY49" s="426"/>
      <c r="VFZ49" s="426"/>
      <c r="VGA49" s="426"/>
      <c r="VGB49" s="426"/>
      <c r="VGC49" s="426"/>
      <c r="VGD49" s="426"/>
      <c r="VGE49" s="426"/>
      <c r="VGF49" s="426"/>
      <c r="VGG49" s="426"/>
      <c r="VGH49" s="426"/>
      <c r="VGI49" s="426"/>
      <c r="VGJ49" s="426"/>
      <c r="VGK49" s="426"/>
      <c r="VGL49" s="426"/>
      <c r="VGM49" s="426"/>
      <c r="VGN49" s="426"/>
      <c r="VGO49" s="426"/>
      <c r="VGP49" s="426"/>
      <c r="VGQ49" s="426"/>
      <c r="VGR49" s="426"/>
      <c r="VGS49" s="426"/>
      <c r="VGT49" s="426"/>
      <c r="VGU49" s="426"/>
      <c r="VGV49" s="426"/>
      <c r="VGW49" s="426"/>
      <c r="VGX49" s="426"/>
      <c r="VGY49" s="426"/>
      <c r="VGZ49" s="426"/>
      <c r="VHA49" s="426"/>
      <c r="VHB49" s="426"/>
      <c r="VHC49" s="426"/>
      <c r="VHD49" s="426"/>
      <c r="VHE49" s="426"/>
      <c r="VHF49" s="426"/>
      <c r="VHG49" s="426"/>
      <c r="VHH49" s="426"/>
      <c r="VHI49" s="426"/>
      <c r="VHJ49" s="426"/>
      <c r="VHK49" s="426"/>
      <c r="VHL49" s="426"/>
      <c r="VHM49" s="426"/>
      <c r="VHN49" s="426"/>
      <c r="VHO49" s="426"/>
      <c r="VHP49" s="426"/>
      <c r="VHQ49" s="426"/>
      <c r="VHR49" s="426"/>
      <c r="VHS49" s="426"/>
      <c r="VHT49" s="426"/>
      <c r="VHU49" s="426"/>
      <c r="VHV49" s="426"/>
      <c r="VHW49" s="426"/>
      <c r="VHX49" s="426"/>
      <c r="VHY49" s="426"/>
      <c r="VHZ49" s="426"/>
      <c r="VIA49" s="426"/>
      <c r="VIB49" s="426"/>
      <c r="VIC49" s="426"/>
      <c r="VID49" s="426"/>
      <c r="VIE49" s="426"/>
      <c r="VIF49" s="426"/>
      <c r="VIG49" s="426"/>
      <c r="VIH49" s="426"/>
      <c r="VII49" s="426"/>
      <c r="VIJ49" s="426"/>
      <c r="VIK49" s="426"/>
      <c r="VIL49" s="426"/>
      <c r="VIM49" s="426"/>
      <c r="VIN49" s="426"/>
      <c r="VIO49" s="426"/>
      <c r="VIP49" s="426"/>
      <c r="VIQ49" s="426"/>
      <c r="VIR49" s="426"/>
      <c r="VIS49" s="426"/>
      <c r="VIT49" s="426"/>
      <c r="VIU49" s="426"/>
      <c r="VIV49" s="426"/>
      <c r="VIW49" s="426"/>
      <c r="VIX49" s="426"/>
      <c r="VIY49" s="426"/>
      <c r="VIZ49" s="426"/>
      <c r="VJA49" s="426"/>
      <c r="VJB49" s="426"/>
      <c r="VJC49" s="426"/>
      <c r="VJD49" s="426"/>
      <c r="VJE49" s="426"/>
      <c r="VJF49" s="426"/>
      <c r="VJG49" s="426"/>
      <c r="VJH49" s="426"/>
      <c r="VJI49" s="426"/>
      <c r="VJJ49" s="426"/>
      <c r="VJK49" s="426"/>
      <c r="VJL49" s="426"/>
      <c r="VJM49" s="426"/>
      <c r="VJN49" s="426"/>
      <c r="VJO49" s="426"/>
      <c r="VJP49" s="426"/>
      <c r="VJQ49" s="426"/>
      <c r="VJR49" s="426"/>
      <c r="VJS49" s="426"/>
      <c r="VJT49" s="426"/>
      <c r="VJU49" s="426"/>
      <c r="VJV49" s="426"/>
      <c r="VJW49" s="426"/>
      <c r="VJX49" s="426"/>
      <c r="VJY49" s="426"/>
      <c r="VJZ49" s="426"/>
      <c r="VKA49" s="426"/>
      <c r="VKB49" s="426"/>
      <c r="VKC49" s="426"/>
      <c r="VKD49" s="426"/>
      <c r="VKE49" s="426"/>
      <c r="VKF49" s="426"/>
      <c r="VKG49" s="426"/>
      <c r="VKH49" s="426"/>
      <c r="VKI49" s="426"/>
      <c r="VKJ49" s="426"/>
      <c r="VKK49" s="426"/>
      <c r="VKL49" s="426"/>
      <c r="VKM49" s="426"/>
      <c r="VKN49" s="426"/>
      <c r="VKO49" s="426"/>
      <c r="VKP49" s="426"/>
      <c r="VKQ49" s="426"/>
      <c r="VKR49" s="426"/>
      <c r="VKS49" s="426"/>
      <c r="VKT49" s="426"/>
      <c r="VKU49" s="426"/>
      <c r="VKV49" s="426"/>
      <c r="VKW49" s="426"/>
      <c r="VKX49" s="426"/>
      <c r="VKY49" s="426"/>
      <c r="VKZ49" s="426"/>
      <c r="VLA49" s="426"/>
      <c r="VLB49" s="426"/>
      <c r="VLC49" s="426"/>
      <c r="VLD49" s="426"/>
      <c r="VLE49" s="426"/>
      <c r="VLF49" s="426"/>
      <c r="VLG49" s="426"/>
      <c r="VLH49" s="426"/>
      <c r="VLI49" s="426"/>
      <c r="VLJ49" s="426"/>
      <c r="VLK49" s="426"/>
      <c r="VLL49" s="426"/>
      <c r="VLM49" s="426"/>
      <c r="VLN49" s="426"/>
      <c r="VLO49" s="426"/>
      <c r="VLP49" s="426"/>
      <c r="VLQ49" s="426"/>
      <c r="VLR49" s="426"/>
      <c r="VLS49" s="426"/>
      <c r="VLT49" s="426"/>
      <c r="VLU49" s="426"/>
      <c r="VLV49" s="426"/>
      <c r="VLW49" s="426"/>
      <c r="VLX49" s="426"/>
      <c r="VLY49" s="426"/>
      <c r="VLZ49" s="426"/>
      <c r="VMA49" s="426"/>
      <c r="VMB49" s="426"/>
      <c r="VMC49" s="426"/>
      <c r="VMD49" s="426"/>
      <c r="VME49" s="426"/>
      <c r="VMF49" s="426"/>
      <c r="VMG49" s="426"/>
      <c r="VMH49" s="426"/>
      <c r="VMI49" s="426"/>
      <c r="VMJ49" s="426"/>
      <c r="VMK49" s="426"/>
      <c r="VML49" s="426"/>
      <c r="VMM49" s="426"/>
      <c r="VMN49" s="426"/>
      <c r="VMO49" s="426"/>
      <c r="VMP49" s="426"/>
      <c r="VMQ49" s="426"/>
      <c r="VMR49" s="426"/>
      <c r="VMS49" s="426"/>
      <c r="VMT49" s="426"/>
      <c r="VMU49" s="426"/>
      <c r="VMV49" s="426"/>
      <c r="VMW49" s="426"/>
      <c r="VMX49" s="426"/>
      <c r="VMY49" s="426"/>
      <c r="VMZ49" s="426"/>
      <c r="VNA49" s="426"/>
      <c r="VNB49" s="426"/>
      <c r="VNC49" s="426"/>
      <c r="VND49" s="426"/>
      <c r="VNE49" s="426"/>
      <c r="VNF49" s="426"/>
      <c r="VNG49" s="426"/>
      <c r="VNH49" s="426"/>
      <c r="VNI49" s="426"/>
      <c r="VNJ49" s="426"/>
      <c r="VNK49" s="426"/>
      <c r="VNL49" s="426"/>
      <c r="VNM49" s="426"/>
      <c r="VNN49" s="426"/>
      <c r="VNO49" s="426"/>
      <c r="VNP49" s="426"/>
      <c r="VNQ49" s="426"/>
      <c r="VNR49" s="426"/>
      <c r="VNS49" s="426"/>
      <c r="VNT49" s="426"/>
      <c r="VNU49" s="426"/>
      <c r="VNV49" s="426"/>
      <c r="VNW49" s="426"/>
      <c r="VNX49" s="426"/>
      <c r="VNY49" s="426"/>
      <c r="VNZ49" s="426"/>
      <c r="VOA49" s="426"/>
      <c r="VOB49" s="426"/>
      <c r="VOC49" s="426"/>
      <c r="VOD49" s="426"/>
      <c r="VOE49" s="426"/>
      <c r="VOF49" s="426"/>
      <c r="VOG49" s="426"/>
      <c r="VOH49" s="426"/>
      <c r="VOI49" s="426"/>
      <c r="VOJ49" s="426"/>
      <c r="VOK49" s="426"/>
      <c r="VOL49" s="426"/>
      <c r="VOM49" s="426"/>
      <c r="VON49" s="426"/>
      <c r="VOO49" s="426"/>
      <c r="VOP49" s="426"/>
      <c r="VOQ49" s="426"/>
      <c r="VOR49" s="426"/>
      <c r="VOS49" s="426"/>
      <c r="VOT49" s="426"/>
      <c r="VOU49" s="426"/>
      <c r="VOV49" s="426"/>
      <c r="VOW49" s="426"/>
      <c r="VOX49" s="426"/>
      <c r="VOY49" s="426"/>
      <c r="VOZ49" s="426"/>
      <c r="VPA49" s="426"/>
      <c r="VPB49" s="426"/>
      <c r="VPC49" s="426"/>
      <c r="VPD49" s="426"/>
      <c r="VPE49" s="426"/>
      <c r="VPF49" s="426"/>
      <c r="VPG49" s="426"/>
      <c r="VPH49" s="426"/>
      <c r="VPI49" s="426"/>
      <c r="VPJ49" s="426"/>
      <c r="VPK49" s="426"/>
      <c r="VPL49" s="426"/>
      <c r="VPM49" s="426"/>
      <c r="VPN49" s="426"/>
      <c r="VPO49" s="426"/>
      <c r="VPP49" s="426"/>
      <c r="VPQ49" s="426"/>
      <c r="VPR49" s="426"/>
      <c r="VPS49" s="426"/>
      <c r="VPT49" s="426"/>
      <c r="VPU49" s="426"/>
      <c r="VPV49" s="426"/>
      <c r="VPW49" s="426"/>
      <c r="VPX49" s="426"/>
      <c r="VPY49" s="426"/>
      <c r="VPZ49" s="426"/>
      <c r="VQA49" s="426"/>
      <c r="VQB49" s="426"/>
      <c r="VQC49" s="426"/>
      <c r="VQD49" s="426"/>
      <c r="VQE49" s="426"/>
      <c r="VQF49" s="426"/>
      <c r="VQG49" s="426"/>
      <c r="VQH49" s="426"/>
      <c r="VQI49" s="426"/>
      <c r="VQJ49" s="426"/>
      <c r="VQK49" s="426"/>
      <c r="VQL49" s="426"/>
      <c r="VQM49" s="426"/>
      <c r="VQN49" s="426"/>
      <c r="VQO49" s="426"/>
      <c r="VQP49" s="426"/>
      <c r="VQQ49" s="426"/>
      <c r="VQR49" s="426"/>
      <c r="VQS49" s="426"/>
      <c r="VQT49" s="426"/>
      <c r="VQU49" s="426"/>
      <c r="VQV49" s="426"/>
      <c r="VQW49" s="426"/>
      <c r="VQX49" s="426"/>
      <c r="VQY49" s="426"/>
      <c r="VQZ49" s="426"/>
      <c r="VRA49" s="426"/>
      <c r="VRB49" s="426"/>
      <c r="VRC49" s="426"/>
      <c r="VRD49" s="426"/>
      <c r="VRE49" s="426"/>
      <c r="VRF49" s="426"/>
      <c r="VRG49" s="426"/>
      <c r="VRH49" s="426"/>
      <c r="VRI49" s="426"/>
      <c r="VRJ49" s="426"/>
      <c r="VRK49" s="426"/>
      <c r="VRL49" s="426"/>
      <c r="VRM49" s="426"/>
      <c r="VRN49" s="426"/>
      <c r="VRO49" s="426"/>
      <c r="VRP49" s="426"/>
      <c r="VRQ49" s="426"/>
      <c r="VRR49" s="426"/>
      <c r="VRS49" s="426"/>
      <c r="VRT49" s="426"/>
      <c r="VRU49" s="426"/>
      <c r="VRV49" s="426"/>
      <c r="VRW49" s="426"/>
      <c r="VRX49" s="426"/>
      <c r="VRY49" s="426"/>
      <c r="VRZ49" s="426"/>
      <c r="VSA49" s="426"/>
      <c r="VSB49" s="426"/>
      <c r="VSC49" s="426"/>
      <c r="VSD49" s="426"/>
      <c r="VSE49" s="426"/>
      <c r="VSF49" s="426"/>
      <c r="VSG49" s="426"/>
      <c r="VSH49" s="426"/>
      <c r="VSI49" s="426"/>
      <c r="VSJ49" s="426"/>
      <c r="VSK49" s="426"/>
      <c r="VSL49" s="426"/>
      <c r="VSM49" s="426"/>
      <c r="VSN49" s="426"/>
      <c r="VSO49" s="426"/>
      <c r="VSP49" s="426"/>
      <c r="VSQ49" s="426"/>
      <c r="VSR49" s="426"/>
      <c r="VSS49" s="426"/>
      <c r="VST49" s="426"/>
      <c r="VSU49" s="426"/>
      <c r="VSV49" s="426"/>
      <c r="VSW49" s="426"/>
      <c r="VSX49" s="426"/>
      <c r="VSY49" s="426"/>
      <c r="VSZ49" s="426"/>
      <c r="VTA49" s="426"/>
      <c r="VTB49" s="426"/>
      <c r="VTC49" s="426"/>
      <c r="VTD49" s="426"/>
      <c r="VTE49" s="426"/>
      <c r="VTF49" s="426"/>
      <c r="VTG49" s="426"/>
      <c r="VTH49" s="426"/>
      <c r="VTI49" s="426"/>
      <c r="VTJ49" s="426"/>
      <c r="VTK49" s="426"/>
      <c r="VTL49" s="426"/>
      <c r="VTM49" s="426"/>
      <c r="VTN49" s="426"/>
      <c r="VTO49" s="426"/>
      <c r="VTP49" s="426"/>
      <c r="VTQ49" s="426"/>
      <c r="VTR49" s="426"/>
      <c r="VTS49" s="426"/>
      <c r="VTT49" s="426"/>
      <c r="VTU49" s="426"/>
      <c r="VTV49" s="426"/>
      <c r="VTW49" s="426"/>
      <c r="VTX49" s="426"/>
      <c r="VTY49" s="426"/>
      <c r="VTZ49" s="426"/>
      <c r="VUA49" s="426"/>
      <c r="VUB49" s="426"/>
      <c r="VUC49" s="426"/>
      <c r="VUD49" s="426"/>
      <c r="VUE49" s="426"/>
      <c r="VUF49" s="426"/>
      <c r="VUG49" s="426"/>
      <c r="VUH49" s="426"/>
      <c r="VUI49" s="426"/>
      <c r="VUJ49" s="426"/>
      <c r="VUK49" s="426"/>
      <c r="VUL49" s="426"/>
      <c r="VUM49" s="426"/>
      <c r="VUN49" s="426"/>
      <c r="VUO49" s="426"/>
      <c r="VUP49" s="426"/>
      <c r="VUQ49" s="426"/>
      <c r="VUR49" s="426"/>
      <c r="VUS49" s="426"/>
      <c r="VUT49" s="426"/>
      <c r="VUU49" s="426"/>
      <c r="VUV49" s="426"/>
      <c r="VUW49" s="426"/>
      <c r="VUX49" s="426"/>
      <c r="VUY49" s="426"/>
      <c r="VUZ49" s="426"/>
      <c r="VVA49" s="426"/>
      <c r="VVB49" s="426"/>
      <c r="VVC49" s="426"/>
      <c r="VVD49" s="426"/>
      <c r="VVE49" s="426"/>
      <c r="VVF49" s="426"/>
      <c r="VVG49" s="426"/>
      <c r="VVH49" s="426"/>
      <c r="VVI49" s="426"/>
      <c r="VVJ49" s="426"/>
      <c r="VVK49" s="426"/>
      <c r="VVL49" s="426"/>
      <c r="VVM49" s="426"/>
      <c r="VVN49" s="426"/>
      <c r="VVO49" s="426"/>
      <c r="VVP49" s="426"/>
      <c r="VVQ49" s="426"/>
      <c r="VVR49" s="426"/>
      <c r="VVS49" s="426"/>
      <c r="VVT49" s="426"/>
      <c r="VVU49" s="426"/>
      <c r="VVV49" s="426"/>
      <c r="VVW49" s="426"/>
      <c r="VVX49" s="426"/>
      <c r="VVY49" s="426"/>
      <c r="VVZ49" s="426"/>
      <c r="VWA49" s="426"/>
      <c r="VWB49" s="426"/>
      <c r="VWC49" s="426"/>
      <c r="VWD49" s="426"/>
      <c r="VWE49" s="426"/>
      <c r="VWF49" s="426"/>
      <c r="VWG49" s="426"/>
      <c r="VWH49" s="426"/>
      <c r="VWI49" s="426"/>
      <c r="VWJ49" s="426"/>
      <c r="VWK49" s="426"/>
      <c r="VWL49" s="426"/>
      <c r="VWM49" s="426"/>
      <c r="VWN49" s="426"/>
      <c r="VWO49" s="426"/>
      <c r="VWP49" s="426"/>
      <c r="VWQ49" s="426"/>
      <c r="VWR49" s="426"/>
      <c r="VWS49" s="426"/>
      <c r="VWT49" s="426"/>
      <c r="VWU49" s="426"/>
      <c r="VWV49" s="426"/>
      <c r="VWW49" s="426"/>
      <c r="VWX49" s="426"/>
      <c r="VWY49" s="426"/>
      <c r="VWZ49" s="426"/>
      <c r="VXA49" s="426"/>
      <c r="VXB49" s="426"/>
      <c r="VXC49" s="426"/>
      <c r="VXD49" s="426"/>
      <c r="VXE49" s="426"/>
      <c r="VXF49" s="426"/>
      <c r="VXG49" s="426"/>
      <c r="VXH49" s="426"/>
      <c r="VXI49" s="426"/>
      <c r="VXJ49" s="426"/>
      <c r="VXK49" s="426"/>
      <c r="VXL49" s="426"/>
      <c r="VXM49" s="426"/>
      <c r="VXN49" s="426"/>
      <c r="VXO49" s="426"/>
      <c r="VXP49" s="426"/>
      <c r="VXQ49" s="426"/>
      <c r="VXR49" s="426"/>
      <c r="VXS49" s="426"/>
      <c r="VXT49" s="426"/>
      <c r="VXU49" s="426"/>
      <c r="VXV49" s="426"/>
      <c r="VXW49" s="426"/>
      <c r="VXX49" s="426"/>
      <c r="VXY49" s="426"/>
      <c r="VXZ49" s="426"/>
      <c r="VYA49" s="426"/>
      <c r="VYB49" s="426"/>
      <c r="VYC49" s="426"/>
      <c r="VYD49" s="426"/>
      <c r="VYE49" s="426"/>
      <c r="VYF49" s="426"/>
      <c r="VYG49" s="426"/>
      <c r="VYH49" s="426"/>
      <c r="VYI49" s="426"/>
      <c r="VYJ49" s="426"/>
      <c r="VYK49" s="426"/>
      <c r="VYL49" s="426"/>
      <c r="VYM49" s="426"/>
      <c r="VYN49" s="426"/>
      <c r="VYO49" s="426"/>
      <c r="VYP49" s="426"/>
      <c r="VYQ49" s="426"/>
      <c r="VYR49" s="426"/>
      <c r="VYS49" s="426"/>
      <c r="VYT49" s="426"/>
      <c r="VYU49" s="426"/>
      <c r="VYV49" s="426"/>
      <c r="VYW49" s="426"/>
      <c r="VYX49" s="426"/>
      <c r="VYY49" s="426"/>
      <c r="VYZ49" s="426"/>
      <c r="VZA49" s="426"/>
      <c r="VZB49" s="426"/>
      <c r="VZC49" s="426"/>
      <c r="VZD49" s="426"/>
      <c r="VZE49" s="426"/>
      <c r="VZF49" s="426"/>
      <c r="VZG49" s="426"/>
      <c r="VZH49" s="426"/>
      <c r="VZI49" s="426"/>
      <c r="VZJ49" s="426"/>
      <c r="VZK49" s="426"/>
      <c r="VZL49" s="426"/>
      <c r="VZM49" s="426"/>
      <c r="VZN49" s="426"/>
      <c r="VZO49" s="426"/>
      <c r="VZP49" s="426"/>
      <c r="VZQ49" s="426"/>
      <c r="VZR49" s="426"/>
      <c r="VZS49" s="426"/>
      <c r="VZT49" s="426"/>
      <c r="VZU49" s="426"/>
      <c r="VZV49" s="426"/>
      <c r="VZW49" s="426"/>
      <c r="VZX49" s="426"/>
      <c r="VZY49" s="426"/>
      <c r="VZZ49" s="426"/>
      <c r="WAA49" s="426"/>
      <c r="WAB49" s="426"/>
      <c r="WAC49" s="426"/>
      <c r="WAD49" s="426"/>
      <c r="WAE49" s="426"/>
      <c r="WAF49" s="426"/>
      <c r="WAG49" s="426"/>
      <c r="WAH49" s="426"/>
      <c r="WAI49" s="426"/>
      <c r="WAJ49" s="426"/>
      <c r="WAK49" s="426"/>
      <c r="WAL49" s="426"/>
      <c r="WAM49" s="426"/>
      <c r="WAN49" s="426"/>
      <c r="WAO49" s="426"/>
      <c r="WAP49" s="426"/>
      <c r="WAQ49" s="426"/>
      <c r="WAR49" s="426"/>
      <c r="WAS49" s="426"/>
      <c r="WAT49" s="426"/>
      <c r="WAU49" s="426"/>
      <c r="WAV49" s="426"/>
      <c r="WAW49" s="426"/>
      <c r="WAX49" s="426"/>
      <c r="WAY49" s="426"/>
      <c r="WAZ49" s="426"/>
      <c r="WBA49" s="426"/>
      <c r="WBB49" s="426"/>
      <c r="WBC49" s="426"/>
      <c r="WBD49" s="426"/>
      <c r="WBE49" s="426"/>
      <c r="WBF49" s="426"/>
      <c r="WBG49" s="426"/>
      <c r="WBH49" s="426"/>
      <c r="WBI49" s="426"/>
      <c r="WBJ49" s="426"/>
      <c r="WBK49" s="426"/>
      <c r="WBL49" s="426"/>
      <c r="WBM49" s="426"/>
      <c r="WBN49" s="426"/>
      <c r="WBO49" s="426"/>
      <c r="WBP49" s="426"/>
      <c r="WBQ49" s="426"/>
      <c r="WBR49" s="426"/>
      <c r="WBS49" s="426"/>
      <c r="WBT49" s="426"/>
      <c r="WBU49" s="426"/>
      <c r="WBV49" s="426"/>
      <c r="WBW49" s="426"/>
      <c r="WBX49" s="426"/>
      <c r="WBY49" s="426"/>
      <c r="WBZ49" s="426"/>
      <c r="WCA49" s="426"/>
      <c r="WCB49" s="426"/>
      <c r="WCC49" s="426"/>
      <c r="WCD49" s="426"/>
      <c r="WCE49" s="426"/>
      <c r="WCF49" s="426"/>
      <c r="WCG49" s="426"/>
      <c r="WCH49" s="426"/>
      <c r="WCI49" s="426"/>
      <c r="WCJ49" s="426"/>
      <c r="WCK49" s="426"/>
      <c r="WCL49" s="426"/>
      <c r="WCM49" s="426"/>
      <c r="WCN49" s="426"/>
      <c r="WCO49" s="426"/>
      <c r="WCP49" s="426"/>
      <c r="WCQ49" s="426"/>
      <c r="WCR49" s="426"/>
      <c r="WCS49" s="426"/>
      <c r="WCT49" s="426"/>
      <c r="WCU49" s="426"/>
      <c r="WCV49" s="426"/>
      <c r="WCW49" s="426"/>
      <c r="WCX49" s="426"/>
      <c r="WCY49" s="426"/>
      <c r="WCZ49" s="426"/>
      <c r="WDA49" s="426"/>
      <c r="WDB49" s="426"/>
      <c r="WDC49" s="426"/>
      <c r="WDD49" s="426"/>
      <c r="WDE49" s="426"/>
      <c r="WDF49" s="426"/>
      <c r="WDG49" s="426"/>
      <c r="WDH49" s="426"/>
      <c r="WDI49" s="426"/>
      <c r="WDJ49" s="426"/>
      <c r="WDK49" s="426"/>
      <c r="WDL49" s="426"/>
      <c r="WDM49" s="426"/>
      <c r="WDN49" s="426"/>
      <c r="WDO49" s="426"/>
      <c r="WDP49" s="426"/>
      <c r="WDQ49" s="426"/>
      <c r="WDR49" s="426"/>
      <c r="WDS49" s="426"/>
      <c r="WDT49" s="426"/>
      <c r="WDU49" s="426"/>
      <c r="WDV49" s="426"/>
      <c r="WDW49" s="426"/>
      <c r="WDX49" s="426"/>
      <c r="WDY49" s="426"/>
      <c r="WDZ49" s="426"/>
      <c r="WEA49" s="426"/>
      <c r="WEB49" s="426"/>
      <c r="WEC49" s="426"/>
      <c r="WED49" s="426"/>
      <c r="WEE49" s="426"/>
      <c r="WEF49" s="426"/>
      <c r="WEG49" s="426"/>
      <c r="WEH49" s="426"/>
      <c r="WEI49" s="426"/>
      <c r="WEJ49" s="426"/>
      <c r="WEK49" s="426"/>
      <c r="WEL49" s="426"/>
      <c r="WEM49" s="426"/>
      <c r="WEN49" s="426"/>
      <c r="WEO49" s="426"/>
      <c r="WEP49" s="426"/>
      <c r="WEQ49" s="426"/>
      <c r="WER49" s="426"/>
      <c r="WES49" s="426"/>
      <c r="WET49" s="426"/>
      <c r="WEU49" s="426"/>
      <c r="WEV49" s="426"/>
      <c r="WEW49" s="426"/>
      <c r="WEX49" s="426"/>
      <c r="WEY49" s="426"/>
      <c r="WEZ49" s="426"/>
      <c r="WFA49" s="426"/>
      <c r="WFB49" s="426"/>
      <c r="WFC49" s="426"/>
      <c r="WFD49" s="426"/>
      <c r="WFE49" s="426"/>
      <c r="WFF49" s="426"/>
      <c r="WFG49" s="426"/>
      <c r="WFH49" s="426"/>
      <c r="WFI49" s="426"/>
      <c r="WFJ49" s="426"/>
      <c r="WFK49" s="426"/>
      <c r="WFL49" s="426"/>
      <c r="WFM49" s="426"/>
      <c r="WFN49" s="426"/>
      <c r="WFO49" s="426"/>
      <c r="WFP49" s="426"/>
      <c r="WFQ49" s="426"/>
      <c r="WFR49" s="426"/>
      <c r="WFS49" s="426"/>
      <c r="WFT49" s="426"/>
      <c r="WFU49" s="426"/>
      <c r="WFV49" s="426"/>
      <c r="WFW49" s="426"/>
      <c r="WFX49" s="426"/>
      <c r="WFY49" s="426"/>
      <c r="WFZ49" s="426"/>
      <c r="WGA49" s="426"/>
      <c r="WGB49" s="426"/>
      <c r="WGC49" s="426"/>
      <c r="WGD49" s="426"/>
      <c r="WGE49" s="426"/>
      <c r="WGF49" s="426"/>
      <c r="WGG49" s="426"/>
      <c r="WGH49" s="426"/>
      <c r="WGI49" s="426"/>
      <c r="WGJ49" s="426"/>
      <c r="WGK49" s="426"/>
      <c r="WGL49" s="426"/>
      <c r="WGM49" s="426"/>
      <c r="WGN49" s="426"/>
      <c r="WGO49" s="426"/>
      <c r="WGP49" s="426"/>
      <c r="WGQ49" s="426"/>
      <c r="WGR49" s="426"/>
      <c r="WGS49" s="426"/>
      <c r="WGT49" s="426"/>
      <c r="WGU49" s="426"/>
      <c r="WGV49" s="426"/>
      <c r="WGW49" s="426"/>
      <c r="WGX49" s="426"/>
      <c r="WGY49" s="426"/>
      <c r="WGZ49" s="426"/>
      <c r="WHA49" s="426"/>
      <c r="WHB49" s="426"/>
      <c r="WHC49" s="426"/>
      <c r="WHD49" s="426"/>
      <c r="WHE49" s="426"/>
      <c r="WHF49" s="426"/>
      <c r="WHG49" s="426"/>
      <c r="WHH49" s="426"/>
      <c r="WHI49" s="426"/>
      <c r="WHJ49" s="426"/>
      <c r="WHK49" s="426"/>
      <c r="WHL49" s="426"/>
      <c r="WHM49" s="426"/>
      <c r="WHN49" s="426"/>
      <c r="WHO49" s="426"/>
      <c r="WHP49" s="426"/>
      <c r="WHQ49" s="426"/>
      <c r="WHR49" s="426"/>
      <c r="WHS49" s="426"/>
      <c r="WHT49" s="426"/>
      <c r="WHU49" s="426"/>
      <c r="WHV49" s="426"/>
      <c r="WHW49" s="426"/>
      <c r="WHX49" s="426"/>
      <c r="WHY49" s="426"/>
      <c r="WHZ49" s="426"/>
      <c r="WIA49" s="426"/>
      <c r="WIB49" s="426"/>
      <c r="WIC49" s="426"/>
      <c r="WID49" s="426"/>
      <c r="WIE49" s="426"/>
      <c r="WIF49" s="426"/>
      <c r="WIG49" s="426"/>
      <c r="WIH49" s="426"/>
      <c r="WII49" s="426"/>
      <c r="WIJ49" s="426"/>
      <c r="WIK49" s="426"/>
      <c r="WIL49" s="426"/>
      <c r="WIM49" s="426"/>
      <c r="WIN49" s="426"/>
      <c r="WIO49" s="426"/>
      <c r="WIP49" s="426"/>
      <c r="WIQ49" s="426"/>
      <c r="WIR49" s="426"/>
      <c r="WIS49" s="426"/>
      <c r="WIT49" s="426"/>
      <c r="WIU49" s="426"/>
      <c r="WIV49" s="426"/>
      <c r="WIW49" s="426"/>
      <c r="WIX49" s="426"/>
      <c r="WIY49" s="426"/>
      <c r="WIZ49" s="426"/>
      <c r="WJA49" s="426"/>
      <c r="WJB49" s="426"/>
      <c r="WJC49" s="426"/>
      <c r="WJD49" s="426"/>
      <c r="WJE49" s="426"/>
      <c r="WJF49" s="426"/>
      <c r="WJG49" s="426"/>
      <c r="WJH49" s="426"/>
      <c r="WJI49" s="426"/>
      <c r="WJJ49" s="426"/>
      <c r="WJK49" s="426"/>
      <c r="WJL49" s="426"/>
      <c r="WJM49" s="426"/>
      <c r="WJN49" s="426"/>
      <c r="WJO49" s="426"/>
      <c r="WJP49" s="426"/>
      <c r="WJQ49" s="426"/>
      <c r="WJR49" s="426"/>
      <c r="WJS49" s="426"/>
      <c r="WJT49" s="426"/>
      <c r="WJU49" s="426"/>
      <c r="WJV49" s="426"/>
      <c r="WJW49" s="426"/>
      <c r="WJX49" s="426"/>
      <c r="WJY49" s="426"/>
      <c r="WJZ49" s="426"/>
      <c r="WKA49" s="426"/>
      <c r="WKB49" s="426"/>
      <c r="WKC49" s="426"/>
      <c r="WKD49" s="426"/>
      <c r="WKE49" s="426"/>
      <c r="WKF49" s="426"/>
      <c r="WKG49" s="426"/>
      <c r="WKH49" s="426"/>
      <c r="WKI49" s="426"/>
      <c r="WKJ49" s="426"/>
      <c r="WKK49" s="426"/>
      <c r="WKL49" s="426"/>
      <c r="WKM49" s="426"/>
      <c r="WKN49" s="426"/>
      <c r="WKO49" s="426"/>
      <c r="WKP49" s="426"/>
      <c r="WKQ49" s="426"/>
      <c r="WKR49" s="426"/>
      <c r="WKS49" s="426"/>
      <c r="WKT49" s="426"/>
      <c r="WKU49" s="426"/>
      <c r="WKV49" s="426"/>
      <c r="WKW49" s="426"/>
      <c r="WKX49" s="426"/>
      <c r="WKY49" s="426"/>
      <c r="WKZ49" s="426"/>
      <c r="WLA49" s="426"/>
      <c r="WLB49" s="426"/>
      <c r="WLC49" s="426"/>
      <c r="WLD49" s="426"/>
      <c r="WLE49" s="426"/>
      <c r="WLF49" s="426"/>
      <c r="WLG49" s="426"/>
      <c r="WLH49" s="426"/>
      <c r="WLI49" s="426"/>
      <c r="WLJ49" s="426"/>
      <c r="WLK49" s="426"/>
      <c r="WLL49" s="426"/>
      <c r="WLM49" s="426"/>
      <c r="WLN49" s="426"/>
      <c r="WLO49" s="426"/>
      <c r="WLP49" s="426"/>
      <c r="WLQ49" s="426"/>
      <c r="WLR49" s="426"/>
      <c r="WLS49" s="426"/>
      <c r="WLT49" s="426"/>
      <c r="WLU49" s="426"/>
      <c r="WLV49" s="426"/>
      <c r="WLW49" s="426"/>
      <c r="WLX49" s="426"/>
      <c r="WLY49" s="426"/>
      <c r="WLZ49" s="426"/>
      <c r="WMA49" s="426"/>
      <c r="WMB49" s="426"/>
      <c r="WMC49" s="426"/>
      <c r="WMD49" s="426"/>
      <c r="WME49" s="426"/>
      <c r="WMF49" s="426"/>
      <c r="WMG49" s="426"/>
      <c r="WMH49" s="426"/>
      <c r="WMI49" s="426"/>
      <c r="WMJ49" s="426"/>
      <c r="WMK49" s="426"/>
      <c r="WML49" s="426"/>
      <c r="WMM49" s="426"/>
      <c r="WMN49" s="426"/>
      <c r="WMO49" s="426"/>
      <c r="WMP49" s="426"/>
      <c r="WMQ49" s="426"/>
      <c r="WMR49" s="426"/>
      <c r="WMS49" s="426"/>
      <c r="WMT49" s="426"/>
      <c r="WMU49" s="426"/>
      <c r="WMV49" s="426"/>
      <c r="WMW49" s="426"/>
      <c r="WMX49" s="426"/>
      <c r="WMY49" s="426"/>
      <c r="WMZ49" s="426"/>
      <c r="WNA49" s="426"/>
      <c r="WNB49" s="426"/>
      <c r="WNC49" s="426"/>
      <c r="WND49" s="426"/>
      <c r="WNE49" s="426"/>
      <c r="WNF49" s="426"/>
      <c r="WNG49" s="426"/>
      <c r="WNH49" s="426"/>
      <c r="WNI49" s="426"/>
      <c r="WNJ49" s="426"/>
      <c r="WNK49" s="426"/>
      <c r="WNL49" s="426"/>
      <c r="WNM49" s="426"/>
      <c r="WNN49" s="426"/>
      <c r="WNO49" s="426"/>
      <c r="WNP49" s="426"/>
      <c r="WNQ49" s="426"/>
      <c r="WNR49" s="426"/>
      <c r="WNS49" s="426"/>
      <c r="WNT49" s="426"/>
      <c r="WNU49" s="426"/>
      <c r="WNV49" s="426"/>
      <c r="WNW49" s="426"/>
      <c r="WNX49" s="426"/>
      <c r="WNY49" s="426"/>
      <c r="WNZ49" s="426"/>
      <c r="WOA49" s="426"/>
      <c r="WOB49" s="426"/>
      <c r="WOC49" s="426"/>
      <c r="WOD49" s="426"/>
      <c r="WOE49" s="426"/>
      <c r="WOF49" s="426"/>
      <c r="WOG49" s="426"/>
      <c r="WOH49" s="426"/>
      <c r="WOI49" s="426"/>
      <c r="WOJ49" s="426"/>
      <c r="WOK49" s="426"/>
      <c r="WOL49" s="426"/>
      <c r="WOM49" s="426"/>
      <c r="WON49" s="426"/>
      <c r="WOO49" s="426"/>
      <c r="WOP49" s="426"/>
      <c r="WOQ49" s="426"/>
      <c r="WOR49" s="426"/>
      <c r="WOS49" s="426"/>
      <c r="WOT49" s="426"/>
      <c r="WOU49" s="426"/>
      <c r="WOV49" s="426"/>
      <c r="WOW49" s="426"/>
      <c r="WOX49" s="426"/>
      <c r="WOY49" s="426"/>
      <c r="WOZ49" s="426"/>
      <c r="WPA49" s="426"/>
      <c r="WPB49" s="426"/>
      <c r="WPC49" s="426"/>
      <c r="WPD49" s="426"/>
      <c r="WPE49" s="426"/>
      <c r="WPF49" s="426"/>
      <c r="WPG49" s="426"/>
      <c r="WPH49" s="426"/>
      <c r="WPI49" s="426"/>
      <c r="WPJ49" s="426"/>
      <c r="WPK49" s="426"/>
      <c r="WPL49" s="426"/>
      <c r="WPM49" s="426"/>
      <c r="WPN49" s="426"/>
      <c r="WPO49" s="426"/>
      <c r="WPP49" s="426"/>
      <c r="WPQ49" s="426"/>
      <c r="WPR49" s="426"/>
      <c r="WPS49" s="426"/>
      <c r="WPT49" s="426"/>
      <c r="WPU49" s="426"/>
      <c r="WPV49" s="426"/>
      <c r="WPW49" s="426"/>
      <c r="WPX49" s="426"/>
      <c r="WPY49" s="426"/>
      <c r="WPZ49" s="426"/>
      <c r="WQA49" s="426"/>
      <c r="WQB49" s="426"/>
      <c r="WQC49" s="426"/>
      <c r="WQD49" s="426"/>
      <c r="WQE49" s="426"/>
      <c r="WQF49" s="426"/>
      <c r="WQG49" s="426"/>
      <c r="WQH49" s="426"/>
      <c r="WQI49" s="426"/>
      <c r="WQJ49" s="426"/>
      <c r="WQK49" s="426"/>
      <c r="WQL49" s="426"/>
      <c r="WQM49" s="426"/>
      <c r="WQN49" s="426"/>
      <c r="WQO49" s="426"/>
      <c r="WQP49" s="426"/>
      <c r="WQQ49" s="426"/>
      <c r="WQR49" s="426"/>
      <c r="WQS49" s="426"/>
      <c r="WQT49" s="426"/>
      <c r="WQU49" s="426"/>
      <c r="WQV49" s="426"/>
      <c r="WQW49" s="426"/>
      <c r="WQX49" s="426"/>
      <c r="WQY49" s="426"/>
      <c r="WQZ49" s="426"/>
      <c r="WRA49" s="426"/>
      <c r="WRB49" s="426"/>
      <c r="WRC49" s="426"/>
      <c r="WRD49" s="426"/>
      <c r="WRE49" s="426"/>
      <c r="WRF49" s="426"/>
      <c r="WRG49" s="426"/>
      <c r="WRH49" s="426"/>
      <c r="WRI49" s="426"/>
      <c r="WRJ49" s="426"/>
      <c r="WRK49" s="426"/>
      <c r="WRL49" s="426"/>
      <c r="WRM49" s="426"/>
      <c r="WRN49" s="426"/>
      <c r="WRO49" s="426"/>
      <c r="WRP49" s="426"/>
      <c r="WRQ49" s="426"/>
      <c r="WRR49" s="426"/>
      <c r="WRS49" s="426"/>
      <c r="WRT49" s="426"/>
      <c r="WRU49" s="426"/>
      <c r="WRV49" s="426"/>
      <c r="WRW49" s="426"/>
      <c r="WRX49" s="426"/>
      <c r="WRY49" s="426"/>
      <c r="WRZ49" s="426"/>
      <c r="WSA49" s="426"/>
      <c r="WSB49" s="426"/>
      <c r="WSC49" s="426"/>
      <c r="WSD49" s="426"/>
      <c r="WSE49" s="426"/>
      <c r="WSF49" s="426"/>
      <c r="WSG49" s="426"/>
      <c r="WSH49" s="426"/>
      <c r="WSI49" s="426"/>
      <c r="WSJ49" s="426"/>
      <c r="WSK49" s="426"/>
      <c r="WSL49" s="426"/>
      <c r="WSM49" s="426"/>
      <c r="WSN49" s="426"/>
      <c r="WSO49" s="426"/>
      <c r="WSP49" s="426"/>
      <c r="WSQ49" s="426"/>
      <c r="WSR49" s="426"/>
      <c r="WSS49" s="426"/>
      <c r="WST49" s="426"/>
      <c r="WSU49" s="426"/>
      <c r="WSV49" s="426"/>
      <c r="WSW49" s="426"/>
      <c r="WSX49" s="426"/>
      <c r="WSY49" s="426"/>
      <c r="WSZ49" s="426"/>
      <c r="WTA49" s="426"/>
      <c r="WTB49" s="426"/>
      <c r="WTC49" s="426"/>
      <c r="WTD49" s="426"/>
      <c r="WTE49" s="426"/>
      <c r="WTF49" s="426"/>
      <c r="WTG49" s="426"/>
      <c r="WTH49" s="426"/>
      <c r="WTI49" s="426"/>
      <c r="WTJ49" s="426"/>
      <c r="WTK49" s="426"/>
      <c r="WTL49" s="426"/>
      <c r="WTM49" s="426"/>
      <c r="WTN49" s="426"/>
      <c r="WTO49" s="426"/>
      <c r="WTP49" s="426"/>
      <c r="WTQ49" s="426"/>
      <c r="WTR49" s="426"/>
      <c r="WTS49" s="426"/>
      <c r="WTT49" s="426"/>
      <c r="WTU49" s="426"/>
      <c r="WTV49" s="426"/>
      <c r="WTW49" s="426"/>
      <c r="WTX49" s="426"/>
      <c r="WTY49" s="426"/>
      <c r="WTZ49" s="426"/>
      <c r="WUA49" s="426"/>
      <c r="WUB49" s="426"/>
      <c r="WUC49" s="426"/>
      <c r="WUD49" s="426"/>
      <c r="WUE49" s="426"/>
      <c r="WUF49" s="426"/>
      <c r="WUG49" s="426"/>
      <c r="WUH49" s="426"/>
      <c r="WUI49" s="426"/>
      <c r="WUJ49" s="426"/>
      <c r="WUK49" s="426"/>
      <c r="WUL49" s="426"/>
      <c r="WUM49" s="426"/>
      <c r="WUN49" s="426"/>
      <c r="WUO49" s="426"/>
      <c r="WUP49" s="426"/>
      <c r="WUQ49" s="426"/>
      <c r="WUR49" s="426"/>
      <c r="WUS49" s="426"/>
      <c r="WUT49" s="426"/>
      <c r="WUU49" s="426"/>
      <c r="WUV49" s="426"/>
      <c r="WUW49" s="426"/>
      <c r="WUX49" s="426"/>
      <c r="WUY49" s="426"/>
      <c r="WUZ49" s="426"/>
      <c r="WVA49" s="426"/>
      <c r="WVB49" s="426"/>
      <c r="WVC49" s="426"/>
      <c r="WVD49" s="426"/>
      <c r="WVE49" s="426"/>
      <c r="WVF49" s="426"/>
      <c r="WVG49" s="426"/>
      <c r="WVH49" s="426"/>
      <c r="WVI49" s="426"/>
      <c r="WVJ49" s="426"/>
      <c r="WVK49" s="426"/>
      <c r="WVL49" s="426"/>
      <c r="WVM49" s="426"/>
      <c r="WVN49" s="426"/>
      <c r="WVO49" s="426"/>
      <c r="WVP49" s="426"/>
      <c r="WVQ49" s="426"/>
      <c r="WVR49" s="426"/>
      <c r="WVS49" s="426"/>
      <c r="WVT49" s="426"/>
      <c r="WVU49" s="426"/>
      <c r="WVV49" s="426"/>
      <c r="WVW49" s="426"/>
      <c r="WVX49" s="426"/>
      <c r="WVY49" s="426"/>
      <c r="WVZ49" s="426"/>
      <c r="WWA49" s="426"/>
      <c r="WWB49" s="426"/>
      <c r="WWC49" s="426"/>
      <c r="WWD49" s="426"/>
      <c r="WWE49" s="426"/>
      <c r="WWF49" s="426"/>
      <c r="WWG49" s="426"/>
      <c r="WWH49" s="426"/>
      <c r="WWI49" s="426"/>
      <c r="WWJ49" s="426"/>
      <c r="WWK49" s="426"/>
      <c r="WWL49" s="426"/>
      <c r="WWM49" s="426"/>
      <c r="WWN49" s="426"/>
      <c r="WWO49" s="426"/>
      <c r="WWP49" s="426"/>
      <c r="WWQ49" s="426"/>
      <c r="WWR49" s="426"/>
      <c r="WWS49" s="426"/>
      <c r="WWT49" s="426"/>
      <c r="WWU49" s="426"/>
      <c r="WWV49" s="426"/>
      <c r="WWW49" s="426"/>
      <c r="WWX49" s="426"/>
      <c r="WWY49" s="426"/>
      <c r="WWZ49" s="426"/>
      <c r="WXA49" s="426"/>
      <c r="WXB49" s="426"/>
      <c r="WXC49" s="426"/>
      <c r="WXD49" s="426"/>
      <c r="WXE49" s="426"/>
      <c r="WXF49" s="426"/>
      <c r="WXG49" s="426"/>
      <c r="WXH49" s="426"/>
      <c r="WXI49" s="426"/>
      <c r="WXJ49" s="426"/>
      <c r="WXK49" s="426"/>
      <c r="WXL49" s="426"/>
      <c r="WXM49" s="426"/>
      <c r="WXN49" s="426"/>
      <c r="WXO49" s="426"/>
      <c r="WXP49" s="426"/>
      <c r="WXQ49" s="426"/>
      <c r="WXR49" s="426"/>
      <c r="WXS49" s="426"/>
      <c r="WXT49" s="426"/>
      <c r="WXU49" s="426"/>
      <c r="WXV49" s="426"/>
      <c r="WXW49" s="426"/>
      <c r="WXX49" s="426"/>
      <c r="WXY49" s="426"/>
      <c r="WXZ49" s="426"/>
      <c r="WYA49" s="426"/>
      <c r="WYB49" s="426"/>
      <c r="WYC49" s="426"/>
      <c r="WYD49" s="426"/>
      <c r="WYE49" s="426"/>
      <c r="WYF49" s="426"/>
      <c r="WYG49" s="426"/>
      <c r="WYH49" s="426"/>
      <c r="WYI49" s="426"/>
      <c r="WYJ49" s="426"/>
      <c r="WYK49" s="426"/>
      <c r="WYL49" s="426"/>
      <c r="WYM49" s="426"/>
      <c r="WYN49" s="426"/>
      <c r="WYO49" s="426"/>
      <c r="WYP49" s="426"/>
      <c r="WYQ49" s="426"/>
      <c r="WYR49" s="426"/>
      <c r="WYS49" s="426"/>
      <c r="WYT49" s="426"/>
      <c r="WYU49" s="426"/>
      <c r="WYV49" s="426"/>
      <c r="WYW49" s="426"/>
      <c r="WYX49" s="426"/>
      <c r="WYY49" s="426"/>
      <c r="WYZ49" s="426"/>
      <c r="WZA49" s="426"/>
      <c r="WZB49" s="426"/>
      <c r="WZC49" s="426"/>
      <c r="WZD49" s="426"/>
      <c r="WZE49" s="426"/>
      <c r="WZF49" s="426"/>
      <c r="WZG49" s="426"/>
      <c r="WZH49" s="426"/>
      <c r="WZI49" s="426"/>
      <c r="WZJ49" s="426"/>
      <c r="WZK49" s="426"/>
      <c r="WZL49" s="426"/>
      <c r="WZM49" s="426"/>
      <c r="WZN49" s="426"/>
      <c r="WZO49" s="426"/>
      <c r="WZP49" s="426"/>
      <c r="WZQ49" s="426"/>
      <c r="WZR49" s="426"/>
      <c r="WZS49" s="426"/>
      <c r="WZT49" s="426"/>
      <c r="WZU49" s="426"/>
      <c r="WZV49" s="426"/>
      <c r="WZW49" s="426"/>
      <c r="WZX49" s="426"/>
      <c r="WZY49" s="426"/>
      <c r="WZZ49" s="426"/>
      <c r="XAA49" s="426"/>
      <c r="XAB49" s="426"/>
      <c r="XAC49" s="426"/>
      <c r="XAD49" s="426"/>
      <c r="XAE49" s="426"/>
      <c r="XAF49" s="426"/>
      <c r="XAG49" s="426"/>
      <c r="XAH49" s="426"/>
      <c r="XAI49" s="426"/>
      <c r="XAJ49" s="426"/>
      <c r="XAK49" s="426"/>
      <c r="XAL49" s="426"/>
      <c r="XAM49" s="426"/>
      <c r="XAN49" s="426"/>
      <c r="XAO49" s="426"/>
      <c r="XAP49" s="426"/>
      <c r="XAQ49" s="426"/>
      <c r="XAR49" s="426"/>
      <c r="XAS49" s="426"/>
      <c r="XAT49" s="426"/>
      <c r="XAU49" s="426"/>
      <c r="XAV49" s="426"/>
      <c r="XAW49" s="426"/>
      <c r="XAX49" s="426"/>
      <c r="XAY49" s="426"/>
      <c r="XAZ49" s="426"/>
      <c r="XBA49" s="426"/>
      <c r="XBB49" s="426"/>
      <c r="XBC49" s="426"/>
      <c r="XBD49" s="426"/>
      <c r="XBE49" s="426"/>
      <c r="XBF49" s="426"/>
      <c r="XBG49" s="426"/>
      <c r="XBH49" s="426"/>
      <c r="XBI49" s="426"/>
      <c r="XBJ49" s="426"/>
      <c r="XBK49" s="426"/>
      <c r="XBL49" s="426"/>
      <c r="XBM49" s="426"/>
      <c r="XBN49" s="426"/>
      <c r="XBO49" s="426"/>
      <c r="XBP49" s="426"/>
      <c r="XBQ49" s="426"/>
      <c r="XBR49" s="426"/>
      <c r="XBS49" s="426"/>
      <c r="XBT49" s="426"/>
      <c r="XBU49" s="426"/>
      <c r="XBV49" s="426"/>
      <c r="XBW49" s="426"/>
      <c r="XBX49" s="426"/>
      <c r="XBY49" s="426"/>
      <c r="XBZ49" s="426"/>
      <c r="XCA49" s="426"/>
      <c r="XCB49" s="426"/>
      <c r="XCC49" s="426"/>
      <c r="XCD49" s="426"/>
      <c r="XCE49" s="426"/>
      <c r="XCF49" s="426"/>
      <c r="XCG49" s="426"/>
      <c r="XCH49" s="426"/>
      <c r="XCI49" s="426"/>
      <c r="XCJ49" s="426"/>
      <c r="XCK49" s="426"/>
      <c r="XCL49" s="426"/>
      <c r="XCM49" s="426"/>
      <c r="XCN49" s="426"/>
      <c r="XCO49" s="426"/>
      <c r="XCP49" s="426"/>
      <c r="XCQ49" s="426"/>
      <c r="XCR49" s="426"/>
      <c r="XCS49" s="426"/>
      <c r="XCT49" s="426"/>
      <c r="XCU49" s="426"/>
      <c r="XCV49" s="426"/>
      <c r="XCW49" s="426"/>
      <c r="XCX49" s="426"/>
      <c r="XCY49" s="426"/>
      <c r="XCZ49" s="426"/>
      <c r="XDA49" s="426"/>
      <c r="XDB49" s="426"/>
      <c r="XDC49" s="426"/>
      <c r="XDD49" s="426"/>
      <c r="XDE49" s="426"/>
      <c r="XDF49" s="426"/>
      <c r="XDG49" s="426"/>
      <c r="XDH49" s="426"/>
      <c r="XDI49" s="426"/>
      <c r="XDJ49" s="426"/>
      <c r="XDK49" s="426"/>
      <c r="XDL49" s="426"/>
      <c r="XDM49" s="426"/>
      <c r="XDN49" s="426"/>
      <c r="XDO49" s="426"/>
      <c r="XDP49" s="426"/>
      <c r="XDQ49" s="426"/>
      <c r="XDR49" s="426"/>
      <c r="XDS49" s="426"/>
      <c r="XDT49" s="426"/>
      <c r="XDU49" s="426"/>
      <c r="XDV49" s="426"/>
      <c r="XDW49" s="426"/>
      <c r="XDX49" s="426"/>
      <c r="XDY49" s="426"/>
      <c r="XDZ49" s="426"/>
      <c r="XEA49" s="426"/>
      <c r="XEB49" s="426"/>
      <c r="XEC49" s="426"/>
      <c r="XED49" s="426"/>
      <c r="XEE49" s="426"/>
      <c r="XEF49" s="426"/>
      <c r="XEG49" s="426"/>
      <c r="XEH49" s="426"/>
      <c r="XEI49" s="426"/>
      <c r="XEJ49" s="426"/>
      <c r="XEK49" s="426"/>
      <c r="XEL49" s="426"/>
      <c r="XEM49" s="426"/>
      <c r="XEN49" s="426"/>
      <c r="XEO49" s="426"/>
      <c r="XEP49" s="426"/>
      <c r="XEQ49" s="426"/>
      <c r="XER49" s="426"/>
      <c r="XES49" s="426"/>
      <c r="XET49" s="426"/>
      <c r="XEU49" s="426"/>
      <c r="XEV49" s="426"/>
      <c r="XEW49" s="426"/>
      <c r="XEX49" s="426"/>
      <c r="XEY49" s="426"/>
      <c r="XEZ49" s="426"/>
      <c r="XFA49" s="426"/>
      <c r="XFB49" s="426"/>
      <c r="XFC49" s="426"/>
      <c r="XFD49" s="426"/>
    </row>
    <row r="50" spans="1:16384">
      <c r="A50" s="426"/>
      <c r="B50" s="426"/>
      <c r="C50" s="426"/>
      <c r="D50" s="426"/>
      <c r="E50" s="426"/>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426"/>
      <c r="GY50" s="426"/>
      <c r="GZ50" s="426"/>
      <c r="HA50" s="426"/>
      <c r="HB50" s="426"/>
      <c r="HC50" s="426"/>
      <c r="HD50" s="426"/>
      <c r="HE50" s="426"/>
      <c r="HF50" s="426"/>
      <c r="HG50" s="426"/>
      <c r="HH50" s="426"/>
      <c r="HI50" s="426"/>
      <c r="HJ50" s="426"/>
      <c r="HK50" s="426"/>
      <c r="HL50" s="426"/>
      <c r="HM50" s="426"/>
      <c r="HN50" s="426"/>
      <c r="HO50" s="426"/>
      <c r="HP50" s="426"/>
      <c r="HQ50" s="426"/>
      <c r="HR50" s="426"/>
      <c r="HS50" s="426"/>
      <c r="HT50" s="426"/>
      <c r="HU50" s="426"/>
      <c r="HV50" s="426"/>
      <c r="HW50" s="426"/>
      <c r="HX50" s="426"/>
      <c r="HY50" s="426"/>
      <c r="HZ50" s="426"/>
      <c r="IA50" s="426"/>
      <c r="IB50" s="426"/>
      <c r="IC50" s="426"/>
      <c r="ID50" s="426"/>
      <c r="IE50" s="426"/>
      <c r="IF50" s="426"/>
      <c r="IG50" s="426"/>
      <c r="IH50" s="426"/>
      <c r="II50" s="426"/>
      <c r="IJ50" s="426"/>
      <c r="IK50" s="426"/>
      <c r="IL50" s="426"/>
      <c r="IM50" s="426"/>
      <c r="IN50" s="426"/>
      <c r="IO50" s="426"/>
      <c r="IP50" s="426"/>
      <c r="IQ50" s="426"/>
      <c r="IR50" s="426"/>
      <c r="IS50" s="426"/>
      <c r="IT50" s="426"/>
      <c r="IU50" s="426"/>
      <c r="IV50" s="426"/>
      <c r="IW50" s="426"/>
      <c r="IX50" s="426"/>
      <c r="IY50" s="426"/>
      <c r="IZ50" s="426"/>
      <c r="JA50" s="426"/>
      <c r="JB50" s="426"/>
      <c r="JC50" s="426"/>
      <c r="JD50" s="426"/>
      <c r="JE50" s="426"/>
      <c r="JF50" s="426"/>
      <c r="JG50" s="426"/>
      <c r="JH50" s="426"/>
      <c r="JI50" s="426"/>
      <c r="JJ50" s="426"/>
      <c r="JK50" s="426"/>
      <c r="JL50" s="426"/>
      <c r="JM50" s="426"/>
      <c r="JN50" s="426"/>
      <c r="JO50" s="426"/>
      <c r="JP50" s="426"/>
      <c r="JQ50" s="426"/>
      <c r="JR50" s="426"/>
      <c r="JS50" s="426"/>
      <c r="JT50" s="426"/>
      <c r="JU50" s="426"/>
      <c r="JV50" s="426"/>
      <c r="JW50" s="426"/>
      <c r="JX50" s="426"/>
      <c r="JY50" s="426"/>
      <c r="JZ50" s="426"/>
      <c r="KA50" s="426"/>
      <c r="KB50" s="426"/>
      <c r="KC50" s="426"/>
      <c r="KD50" s="426"/>
      <c r="KE50" s="426"/>
      <c r="KF50" s="426"/>
      <c r="KG50" s="426"/>
      <c r="KH50" s="426"/>
      <c r="KI50" s="426"/>
      <c r="KJ50" s="426"/>
      <c r="KK50" s="426"/>
      <c r="KL50" s="426"/>
      <c r="KM50" s="426"/>
      <c r="KN50" s="426"/>
      <c r="KO50" s="426"/>
      <c r="KP50" s="426"/>
      <c r="KQ50" s="426"/>
      <c r="KR50" s="426"/>
      <c r="KS50" s="426"/>
      <c r="KT50" s="426"/>
      <c r="KU50" s="426"/>
      <c r="KV50" s="426"/>
      <c r="KW50" s="426"/>
      <c r="KX50" s="426"/>
      <c r="KY50" s="426"/>
      <c r="KZ50" s="426"/>
      <c r="LA50" s="426"/>
      <c r="LB50" s="426"/>
      <c r="LC50" s="426"/>
      <c r="LD50" s="426"/>
      <c r="LE50" s="426"/>
      <c r="LF50" s="426"/>
      <c r="LG50" s="426"/>
      <c r="LH50" s="426"/>
      <c r="LI50" s="426"/>
      <c r="LJ50" s="426"/>
      <c r="LK50" s="426"/>
      <c r="LL50" s="426"/>
      <c r="LM50" s="426"/>
      <c r="LN50" s="426"/>
      <c r="LO50" s="426"/>
      <c r="LP50" s="426"/>
      <c r="LQ50" s="426"/>
      <c r="LR50" s="426"/>
      <c r="LS50" s="426"/>
      <c r="LT50" s="426"/>
      <c r="LU50" s="426"/>
      <c r="LV50" s="426"/>
      <c r="LW50" s="426"/>
      <c r="LX50" s="426"/>
      <c r="LY50" s="426"/>
      <c r="LZ50" s="426"/>
      <c r="MA50" s="426"/>
      <c r="MB50" s="426"/>
      <c r="MC50" s="426"/>
      <c r="MD50" s="426"/>
      <c r="ME50" s="426"/>
      <c r="MF50" s="426"/>
      <c r="MG50" s="426"/>
      <c r="MH50" s="426"/>
      <c r="MI50" s="426"/>
      <c r="MJ50" s="426"/>
      <c r="MK50" s="426"/>
      <c r="ML50" s="426"/>
      <c r="MM50" s="426"/>
      <c r="MN50" s="426"/>
      <c r="MO50" s="426"/>
      <c r="MP50" s="426"/>
      <c r="MQ50" s="426"/>
      <c r="MR50" s="426"/>
      <c r="MS50" s="426"/>
      <c r="MT50" s="426"/>
      <c r="MU50" s="426"/>
      <c r="MV50" s="426"/>
      <c r="MW50" s="426"/>
      <c r="MX50" s="426"/>
      <c r="MY50" s="426"/>
      <c r="MZ50" s="426"/>
      <c r="NA50" s="426"/>
      <c r="NB50" s="426"/>
      <c r="NC50" s="426"/>
      <c r="ND50" s="426"/>
      <c r="NE50" s="426"/>
      <c r="NF50" s="426"/>
      <c r="NG50" s="426"/>
      <c r="NH50" s="426"/>
      <c r="NI50" s="426"/>
      <c r="NJ50" s="426"/>
      <c r="NK50" s="426"/>
      <c r="NL50" s="426"/>
      <c r="NM50" s="426"/>
      <c r="NN50" s="426"/>
      <c r="NO50" s="426"/>
      <c r="NP50" s="426"/>
      <c r="NQ50" s="426"/>
      <c r="NR50" s="426"/>
      <c r="NS50" s="426"/>
      <c r="NT50" s="426"/>
      <c r="NU50" s="426"/>
      <c r="NV50" s="426"/>
      <c r="NW50" s="426"/>
      <c r="NX50" s="426"/>
      <c r="NY50" s="426"/>
      <c r="NZ50" s="426"/>
      <c r="OA50" s="426"/>
      <c r="OB50" s="426"/>
      <c r="OC50" s="426"/>
      <c r="OD50" s="426"/>
      <c r="OE50" s="426"/>
      <c r="OF50" s="426"/>
      <c r="OG50" s="426"/>
      <c r="OH50" s="426"/>
      <c r="OI50" s="426"/>
      <c r="OJ50" s="426"/>
      <c r="OK50" s="426"/>
      <c r="OL50" s="426"/>
      <c r="OM50" s="426"/>
      <c r="ON50" s="426"/>
      <c r="OO50" s="426"/>
      <c r="OP50" s="426"/>
      <c r="OQ50" s="426"/>
      <c r="OR50" s="426"/>
      <c r="OS50" s="426"/>
      <c r="OT50" s="426"/>
      <c r="OU50" s="426"/>
      <c r="OV50" s="426"/>
      <c r="OW50" s="426"/>
      <c r="OX50" s="426"/>
      <c r="OY50" s="426"/>
      <c r="OZ50" s="426"/>
      <c r="PA50" s="426"/>
      <c r="PB50" s="426"/>
      <c r="PC50" s="426"/>
      <c r="PD50" s="426"/>
      <c r="PE50" s="426"/>
      <c r="PF50" s="426"/>
      <c r="PG50" s="426"/>
      <c r="PH50" s="426"/>
      <c r="PI50" s="426"/>
      <c r="PJ50" s="426"/>
      <c r="PK50" s="426"/>
      <c r="PL50" s="426"/>
      <c r="PM50" s="426"/>
      <c r="PN50" s="426"/>
      <c r="PO50" s="426"/>
      <c r="PP50" s="426"/>
      <c r="PQ50" s="426"/>
      <c r="PR50" s="426"/>
      <c r="PS50" s="426"/>
      <c r="PT50" s="426"/>
      <c r="PU50" s="426"/>
      <c r="PV50" s="426"/>
      <c r="PW50" s="426"/>
      <c r="PX50" s="426"/>
      <c r="PY50" s="426"/>
      <c r="PZ50" s="426"/>
      <c r="QA50" s="426"/>
      <c r="QB50" s="426"/>
      <c r="QC50" s="426"/>
      <c r="QD50" s="426"/>
      <c r="QE50" s="426"/>
      <c r="QF50" s="426"/>
      <c r="QG50" s="426"/>
      <c r="QH50" s="426"/>
      <c r="QI50" s="426"/>
      <c r="QJ50" s="426"/>
      <c r="QK50" s="426"/>
      <c r="QL50" s="426"/>
      <c r="QM50" s="426"/>
      <c r="QN50" s="426"/>
      <c r="QO50" s="426"/>
      <c r="QP50" s="426"/>
      <c r="QQ50" s="426"/>
      <c r="QR50" s="426"/>
      <c r="QS50" s="426"/>
      <c r="QT50" s="426"/>
      <c r="QU50" s="426"/>
      <c r="QV50" s="426"/>
      <c r="QW50" s="426"/>
      <c r="QX50" s="426"/>
      <c r="QY50" s="426"/>
      <c r="QZ50" s="426"/>
      <c r="RA50" s="426"/>
      <c r="RB50" s="426"/>
      <c r="RC50" s="426"/>
      <c r="RD50" s="426"/>
      <c r="RE50" s="426"/>
      <c r="RF50" s="426"/>
      <c r="RG50" s="426"/>
      <c r="RH50" s="426"/>
      <c r="RI50" s="426"/>
      <c r="RJ50" s="426"/>
      <c r="RK50" s="426"/>
      <c r="RL50" s="426"/>
      <c r="RM50" s="426"/>
      <c r="RN50" s="426"/>
      <c r="RO50" s="426"/>
      <c r="RP50" s="426"/>
      <c r="RQ50" s="426"/>
      <c r="RR50" s="426"/>
      <c r="RS50" s="426"/>
      <c r="RT50" s="426"/>
      <c r="RU50" s="426"/>
      <c r="RV50" s="426"/>
      <c r="RW50" s="426"/>
      <c r="RX50" s="426"/>
      <c r="RY50" s="426"/>
      <c r="RZ50" s="426"/>
      <c r="SA50" s="426"/>
      <c r="SB50" s="426"/>
      <c r="SC50" s="426"/>
      <c r="SD50" s="426"/>
      <c r="SE50" s="426"/>
      <c r="SF50" s="426"/>
      <c r="SG50" s="426"/>
      <c r="SH50" s="426"/>
      <c r="SI50" s="426"/>
      <c r="SJ50" s="426"/>
      <c r="SK50" s="426"/>
      <c r="SL50" s="426"/>
      <c r="SM50" s="426"/>
      <c r="SN50" s="426"/>
      <c r="SO50" s="426"/>
      <c r="SP50" s="426"/>
      <c r="SQ50" s="426"/>
      <c r="SR50" s="426"/>
      <c r="SS50" s="426"/>
      <c r="ST50" s="426"/>
      <c r="SU50" s="426"/>
      <c r="SV50" s="426"/>
      <c r="SW50" s="426"/>
      <c r="SX50" s="426"/>
      <c r="SY50" s="426"/>
      <c r="SZ50" s="426"/>
      <c r="TA50" s="426"/>
      <c r="TB50" s="426"/>
      <c r="TC50" s="426"/>
      <c r="TD50" s="426"/>
      <c r="TE50" s="426"/>
      <c r="TF50" s="426"/>
      <c r="TG50" s="426"/>
      <c r="TH50" s="426"/>
      <c r="TI50" s="426"/>
      <c r="TJ50" s="426"/>
      <c r="TK50" s="426"/>
      <c r="TL50" s="426"/>
      <c r="TM50" s="426"/>
      <c r="TN50" s="426"/>
      <c r="TO50" s="426"/>
      <c r="TP50" s="426"/>
      <c r="TQ50" s="426"/>
      <c r="TR50" s="426"/>
      <c r="TS50" s="426"/>
      <c r="TT50" s="426"/>
      <c r="TU50" s="426"/>
      <c r="TV50" s="426"/>
      <c r="TW50" s="426"/>
      <c r="TX50" s="426"/>
      <c r="TY50" s="426"/>
      <c r="TZ50" s="426"/>
      <c r="UA50" s="426"/>
      <c r="UB50" s="426"/>
      <c r="UC50" s="426"/>
      <c r="UD50" s="426"/>
      <c r="UE50" s="426"/>
      <c r="UF50" s="426"/>
      <c r="UG50" s="426"/>
      <c r="UH50" s="426"/>
      <c r="UI50" s="426"/>
      <c r="UJ50" s="426"/>
      <c r="UK50" s="426"/>
      <c r="UL50" s="426"/>
      <c r="UM50" s="426"/>
      <c r="UN50" s="426"/>
      <c r="UO50" s="426"/>
      <c r="UP50" s="426"/>
      <c r="UQ50" s="426"/>
      <c r="UR50" s="426"/>
      <c r="US50" s="426"/>
      <c r="UT50" s="426"/>
      <c r="UU50" s="426"/>
      <c r="UV50" s="426"/>
      <c r="UW50" s="426"/>
      <c r="UX50" s="426"/>
      <c r="UY50" s="426"/>
      <c r="UZ50" s="426"/>
      <c r="VA50" s="426"/>
      <c r="VB50" s="426"/>
      <c r="VC50" s="426"/>
      <c r="VD50" s="426"/>
      <c r="VE50" s="426"/>
      <c r="VF50" s="426"/>
      <c r="VG50" s="426"/>
      <c r="VH50" s="426"/>
      <c r="VI50" s="426"/>
      <c r="VJ50" s="426"/>
      <c r="VK50" s="426"/>
      <c r="VL50" s="426"/>
      <c r="VM50" s="426"/>
      <c r="VN50" s="426"/>
      <c r="VO50" s="426"/>
      <c r="VP50" s="426"/>
      <c r="VQ50" s="426"/>
      <c r="VR50" s="426"/>
      <c r="VS50" s="426"/>
      <c r="VT50" s="426"/>
      <c r="VU50" s="426"/>
      <c r="VV50" s="426"/>
      <c r="VW50" s="426"/>
      <c r="VX50" s="426"/>
      <c r="VY50" s="426"/>
      <c r="VZ50" s="426"/>
      <c r="WA50" s="426"/>
      <c r="WB50" s="426"/>
      <c r="WC50" s="426"/>
      <c r="WD50" s="426"/>
      <c r="WE50" s="426"/>
      <c r="WF50" s="426"/>
      <c r="WG50" s="426"/>
      <c r="WH50" s="426"/>
      <c r="WI50" s="426"/>
      <c r="WJ50" s="426"/>
      <c r="WK50" s="426"/>
      <c r="WL50" s="426"/>
      <c r="WM50" s="426"/>
      <c r="WN50" s="426"/>
      <c r="WO50" s="426"/>
      <c r="WP50" s="426"/>
      <c r="WQ50" s="426"/>
      <c r="WR50" s="426"/>
      <c r="WS50" s="426"/>
      <c r="WT50" s="426"/>
      <c r="WU50" s="426"/>
      <c r="WV50" s="426"/>
      <c r="WW50" s="426"/>
      <c r="WX50" s="426"/>
      <c r="WY50" s="426"/>
      <c r="WZ50" s="426"/>
      <c r="XA50" s="426"/>
      <c r="XB50" s="426"/>
      <c r="XC50" s="426"/>
      <c r="XD50" s="426"/>
      <c r="XE50" s="426"/>
      <c r="XF50" s="426"/>
      <c r="XG50" s="426"/>
      <c r="XH50" s="426"/>
      <c r="XI50" s="426"/>
      <c r="XJ50" s="426"/>
      <c r="XK50" s="426"/>
      <c r="XL50" s="426"/>
      <c r="XM50" s="426"/>
      <c r="XN50" s="426"/>
      <c r="XO50" s="426"/>
      <c r="XP50" s="426"/>
      <c r="XQ50" s="426"/>
      <c r="XR50" s="426"/>
      <c r="XS50" s="426"/>
      <c r="XT50" s="426"/>
      <c r="XU50" s="426"/>
      <c r="XV50" s="426"/>
      <c r="XW50" s="426"/>
      <c r="XX50" s="426"/>
      <c r="XY50" s="426"/>
      <c r="XZ50" s="426"/>
      <c r="YA50" s="426"/>
      <c r="YB50" s="426"/>
      <c r="YC50" s="426"/>
      <c r="YD50" s="426"/>
      <c r="YE50" s="426"/>
      <c r="YF50" s="426"/>
      <c r="YG50" s="426"/>
      <c r="YH50" s="426"/>
      <c r="YI50" s="426"/>
      <c r="YJ50" s="426"/>
      <c r="YK50" s="426"/>
      <c r="YL50" s="426"/>
      <c r="YM50" s="426"/>
      <c r="YN50" s="426"/>
      <c r="YO50" s="426"/>
      <c r="YP50" s="426"/>
      <c r="YQ50" s="426"/>
      <c r="YR50" s="426"/>
      <c r="YS50" s="426"/>
      <c r="YT50" s="426"/>
      <c r="YU50" s="426"/>
      <c r="YV50" s="426"/>
      <c r="YW50" s="426"/>
      <c r="YX50" s="426"/>
      <c r="YY50" s="426"/>
      <c r="YZ50" s="426"/>
      <c r="ZA50" s="426"/>
      <c r="ZB50" s="426"/>
      <c r="ZC50" s="426"/>
      <c r="ZD50" s="426"/>
      <c r="ZE50" s="426"/>
      <c r="ZF50" s="426"/>
      <c r="ZG50" s="426"/>
      <c r="ZH50" s="426"/>
      <c r="ZI50" s="426"/>
      <c r="ZJ50" s="426"/>
      <c r="ZK50" s="426"/>
      <c r="ZL50" s="426"/>
      <c r="ZM50" s="426"/>
      <c r="ZN50" s="426"/>
      <c r="ZO50" s="426"/>
      <c r="ZP50" s="426"/>
      <c r="ZQ50" s="426"/>
      <c r="ZR50" s="426"/>
      <c r="ZS50" s="426"/>
      <c r="ZT50" s="426"/>
      <c r="ZU50" s="426"/>
      <c r="ZV50" s="426"/>
      <c r="ZW50" s="426"/>
      <c r="ZX50" s="426"/>
      <c r="ZY50" s="426"/>
      <c r="ZZ50" s="426"/>
      <c r="AAA50" s="426"/>
      <c r="AAB50" s="426"/>
      <c r="AAC50" s="426"/>
      <c r="AAD50" s="426"/>
      <c r="AAE50" s="426"/>
      <c r="AAF50" s="426"/>
      <c r="AAG50" s="426"/>
      <c r="AAH50" s="426"/>
      <c r="AAI50" s="426"/>
      <c r="AAJ50" s="426"/>
      <c r="AAK50" s="426"/>
      <c r="AAL50" s="426"/>
      <c r="AAM50" s="426"/>
      <c r="AAN50" s="426"/>
      <c r="AAO50" s="426"/>
      <c r="AAP50" s="426"/>
      <c r="AAQ50" s="426"/>
      <c r="AAR50" s="426"/>
      <c r="AAS50" s="426"/>
      <c r="AAT50" s="426"/>
      <c r="AAU50" s="426"/>
      <c r="AAV50" s="426"/>
      <c r="AAW50" s="426"/>
      <c r="AAX50" s="426"/>
      <c r="AAY50" s="426"/>
      <c r="AAZ50" s="426"/>
      <c r="ABA50" s="426"/>
      <c r="ABB50" s="426"/>
      <c r="ABC50" s="426"/>
      <c r="ABD50" s="426"/>
      <c r="ABE50" s="426"/>
      <c r="ABF50" s="426"/>
      <c r="ABG50" s="426"/>
      <c r="ABH50" s="426"/>
      <c r="ABI50" s="426"/>
      <c r="ABJ50" s="426"/>
      <c r="ABK50" s="426"/>
      <c r="ABL50" s="426"/>
      <c r="ABM50" s="426"/>
      <c r="ABN50" s="426"/>
      <c r="ABO50" s="426"/>
      <c r="ABP50" s="426"/>
      <c r="ABQ50" s="426"/>
      <c r="ABR50" s="426"/>
      <c r="ABS50" s="426"/>
      <c r="ABT50" s="426"/>
      <c r="ABU50" s="426"/>
      <c r="ABV50" s="426"/>
      <c r="ABW50" s="426"/>
      <c r="ABX50" s="426"/>
      <c r="ABY50" s="426"/>
      <c r="ABZ50" s="426"/>
      <c r="ACA50" s="426"/>
      <c r="ACB50" s="426"/>
      <c r="ACC50" s="426"/>
      <c r="ACD50" s="426"/>
      <c r="ACE50" s="426"/>
      <c r="ACF50" s="426"/>
      <c r="ACG50" s="426"/>
      <c r="ACH50" s="426"/>
      <c r="ACI50" s="426"/>
      <c r="ACJ50" s="426"/>
      <c r="ACK50" s="426"/>
      <c r="ACL50" s="426"/>
      <c r="ACM50" s="426"/>
      <c r="ACN50" s="426"/>
      <c r="ACO50" s="426"/>
      <c r="ACP50" s="426"/>
      <c r="ACQ50" s="426"/>
      <c r="ACR50" s="426"/>
      <c r="ACS50" s="426"/>
      <c r="ACT50" s="426"/>
      <c r="ACU50" s="426"/>
      <c r="ACV50" s="426"/>
      <c r="ACW50" s="426"/>
      <c r="ACX50" s="426"/>
      <c r="ACY50" s="426"/>
      <c r="ACZ50" s="426"/>
      <c r="ADA50" s="426"/>
      <c r="ADB50" s="426"/>
      <c r="ADC50" s="426"/>
      <c r="ADD50" s="426"/>
      <c r="ADE50" s="426"/>
      <c r="ADF50" s="426"/>
      <c r="ADG50" s="426"/>
      <c r="ADH50" s="426"/>
      <c r="ADI50" s="426"/>
      <c r="ADJ50" s="426"/>
      <c r="ADK50" s="426"/>
      <c r="ADL50" s="426"/>
      <c r="ADM50" s="426"/>
      <c r="ADN50" s="426"/>
      <c r="ADO50" s="426"/>
      <c r="ADP50" s="426"/>
      <c r="ADQ50" s="426"/>
      <c r="ADR50" s="426"/>
      <c r="ADS50" s="426"/>
      <c r="ADT50" s="426"/>
      <c r="ADU50" s="426"/>
      <c r="ADV50" s="426"/>
      <c r="ADW50" s="426"/>
      <c r="ADX50" s="426"/>
      <c r="ADY50" s="426"/>
      <c r="ADZ50" s="426"/>
      <c r="AEA50" s="426"/>
      <c r="AEB50" s="426"/>
      <c r="AEC50" s="426"/>
      <c r="AED50" s="426"/>
      <c r="AEE50" s="426"/>
      <c r="AEF50" s="426"/>
      <c r="AEG50" s="426"/>
      <c r="AEH50" s="426"/>
      <c r="AEI50" s="426"/>
      <c r="AEJ50" s="426"/>
      <c r="AEK50" s="426"/>
      <c r="AEL50" s="426"/>
      <c r="AEM50" s="426"/>
      <c r="AEN50" s="426"/>
      <c r="AEO50" s="426"/>
      <c r="AEP50" s="426"/>
      <c r="AEQ50" s="426"/>
      <c r="AER50" s="426"/>
      <c r="AES50" s="426"/>
      <c r="AET50" s="426"/>
      <c r="AEU50" s="426"/>
      <c r="AEV50" s="426"/>
      <c r="AEW50" s="426"/>
      <c r="AEX50" s="426"/>
      <c r="AEY50" s="426"/>
      <c r="AEZ50" s="426"/>
      <c r="AFA50" s="426"/>
      <c r="AFB50" s="426"/>
      <c r="AFC50" s="426"/>
      <c r="AFD50" s="426"/>
      <c r="AFE50" s="426"/>
      <c r="AFF50" s="426"/>
      <c r="AFG50" s="426"/>
      <c r="AFH50" s="426"/>
      <c r="AFI50" s="426"/>
      <c r="AFJ50" s="426"/>
      <c r="AFK50" s="426"/>
      <c r="AFL50" s="426"/>
      <c r="AFM50" s="426"/>
      <c r="AFN50" s="426"/>
      <c r="AFO50" s="426"/>
      <c r="AFP50" s="426"/>
      <c r="AFQ50" s="426"/>
      <c r="AFR50" s="426"/>
      <c r="AFS50" s="426"/>
      <c r="AFT50" s="426"/>
      <c r="AFU50" s="426"/>
      <c r="AFV50" s="426"/>
      <c r="AFW50" s="426"/>
      <c r="AFX50" s="426"/>
      <c r="AFY50" s="426"/>
      <c r="AFZ50" s="426"/>
      <c r="AGA50" s="426"/>
      <c r="AGB50" s="426"/>
      <c r="AGC50" s="426"/>
      <c r="AGD50" s="426"/>
      <c r="AGE50" s="426"/>
      <c r="AGF50" s="426"/>
      <c r="AGG50" s="426"/>
      <c r="AGH50" s="426"/>
      <c r="AGI50" s="426"/>
      <c r="AGJ50" s="426"/>
      <c r="AGK50" s="426"/>
      <c r="AGL50" s="426"/>
      <c r="AGM50" s="426"/>
      <c r="AGN50" s="426"/>
      <c r="AGO50" s="426"/>
      <c r="AGP50" s="426"/>
      <c r="AGQ50" s="426"/>
      <c r="AGR50" s="426"/>
      <c r="AGS50" s="426"/>
      <c r="AGT50" s="426"/>
      <c r="AGU50" s="426"/>
      <c r="AGV50" s="426"/>
      <c r="AGW50" s="426"/>
      <c r="AGX50" s="426"/>
      <c r="AGY50" s="426"/>
      <c r="AGZ50" s="426"/>
      <c r="AHA50" s="426"/>
      <c r="AHB50" s="426"/>
      <c r="AHC50" s="426"/>
      <c r="AHD50" s="426"/>
      <c r="AHE50" s="426"/>
      <c r="AHF50" s="426"/>
      <c r="AHG50" s="426"/>
      <c r="AHH50" s="426"/>
      <c r="AHI50" s="426"/>
      <c r="AHJ50" s="426"/>
      <c r="AHK50" s="426"/>
      <c r="AHL50" s="426"/>
      <c r="AHM50" s="426"/>
      <c r="AHN50" s="426"/>
      <c r="AHO50" s="426"/>
      <c r="AHP50" s="426"/>
      <c r="AHQ50" s="426"/>
      <c r="AHR50" s="426"/>
      <c r="AHS50" s="426"/>
      <c r="AHT50" s="426"/>
      <c r="AHU50" s="426"/>
      <c r="AHV50" s="426"/>
      <c r="AHW50" s="426"/>
      <c r="AHX50" s="426"/>
      <c r="AHY50" s="426"/>
      <c r="AHZ50" s="426"/>
      <c r="AIA50" s="426"/>
      <c r="AIB50" s="426"/>
      <c r="AIC50" s="426"/>
      <c r="AID50" s="426"/>
      <c r="AIE50" s="426"/>
      <c r="AIF50" s="426"/>
      <c r="AIG50" s="426"/>
      <c r="AIH50" s="426"/>
      <c r="AII50" s="426"/>
      <c r="AIJ50" s="426"/>
      <c r="AIK50" s="426"/>
      <c r="AIL50" s="426"/>
      <c r="AIM50" s="426"/>
      <c r="AIN50" s="426"/>
      <c r="AIO50" s="426"/>
      <c r="AIP50" s="426"/>
      <c r="AIQ50" s="426"/>
      <c r="AIR50" s="426"/>
      <c r="AIS50" s="426"/>
      <c r="AIT50" s="426"/>
      <c r="AIU50" s="426"/>
      <c r="AIV50" s="426"/>
      <c r="AIW50" s="426"/>
      <c r="AIX50" s="426"/>
      <c r="AIY50" s="426"/>
      <c r="AIZ50" s="426"/>
      <c r="AJA50" s="426"/>
      <c r="AJB50" s="426"/>
      <c r="AJC50" s="426"/>
      <c r="AJD50" s="426"/>
      <c r="AJE50" s="426"/>
      <c r="AJF50" s="426"/>
      <c r="AJG50" s="426"/>
      <c r="AJH50" s="426"/>
      <c r="AJI50" s="426"/>
      <c r="AJJ50" s="426"/>
      <c r="AJK50" s="426"/>
      <c r="AJL50" s="426"/>
      <c r="AJM50" s="426"/>
      <c r="AJN50" s="426"/>
      <c r="AJO50" s="426"/>
      <c r="AJP50" s="426"/>
      <c r="AJQ50" s="426"/>
      <c r="AJR50" s="426"/>
      <c r="AJS50" s="426"/>
      <c r="AJT50" s="426"/>
      <c r="AJU50" s="426"/>
      <c r="AJV50" s="426"/>
      <c r="AJW50" s="426"/>
      <c r="AJX50" s="426"/>
      <c r="AJY50" s="426"/>
      <c r="AJZ50" s="426"/>
      <c r="AKA50" s="426"/>
      <c r="AKB50" s="426"/>
      <c r="AKC50" s="426"/>
      <c r="AKD50" s="426"/>
      <c r="AKE50" s="426"/>
      <c r="AKF50" s="426"/>
      <c r="AKG50" s="426"/>
      <c r="AKH50" s="426"/>
      <c r="AKI50" s="426"/>
      <c r="AKJ50" s="426"/>
      <c r="AKK50" s="426"/>
      <c r="AKL50" s="426"/>
      <c r="AKM50" s="426"/>
      <c r="AKN50" s="426"/>
      <c r="AKO50" s="426"/>
      <c r="AKP50" s="426"/>
      <c r="AKQ50" s="426"/>
      <c r="AKR50" s="426"/>
      <c r="AKS50" s="426"/>
      <c r="AKT50" s="426"/>
      <c r="AKU50" s="426"/>
      <c r="AKV50" s="426"/>
      <c r="AKW50" s="426"/>
      <c r="AKX50" s="426"/>
      <c r="AKY50" s="426"/>
      <c r="AKZ50" s="426"/>
      <c r="ALA50" s="426"/>
      <c r="ALB50" s="426"/>
      <c r="ALC50" s="426"/>
      <c r="ALD50" s="426"/>
      <c r="ALE50" s="426"/>
      <c r="ALF50" s="426"/>
      <c r="ALG50" s="426"/>
      <c r="ALH50" s="426"/>
      <c r="ALI50" s="426"/>
      <c r="ALJ50" s="426"/>
      <c r="ALK50" s="426"/>
      <c r="ALL50" s="426"/>
      <c r="ALM50" s="426"/>
      <c r="ALN50" s="426"/>
      <c r="ALO50" s="426"/>
      <c r="ALP50" s="426"/>
      <c r="ALQ50" s="426"/>
      <c r="ALR50" s="426"/>
      <c r="ALS50" s="426"/>
      <c r="ALT50" s="426"/>
      <c r="ALU50" s="426"/>
      <c r="ALV50" s="426"/>
      <c r="ALW50" s="426"/>
      <c r="ALX50" s="426"/>
      <c r="ALY50" s="426"/>
      <c r="ALZ50" s="426"/>
      <c r="AMA50" s="426"/>
      <c r="AMB50" s="426"/>
      <c r="AMC50" s="426"/>
      <c r="AMD50" s="426"/>
      <c r="AME50" s="426"/>
      <c r="AMF50" s="426"/>
      <c r="AMG50" s="426"/>
      <c r="AMH50" s="426"/>
      <c r="AMI50" s="426"/>
      <c r="AMJ50" s="426"/>
      <c r="AMK50" s="426"/>
      <c r="AML50" s="426"/>
      <c r="AMM50" s="426"/>
      <c r="AMN50" s="426"/>
      <c r="AMO50" s="426"/>
      <c r="AMP50" s="426"/>
      <c r="AMQ50" s="426"/>
      <c r="AMR50" s="426"/>
      <c r="AMS50" s="426"/>
      <c r="AMT50" s="426"/>
      <c r="AMU50" s="426"/>
      <c r="AMV50" s="426"/>
      <c r="AMW50" s="426"/>
      <c r="AMX50" s="426"/>
      <c r="AMY50" s="426"/>
      <c r="AMZ50" s="426"/>
      <c r="ANA50" s="426"/>
      <c r="ANB50" s="426"/>
      <c r="ANC50" s="426"/>
      <c r="AND50" s="426"/>
      <c r="ANE50" s="426"/>
      <c r="ANF50" s="426"/>
      <c r="ANG50" s="426"/>
      <c r="ANH50" s="426"/>
      <c r="ANI50" s="426"/>
      <c r="ANJ50" s="426"/>
      <c r="ANK50" s="426"/>
      <c r="ANL50" s="426"/>
      <c r="ANM50" s="426"/>
      <c r="ANN50" s="426"/>
      <c r="ANO50" s="426"/>
      <c r="ANP50" s="426"/>
      <c r="ANQ50" s="426"/>
      <c r="ANR50" s="426"/>
      <c r="ANS50" s="426"/>
      <c r="ANT50" s="426"/>
      <c r="ANU50" s="426"/>
      <c r="ANV50" s="426"/>
      <c r="ANW50" s="426"/>
      <c r="ANX50" s="426"/>
      <c r="ANY50" s="426"/>
      <c r="ANZ50" s="426"/>
      <c r="AOA50" s="426"/>
      <c r="AOB50" s="426"/>
      <c r="AOC50" s="426"/>
      <c r="AOD50" s="426"/>
      <c r="AOE50" s="426"/>
      <c r="AOF50" s="426"/>
      <c r="AOG50" s="426"/>
      <c r="AOH50" s="426"/>
      <c r="AOI50" s="426"/>
      <c r="AOJ50" s="426"/>
      <c r="AOK50" s="426"/>
      <c r="AOL50" s="426"/>
      <c r="AOM50" s="426"/>
      <c r="AON50" s="426"/>
      <c r="AOO50" s="426"/>
      <c r="AOP50" s="426"/>
      <c r="AOQ50" s="426"/>
      <c r="AOR50" s="426"/>
      <c r="AOS50" s="426"/>
      <c r="AOT50" s="426"/>
      <c r="AOU50" s="426"/>
      <c r="AOV50" s="426"/>
      <c r="AOW50" s="426"/>
      <c r="AOX50" s="426"/>
      <c r="AOY50" s="426"/>
      <c r="AOZ50" s="426"/>
      <c r="APA50" s="426"/>
      <c r="APB50" s="426"/>
      <c r="APC50" s="426"/>
      <c r="APD50" s="426"/>
      <c r="APE50" s="426"/>
      <c r="APF50" s="426"/>
      <c r="APG50" s="426"/>
      <c r="APH50" s="426"/>
      <c r="API50" s="426"/>
      <c r="APJ50" s="426"/>
      <c r="APK50" s="426"/>
      <c r="APL50" s="426"/>
      <c r="APM50" s="426"/>
      <c r="APN50" s="426"/>
      <c r="APO50" s="426"/>
      <c r="APP50" s="426"/>
      <c r="APQ50" s="426"/>
      <c r="APR50" s="426"/>
      <c r="APS50" s="426"/>
      <c r="APT50" s="426"/>
      <c r="APU50" s="426"/>
      <c r="APV50" s="426"/>
      <c r="APW50" s="426"/>
      <c r="APX50" s="426"/>
      <c r="APY50" s="426"/>
      <c r="APZ50" s="426"/>
      <c r="AQA50" s="426"/>
      <c r="AQB50" s="426"/>
      <c r="AQC50" s="426"/>
      <c r="AQD50" s="426"/>
      <c r="AQE50" s="426"/>
      <c r="AQF50" s="426"/>
      <c r="AQG50" s="426"/>
      <c r="AQH50" s="426"/>
      <c r="AQI50" s="426"/>
      <c r="AQJ50" s="426"/>
      <c r="AQK50" s="426"/>
      <c r="AQL50" s="426"/>
      <c r="AQM50" s="426"/>
      <c r="AQN50" s="426"/>
      <c r="AQO50" s="426"/>
      <c r="AQP50" s="426"/>
      <c r="AQQ50" s="426"/>
      <c r="AQR50" s="426"/>
      <c r="AQS50" s="426"/>
      <c r="AQT50" s="426"/>
      <c r="AQU50" s="426"/>
      <c r="AQV50" s="426"/>
      <c r="AQW50" s="426"/>
      <c r="AQX50" s="426"/>
      <c r="AQY50" s="426"/>
      <c r="AQZ50" s="426"/>
      <c r="ARA50" s="426"/>
      <c r="ARB50" s="426"/>
      <c r="ARC50" s="426"/>
      <c r="ARD50" s="426"/>
      <c r="ARE50" s="426"/>
      <c r="ARF50" s="426"/>
      <c r="ARG50" s="426"/>
      <c r="ARH50" s="426"/>
      <c r="ARI50" s="426"/>
      <c r="ARJ50" s="426"/>
      <c r="ARK50" s="426"/>
      <c r="ARL50" s="426"/>
      <c r="ARM50" s="426"/>
      <c r="ARN50" s="426"/>
      <c r="ARO50" s="426"/>
      <c r="ARP50" s="426"/>
      <c r="ARQ50" s="426"/>
      <c r="ARR50" s="426"/>
      <c r="ARS50" s="426"/>
      <c r="ART50" s="426"/>
      <c r="ARU50" s="426"/>
      <c r="ARV50" s="426"/>
      <c r="ARW50" s="426"/>
      <c r="ARX50" s="426"/>
      <c r="ARY50" s="426"/>
      <c r="ARZ50" s="426"/>
      <c r="ASA50" s="426"/>
      <c r="ASB50" s="426"/>
      <c r="ASC50" s="426"/>
      <c r="ASD50" s="426"/>
      <c r="ASE50" s="426"/>
      <c r="ASF50" s="426"/>
      <c r="ASG50" s="426"/>
      <c r="ASH50" s="426"/>
      <c r="ASI50" s="426"/>
      <c r="ASJ50" s="426"/>
      <c r="ASK50" s="426"/>
      <c r="ASL50" s="426"/>
      <c r="ASM50" s="426"/>
      <c r="ASN50" s="426"/>
      <c r="ASO50" s="426"/>
      <c r="ASP50" s="426"/>
      <c r="ASQ50" s="426"/>
      <c r="ASR50" s="426"/>
      <c r="ASS50" s="426"/>
      <c r="AST50" s="426"/>
      <c r="ASU50" s="426"/>
      <c r="ASV50" s="426"/>
      <c r="ASW50" s="426"/>
      <c r="ASX50" s="426"/>
      <c r="ASY50" s="426"/>
      <c r="ASZ50" s="426"/>
      <c r="ATA50" s="426"/>
      <c r="ATB50" s="426"/>
      <c r="ATC50" s="426"/>
      <c r="ATD50" s="426"/>
      <c r="ATE50" s="426"/>
      <c r="ATF50" s="426"/>
      <c r="ATG50" s="426"/>
      <c r="ATH50" s="426"/>
      <c r="ATI50" s="426"/>
      <c r="ATJ50" s="426"/>
      <c r="ATK50" s="426"/>
      <c r="ATL50" s="426"/>
      <c r="ATM50" s="426"/>
      <c r="ATN50" s="426"/>
      <c r="ATO50" s="426"/>
      <c r="ATP50" s="426"/>
      <c r="ATQ50" s="426"/>
      <c r="ATR50" s="426"/>
      <c r="ATS50" s="426"/>
      <c r="ATT50" s="426"/>
      <c r="ATU50" s="426"/>
      <c r="ATV50" s="426"/>
      <c r="ATW50" s="426"/>
      <c r="ATX50" s="426"/>
      <c r="ATY50" s="426"/>
      <c r="ATZ50" s="426"/>
      <c r="AUA50" s="426"/>
      <c r="AUB50" s="426"/>
      <c r="AUC50" s="426"/>
      <c r="AUD50" s="426"/>
      <c r="AUE50" s="426"/>
      <c r="AUF50" s="426"/>
      <c r="AUG50" s="426"/>
      <c r="AUH50" s="426"/>
      <c r="AUI50" s="426"/>
      <c r="AUJ50" s="426"/>
      <c r="AUK50" s="426"/>
      <c r="AUL50" s="426"/>
      <c r="AUM50" s="426"/>
      <c r="AUN50" s="426"/>
      <c r="AUO50" s="426"/>
      <c r="AUP50" s="426"/>
      <c r="AUQ50" s="426"/>
      <c r="AUR50" s="426"/>
      <c r="AUS50" s="426"/>
      <c r="AUT50" s="426"/>
      <c r="AUU50" s="426"/>
      <c r="AUV50" s="426"/>
      <c r="AUW50" s="426"/>
      <c r="AUX50" s="426"/>
      <c r="AUY50" s="426"/>
      <c r="AUZ50" s="426"/>
      <c r="AVA50" s="426"/>
      <c r="AVB50" s="426"/>
      <c r="AVC50" s="426"/>
      <c r="AVD50" s="426"/>
      <c r="AVE50" s="426"/>
      <c r="AVF50" s="426"/>
      <c r="AVG50" s="426"/>
      <c r="AVH50" s="426"/>
      <c r="AVI50" s="426"/>
      <c r="AVJ50" s="426"/>
      <c r="AVK50" s="426"/>
      <c r="AVL50" s="426"/>
      <c r="AVM50" s="426"/>
      <c r="AVN50" s="426"/>
      <c r="AVO50" s="426"/>
      <c r="AVP50" s="426"/>
      <c r="AVQ50" s="426"/>
      <c r="AVR50" s="426"/>
      <c r="AVS50" s="426"/>
      <c r="AVT50" s="426"/>
      <c r="AVU50" s="426"/>
      <c r="AVV50" s="426"/>
      <c r="AVW50" s="426"/>
      <c r="AVX50" s="426"/>
      <c r="AVY50" s="426"/>
      <c r="AVZ50" s="426"/>
      <c r="AWA50" s="426"/>
      <c r="AWB50" s="426"/>
      <c r="AWC50" s="426"/>
      <c r="AWD50" s="426"/>
      <c r="AWE50" s="426"/>
      <c r="AWF50" s="426"/>
      <c r="AWG50" s="426"/>
      <c r="AWH50" s="426"/>
      <c r="AWI50" s="426"/>
      <c r="AWJ50" s="426"/>
      <c r="AWK50" s="426"/>
      <c r="AWL50" s="426"/>
      <c r="AWM50" s="426"/>
      <c r="AWN50" s="426"/>
      <c r="AWO50" s="426"/>
      <c r="AWP50" s="426"/>
      <c r="AWQ50" s="426"/>
      <c r="AWR50" s="426"/>
      <c r="AWS50" s="426"/>
      <c r="AWT50" s="426"/>
      <c r="AWU50" s="426"/>
      <c r="AWV50" s="426"/>
      <c r="AWW50" s="426"/>
      <c r="AWX50" s="426"/>
      <c r="AWY50" s="426"/>
      <c r="AWZ50" s="426"/>
      <c r="AXA50" s="426"/>
      <c r="AXB50" s="426"/>
      <c r="AXC50" s="426"/>
      <c r="AXD50" s="426"/>
      <c r="AXE50" s="426"/>
      <c r="AXF50" s="426"/>
      <c r="AXG50" s="426"/>
      <c r="AXH50" s="426"/>
      <c r="AXI50" s="426"/>
      <c r="AXJ50" s="426"/>
      <c r="AXK50" s="426"/>
      <c r="AXL50" s="426"/>
      <c r="AXM50" s="426"/>
      <c r="AXN50" s="426"/>
      <c r="AXO50" s="426"/>
      <c r="AXP50" s="426"/>
      <c r="AXQ50" s="426"/>
      <c r="AXR50" s="426"/>
      <c r="AXS50" s="426"/>
      <c r="AXT50" s="426"/>
      <c r="AXU50" s="426"/>
      <c r="AXV50" s="426"/>
      <c r="AXW50" s="426"/>
      <c r="AXX50" s="426"/>
      <c r="AXY50" s="426"/>
      <c r="AXZ50" s="426"/>
      <c r="AYA50" s="426"/>
      <c r="AYB50" s="426"/>
      <c r="AYC50" s="426"/>
      <c r="AYD50" s="426"/>
      <c r="AYE50" s="426"/>
      <c r="AYF50" s="426"/>
      <c r="AYG50" s="426"/>
      <c r="AYH50" s="426"/>
      <c r="AYI50" s="426"/>
      <c r="AYJ50" s="426"/>
      <c r="AYK50" s="426"/>
      <c r="AYL50" s="426"/>
      <c r="AYM50" s="426"/>
      <c r="AYN50" s="426"/>
      <c r="AYO50" s="426"/>
      <c r="AYP50" s="426"/>
      <c r="AYQ50" s="426"/>
      <c r="AYR50" s="426"/>
      <c r="AYS50" s="426"/>
      <c r="AYT50" s="426"/>
      <c r="AYU50" s="426"/>
      <c r="AYV50" s="426"/>
      <c r="AYW50" s="426"/>
      <c r="AYX50" s="426"/>
      <c r="AYY50" s="426"/>
      <c r="AYZ50" s="426"/>
      <c r="AZA50" s="426"/>
      <c r="AZB50" s="426"/>
      <c r="AZC50" s="426"/>
      <c r="AZD50" s="426"/>
      <c r="AZE50" s="426"/>
      <c r="AZF50" s="426"/>
      <c r="AZG50" s="426"/>
      <c r="AZH50" s="426"/>
      <c r="AZI50" s="426"/>
      <c r="AZJ50" s="426"/>
      <c r="AZK50" s="426"/>
      <c r="AZL50" s="426"/>
      <c r="AZM50" s="426"/>
      <c r="AZN50" s="426"/>
      <c r="AZO50" s="426"/>
      <c r="AZP50" s="426"/>
      <c r="AZQ50" s="426"/>
      <c r="AZR50" s="426"/>
      <c r="AZS50" s="426"/>
      <c r="AZT50" s="426"/>
      <c r="AZU50" s="426"/>
      <c r="AZV50" s="426"/>
      <c r="AZW50" s="426"/>
      <c r="AZX50" s="426"/>
      <c r="AZY50" s="426"/>
      <c r="AZZ50" s="426"/>
      <c r="BAA50" s="426"/>
      <c r="BAB50" s="426"/>
      <c r="BAC50" s="426"/>
      <c r="BAD50" s="426"/>
      <c r="BAE50" s="426"/>
      <c r="BAF50" s="426"/>
      <c r="BAG50" s="426"/>
      <c r="BAH50" s="426"/>
      <c r="BAI50" s="426"/>
      <c r="BAJ50" s="426"/>
      <c r="BAK50" s="426"/>
      <c r="BAL50" s="426"/>
      <c r="BAM50" s="426"/>
      <c r="BAN50" s="426"/>
      <c r="BAO50" s="426"/>
      <c r="BAP50" s="426"/>
      <c r="BAQ50" s="426"/>
      <c r="BAR50" s="426"/>
      <c r="BAS50" s="426"/>
      <c r="BAT50" s="426"/>
      <c r="BAU50" s="426"/>
      <c r="BAV50" s="426"/>
      <c r="BAW50" s="426"/>
      <c r="BAX50" s="426"/>
      <c r="BAY50" s="426"/>
      <c r="BAZ50" s="426"/>
      <c r="BBA50" s="426"/>
      <c r="BBB50" s="426"/>
      <c r="BBC50" s="426"/>
      <c r="BBD50" s="426"/>
      <c r="BBE50" s="426"/>
      <c r="BBF50" s="426"/>
      <c r="BBG50" s="426"/>
      <c r="BBH50" s="426"/>
      <c r="BBI50" s="426"/>
      <c r="BBJ50" s="426"/>
      <c r="BBK50" s="426"/>
      <c r="BBL50" s="426"/>
      <c r="BBM50" s="426"/>
      <c r="BBN50" s="426"/>
      <c r="BBO50" s="426"/>
      <c r="BBP50" s="426"/>
      <c r="BBQ50" s="426"/>
      <c r="BBR50" s="426"/>
      <c r="BBS50" s="426"/>
      <c r="BBT50" s="426"/>
      <c r="BBU50" s="426"/>
      <c r="BBV50" s="426"/>
      <c r="BBW50" s="426"/>
      <c r="BBX50" s="426"/>
      <c r="BBY50" s="426"/>
      <c r="BBZ50" s="426"/>
      <c r="BCA50" s="426"/>
      <c r="BCB50" s="426"/>
      <c r="BCC50" s="426"/>
      <c r="BCD50" s="426"/>
      <c r="BCE50" s="426"/>
      <c r="BCF50" s="426"/>
      <c r="BCG50" s="426"/>
      <c r="BCH50" s="426"/>
      <c r="BCI50" s="426"/>
      <c r="BCJ50" s="426"/>
      <c r="BCK50" s="426"/>
      <c r="BCL50" s="426"/>
      <c r="BCM50" s="426"/>
      <c r="BCN50" s="426"/>
      <c r="BCO50" s="426"/>
      <c r="BCP50" s="426"/>
      <c r="BCQ50" s="426"/>
      <c r="BCR50" s="426"/>
      <c r="BCS50" s="426"/>
      <c r="BCT50" s="426"/>
      <c r="BCU50" s="426"/>
      <c r="BCV50" s="426"/>
      <c r="BCW50" s="426"/>
      <c r="BCX50" s="426"/>
      <c r="BCY50" s="426"/>
      <c r="BCZ50" s="426"/>
      <c r="BDA50" s="426"/>
      <c r="BDB50" s="426"/>
      <c r="BDC50" s="426"/>
      <c r="BDD50" s="426"/>
      <c r="BDE50" s="426"/>
      <c r="BDF50" s="426"/>
      <c r="BDG50" s="426"/>
      <c r="BDH50" s="426"/>
      <c r="BDI50" s="426"/>
      <c r="BDJ50" s="426"/>
      <c r="BDK50" s="426"/>
      <c r="BDL50" s="426"/>
      <c r="BDM50" s="426"/>
      <c r="BDN50" s="426"/>
      <c r="BDO50" s="426"/>
      <c r="BDP50" s="426"/>
      <c r="BDQ50" s="426"/>
      <c r="BDR50" s="426"/>
      <c r="BDS50" s="426"/>
      <c r="BDT50" s="426"/>
      <c r="BDU50" s="426"/>
      <c r="BDV50" s="426"/>
      <c r="BDW50" s="426"/>
      <c r="BDX50" s="426"/>
      <c r="BDY50" s="426"/>
      <c r="BDZ50" s="426"/>
      <c r="BEA50" s="426"/>
      <c r="BEB50" s="426"/>
      <c r="BEC50" s="426"/>
      <c r="BED50" s="426"/>
      <c r="BEE50" s="426"/>
      <c r="BEF50" s="426"/>
      <c r="BEG50" s="426"/>
      <c r="BEH50" s="426"/>
      <c r="BEI50" s="426"/>
      <c r="BEJ50" s="426"/>
      <c r="BEK50" s="426"/>
      <c r="BEL50" s="426"/>
      <c r="BEM50" s="426"/>
      <c r="BEN50" s="426"/>
      <c r="BEO50" s="426"/>
      <c r="BEP50" s="426"/>
      <c r="BEQ50" s="426"/>
      <c r="BER50" s="426"/>
      <c r="BES50" s="426"/>
      <c r="BET50" s="426"/>
      <c r="BEU50" s="426"/>
      <c r="BEV50" s="426"/>
      <c r="BEW50" s="426"/>
      <c r="BEX50" s="426"/>
      <c r="BEY50" s="426"/>
      <c r="BEZ50" s="426"/>
      <c r="BFA50" s="426"/>
      <c r="BFB50" s="426"/>
      <c r="BFC50" s="426"/>
      <c r="BFD50" s="426"/>
      <c r="BFE50" s="426"/>
      <c r="BFF50" s="426"/>
      <c r="BFG50" s="426"/>
      <c r="BFH50" s="426"/>
      <c r="BFI50" s="426"/>
      <c r="BFJ50" s="426"/>
      <c r="BFK50" s="426"/>
      <c r="BFL50" s="426"/>
      <c r="BFM50" s="426"/>
      <c r="BFN50" s="426"/>
      <c r="BFO50" s="426"/>
      <c r="BFP50" s="426"/>
      <c r="BFQ50" s="426"/>
      <c r="BFR50" s="426"/>
      <c r="BFS50" s="426"/>
      <c r="BFT50" s="426"/>
      <c r="BFU50" s="426"/>
      <c r="BFV50" s="426"/>
      <c r="BFW50" s="426"/>
      <c r="BFX50" s="426"/>
      <c r="BFY50" s="426"/>
      <c r="BFZ50" s="426"/>
      <c r="BGA50" s="426"/>
      <c r="BGB50" s="426"/>
      <c r="BGC50" s="426"/>
      <c r="BGD50" s="426"/>
      <c r="BGE50" s="426"/>
      <c r="BGF50" s="426"/>
      <c r="BGG50" s="426"/>
      <c r="BGH50" s="426"/>
      <c r="BGI50" s="426"/>
      <c r="BGJ50" s="426"/>
      <c r="BGK50" s="426"/>
      <c r="BGL50" s="426"/>
      <c r="BGM50" s="426"/>
      <c r="BGN50" s="426"/>
      <c r="BGO50" s="426"/>
      <c r="BGP50" s="426"/>
      <c r="BGQ50" s="426"/>
      <c r="BGR50" s="426"/>
      <c r="BGS50" s="426"/>
      <c r="BGT50" s="426"/>
      <c r="BGU50" s="426"/>
      <c r="BGV50" s="426"/>
      <c r="BGW50" s="426"/>
      <c r="BGX50" s="426"/>
      <c r="BGY50" s="426"/>
      <c r="BGZ50" s="426"/>
      <c r="BHA50" s="426"/>
      <c r="BHB50" s="426"/>
      <c r="BHC50" s="426"/>
      <c r="BHD50" s="426"/>
      <c r="BHE50" s="426"/>
      <c r="BHF50" s="426"/>
      <c r="BHG50" s="426"/>
      <c r="BHH50" s="426"/>
      <c r="BHI50" s="426"/>
      <c r="BHJ50" s="426"/>
      <c r="BHK50" s="426"/>
      <c r="BHL50" s="426"/>
      <c r="BHM50" s="426"/>
      <c r="BHN50" s="426"/>
      <c r="BHO50" s="426"/>
      <c r="BHP50" s="426"/>
      <c r="BHQ50" s="426"/>
      <c r="BHR50" s="426"/>
      <c r="BHS50" s="426"/>
      <c r="BHT50" s="426"/>
      <c r="BHU50" s="426"/>
      <c r="BHV50" s="426"/>
      <c r="BHW50" s="426"/>
      <c r="BHX50" s="426"/>
      <c r="BHY50" s="426"/>
      <c r="BHZ50" s="426"/>
      <c r="BIA50" s="426"/>
      <c r="BIB50" s="426"/>
      <c r="BIC50" s="426"/>
      <c r="BID50" s="426"/>
      <c r="BIE50" s="426"/>
      <c r="BIF50" s="426"/>
      <c r="BIG50" s="426"/>
      <c r="BIH50" s="426"/>
      <c r="BII50" s="426"/>
      <c r="BIJ50" s="426"/>
      <c r="BIK50" s="426"/>
      <c r="BIL50" s="426"/>
      <c r="BIM50" s="426"/>
      <c r="BIN50" s="426"/>
      <c r="BIO50" s="426"/>
      <c r="BIP50" s="426"/>
      <c r="BIQ50" s="426"/>
      <c r="BIR50" s="426"/>
      <c r="BIS50" s="426"/>
      <c r="BIT50" s="426"/>
      <c r="BIU50" s="426"/>
      <c r="BIV50" s="426"/>
      <c r="BIW50" s="426"/>
      <c r="BIX50" s="426"/>
      <c r="BIY50" s="426"/>
      <c r="BIZ50" s="426"/>
      <c r="BJA50" s="426"/>
      <c r="BJB50" s="426"/>
      <c r="BJC50" s="426"/>
      <c r="BJD50" s="426"/>
      <c r="BJE50" s="426"/>
      <c r="BJF50" s="426"/>
      <c r="BJG50" s="426"/>
      <c r="BJH50" s="426"/>
      <c r="BJI50" s="426"/>
      <c r="BJJ50" s="426"/>
      <c r="BJK50" s="426"/>
      <c r="BJL50" s="426"/>
      <c r="BJM50" s="426"/>
      <c r="BJN50" s="426"/>
      <c r="BJO50" s="426"/>
      <c r="BJP50" s="426"/>
      <c r="BJQ50" s="426"/>
      <c r="BJR50" s="426"/>
      <c r="BJS50" s="426"/>
      <c r="BJT50" s="426"/>
      <c r="BJU50" s="426"/>
      <c r="BJV50" s="426"/>
      <c r="BJW50" s="426"/>
      <c r="BJX50" s="426"/>
      <c r="BJY50" s="426"/>
      <c r="BJZ50" s="426"/>
      <c r="BKA50" s="426"/>
      <c r="BKB50" s="426"/>
      <c r="BKC50" s="426"/>
      <c r="BKD50" s="426"/>
      <c r="BKE50" s="426"/>
      <c r="BKF50" s="426"/>
      <c r="BKG50" s="426"/>
      <c r="BKH50" s="426"/>
      <c r="BKI50" s="426"/>
      <c r="BKJ50" s="426"/>
      <c r="BKK50" s="426"/>
      <c r="BKL50" s="426"/>
      <c r="BKM50" s="426"/>
      <c r="BKN50" s="426"/>
      <c r="BKO50" s="426"/>
      <c r="BKP50" s="426"/>
      <c r="BKQ50" s="426"/>
      <c r="BKR50" s="426"/>
      <c r="BKS50" s="426"/>
      <c r="BKT50" s="426"/>
      <c r="BKU50" s="426"/>
      <c r="BKV50" s="426"/>
      <c r="BKW50" s="426"/>
      <c r="BKX50" s="426"/>
      <c r="BKY50" s="426"/>
      <c r="BKZ50" s="426"/>
      <c r="BLA50" s="426"/>
      <c r="BLB50" s="426"/>
      <c r="BLC50" s="426"/>
      <c r="BLD50" s="426"/>
      <c r="BLE50" s="426"/>
      <c r="BLF50" s="426"/>
      <c r="BLG50" s="426"/>
      <c r="BLH50" s="426"/>
      <c r="BLI50" s="426"/>
      <c r="BLJ50" s="426"/>
      <c r="BLK50" s="426"/>
      <c r="BLL50" s="426"/>
      <c r="BLM50" s="426"/>
      <c r="BLN50" s="426"/>
      <c r="BLO50" s="426"/>
      <c r="BLP50" s="426"/>
      <c r="BLQ50" s="426"/>
      <c r="BLR50" s="426"/>
      <c r="BLS50" s="426"/>
      <c r="BLT50" s="426"/>
      <c r="BLU50" s="426"/>
      <c r="BLV50" s="426"/>
      <c r="BLW50" s="426"/>
      <c r="BLX50" s="426"/>
      <c r="BLY50" s="426"/>
      <c r="BLZ50" s="426"/>
      <c r="BMA50" s="426"/>
      <c r="BMB50" s="426"/>
      <c r="BMC50" s="426"/>
      <c r="BMD50" s="426"/>
      <c r="BME50" s="426"/>
      <c r="BMF50" s="426"/>
      <c r="BMG50" s="426"/>
      <c r="BMH50" s="426"/>
      <c r="BMI50" s="426"/>
      <c r="BMJ50" s="426"/>
      <c r="BMK50" s="426"/>
      <c r="BML50" s="426"/>
      <c r="BMM50" s="426"/>
      <c r="BMN50" s="426"/>
      <c r="BMO50" s="426"/>
      <c r="BMP50" s="426"/>
      <c r="BMQ50" s="426"/>
      <c r="BMR50" s="426"/>
      <c r="BMS50" s="426"/>
      <c r="BMT50" s="426"/>
      <c r="BMU50" s="426"/>
      <c r="BMV50" s="426"/>
      <c r="BMW50" s="426"/>
      <c r="BMX50" s="426"/>
      <c r="BMY50" s="426"/>
      <c r="BMZ50" s="426"/>
      <c r="BNA50" s="426"/>
      <c r="BNB50" s="426"/>
      <c r="BNC50" s="426"/>
      <c r="BND50" s="426"/>
      <c r="BNE50" s="426"/>
      <c r="BNF50" s="426"/>
      <c r="BNG50" s="426"/>
      <c r="BNH50" s="426"/>
      <c r="BNI50" s="426"/>
      <c r="BNJ50" s="426"/>
      <c r="BNK50" s="426"/>
      <c r="BNL50" s="426"/>
      <c r="BNM50" s="426"/>
      <c r="BNN50" s="426"/>
      <c r="BNO50" s="426"/>
      <c r="BNP50" s="426"/>
      <c r="BNQ50" s="426"/>
      <c r="BNR50" s="426"/>
      <c r="BNS50" s="426"/>
      <c r="BNT50" s="426"/>
      <c r="BNU50" s="426"/>
      <c r="BNV50" s="426"/>
      <c r="BNW50" s="426"/>
      <c r="BNX50" s="426"/>
      <c r="BNY50" s="426"/>
      <c r="BNZ50" s="426"/>
      <c r="BOA50" s="426"/>
      <c r="BOB50" s="426"/>
      <c r="BOC50" s="426"/>
      <c r="BOD50" s="426"/>
      <c r="BOE50" s="426"/>
      <c r="BOF50" s="426"/>
      <c r="BOG50" s="426"/>
      <c r="BOH50" s="426"/>
      <c r="BOI50" s="426"/>
      <c r="BOJ50" s="426"/>
      <c r="BOK50" s="426"/>
      <c r="BOL50" s="426"/>
      <c r="BOM50" s="426"/>
      <c r="BON50" s="426"/>
      <c r="BOO50" s="426"/>
      <c r="BOP50" s="426"/>
      <c r="BOQ50" s="426"/>
      <c r="BOR50" s="426"/>
      <c r="BOS50" s="426"/>
      <c r="BOT50" s="426"/>
      <c r="BOU50" s="426"/>
      <c r="BOV50" s="426"/>
      <c r="BOW50" s="426"/>
      <c r="BOX50" s="426"/>
      <c r="BOY50" s="426"/>
      <c r="BOZ50" s="426"/>
      <c r="BPA50" s="426"/>
      <c r="BPB50" s="426"/>
      <c r="BPC50" s="426"/>
      <c r="BPD50" s="426"/>
      <c r="BPE50" s="426"/>
      <c r="BPF50" s="426"/>
      <c r="BPG50" s="426"/>
      <c r="BPH50" s="426"/>
      <c r="BPI50" s="426"/>
      <c r="BPJ50" s="426"/>
      <c r="BPK50" s="426"/>
      <c r="BPL50" s="426"/>
      <c r="BPM50" s="426"/>
      <c r="BPN50" s="426"/>
      <c r="BPO50" s="426"/>
      <c r="BPP50" s="426"/>
      <c r="BPQ50" s="426"/>
      <c r="BPR50" s="426"/>
      <c r="BPS50" s="426"/>
      <c r="BPT50" s="426"/>
      <c r="BPU50" s="426"/>
      <c r="BPV50" s="426"/>
      <c r="BPW50" s="426"/>
      <c r="BPX50" s="426"/>
      <c r="BPY50" s="426"/>
      <c r="BPZ50" s="426"/>
      <c r="BQA50" s="426"/>
      <c r="BQB50" s="426"/>
      <c r="BQC50" s="426"/>
      <c r="BQD50" s="426"/>
      <c r="BQE50" s="426"/>
      <c r="BQF50" s="426"/>
      <c r="BQG50" s="426"/>
      <c r="BQH50" s="426"/>
      <c r="BQI50" s="426"/>
      <c r="BQJ50" s="426"/>
      <c r="BQK50" s="426"/>
      <c r="BQL50" s="426"/>
      <c r="BQM50" s="426"/>
      <c r="BQN50" s="426"/>
      <c r="BQO50" s="426"/>
      <c r="BQP50" s="426"/>
      <c r="BQQ50" s="426"/>
      <c r="BQR50" s="426"/>
      <c r="BQS50" s="426"/>
      <c r="BQT50" s="426"/>
      <c r="BQU50" s="426"/>
      <c r="BQV50" s="426"/>
      <c r="BQW50" s="426"/>
      <c r="BQX50" s="426"/>
      <c r="BQY50" s="426"/>
      <c r="BQZ50" s="426"/>
      <c r="BRA50" s="426"/>
      <c r="BRB50" s="426"/>
      <c r="BRC50" s="426"/>
      <c r="BRD50" s="426"/>
      <c r="BRE50" s="426"/>
      <c r="BRF50" s="426"/>
      <c r="BRG50" s="426"/>
      <c r="BRH50" s="426"/>
      <c r="BRI50" s="426"/>
      <c r="BRJ50" s="426"/>
      <c r="BRK50" s="426"/>
      <c r="BRL50" s="426"/>
      <c r="BRM50" s="426"/>
      <c r="BRN50" s="426"/>
      <c r="BRO50" s="426"/>
      <c r="BRP50" s="426"/>
      <c r="BRQ50" s="426"/>
      <c r="BRR50" s="426"/>
      <c r="BRS50" s="426"/>
      <c r="BRT50" s="426"/>
      <c r="BRU50" s="426"/>
      <c r="BRV50" s="426"/>
      <c r="BRW50" s="426"/>
      <c r="BRX50" s="426"/>
      <c r="BRY50" s="426"/>
      <c r="BRZ50" s="426"/>
      <c r="BSA50" s="426"/>
      <c r="BSB50" s="426"/>
      <c r="BSC50" s="426"/>
      <c r="BSD50" s="426"/>
      <c r="BSE50" s="426"/>
      <c r="BSF50" s="426"/>
      <c r="BSG50" s="426"/>
      <c r="BSH50" s="426"/>
      <c r="BSI50" s="426"/>
      <c r="BSJ50" s="426"/>
      <c r="BSK50" s="426"/>
      <c r="BSL50" s="426"/>
      <c r="BSM50" s="426"/>
      <c r="BSN50" s="426"/>
      <c r="BSO50" s="426"/>
      <c r="BSP50" s="426"/>
      <c r="BSQ50" s="426"/>
      <c r="BSR50" s="426"/>
      <c r="BSS50" s="426"/>
      <c r="BST50" s="426"/>
      <c r="BSU50" s="426"/>
      <c r="BSV50" s="426"/>
      <c r="BSW50" s="426"/>
      <c r="BSX50" s="426"/>
      <c r="BSY50" s="426"/>
      <c r="BSZ50" s="426"/>
      <c r="BTA50" s="426"/>
      <c r="BTB50" s="426"/>
      <c r="BTC50" s="426"/>
      <c r="BTD50" s="426"/>
      <c r="BTE50" s="426"/>
      <c r="BTF50" s="426"/>
      <c r="BTG50" s="426"/>
      <c r="BTH50" s="426"/>
      <c r="BTI50" s="426"/>
      <c r="BTJ50" s="426"/>
      <c r="BTK50" s="426"/>
      <c r="BTL50" s="426"/>
      <c r="BTM50" s="426"/>
      <c r="BTN50" s="426"/>
      <c r="BTO50" s="426"/>
      <c r="BTP50" s="426"/>
      <c r="BTQ50" s="426"/>
      <c r="BTR50" s="426"/>
      <c r="BTS50" s="426"/>
      <c r="BTT50" s="426"/>
      <c r="BTU50" s="426"/>
      <c r="BTV50" s="426"/>
      <c r="BTW50" s="426"/>
      <c r="BTX50" s="426"/>
      <c r="BTY50" s="426"/>
      <c r="BTZ50" s="426"/>
      <c r="BUA50" s="426"/>
      <c r="BUB50" s="426"/>
      <c r="BUC50" s="426"/>
      <c r="BUD50" s="426"/>
      <c r="BUE50" s="426"/>
      <c r="BUF50" s="426"/>
      <c r="BUG50" s="426"/>
      <c r="BUH50" s="426"/>
      <c r="BUI50" s="426"/>
      <c r="BUJ50" s="426"/>
      <c r="BUK50" s="426"/>
      <c r="BUL50" s="426"/>
      <c r="BUM50" s="426"/>
      <c r="BUN50" s="426"/>
      <c r="BUO50" s="426"/>
      <c r="BUP50" s="426"/>
      <c r="BUQ50" s="426"/>
      <c r="BUR50" s="426"/>
      <c r="BUS50" s="426"/>
      <c r="BUT50" s="426"/>
      <c r="BUU50" s="426"/>
      <c r="BUV50" s="426"/>
      <c r="BUW50" s="426"/>
      <c r="BUX50" s="426"/>
      <c r="BUY50" s="426"/>
      <c r="BUZ50" s="426"/>
      <c r="BVA50" s="426"/>
      <c r="BVB50" s="426"/>
      <c r="BVC50" s="426"/>
      <c r="BVD50" s="426"/>
      <c r="BVE50" s="426"/>
      <c r="BVF50" s="426"/>
      <c r="BVG50" s="426"/>
      <c r="BVH50" s="426"/>
      <c r="BVI50" s="426"/>
      <c r="BVJ50" s="426"/>
      <c r="BVK50" s="426"/>
      <c r="BVL50" s="426"/>
      <c r="BVM50" s="426"/>
      <c r="BVN50" s="426"/>
      <c r="BVO50" s="426"/>
      <c r="BVP50" s="426"/>
      <c r="BVQ50" s="426"/>
      <c r="BVR50" s="426"/>
      <c r="BVS50" s="426"/>
      <c r="BVT50" s="426"/>
      <c r="BVU50" s="426"/>
      <c r="BVV50" s="426"/>
      <c r="BVW50" s="426"/>
      <c r="BVX50" s="426"/>
      <c r="BVY50" s="426"/>
      <c r="BVZ50" s="426"/>
      <c r="BWA50" s="426"/>
      <c r="BWB50" s="426"/>
      <c r="BWC50" s="426"/>
      <c r="BWD50" s="426"/>
      <c r="BWE50" s="426"/>
      <c r="BWF50" s="426"/>
      <c r="BWG50" s="426"/>
      <c r="BWH50" s="426"/>
      <c r="BWI50" s="426"/>
      <c r="BWJ50" s="426"/>
      <c r="BWK50" s="426"/>
      <c r="BWL50" s="426"/>
      <c r="BWM50" s="426"/>
      <c r="BWN50" s="426"/>
      <c r="BWO50" s="426"/>
      <c r="BWP50" s="426"/>
      <c r="BWQ50" s="426"/>
      <c r="BWR50" s="426"/>
      <c r="BWS50" s="426"/>
      <c r="BWT50" s="426"/>
      <c r="BWU50" s="426"/>
      <c r="BWV50" s="426"/>
      <c r="BWW50" s="426"/>
      <c r="BWX50" s="426"/>
      <c r="BWY50" s="426"/>
      <c r="BWZ50" s="426"/>
      <c r="BXA50" s="426"/>
      <c r="BXB50" s="426"/>
      <c r="BXC50" s="426"/>
      <c r="BXD50" s="426"/>
      <c r="BXE50" s="426"/>
      <c r="BXF50" s="426"/>
      <c r="BXG50" s="426"/>
      <c r="BXH50" s="426"/>
      <c r="BXI50" s="426"/>
      <c r="BXJ50" s="426"/>
      <c r="BXK50" s="426"/>
      <c r="BXL50" s="426"/>
      <c r="BXM50" s="426"/>
      <c r="BXN50" s="426"/>
      <c r="BXO50" s="426"/>
      <c r="BXP50" s="426"/>
      <c r="BXQ50" s="426"/>
      <c r="BXR50" s="426"/>
      <c r="BXS50" s="426"/>
      <c r="BXT50" s="426"/>
      <c r="BXU50" s="426"/>
      <c r="BXV50" s="426"/>
      <c r="BXW50" s="426"/>
      <c r="BXX50" s="426"/>
      <c r="BXY50" s="426"/>
      <c r="BXZ50" s="426"/>
      <c r="BYA50" s="426"/>
      <c r="BYB50" s="426"/>
      <c r="BYC50" s="426"/>
      <c r="BYD50" s="426"/>
      <c r="BYE50" s="426"/>
      <c r="BYF50" s="426"/>
      <c r="BYG50" s="426"/>
      <c r="BYH50" s="426"/>
      <c r="BYI50" s="426"/>
      <c r="BYJ50" s="426"/>
      <c r="BYK50" s="426"/>
      <c r="BYL50" s="426"/>
      <c r="BYM50" s="426"/>
      <c r="BYN50" s="426"/>
      <c r="BYO50" s="426"/>
      <c r="BYP50" s="426"/>
      <c r="BYQ50" s="426"/>
      <c r="BYR50" s="426"/>
      <c r="BYS50" s="426"/>
      <c r="BYT50" s="426"/>
      <c r="BYU50" s="426"/>
      <c r="BYV50" s="426"/>
      <c r="BYW50" s="426"/>
      <c r="BYX50" s="426"/>
      <c r="BYY50" s="426"/>
      <c r="BYZ50" s="426"/>
      <c r="BZA50" s="426"/>
      <c r="BZB50" s="426"/>
      <c r="BZC50" s="426"/>
      <c r="BZD50" s="426"/>
      <c r="BZE50" s="426"/>
      <c r="BZF50" s="426"/>
      <c r="BZG50" s="426"/>
      <c r="BZH50" s="426"/>
      <c r="BZI50" s="426"/>
      <c r="BZJ50" s="426"/>
      <c r="BZK50" s="426"/>
      <c r="BZL50" s="426"/>
      <c r="BZM50" s="426"/>
      <c r="BZN50" s="426"/>
      <c r="BZO50" s="426"/>
      <c r="BZP50" s="426"/>
      <c r="BZQ50" s="426"/>
      <c r="BZR50" s="426"/>
      <c r="BZS50" s="426"/>
      <c r="BZT50" s="426"/>
      <c r="BZU50" s="426"/>
      <c r="BZV50" s="426"/>
      <c r="BZW50" s="426"/>
      <c r="BZX50" s="426"/>
      <c r="BZY50" s="426"/>
      <c r="BZZ50" s="426"/>
      <c r="CAA50" s="426"/>
      <c r="CAB50" s="426"/>
      <c r="CAC50" s="426"/>
      <c r="CAD50" s="426"/>
      <c r="CAE50" s="426"/>
      <c r="CAF50" s="426"/>
      <c r="CAG50" s="426"/>
      <c r="CAH50" s="426"/>
      <c r="CAI50" s="426"/>
      <c r="CAJ50" s="426"/>
      <c r="CAK50" s="426"/>
      <c r="CAL50" s="426"/>
      <c r="CAM50" s="426"/>
      <c r="CAN50" s="426"/>
      <c r="CAO50" s="426"/>
      <c r="CAP50" s="426"/>
      <c r="CAQ50" s="426"/>
      <c r="CAR50" s="426"/>
      <c r="CAS50" s="426"/>
      <c r="CAT50" s="426"/>
      <c r="CAU50" s="426"/>
      <c r="CAV50" s="426"/>
      <c r="CAW50" s="426"/>
      <c r="CAX50" s="426"/>
      <c r="CAY50" s="426"/>
      <c r="CAZ50" s="426"/>
      <c r="CBA50" s="426"/>
      <c r="CBB50" s="426"/>
      <c r="CBC50" s="426"/>
      <c r="CBD50" s="426"/>
      <c r="CBE50" s="426"/>
      <c r="CBF50" s="426"/>
      <c r="CBG50" s="426"/>
      <c r="CBH50" s="426"/>
      <c r="CBI50" s="426"/>
      <c r="CBJ50" s="426"/>
      <c r="CBK50" s="426"/>
      <c r="CBL50" s="426"/>
      <c r="CBM50" s="426"/>
      <c r="CBN50" s="426"/>
      <c r="CBO50" s="426"/>
      <c r="CBP50" s="426"/>
      <c r="CBQ50" s="426"/>
      <c r="CBR50" s="426"/>
      <c r="CBS50" s="426"/>
      <c r="CBT50" s="426"/>
      <c r="CBU50" s="426"/>
      <c r="CBV50" s="426"/>
      <c r="CBW50" s="426"/>
      <c r="CBX50" s="426"/>
      <c r="CBY50" s="426"/>
      <c r="CBZ50" s="426"/>
      <c r="CCA50" s="426"/>
      <c r="CCB50" s="426"/>
      <c r="CCC50" s="426"/>
      <c r="CCD50" s="426"/>
      <c r="CCE50" s="426"/>
      <c r="CCF50" s="426"/>
      <c r="CCG50" s="426"/>
      <c r="CCH50" s="426"/>
      <c r="CCI50" s="426"/>
      <c r="CCJ50" s="426"/>
      <c r="CCK50" s="426"/>
      <c r="CCL50" s="426"/>
      <c r="CCM50" s="426"/>
      <c r="CCN50" s="426"/>
      <c r="CCO50" s="426"/>
      <c r="CCP50" s="426"/>
      <c r="CCQ50" s="426"/>
      <c r="CCR50" s="426"/>
      <c r="CCS50" s="426"/>
      <c r="CCT50" s="426"/>
      <c r="CCU50" s="426"/>
      <c r="CCV50" s="426"/>
      <c r="CCW50" s="426"/>
      <c r="CCX50" s="426"/>
      <c r="CCY50" s="426"/>
      <c r="CCZ50" s="426"/>
      <c r="CDA50" s="426"/>
      <c r="CDB50" s="426"/>
      <c r="CDC50" s="426"/>
      <c r="CDD50" s="426"/>
      <c r="CDE50" s="426"/>
      <c r="CDF50" s="426"/>
      <c r="CDG50" s="426"/>
      <c r="CDH50" s="426"/>
      <c r="CDI50" s="426"/>
      <c r="CDJ50" s="426"/>
      <c r="CDK50" s="426"/>
      <c r="CDL50" s="426"/>
      <c r="CDM50" s="426"/>
      <c r="CDN50" s="426"/>
      <c r="CDO50" s="426"/>
      <c r="CDP50" s="426"/>
      <c r="CDQ50" s="426"/>
      <c r="CDR50" s="426"/>
      <c r="CDS50" s="426"/>
      <c r="CDT50" s="426"/>
      <c r="CDU50" s="426"/>
      <c r="CDV50" s="426"/>
      <c r="CDW50" s="426"/>
      <c r="CDX50" s="426"/>
      <c r="CDY50" s="426"/>
      <c r="CDZ50" s="426"/>
      <c r="CEA50" s="426"/>
      <c r="CEB50" s="426"/>
      <c r="CEC50" s="426"/>
      <c r="CED50" s="426"/>
      <c r="CEE50" s="426"/>
      <c r="CEF50" s="426"/>
      <c r="CEG50" s="426"/>
      <c r="CEH50" s="426"/>
      <c r="CEI50" s="426"/>
      <c r="CEJ50" s="426"/>
      <c r="CEK50" s="426"/>
      <c r="CEL50" s="426"/>
      <c r="CEM50" s="426"/>
      <c r="CEN50" s="426"/>
      <c r="CEO50" s="426"/>
      <c r="CEP50" s="426"/>
      <c r="CEQ50" s="426"/>
      <c r="CER50" s="426"/>
      <c r="CES50" s="426"/>
      <c r="CET50" s="426"/>
      <c r="CEU50" s="426"/>
      <c r="CEV50" s="426"/>
      <c r="CEW50" s="426"/>
      <c r="CEX50" s="426"/>
      <c r="CEY50" s="426"/>
      <c r="CEZ50" s="426"/>
      <c r="CFA50" s="426"/>
      <c r="CFB50" s="426"/>
      <c r="CFC50" s="426"/>
      <c r="CFD50" s="426"/>
      <c r="CFE50" s="426"/>
      <c r="CFF50" s="426"/>
      <c r="CFG50" s="426"/>
      <c r="CFH50" s="426"/>
      <c r="CFI50" s="426"/>
      <c r="CFJ50" s="426"/>
      <c r="CFK50" s="426"/>
      <c r="CFL50" s="426"/>
      <c r="CFM50" s="426"/>
      <c r="CFN50" s="426"/>
      <c r="CFO50" s="426"/>
      <c r="CFP50" s="426"/>
      <c r="CFQ50" s="426"/>
      <c r="CFR50" s="426"/>
      <c r="CFS50" s="426"/>
      <c r="CFT50" s="426"/>
      <c r="CFU50" s="426"/>
      <c r="CFV50" s="426"/>
      <c r="CFW50" s="426"/>
      <c r="CFX50" s="426"/>
      <c r="CFY50" s="426"/>
      <c r="CFZ50" s="426"/>
      <c r="CGA50" s="426"/>
      <c r="CGB50" s="426"/>
      <c r="CGC50" s="426"/>
      <c r="CGD50" s="426"/>
      <c r="CGE50" s="426"/>
      <c r="CGF50" s="426"/>
      <c r="CGG50" s="426"/>
      <c r="CGH50" s="426"/>
      <c r="CGI50" s="426"/>
      <c r="CGJ50" s="426"/>
      <c r="CGK50" s="426"/>
      <c r="CGL50" s="426"/>
      <c r="CGM50" s="426"/>
      <c r="CGN50" s="426"/>
      <c r="CGO50" s="426"/>
      <c r="CGP50" s="426"/>
      <c r="CGQ50" s="426"/>
      <c r="CGR50" s="426"/>
      <c r="CGS50" s="426"/>
      <c r="CGT50" s="426"/>
      <c r="CGU50" s="426"/>
      <c r="CGV50" s="426"/>
      <c r="CGW50" s="426"/>
      <c r="CGX50" s="426"/>
      <c r="CGY50" s="426"/>
      <c r="CGZ50" s="426"/>
      <c r="CHA50" s="426"/>
      <c r="CHB50" s="426"/>
      <c r="CHC50" s="426"/>
      <c r="CHD50" s="426"/>
      <c r="CHE50" s="426"/>
      <c r="CHF50" s="426"/>
      <c r="CHG50" s="426"/>
      <c r="CHH50" s="426"/>
      <c r="CHI50" s="426"/>
      <c r="CHJ50" s="426"/>
      <c r="CHK50" s="426"/>
      <c r="CHL50" s="426"/>
      <c r="CHM50" s="426"/>
      <c r="CHN50" s="426"/>
      <c r="CHO50" s="426"/>
      <c r="CHP50" s="426"/>
      <c r="CHQ50" s="426"/>
      <c r="CHR50" s="426"/>
      <c r="CHS50" s="426"/>
      <c r="CHT50" s="426"/>
      <c r="CHU50" s="426"/>
      <c r="CHV50" s="426"/>
      <c r="CHW50" s="426"/>
      <c r="CHX50" s="426"/>
      <c r="CHY50" s="426"/>
      <c r="CHZ50" s="426"/>
      <c r="CIA50" s="426"/>
      <c r="CIB50" s="426"/>
      <c r="CIC50" s="426"/>
      <c r="CID50" s="426"/>
      <c r="CIE50" s="426"/>
      <c r="CIF50" s="426"/>
      <c r="CIG50" s="426"/>
      <c r="CIH50" s="426"/>
      <c r="CII50" s="426"/>
      <c r="CIJ50" s="426"/>
      <c r="CIK50" s="426"/>
      <c r="CIL50" s="426"/>
      <c r="CIM50" s="426"/>
      <c r="CIN50" s="426"/>
      <c r="CIO50" s="426"/>
      <c r="CIP50" s="426"/>
      <c r="CIQ50" s="426"/>
      <c r="CIR50" s="426"/>
      <c r="CIS50" s="426"/>
      <c r="CIT50" s="426"/>
      <c r="CIU50" s="426"/>
      <c r="CIV50" s="426"/>
      <c r="CIW50" s="426"/>
      <c r="CIX50" s="426"/>
      <c r="CIY50" s="426"/>
      <c r="CIZ50" s="426"/>
      <c r="CJA50" s="426"/>
      <c r="CJB50" s="426"/>
      <c r="CJC50" s="426"/>
      <c r="CJD50" s="426"/>
      <c r="CJE50" s="426"/>
      <c r="CJF50" s="426"/>
      <c r="CJG50" s="426"/>
      <c r="CJH50" s="426"/>
      <c r="CJI50" s="426"/>
      <c r="CJJ50" s="426"/>
      <c r="CJK50" s="426"/>
      <c r="CJL50" s="426"/>
      <c r="CJM50" s="426"/>
      <c r="CJN50" s="426"/>
      <c r="CJO50" s="426"/>
      <c r="CJP50" s="426"/>
      <c r="CJQ50" s="426"/>
      <c r="CJR50" s="426"/>
      <c r="CJS50" s="426"/>
      <c r="CJT50" s="426"/>
      <c r="CJU50" s="426"/>
      <c r="CJV50" s="426"/>
      <c r="CJW50" s="426"/>
      <c r="CJX50" s="426"/>
      <c r="CJY50" s="426"/>
      <c r="CJZ50" s="426"/>
      <c r="CKA50" s="426"/>
      <c r="CKB50" s="426"/>
      <c r="CKC50" s="426"/>
      <c r="CKD50" s="426"/>
      <c r="CKE50" s="426"/>
      <c r="CKF50" s="426"/>
      <c r="CKG50" s="426"/>
      <c r="CKH50" s="426"/>
      <c r="CKI50" s="426"/>
      <c r="CKJ50" s="426"/>
      <c r="CKK50" s="426"/>
      <c r="CKL50" s="426"/>
      <c r="CKM50" s="426"/>
      <c r="CKN50" s="426"/>
      <c r="CKO50" s="426"/>
      <c r="CKP50" s="426"/>
      <c r="CKQ50" s="426"/>
      <c r="CKR50" s="426"/>
      <c r="CKS50" s="426"/>
      <c r="CKT50" s="426"/>
      <c r="CKU50" s="426"/>
      <c r="CKV50" s="426"/>
      <c r="CKW50" s="426"/>
      <c r="CKX50" s="426"/>
      <c r="CKY50" s="426"/>
      <c r="CKZ50" s="426"/>
      <c r="CLA50" s="426"/>
      <c r="CLB50" s="426"/>
      <c r="CLC50" s="426"/>
      <c r="CLD50" s="426"/>
      <c r="CLE50" s="426"/>
      <c r="CLF50" s="426"/>
      <c r="CLG50" s="426"/>
      <c r="CLH50" s="426"/>
      <c r="CLI50" s="426"/>
      <c r="CLJ50" s="426"/>
      <c r="CLK50" s="426"/>
      <c r="CLL50" s="426"/>
      <c r="CLM50" s="426"/>
      <c r="CLN50" s="426"/>
      <c r="CLO50" s="426"/>
      <c r="CLP50" s="426"/>
      <c r="CLQ50" s="426"/>
      <c r="CLR50" s="426"/>
      <c r="CLS50" s="426"/>
      <c r="CLT50" s="426"/>
      <c r="CLU50" s="426"/>
      <c r="CLV50" s="426"/>
      <c r="CLW50" s="426"/>
      <c r="CLX50" s="426"/>
      <c r="CLY50" s="426"/>
      <c r="CLZ50" s="426"/>
      <c r="CMA50" s="426"/>
      <c r="CMB50" s="426"/>
      <c r="CMC50" s="426"/>
      <c r="CMD50" s="426"/>
      <c r="CME50" s="426"/>
      <c r="CMF50" s="426"/>
      <c r="CMG50" s="426"/>
      <c r="CMH50" s="426"/>
      <c r="CMI50" s="426"/>
      <c r="CMJ50" s="426"/>
      <c r="CMK50" s="426"/>
      <c r="CML50" s="426"/>
      <c r="CMM50" s="426"/>
      <c r="CMN50" s="426"/>
      <c r="CMO50" s="426"/>
      <c r="CMP50" s="426"/>
      <c r="CMQ50" s="426"/>
      <c r="CMR50" s="426"/>
      <c r="CMS50" s="426"/>
      <c r="CMT50" s="426"/>
      <c r="CMU50" s="426"/>
      <c r="CMV50" s="426"/>
      <c r="CMW50" s="426"/>
      <c r="CMX50" s="426"/>
      <c r="CMY50" s="426"/>
      <c r="CMZ50" s="426"/>
      <c r="CNA50" s="426"/>
      <c r="CNB50" s="426"/>
      <c r="CNC50" s="426"/>
      <c r="CND50" s="426"/>
      <c r="CNE50" s="426"/>
      <c r="CNF50" s="426"/>
      <c r="CNG50" s="426"/>
      <c r="CNH50" s="426"/>
      <c r="CNI50" s="426"/>
      <c r="CNJ50" s="426"/>
      <c r="CNK50" s="426"/>
      <c r="CNL50" s="426"/>
      <c r="CNM50" s="426"/>
      <c r="CNN50" s="426"/>
      <c r="CNO50" s="426"/>
      <c r="CNP50" s="426"/>
      <c r="CNQ50" s="426"/>
      <c r="CNR50" s="426"/>
      <c r="CNS50" s="426"/>
      <c r="CNT50" s="426"/>
      <c r="CNU50" s="426"/>
      <c r="CNV50" s="426"/>
      <c r="CNW50" s="426"/>
      <c r="CNX50" s="426"/>
      <c r="CNY50" s="426"/>
      <c r="CNZ50" s="426"/>
      <c r="COA50" s="426"/>
      <c r="COB50" s="426"/>
      <c r="COC50" s="426"/>
      <c r="COD50" s="426"/>
      <c r="COE50" s="426"/>
      <c r="COF50" s="426"/>
      <c r="COG50" s="426"/>
      <c r="COH50" s="426"/>
      <c r="COI50" s="426"/>
      <c r="COJ50" s="426"/>
      <c r="COK50" s="426"/>
      <c r="COL50" s="426"/>
      <c r="COM50" s="426"/>
      <c r="CON50" s="426"/>
      <c r="COO50" s="426"/>
      <c r="COP50" s="426"/>
      <c r="COQ50" s="426"/>
      <c r="COR50" s="426"/>
      <c r="COS50" s="426"/>
      <c r="COT50" s="426"/>
      <c r="COU50" s="426"/>
      <c r="COV50" s="426"/>
      <c r="COW50" s="426"/>
      <c r="COX50" s="426"/>
      <c r="COY50" s="426"/>
      <c r="COZ50" s="426"/>
      <c r="CPA50" s="426"/>
      <c r="CPB50" s="426"/>
      <c r="CPC50" s="426"/>
      <c r="CPD50" s="426"/>
      <c r="CPE50" s="426"/>
      <c r="CPF50" s="426"/>
      <c r="CPG50" s="426"/>
      <c r="CPH50" s="426"/>
      <c r="CPI50" s="426"/>
      <c r="CPJ50" s="426"/>
      <c r="CPK50" s="426"/>
      <c r="CPL50" s="426"/>
      <c r="CPM50" s="426"/>
      <c r="CPN50" s="426"/>
      <c r="CPO50" s="426"/>
      <c r="CPP50" s="426"/>
      <c r="CPQ50" s="426"/>
      <c r="CPR50" s="426"/>
      <c r="CPS50" s="426"/>
      <c r="CPT50" s="426"/>
      <c r="CPU50" s="426"/>
      <c r="CPV50" s="426"/>
      <c r="CPW50" s="426"/>
      <c r="CPX50" s="426"/>
      <c r="CPY50" s="426"/>
      <c r="CPZ50" s="426"/>
      <c r="CQA50" s="426"/>
      <c r="CQB50" s="426"/>
      <c r="CQC50" s="426"/>
      <c r="CQD50" s="426"/>
      <c r="CQE50" s="426"/>
      <c r="CQF50" s="426"/>
      <c r="CQG50" s="426"/>
      <c r="CQH50" s="426"/>
      <c r="CQI50" s="426"/>
      <c r="CQJ50" s="426"/>
      <c r="CQK50" s="426"/>
      <c r="CQL50" s="426"/>
      <c r="CQM50" s="426"/>
      <c r="CQN50" s="426"/>
      <c r="CQO50" s="426"/>
      <c r="CQP50" s="426"/>
      <c r="CQQ50" s="426"/>
      <c r="CQR50" s="426"/>
      <c r="CQS50" s="426"/>
      <c r="CQT50" s="426"/>
      <c r="CQU50" s="426"/>
      <c r="CQV50" s="426"/>
      <c r="CQW50" s="426"/>
      <c r="CQX50" s="426"/>
      <c r="CQY50" s="426"/>
      <c r="CQZ50" s="426"/>
      <c r="CRA50" s="426"/>
      <c r="CRB50" s="426"/>
      <c r="CRC50" s="426"/>
      <c r="CRD50" s="426"/>
      <c r="CRE50" s="426"/>
      <c r="CRF50" s="426"/>
      <c r="CRG50" s="426"/>
      <c r="CRH50" s="426"/>
      <c r="CRI50" s="426"/>
      <c r="CRJ50" s="426"/>
      <c r="CRK50" s="426"/>
      <c r="CRL50" s="426"/>
      <c r="CRM50" s="426"/>
      <c r="CRN50" s="426"/>
      <c r="CRO50" s="426"/>
      <c r="CRP50" s="426"/>
      <c r="CRQ50" s="426"/>
      <c r="CRR50" s="426"/>
      <c r="CRS50" s="426"/>
      <c r="CRT50" s="426"/>
      <c r="CRU50" s="426"/>
      <c r="CRV50" s="426"/>
      <c r="CRW50" s="426"/>
      <c r="CRX50" s="426"/>
      <c r="CRY50" s="426"/>
      <c r="CRZ50" s="426"/>
      <c r="CSA50" s="426"/>
      <c r="CSB50" s="426"/>
      <c r="CSC50" s="426"/>
      <c r="CSD50" s="426"/>
      <c r="CSE50" s="426"/>
      <c r="CSF50" s="426"/>
      <c r="CSG50" s="426"/>
      <c r="CSH50" s="426"/>
      <c r="CSI50" s="426"/>
      <c r="CSJ50" s="426"/>
      <c r="CSK50" s="426"/>
      <c r="CSL50" s="426"/>
      <c r="CSM50" s="426"/>
      <c r="CSN50" s="426"/>
      <c r="CSO50" s="426"/>
      <c r="CSP50" s="426"/>
      <c r="CSQ50" s="426"/>
      <c r="CSR50" s="426"/>
      <c r="CSS50" s="426"/>
      <c r="CST50" s="426"/>
      <c r="CSU50" s="426"/>
      <c r="CSV50" s="426"/>
      <c r="CSW50" s="426"/>
      <c r="CSX50" s="426"/>
      <c r="CSY50" s="426"/>
      <c r="CSZ50" s="426"/>
      <c r="CTA50" s="426"/>
      <c r="CTB50" s="426"/>
      <c r="CTC50" s="426"/>
      <c r="CTD50" s="426"/>
      <c r="CTE50" s="426"/>
      <c r="CTF50" s="426"/>
      <c r="CTG50" s="426"/>
      <c r="CTH50" s="426"/>
      <c r="CTI50" s="426"/>
      <c r="CTJ50" s="426"/>
      <c r="CTK50" s="426"/>
      <c r="CTL50" s="426"/>
      <c r="CTM50" s="426"/>
      <c r="CTN50" s="426"/>
      <c r="CTO50" s="426"/>
      <c r="CTP50" s="426"/>
      <c r="CTQ50" s="426"/>
      <c r="CTR50" s="426"/>
      <c r="CTS50" s="426"/>
      <c r="CTT50" s="426"/>
      <c r="CTU50" s="426"/>
      <c r="CTV50" s="426"/>
      <c r="CTW50" s="426"/>
      <c r="CTX50" s="426"/>
      <c r="CTY50" s="426"/>
      <c r="CTZ50" s="426"/>
      <c r="CUA50" s="426"/>
      <c r="CUB50" s="426"/>
      <c r="CUC50" s="426"/>
      <c r="CUD50" s="426"/>
      <c r="CUE50" s="426"/>
      <c r="CUF50" s="426"/>
      <c r="CUG50" s="426"/>
      <c r="CUH50" s="426"/>
      <c r="CUI50" s="426"/>
      <c r="CUJ50" s="426"/>
      <c r="CUK50" s="426"/>
      <c r="CUL50" s="426"/>
      <c r="CUM50" s="426"/>
      <c r="CUN50" s="426"/>
      <c r="CUO50" s="426"/>
      <c r="CUP50" s="426"/>
      <c r="CUQ50" s="426"/>
      <c r="CUR50" s="426"/>
      <c r="CUS50" s="426"/>
      <c r="CUT50" s="426"/>
      <c r="CUU50" s="426"/>
      <c r="CUV50" s="426"/>
      <c r="CUW50" s="426"/>
      <c r="CUX50" s="426"/>
      <c r="CUY50" s="426"/>
      <c r="CUZ50" s="426"/>
      <c r="CVA50" s="426"/>
      <c r="CVB50" s="426"/>
      <c r="CVC50" s="426"/>
      <c r="CVD50" s="426"/>
      <c r="CVE50" s="426"/>
      <c r="CVF50" s="426"/>
      <c r="CVG50" s="426"/>
      <c r="CVH50" s="426"/>
      <c r="CVI50" s="426"/>
      <c r="CVJ50" s="426"/>
      <c r="CVK50" s="426"/>
      <c r="CVL50" s="426"/>
      <c r="CVM50" s="426"/>
      <c r="CVN50" s="426"/>
      <c r="CVO50" s="426"/>
      <c r="CVP50" s="426"/>
      <c r="CVQ50" s="426"/>
      <c r="CVR50" s="426"/>
      <c r="CVS50" s="426"/>
      <c r="CVT50" s="426"/>
      <c r="CVU50" s="426"/>
      <c r="CVV50" s="426"/>
      <c r="CVW50" s="426"/>
      <c r="CVX50" s="426"/>
      <c r="CVY50" s="426"/>
      <c r="CVZ50" s="426"/>
      <c r="CWA50" s="426"/>
      <c r="CWB50" s="426"/>
      <c r="CWC50" s="426"/>
      <c r="CWD50" s="426"/>
      <c r="CWE50" s="426"/>
      <c r="CWF50" s="426"/>
      <c r="CWG50" s="426"/>
      <c r="CWH50" s="426"/>
      <c r="CWI50" s="426"/>
      <c r="CWJ50" s="426"/>
      <c r="CWK50" s="426"/>
      <c r="CWL50" s="426"/>
      <c r="CWM50" s="426"/>
      <c r="CWN50" s="426"/>
      <c r="CWO50" s="426"/>
      <c r="CWP50" s="426"/>
      <c r="CWQ50" s="426"/>
      <c r="CWR50" s="426"/>
      <c r="CWS50" s="426"/>
      <c r="CWT50" s="426"/>
      <c r="CWU50" s="426"/>
      <c r="CWV50" s="426"/>
      <c r="CWW50" s="426"/>
      <c r="CWX50" s="426"/>
      <c r="CWY50" s="426"/>
      <c r="CWZ50" s="426"/>
      <c r="CXA50" s="426"/>
      <c r="CXB50" s="426"/>
      <c r="CXC50" s="426"/>
      <c r="CXD50" s="426"/>
      <c r="CXE50" s="426"/>
      <c r="CXF50" s="426"/>
      <c r="CXG50" s="426"/>
      <c r="CXH50" s="426"/>
      <c r="CXI50" s="426"/>
      <c r="CXJ50" s="426"/>
      <c r="CXK50" s="426"/>
      <c r="CXL50" s="426"/>
      <c r="CXM50" s="426"/>
      <c r="CXN50" s="426"/>
      <c r="CXO50" s="426"/>
      <c r="CXP50" s="426"/>
      <c r="CXQ50" s="426"/>
      <c r="CXR50" s="426"/>
      <c r="CXS50" s="426"/>
      <c r="CXT50" s="426"/>
      <c r="CXU50" s="426"/>
      <c r="CXV50" s="426"/>
      <c r="CXW50" s="426"/>
      <c r="CXX50" s="426"/>
      <c r="CXY50" s="426"/>
      <c r="CXZ50" s="426"/>
      <c r="CYA50" s="426"/>
      <c r="CYB50" s="426"/>
      <c r="CYC50" s="426"/>
      <c r="CYD50" s="426"/>
      <c r="CYE50" s="426"/>
      <c r="CYF50" s="426"/>
      <c r="CYG50" s="426"/>
      <c r="CYH50" s="426"/>
      <c r="CYI50" s="426"/>
      <c r="CYJ50" s="426"/>
      <c r="CYK50" s="426"/>
      <c r="CYL50" s="426"/>
      <c r="CYM50" s="426"/>
      <c r="CYN50" s="426"/>
      <c r="CYO50" s="426"/>
      <c r="CYP50" s="426"/>
      <c r="CYQ50" s="426"/>
      <c r="CYR50" s="426"/>
      <c r="CYS50" s="426"/>
      <c r="CYT50" s="426"/>
      <c r="CYU50" s="426"/>
      <c r="CYV50" s="426"/>
      <c r="CYW50" s="426"/>
      <c r="CYX50" s="426"/>
      <c r="CYY50" s="426"/>
      <c r="CYZ50" s="426"/>
      <c r="CZA50" s="426"/>
      <c r="CZB50" s="426"/>
      <c r="CZC50" s="426"/>
      <c r="CZD50" s="426"/>
      <c r="CZE50" s="426"/>
      <c r="CZF50" s="426"/>
      <c r="CZG50" s="426"/>
      <c r="CZH50" s="426"/>
      <c r="CZI50" s="426"/>
      <c r="CZJ50" s="426"/>
      <c r="CZK50" s="426"/>
      <c r="CZL50" s="426"/>
      <c r="CZM50" s="426"/>
      <c r="CZN50" s="426"/>
      <c r="CZO50" s="426"/>
      <c r="CZP50" s="426"/>
      <c r="CZQ50" s="426"/>
      <c r="CZR50" s="426"/>
      <c r="CZS50" s="426"/>
      <c r="CZT50" s="426"/>
      <c r="CZU50" s="426"/>
      <c r="CZV50" s="426"/>
      <c r="CZW50" s="426"/>
      <c r="CZX50" s="426"/>
      <c r="CZY50" s="426"/>
      <c r="CZZ50" s="426"/>
      <c r="DAA50" s="426"/>
      <c r="DAB50" s="426"/>
      <c r="DAC50" s="426"/>
      <c r="DAD50" s="426"/>
      <c r="DAE50" s="426"/>
      <c r="DAF50" s="426"/>
      <c r="DAG50" s="426"/>
      <c r="DAH50" s="426"/>
      <c r="DAI50" s="426"/>
      <c r="DAJ50" s="426"/>
      <c r="DAK50" s="426"/>
      <c r="DAL50" s="426"/>
      <c r="DAM50" s="426"/>
      <c r="DAN50" s="426"/>
      <c r="DAO50" s="426"/>
      <c r="DAP50" s="426"/>
      <c r="DAQ50" s="426"/>
      <c r="DAR50" s="426"/>
      <c r="DAS50" s="426"/>
      <c r="DAT50" s="426"/>
      <c r="DAU50" s="426"/>
      <c r="DAV50" s="426"/>
      <c r="DAW50" s="426"/>
      <c r="DAX50" s="426"/>
      <c r="DAY50" s="426"/>
      <c r="DAZ50" s="426"/>
      <c r="DBA50" s="426"/>
      <c r="DBB50" s="426"/>
      <c r="DBC50" s="426"/>
      <c r="DBD50" s="426"/>
      <c r="DBE50" s="426"/>
      <c r="DBF50" s="426"/>
      <c r="DBG50" s="426"/>
      <c r="DBH50" s="426"/>
      <c r="DBI50" s="426"/>
      <c r="DBJ50" s="426"/>
      <c r="DBK50" s="426"/>
      <c r="DBL50" s="426"/>
      <c r="DBM50" s="426"/>
      <c r="DBN50" s="426"/>
      <c r="DBO50" s="426"/>
      <c r="DBP50" s="426"/>
      <c r="DBQ50" s="426"/>
      <c r="DBR50" s="426"/>
      <c r="DBS50" s="426"/>
      <c r="DBT50" s="426"/>
      <c r="DBU50" s="426"/>
      <c r="DBV50" s="426"/>
      <c r="DBW50" s="426"/>
      <c r="DBX50" s="426"/>
      <c r="DBY50" s="426"/>
      <c r="DBZ50" s="426"/>
      <c r="DCA50" s="426"/>
      <c r="DCB50" s="426"/>
      <c r="DCC50" s="426"/>
      <c r="DCD50" s="426"/>
      <c r="DCE50" s="426"/>
      <c r="DCF50" s="426"/>
      <c r="DCG50" s="426"/>
      <c r="DCH50" s="426"/>
      <c r="DCI50" s="426"/>
      <c r="DCJ50" s="426"/>
      <c r="DCK50" s="426"/>
      <c r="DCL50" s="426"/>
      <c r="DCM50" s="426"/>
      <c r="DCN50" s="426"/>
      <c r="DCO50" s="426"/>
      <c r="DCP50" s="426"/>
      <c r="DCQ50" s="426"/>
      <c r="DCR50" s="426"/>
      <c r="DCS50" s="426"/>
      <c r="DCT50" s="426"/>
      <c r="DCU50" s="426"/>
      <c r="DCV50" s="426"/>
      <c r="DCW50" s="426"/>
      <c r="DCX50" s="426"/>
      <c r="DCY50" s="426"/>
      <c r="DCZ50" s="426"/>
      <c r="DDA50" s="426"/>
      <c r="DDB50" s="426"/>
      <c r="DDC50" s="426"/>
      <c r="DDD50" s="426"/>
      <c r="DDE50" s="426"/>
      <c r="DDF50" s="426"/>
      <c r="DDG50" s="426"/>
      <c r="DDH50" s="426"/>
      <c r="DDI50" s="426"/>
      <c r="DDJ50" s="426"/>
      <c r="DDK50" s="426"/>
      <c r="DDL50" s="426"/>
      <c r="DDM50" s="426"/>
      <c r="DDN50" s="426"/>
      <c r="DDO50" s="426"/>
      <c r="DDP50" s="426"/>
      <c r="DDQ50" s="426"/>
      <c r="DDR50" s="426"/>
      <c r="DDS50" s="426"/>
      <c r="DDT50" s="426"/>
      <c r="DDU50" s="426"/>
      <c r="DDV50" s="426"/>
      <c r="DDW50" s="426"/>
      <c r="DDX50" s="426"/>
      <c r="DDY50" s="426"/>
      <c r="DDZ50" s="426"/>
      <c r="DEA50" s="426"/>
      <c r="DEB50" s="426"/>
      <c r="DEC50" s="426"/>
      <c r="DED50" s="426"/>
      <c r="DEE50" s="426"/>
      <c r="DEF50" s="426"/>
      <c r="DEG50" s="426"/>
      <c r="DEH50" s="426"/>
      <c r="DEI50" s="426"/>
      <c r="DEJ50" s="426"/>
      <c r="DEK50" s="426"/>
      <c r="DEL50" s="426"/>
      <c r="DEM50" s="426"/>
      <c r="DEN50" s="426"/>
      <c r="DEO50" s="426"/>
      <c r="DEP50" s="426"/>
      <c r="DEQ50" s="426"/>
      <c r="DER50" s="426"/>
      <c r="DES50" s="426"/>
      <c r="DET50" s="426"/>
      <c r="DEU50" s="426"/>
      <c r="DEV50" s="426"/>
      <c r="DEW50" s="426"/>
      <c r="DEX50" s="426"/>
      <c r="DEY50" s="426"/>
      <c r="DEZ50" s="426"/>
      <c r="DFA50" s="426"/>
      <c r="DFB50" s="426"/>
      <c r="DFC50" s="426"/>
      <c r="DFD50" s="426"/>
      <c r="DFE50" s="426"/>
      <c r="DFF50" s="426"/>
      <c r="DFG50" s="426"/>
      <c r="DFH50" s="426"/>
      <c r="DFI50" s="426"/>
      <c r="DFJ50" s="426"/>
      <c r="DFK50" s="426"/>
      <c r="DFL50" s="426"/>
      <c r="DFM50" s="426"/>
      <c r="DFN50" s="426"/>
      <c r="DFO50" s="426"/>
      <c r="DFP50" s="426"/>
      <c r="DFQ50" s="426"/>
      <c r="DFR50" s="426"/>
      <c r="DFS50" s="426"/>
      <c r="DFT50" s="426"/>
      <c r="DFU50" s="426"/>
      <c r="DFV50" s="426"/>
      <c r="DFW50" s="426"/>
      <c r="DFX50" s="426"/>
      <c r="DFY50" s="426"/>
      <c r="DFZ50" s="426"/>
      <c r="DGA50" s="426"/>
      <c r="DGB50" s="426"/>
      <c r="DGC50" s="426"/>
      <c r="DGD50" s="426"/>
      <c r="DGE50" s="426"/>
      <c r="DGF50" s="426"/>
      <c r="DGG50" s="426"/>
      <c r="DGH50" s="426"/>
      <c r="DGI50" s="426"/>
      <c r="DGJ50" s="426"/>
      <c r="DGK50" s="426"/>
      <c r="DGL50" s="426"/>
      <c r="DGM50" s="426"/>
      <c r="DGN50" s="426"/>
      <c r="DGO50" s="426"/>
      <c r="DGP50" s="426"/>
      <c r="DGQ50" s="426"/>
      <c r="DGR50" s="426"/>
      <c r="DGS50" s="426"/>
      <c r="DGT50" s="426"/>
      <c r="DGU50" s="426"/>
      <c r="DGV50" s="426"/>
      <c r="DGW50" s="426"/>
      <c r="DGX50" s="426"/>
      <c r="DGY50" s="426"/>
      <c r="DGZ50" s="426"/>
      <c r="DHA50" s="426"/>
      <c r="DHB50" s="426"/>
      <c r="DHC50" s="426"/>
      <c r="DHD50" s="426"/>
      <c r="DHE50" s="426"/>
      <c r="DHF50" s="426"/>
      <c r="DHG50" s="426"/>
      <c r="DHH50" s="426"/>
      <c r="DHI50" s="426"/>
      <c r="DHJ50" s="426"/>
      <c r="DHK50" s="426"/>
      <c r="DHL50" s="426"/>
      <c r="DHM50" s="426"/>
      <c r="DHN50" s="426"/>
      <c r="DHO50" s="426"/>
      <c r="DHP50" s="426"/>
      <c r="DHQ50" s="426"/>
      <c r="DHR50" s="426"/>
      <c r="DHS50" s="426"/>
      <c r="DHT50" s="426"/>
      <c r="DHU50" s="426"/>
      <c r="DHV50" s="426"/>
      <c r="DHW50" s="426"/>
      <c r="DHX50" s="426"/>
      <c r="DHY50" s="426"/>
      <c r="DHZ50" s="426"/>
      <c r="DIA50" s="426"/>
      <c r="DIB50" s="426"/>
      <c r="DIC50" s="426"/>
      <c r="DID50" s="426"/>
      <c r="DIE50" s="426"/>
      <c r="DIF50" s="426"/>
      <c r="DIG50" s="426"/>
      <c r="DIH50" s="426"/>
      <c r="DII50" s="426"/>
      <c r="DIJ50" s="426"/>
      <c r="DIK50" s="426"/>
      <c r="DIL50" s="426"/>
      <c r="DIM50" s="426"/>
      <c r="DIN50" s="426"/>
      <c r="DIO50" s="426"/>
      <c r="DIP50" s="426"/>
      <c r="DIQ50" s="426"/>
      <c r="DIR50" s="426"/>
      <c r="DIS50" s="426"/>
      <c r="DIT50" s="426"/>
      <c r="DIU50" s="426"/>
      <c r="DIV50" s="426"/>
      <c r="DIW50" s="426"/>
      <c r="DIX50" s="426"/>
      <c r="DIY50" s="426"/>
      <c r="DIZ50" s="426"/>
      <c r="DJA50" s="426"/>
      <c r="DJB50" s="426"/>
      <c r="DJC50" s="426"/>
      <c r="DJD50" s="426"/>
      <c r="DJE50" s="426"/>
      <c r="DJF50" s="426"/>
      <c r="DJG50" s="426"/>
      <c r="DJH50" s="426"/>
      <c r="DJI50" s="426"/>
      <c r="DJJ50" s="426"/>
      <c r="DJK50" s="426"/>
      <c r="DJL50" s="426"/>
      <c r="DJM50" s="426"/>
      <c r="DJN50" s="426"/>
      <c r="DJO50" s="426"/>
      <c r="DJP50" s="426"/>
      <c r="DJQ50" s="426"/>
      <c r="DJR50" s="426"/>
      <c r="DJS50" s="426"/>
      <c r="DJT50" s="426"/>
      <c r="DJU50" s="426"/>
      <c r="DJV50" s="426"/>
      <c r="DJW50" s="426"/>
      <c r="DJX50" s="426"/>
      <c r="DJY50" s="426"/>
      <c r="DJZ50" s="426"/>
      <c r="DKA50" s="426"/>
      <c r="DKB50" s="426"/>
      <c r="DKC50" s="426"/>
      <c r="DKD50" s="426"/>
      <c r="DKE50" s="426"/>
      <c r="DKF50" s="426"/>
      <c r="DKG50" s="426"/>
      <c r="DKH50" s="426"/>
      <c r="DKI50" s="426"/>
      <c r="DKJ50" s="426"/>
      <c r="DKK50" s="426"/>
      <c r="DKL50" s="426"/>
      <c r="DKM50" s="426"/>
      <c r="DKN50" s="426"/>
      <c r="DKO50" s="426"/>
      <c r="DKP50" s="426"/>
      <c r="DKQ50" s="426"/>
      <c r="DKR50" s="426"/>
      <c r="DKS50" s="426"/>
      <c r="DKT50" s="426"/>
      <c r="DKU50" s="426"/>
      <c r="DKV50" s="426"/>
      <c r="DKW50" s="426"/>
      <c r="DKX50" s="426"/>
      <c r="DKY50" s="426"/>
      <c r="DKZ50" s="426"/>
      <c r="DLA50" s="426"/>
      <c r="DLB50" s="426"/>
      <c r="DLC50" s="426"/>
      <c r="DLD50" s="426"/>
      <c r="DLE50" s="426"/>
      <c r="DLF50" s="426"/>
      <c r="DLG50" s="426"/>
      <c r="DLH50" s="426"/>
      <c r="DLI50" s="426"/>
      <c r="DLJ50" s="426"/>
      <c r="DLK50" s="426"/>
      <c r="DLL50" s="426"/>
      <c r="DLM50" s="426"/>
      <c r="DLN50" s="426"/>
      <c r="DLO50" s="426"/>
      <c r="DLP50" s="426"/>
      <c r="DLQ50" s="426"/>
      <c r="DLR50" s="426"/>
      <c r="DLS50" s="426"/>
      <c r="DLT50" s="426"/>
      <c r="DLU50" s="426"/>
      <c r="DLV50" s="426"/>
      <c r="DLW50" s="426"/>
      <c r="DLX50" s="426"/>
      <c r="DLY50" s="426"/>
      <c r="DLZ50" s="426"/>
      <c r="DMA50" s="426"/>
      <c r="DMB50" s="426"/>
      <c r="DMC50" s="426"/>
      <c r="DMD50" s="426"/>
      <c r="DME50" s="426"/>
      <c r="DMF50" s="426"/>
      <c r="DMG50" s="426"/>
      <c r="DMH50" s="426"/>
      <c r="DMI50" s="426"/>
      <c r="DMJ50" s="426"/>
      <c r="DMK50" s="426"/>
      <c r="DML50" s="426"/>
      <c r="DMM50" s="426"/>
      <c r="DMN50" s="426"/>
      <c r="DMO50" s="426"/>
      <c r="DMP50" s="426"/>
      <c r="DMQ50" s="426"/>
      <c r="DMR50" s="426"/>
      <c r="DMS50" s="426"/>
      <c r="DMT50" s="426"/>
      <c r="DMU50" s="426"/>
      <c r="DMV50" s="426"/>
      <c r="DMW50" s="426"/>
      <c r="DMX50" s="426"/>
      <c r="DMY50" s="426"/>
      <c r="DMZ50" s="426"/>
      <c r="DNA50" s="426"/>
      <c r="DNB50" s="426"/>
      <c r="DNC50" s="426"/>
      <c r="DND50" s="426"/>
      <c r="DNE50" s="426"/>
      <c r="DNF50" s="426"/>
      <c r="DNG50" s="426"/>
      <c r="DNH50" s="426"/>
      <c r="DNI50" s="426"/>
      <c r="DNJ50" s="426"/>
      <c r="DNK50" s="426"/>
      <c r="DNL50" s="426"/>
      <c r="DNM50" s="426"/>
      <c r="DNN50" s="426"/>
      <c r="DNO50" s="426"/>
      <c r="DNP50" s="426"/>
      <c r="DNQ50" s="426"/>
      <c r="DNR50" s="426"/>
      <c r="DNS50" s="426"/>
      <c r="DNT50" s="426"/>
      <c r="DNU50" s="426"/>
      <c r="DNV50" s="426"/>
      <c r="DNW50" s="426"/>
      <c r="DNX50" s="426"/>
      <c r="DNY50" s="426"/>
      <c r="DNZ50" s="426"/>
      <c r="DOA50" s="426"/>
      <c r="DOB50" s="426"/>
      <c r="DOC50" s="426"/>
      <c r="DOD50" s="426"/>
      <c r="DOE50" s="426"/>
      <c r="DOF50" s="426"/>
      <c r="DOG50" s="426"/>
      <c r="DOH50" s="426"/>
      <c r="DOI50" s="426"/>
      <c r="DOJ50" s="426"/>
      <c r="DOK50" s="426"/>
      <c r="DOL50" s="426"/>
      <c r="DOM50" s="426"/>
      <c r="DON50" s="426"/>
      <c r="DOO50" s="426"/>
      <c r="DOP50" s="426"/>
      <c r="DOQ50" s="426"/>
      <c r="DOR50" s="426"/>
      <c r="DOS50" s="426"/>
      <c r="DOT50" s="426"/>
      <c r="DOU50" s="426"/>
      <c r="DOV50" s="426"/>
      <c r="DOW50" s="426"/>
      <c r="DOX50" s="426"/>
      <c r="DOY50" s="426"/>
      <c r="DOZ50" s="426"/>
      <c r="DPA50" s="426"/>
      <c r="DPB50" s="426"/>
      <c r="DPC50" s="426"/>
      <c r="DPD50" s="426"/>
      <c r="DPE50" s="426"/>
      <c r="DPF50" s="426"/>
      <c r="DPG50" s="426"/>
      <c r="DPH50" s="426"/>
      <c r="DPI50" s="426"/>
      <c r="DPJ50" s="426"/>
      <c r="DPK50" s="426"/>
      <c r="DPL50" s="426"/>
      <c r="DPM50" s="426"/>
      <c r="DPN50" s="426"/>
      <c r="DPO50" s="426"/>
      <c r="DPP50" s="426"/>
      <c r="DPQ50" s="426"/>
      <c r="DPR50" s="426"/>
      <c r="DPS50" s="426"/>
      <c r="DPT50" s="426"/>
      <c r="DPU50" s="426"/>
      <c r="DPV50" s="426"/>
      <c r="DPW50" s="426"/>
      <c r="DPX50" s="426"/>
      <c r="DPY50" s="426"/>
      <c r="DPZ50" s="426"/>
      <c r="DQA50" s="426"/>
      <c r="DQB50" s="426"/>
      <c r="DQC50" s="426"/>
      <c r="DQD50" s="426"/>
      <c r="DQE50" s="426"/>
      <c r="DQF50" s="426"/>
      <c r="DQG50" s="426"/>
      <c r="DQH50" s="426"/>
      <c r="DQI50" s="426"/>
      <c r="DQJ50" s="426"/>
      <c r="DQK50" s="426"/>
      <c r="DQL50" s="426"/>
      <c r="DQM50" s="426"/>
      <c r="DQN50" s="426"/>
      <c r="DQO50" s="426"/>
      <c r="DQP50" s="426"/>
      <c r="DQQ50" s="426"/>
      <c r="DQR50" s="426"/>
      <c r="DQS50" s="426"/>
      <c r="DQT50" s="426"/>
      <c r="DQU50" s="426"/>
      <c r="DQV50" s="426"/>
      <c r="DQW50" s="426"/>
      <c r="DQX50" s="426"/>
      <c r="DQY50" s="426"/>
      <c r="DQZ50" s="426"/>
      <c r="DRA50" s="426"/>
      <c r="DRB50" s="426"/>
      <c r="DRC50" s="426"/>
      <c r="DRD50" s="426"/>
      <c r="DRE50" s="426"/>
      <c r="DRF50" s="426"/>
      <c r="DRG50" s="426"/>
      <c r="DRH50" s="426"/>
      <c r="DRI50" s="426"/>
      <c r="DRJ50" s="426"/>
      <c r="DRK50" s="426"/>
      <c r="DRL50" s="426"/>
      <c r="DRM50" s="426"/>
      <c r="DRN50" s="426"/>
      <c r="DRO50" s="426"/>
      <c r="DRP50" s="426"/>
      <c r="DRQ50" s="426"/>
      <c r="DRR50" s="426"/>
      <c r="DRS50" s="426"/>
      <c r="DRT50" s="426"/>
      <c r="DRU50" s="426"/>
      <c r="DRV50" s="426"/>
      <c r="DRW50" s="426"/>
      <c r="DRX50" s="426"/>
      <c r="DRY50" s="426"/>
      <c r="DRZ50" s="426"/>
      <c r="DSA50" s="426"/>
      <c r="DSB50" s="426"/>
      <c r="DSC50" s="426"/>
      <c r="DSD50" s="426"/>
      <c r="DSE50" s="426"/>
      <c r="DSF50" s="426"/>
      <c r="DSG50" s="426"/>
      <c r="DSH50" s="426"/>
      <c r="DSI50" s="426"/>
      <c r="DSJ50" s="426"/>
      <c r="DSK50" s="426"/>
      <c r="DSL50" s="426"/>
      <c r="DSM50" s="426"/>
      <c r="DSN50" s="426"/>
      <c r="DSO50" s="426"/>
      <c r="DSP50" s="426"/>
      <c r="DSQ50" s="426"/>
      <c r="DSR50" s="426"/>
      <c r="DSS50" s="426"/>
      <c r="DST50" s="426"/>
      <c r="DSU50" s="426"/>
      <c r="DSV50" s="426"/>
      <c r="DSW50" s="426"/>
      <c r="DSX50" s="426"/>
      <c r="DSY50" s="426"/>
      <c r="DSZ50" s="426"/>
      <c r="DTA50" s="426"/>
      <c r="DTB50" s="426"/>
      <c r="DTC50" s="426"/>
      <c r="DTD50" s="426"/>
      <c r="DTE50" s="426"/>
      <c r="DTF50" s="426"/>
      <c r="DTG50" s="426"/>
      <c r="DTH50" s="426"/>
      <c r="DTI50" s="426"/>
      <c r="DTJ50" s="426"/>
      <c r="DTK50" s="426"/>
      <c r="DTL50" s="426"/>
      <c r="DTM50" s="426"/>
      <c r="DTN50" s="426"/>
      <c r="DTO50" s="426"/>
      <c r="DTP50" s="426"/>
      <c r="DTQ50" s="426"/>
      <c r="DTR50" s="426"/>
      <c r="DTS50" s="426"/>
      <c r="DTT50" s="426"/>
      <c r="DTU50" s="426"/>
      <c r="DTV50" s="426"/>
      <c r="DTW50" s="426"/>
      <c r="DTX50" s="426"/>
      <c r="DTY50" s="426"/>
      <c r="DTZ50" s="426"/>
      <c r="DUA50" s="426"/>
      <c r="DUB50" s="426"/>
      <c r="DUC50" s="426"/>
      <c r="DUD50" s="426"/>
      <c r="DUE50" s="426"/>
      <c r="DUF50" s="426"/>
      <c r="DUG50" s="426"/>
      <c r="DUH50" s="426"/>
      <c r="DUI50" s="426"/>
      <c r="DUJ50" s="426"/>
      <c r="DUK50" s="426"/>
      <c r="DUL50" s="426"/>
      <c r="DUM50" s="426"/>
      <c r="DUN50" s="426"/>
      <c r="DUO50" s="426"/>
      <c r="DUP50" s="426"/>
      <c r="DUQ50" s="426"/>
      <c r="DUR50" s="426"/>
      <c r="DUS50" s="426"/>
      <c r="DUT50" s="426"/>
      <c r="DUU50" s="426"/>
      <c r="DUV50" s="426"/>
      <c r="DUW50" s="426"/>
      <c r="DUX50" s="426"/>
      <c r="DUY50" s="426"/>
      <c r="DUZ50" s="426"/>
      <c r="DVA50" s="426"/>
      <c r="DVB50" s="426"/>
      <c r="DVC50" s="426"/>
      <c r="DVD50" s="426"/>
      <c r="DVE50" s="426"/>
      <c r="DVF50" s="426"/>
      <c r="DVG50" s="426"/>
      <c r="DVH50" s="426"/>
      <c r="DVI50" s="426"/>
      <c r="DVJ50" s="426"/>
      <c r="DVK50" s="426"/>
      <c r="DVL50" s="426"/>
      <c r="DVM50" s="426"/>
      <c r="DVN50" s="426"/>
      <c r="DVO50" s="426"/>
      <c r="DVP50" s="426"/>
      <c r="DVQ50" s="426"/>
      <c r="DVR50" s="426"/>
      <c r="DVS50" s="426"/>
      <c r="DVT50" s="426"/>
      <c r="DVU50" s="426"/>
      <c r="DVV50" s="426"/>
      <c r="DVW50" s="426"/>
      <c r="DVX50" s="426"/>
      <c r="DVY50" s="426"/>
      <c r="DVZ50" s="426"/>
      <c r="DWA50" s="426"/>
      <c r="DWB50" s="426"/>
      <c r="DWC50" s="426"/>
      <c r="DWD50" s="426"/>
      <c r="DWE50" s="426"/>
      <c r="DWF50" s="426"/>
      <c r="DWG50" s="426"/>
      <c r="DWH50" s="426"/>
      <c r="DWI50" s="426"/>
      <c r="DWJ50" s="426"/>
      <c r="DWK50" s="426"/>
      <c r="DWL50" s="426"/>
      <c r="DWM50" s="426"/>
      <c r="DWN50" s="426"/>
      <c r="DWO50" s="426"/>
      <c r="DWP50" s="426"/>
      <c r="DWQ50" s="426"/>
      <c r="DWR50" s="426"/>
      <c r="DWS50" s="426"/>
      <c r="DWT50" s="426"/>
      <c r="DWU50" s="426"/>
      <c r="DWV50" s="426"/>
      <c r="DWW50" s="426"/>
      <c r="DWX50" s="426"/>
      <c r="DWY50" s="426"/>
      <c r="DWZ50" s="426"/>
      <c r="DXA50" s="426"/>
      <c r="DXB50" s="426"/>
      <c r="DXC50" s="426"/>
      <c r="DXD50" s="426"/>
      <c r="DXE50" s="426"/>
      <c r="DXF50" s="426"/>
      <c r="DXG50" s="426"/>
      <c r="DXH50" s="426"/>
      <c r="DXI50" s="426"/>
      <c r="DXJ50" s="426"/>
      <c r="DXK50" s="426"/>
      <c r="DXL50" s="426"/>
      <c r="DXM50" s="426"/>
      <c r="DXN50" s="426"/>
      <c r="DXO50" s="426"/>
      <c r="DXP50" s="426"/>
      <c r="DXQ50" s="426"/>
      <c r="DXR50" s="426"/>
      <c r="DXS50" s="426"/>
      <c r="DXT50" s="426"/>
      <c r="DXU50" s="426"/>
      <c r="DXV50" s="426"/>
      <c r="DXW50" s="426"/>
      <c r="DXX50" s="426"/>
      <c r="DXY50" s="426"/>
      <c r="DXZ50" s="426"/>
      <c r="DYA50" s="426"/>
      <c r="DYB50" s="426"/>
      <c r="DYC50" s="426"/>
      <c r="DYD50" s="426"/>
      <c r="DYE50" s="426"/>
      <c r="DYF50" s="426"/>
      <c r="DYG50" s="426"/>
      <c r="DYH50" s="426"/>
      <c r="DYI50" s="426"/>
      <c r="DYJ50" s="426"/>
      <c r="DYK50" s="426"/>
      <c r="DYL50" s="426"/>
      <c r="DYM50" s="426"/>
      <c r="DYN50" s="426"/>
      <c r="DYO50" s="426"/>
      <c r="DYP50" s="426"/>
      <c r="DYQ50" s="426"/>
      <c r="DYR50" s="426"/>
      <c r="DYS50" s="426"/>
      <c r="DYT50" s="426"/>
      <c r="DYU50" s="426"/>
      <c r="DYV50" s="426"/>
      <c r="DYW50" s="426"/>
      <c r="DYX50" s="426"/>
      <c r="DYY50" s="426"/>
      <c r="DYZ50" s="426"/>
      <c r="DZA50" s="426"/>
      <c r="DZB50" s="426"/>
      <c r="DZC50" s="426"/>
      <c r="DZD50" s="426"/>
      <c r="DZE50" s="426"/>
      <c r="DZF50" s="426"/>
      <c r="DZG50" s="426"/>
      <c r="DZH50" s="426"/>
      <c r="DZI50" s="426"/>
      <c r="DZJ50" s="426"/>
      <c r="DZK50" s="426"/>
      <c r="DZL50" s="426"/>
      <c r="DZM50" s="426"/>
      <c r="DZN50" s="426"/>
      <c r="DZO50" s="426"/>
      <c r="DZP50" s="426"/>
      <c r="DZQ50" s="426"/>
      <c r="DZR50" s="426"/>
      <c r="DZS50" s="426"/>
      <c r="DZT50" s="426"/>
      <c r="DZU50" s="426"/>
      <c r="DZV50" s="426"/>
      <c r="DZW50" s="426"/>
      <c r="DZX50" s="426"/>
      <c r="DZY50" s="426"/>
      <c r="DZZ50" s="426"/>
      <c r="EAA50" s="426"/>
      <c r="EAB50" s="426"/>
      <c r="EAC50" s="426"/>
      <c r="EAD50" s="426"/>
      <c r="EAE50" s="426"/>
      <c r="EAF50" s="426"/>
      <c r="EAG50" s="426"/>
      <c r="EAH50" s="426"/>
      <c r="EAI50" s="426"/>
      <c r="EAJ50" s="426"/>
      <c r="EAK50" s="426"/>
      <c r="EAL50" s="426"/>
      <c r="EAM50" s="426"/>
      <c r="EAN50" s="426"/>
      <c r="EAO50" s="426"/>
      <c r="EAP50" s="426"/>
      <c r="EAQ50" s="426"/>
      <c r="EAR50" s="426"/>
      <c r="EAS50" s="426"/>
      <c r="EAT50" s="426"/>
      <c r="EAU50" s="426"/>
      <c r="EAV50" s="426"/>
      <c r="EAW50" s="426"/>
      <c r="EAX50" s="426"/>
      <c r="EAY50" s="426"/>
      <c r="EAZ50" s="426"/>
      <c r="EBA50" s="426"/>
      <c r="EBB50" s="426"/>
      <c r="EBC50" s="426"/>
      <c r="EBD50" s="426"/>
      <c r="EBE50" s="426"/>
      <c r="EBF50" s="426"/>
      <c r="EBG50" s="426"/>
      <c r="EBH50" s="426"/>
      <c r="EBI50" s="426"/>
      <c r="EBJ50" s="426"/>
      <c r="EBK50" s="426"/>
      <c r="EBL50" s="426"/>
      <c r="EBM50" s="426"/>
      <c r="EBN50" s="426"/>
      <c r="EBO50" s="426"/>
      <c r="EBP50" s="426"/>
      <c r="EBQ50" s="426"/>
      <c r="EBR50" s="426"/>
      <c r="EBS50" s="426"/>
      <c r="EBT50" s="426"/>
      <c r="EBU50" s="426"/>
      <c r="EBV50" s="426"/>
      <c r="EBW50" s="426"/>
      <c r="EBX50" s="426"/>
      <c r="EBY50" s="426"/>
      <c r="EBZ50" s="426"/>
      <c r="ECA50" s="426"/>
      <c r="ECB50" s="426"/>
      <c r="ECC50" s="426"/>
      <c r="ECD50" s="426"/>
      <c r="ECE50" s="426"/>
      <c r="ECF50" s="426"/>
      <c r="ECG50" s="426"/>
      <c r="ECH50" s="426"/>
      <c r="ECI50" s="426"/>
      <c r="ECJ50" s="426"/>
      <c r="ECK50" s="426"/>
      <c r="ECL50" s="426"/>
      <c r="ECM50" s="426"/>
      <c r="ECN50" s="426"/>
      <c r="ECO50" s="426"/>
      <c r="ECP50" s="426"/>
      <c r="ECQ50" s="426"/>
      <c r="ECR50" s="426"/>
      <c r="ECS50" s="426"/>
      <c r="ECT50" s="426"/>
      <c r="ECU50" s="426"/>
      <c r="ECV50" s="426"/>
      <c r="ECW50" s="426"/>
      <c r="ECX50" s="426"/>
      <c r="ECY50" s="426"/>
      <c r="ECZ50" s="426"/>
      <c r="EDA50" s="426"/>
      <c r="EDB50" s="426"/>
      <c r="EDC50" s="426"/>
      <c r="EDD50" s="426"/>
      <c r="EDE50" s="426"/>
      <c r="EDF50" s="426"/>
      <c r="EDG50" s="426"/>
      <c r="EDH50" s="426"/>
      <c r="EDI50" s="426"/>
      <c r="EDJ50" s="426"/>
      <c r="EDK50" s="426"/>
      <c r="EDL50" s="426"/>
      <c r="EDM50" s="426"/>
      <c r="EDN50" s="426"/>
      <c r="EDO50" s="426"/>
      <c r="EDP50" s="426"/>
      <c r="EDQ50" s="426"/>
      <c r="EDR50" s="426"/>
      <c r="EDS50" s="426"/>
      <c r="EDT50" s="426"/>
      <c r="EDU50" s="426"/>
      <c r="EDV50" s="426"/>
      <c r="EDW50" s="426"/>
      <c r="EDX50" s="426"/>
      <c r="EDY50" s="426"/>
      <c r="EDZ50" s="426"/>
      <c r="EEA50" s="426"/>
      <c r="EEB50" s="426"/>
      <c r="EEC50" s="426"/>
      <c r="EED50" s="426"/>
      <c r="EEE50" s="426"/>
      <c r="EEF50" s="426"/>
      <c r="EEG50" s="426"/>
      <c r="EEH50" s="426"/>
      <c r="EEI50" s="426"/>
      <c r="EEJ50" s="426"/>
      <c r="EEK50" s="426"/>
      <c r="EEL50" s="426"/>
      <c r="EEM50" s="426"/>
      <c r="EEN50" s="426"/>
      <c r="EEO50" s="426"/>
      <c r="EEP50" s="426"/>
      <c r="EEQ50" s="426"/>
      <c r="EER50" s="426"/>
      <c r="EES50" s="426"/>
      <c r="EET50" s="426"/>
      <c r="EEU50" s="426"/>
      <c r="EEV50" s="426"/>
      <c r="EEW50" s="426"/>
      <c r="EEX50" s="426"/>
      <c r="EEY50" s="426"/>
      <c r="EEZ50" s="426"/>
      <c r="EFA50" s="426"/>
      <c r="EFB50" s="426"/>
      <c r="EFC50" s="426"/>
      <c r="EFD50" s="426"/>
      <c r="EFE50" s="426"/>
      <c r="EFF50" s="426"/>
      <c r="EFG50" s="426"/>
      <c r="EFH50" s="426"/>
      <c r="EFI50" s="426"/>
      <c r="EFJ50" s="426"/>
      <c r="EFK50" s="426"/>
      <c r="EFL50" s="426"/>
      <c r="EFM50" s="426"/>
      <c r="EFN50" s="426"/>
      <c r="EFO50" s="426"/>
      <c r="EFP50" s="426"/>
      <c r="EFQ50" s="426"/>
      <c r="EFR50" s="426"/>
      <c r="EFS50" s="426"/>
      <c r="EFT50" s="426"/>
      <c r="EFU50" s="426"/>
      <c r="EFV50" s="426"/>
      <c r="EFW50" s="426"/>
      <c r="EFX50" s="426"/>
      <c r="EFY50" s="426"/>
      <c r="EFZ50" s="426"/>
      <c r="EGA50" s="426"/>
      <c r="EGB50" s="426"/>
      <c r="EGC50" s="426"/>
      <c r="EGD50" s="426"/>
      <c r="EGE50" s="426"/>
      <c r="EGF50" s="426"/>
      <c r="EGG50" s="426"/>
      <c r="EGH50" s="426"/>
      <c r="EGI50" s="426"/>
      <c r="EGJ50" s="426"/>
      <c r="EGK50" s="426"/>
      <c r="EGL50" s="426"/>
      <c r="EGM50" s="426"/>
      <c r="EGN50" s="426"/>
      <c r="EGO50" s="426"/>
      <c r="EGP50" s="426"/>
      <c r="EGQ50" s="426"/>
      <c r="EGR50" s="426"/>
      <c r="EGS50" s="426"/>
      <c r="EGT50" s="426"/>
      <c r="EGU50" s="426"/>
      <c r="EGV50" s="426"/>
      <c r="EGW50" s="426"/>
      <c r="EGX50" s="426"/>
      <c r="EGY50" s="426"/>
      <c r="EGZ50" s="426"/>
      <c r="EHA50" s="426"/>
      <c r="EHB50" s="426"/>
      <c r="EHC50" s="426"/>
      <c r="EHD50" s="426"/>
      <c r="EHE50" s="426"/>
      <c r="EHF50" s="426"/>
      <c r="EHG50" s="426"/>
      <c r="EHH50" s="426"/>
      <c r="EHI50" s="426"/>
      <c r="EHJ50" s="426"/>
      <c r="EHK50" s="426"/>
      <c r="EHL50" s="426"/>
      <c r="EHM50" s="426"/>
      <c r="EHN50" s="426"/>
      <c r="EHO50" s="426"/>
      <c r="EHP50" s="426"/>
      <c r="EHQ50" s="426"/>
      <c r="EHR50" s="426"/>
      <c r="EHS50" s="426"/>
      <c r="EHT50" s="426"/>
      <c r="EHU50" s="426"/>
      <c r="EHV50" s="426"/>
      <c r="EHW50" s="426"/>
      <c r="EHX50" s="426"/>
      <c r="EHY50" s="426"/>
      <c r="EHZ50" s="426"/>
      <c r="EIA50" s="426"/>
      <c r="EIB50" s="426"/>
      <c r="EIC50" s="426"/>
      <c r="EID50" s="426"/>
      <c r="EIE50" s="426"/>
      <c r="EIF50" s="426"/>
      <c r="EIG50" s="426"/>
      <c r="EIH50" s="426"/>
      <c r="EII50" s="426"/>
      <c r="EIJ50" s="426"/>
      <c r="EIK50" s="426"/>
      <c r="EIL50" s="426"/>
      <c r="EIM50" s="426"/>
      <c r="EIN50" s="426"/>
      <c r="EIO50" s="426"/>
      <c r="EIP50" s="426"/>
      <c r="EIQ50" s="426"/>
      <c r="EIR50" s="426"/>
      <c r="EIS50" s="426"/>
      <c r="EIT50" s="426"/>
      <c r="EIU50" s="426"/>
      <c r="EIV50" s="426"/>
      <c r="EIW50" s="426"/>
      <c r="EIX50" s="426"/>
      <c r="EIY50" s="426"/>
      <c r="EIZ50" s="426"/>
      <c r="EJA50" s="426"/>
      <c r="EJB50" s="426"/>
      <c r="EJC50" s="426"/>
      <c r="EJD50" s="426"/>
      <c r="EJE50" s="426"/>
      <c r="EJF50" s="426"/>
      <c r="EJG50" s="426"/>
      <c r="EJH50" s="426"/>
      <c r="EJI50" s="426"/>
      <c r="EJJ50" s="426"/>
      <c r="EJK50" s="426"/>
      <c r="EJL50" s="426"/>
      <c r="EJM50" s="426"/>
      <c r="EJN50" s="426"/>
      <c r="EJO50" s="426"/>
      <c r="EJP50" s="426"/>
      <c r="EJQ50" s="426"/>
      <c r="EJR50" s="426"/>
      <c r="EJS50" s="426"/>
      <c r="EJT50" s="426"/>
      <c r="EJU50" s="426"/>
      <c r="EJV50" s="426"/>
      <c r="EJW50" s="426"/>
      <c r="EJX50" s="426"/>
      <c r="EJY50" s="426"/>
      <c r="EJZ50" s="426"/>
      <c r="EKA50" s="426"/>
      <c r="EKB50" s="426"/>
      <c r="EKC50" s="426"/>
      <c r="EKD50" s="426"/>
      <c r="EKE50" s="426"/>
      <c r="EKF50" s="426"/>
      <c r="EKG50" s="426"/>
      <c r="EKH50" s="426"/>
      <c r="EKI50" s="426"/>
      <c r="EKJ50" s="426"/>
      <c r="EKK50" s="426"/>
      <c r="EKL50" s="426"/>
      <c r="EKM50" s="426"/>
      <c r="EKN50" s="426"/>
      <c r="EKO50" s="426"/>
      <c r="EKP50" s="426"/>
      <c r="EKQ50" s="426"/>
      <c r="EKR50" s="426"/>
      <c r="EKS50" s="426"/>
      <c r="EKT50" s="426"/>
      <c r="EKU50" s="426"/>
      <c r="EKV50" s="426"/>
      <c r="EKW50" s="426"/>
      <c r="EKX50" s="426"/>
      <c r="EKY50" s="426"/>
      <c r="EKZ50" s="426"/>
      <c r="ELA50" s="426"/>
      <c r="ELB50" s="426"/>
      <c r="ELC50" s="426"/>
      <c r="ELD50" s="426"/>
      <c r="ELE50" s="426"/>
      <c r="ELF50" s="426"/>
      <c r="ELG50" s="426"/>
      <c r="ELH50" s="426"/>
      <c r="ELI50" s="426"/>
      <c r="ELJ50" s="426"/>
      <c r="ELK50" s="426"/>
      <c r="ELL50" s="426"/>
      <c r="ELM50" s="426"/>
      <c r="ELN50" s="426"/>
      <c r="ELO50" s="426"/>
      <c r="ELP50" s="426"/>
      <c r="ELQ50" s="426"/>
      <c r="ELR50" s="426"/>
      <c r="ELS50" s="426"/>
      <c r="ELT50" s="426"/>
      <c r="ELU50" s="426"/>
      <c r="ELV50" s="426"/>
      <c r="ELW50" s="426"/>
      <c r="ELX50" s="426"/>
      <c r="ELY50" s="426"/>
      <c r="ELZ50" s="426"/>
      <c r="EMA50" s="426"/>
      <c r="EMB50" s="426"/>
      <c r="EMC50" s="426"/>
      <c r="EMD50" s="426"/>
      <c r="EME50" s="426"/>
      <c r="EMF50" s="426"/>
      <c r="EMG50" s="426"/>
      <c r="EMH50" s="426"/>
      <c r="EMI50" s="426"/>
      <c r="EMJ50" s="426"/>
      <c r="EMK50" s="426"/>
      <c r="EML50" s="426"/>
      <c r="EMM50" s="426"/>
      <c r="EMN50" s="426"/>
      <c r="EMO50" s="426"/>
      <c r="EMP50" s="426"/>
      <c r="EMQ50" s="426"/>
      <c r="EMR50" s="426"/>
      <c r="EMS50" s="426"/>
      <c r="EMT50" s="426"/>
      <c r="EMU50" s="426"/>
      <c r="EMV50" s="426"/>
      <c r="EMW50" s="426"/>
      <c r="EMX50" s="426"/>
      <c r="EMY50" s="426"/>
      <c r="EMZ50" s="426"/>
      <c r="ENA50" s="426"/>
      <c r="ENB50" s="426"/>
      <c r="ENC50" s="426"/>
      <c r="END50" s="426"/>
      <c r="ENE50" s="426"/>
      <c r="ENF50" s="426"/>
      <c r="ENG50" s="426"/>
      <c r="ENH50" s="426"/>
      <c r="ENI50" s="426"/>
      <c r="ENJ50" s="426"/>
      <c r="ENK50" s="426"/>
      <c r="ENL50" s="426"/>
      <c r="ENM50" s="426"/>
      <c r="ENN50" s="426"/>
      <c r="ENO50" s="426"/>
      <c r="ENP50" s="426"/>
      <c r="ENQ50" s="426"/>
      <c r="ENR50" s="426"/>
      <c r="ENS50" s="426"/>
      <c r="ENT50" s="426"/>
      <c r="ENU50" s="426"/>
      <c r="ENV50" s="426"/>
      <c r="ENW50" s="426"/>
      <c r="ENX50" s="426"/>
      <c r="ENY50" s="426"/>
      <c r="ENZ50" s="426"/>
      <c r="EOA50" s="426"/>
      <c r="EOB50" s="426"/>
      <c r="EOC50" s="426"/>
      <c r="EOD50" s="426"/>
      <c r="EOE50" s="426"/>
      <c r="EOF50" s="426"/>
      <c r="EOG50" s="426"/>
      <c r="EOH50" s="426"/>
      <c r="EOI50" s="426"/>
      <c r="EOJ50" s="426"/>
      <c r="EOK50" s="426"/>
      <c r="EOL50" s="426"/>
      <c r="EOM50" s="426"/>
      <c r="EON50" s="426"/>
      <c r="EOO50" s="426"/>
      <c r="EOP50" s="426"/>
      <c r="EOQ50" s="426"/>
      <c r="EOR50" s="426"/>
      <c r="EOS50" s="426"/>
      <c r="EOT50" s="426"/>
      <c r="EOU50" s="426"/>
      <c r="EOV50" s="426"/>
      <c r="EOW50" s="426"/>
      <c r="EOX50" s="426"/>
      <c r="EOY50" s="426"/>
      <c r="EOZ50" s="426"/>
      <c r="EPA50" s="426"/>
      <c r="EPB50" s="426"/>
      <c r="EPC50" s="426"/>
      <c r="EPD50" s="426"/>
      <c r="EPE50" s="426"/>
      <c r="EPF50" s="426"/>
      <c r="EPG50" s="426"/>
      <c r="EPH50" s="426"/>
      <c r="EPI50" s="426"/>
      <c r="EPJ50" s="426"/>
      <c r="EPK50" s="426"/>
      <c r="EPL50" s="426"/>
      <c r="EPM50" s="426"/>
      <c r="EPN50" s="426"/>
      <c r="EPO50" s="426"/>
      <c r="EPP50" s="426"/>
      <c r="EPQ50" s="426"/>
      <c r="EPR50" s="426"/>
      <c r="EPS50" s="426"/>
      <c r="EPT50" s="426"/>
      <c r="EPU50" s="426"/>
      <c r="EPV50" s="426"/>
      <c r="EPW50" s="426"/>
      <c r="EPX50" s="426"/>
      <c r="EPY50" s="426"/>
      <c r="EPZ50" s="426"/>
      <c r="EQA50" s="426"/>
      <c r="EQB50" s="426"/>
      <c r="EQC50" s="426"/>
      <c r="EQD50" s="426"/>
      <c r="EQE50" s="426"/>
      <c r="EQF50" s="426"/>
      <c r="EQG50" s="426"/>
      <c r="EQH50" s="426"/>
      <c r="EQI50" s="426"/>
      <c r="EQJ50" s="426"/>
      <c r="EQK50" s="426"/>
      <c r="EQL50" s="426"/>
      <c r="EQM50" s="426"/>
      <c r="EQN50" s="426"/>
      <c r="EQO50" s="426"/>
      <c r="EQP50" s="426"/>
      <c r="EQQ50" s="426"/>
      <c r="EQR50" s="426"/>
      <c r="EQS50" s="426"/>
      <c r="EQT50" s="426"/>
      <c r="EQU50" s="426"/>
      <c r="EQV50" s="426"/>
      <c r="EQW50" s="426"/>
      <c r="EQX50" s="426"/>
      <c r="EQY50" s="426"/>
      <c r="EQZ50" s="426"/>
      <c r="ERA50" s="426"/>
      <c r="ERB50" s="426"/>
      <c r="ERC50" s="426"/>
      <c r="ERD50" s="426"/>
      <c r="ERE50" s="426"/>
      <c r="ERF50" s="426"/>
      <c r="ERG50" s="426"/>
      <c r="ERH50" s="426"/>
      <c r="ERI50" s="426"/>
      <c r="ERJ50" s="426"/>
      <c r="ERK50" s="426"/>
      <c r="ERL50" s="426"/>
      <c r="ERM50" s="426"/>
      <c r="ERN50" s="426"/>
      <c r="ERO50" s="426"/>
      <c r="ERP50" s="426"/>
      <c r="ERQ50" s="426"/>
      <c r="ERR50" s="426"/>
      <c r="ERS50" s="426"/>
      <c r="ERT50" s="426"/>
      <c r="ERU50" s="426"/>
      <c r="ERV50" s="426"/>
      <c r="ERW50" s="426"/>
      <c r="ERX50" s="426"/>
      <c r="ERY50" s="426"/>
      <c r="ERZ50" s="426"/>
      <c r="ESA50" s="426"/>
      <c r="ESB50" s="426"/>
      <c r="ESC50" s="426"/>
      <c r="ESD50" s="426"/>
      <c r="ESE50" s="426"/>
      <c r="ESF50" s="426"/>
      <c r="ESG50" s="426"/>
      <c r="ESH50" s="426"/>
      <c r="ESI50" s="426"/>
      <c r="ESJ50" s="426"/>
      <c r="ESK50" s="426"/>
      <c r="ESL50" s="426"/>
      <c r="ESM50" s="426"/>
      <c r="ESN50" s="426"/>
      <c r="ESO50" s="426"/>
      <c r="ESP50" s="426"/>
      <c r="ESQ50" s="426"/>
      <c r="ESR50" s="426"/>
      <c r="ESS50" s="426"/>
      <c r="EST50" s="426"/>
      <c r="ESU50" s="426"/>
      <c r="ESV50" s="426"/>
      <c r="ESW50" s="426"/>
      <c r="ESX50" s="426"/>
      <c r="ESY50" s="426"/>
      <c r="ESZ50" s="426"/>
      <c r="ETA50" s="426"/>
      <c r="ETB50" s="426"/>
      <c r="ETC50" s="426"/>
      <c r="ETD50" s="426"/>
      <c r="ETE50" s="426"/>
      <c r="ETF50" s="426"/>
      <c r="ETG50" s="426"/>
      <c r="ETH50" s="426"/>
      <c r="ETI50" s="426"/>
      <c r="ETJ50" s="426"/>
      <c r="ETK50" s="426"/>
      <c r="ETL50" s="426"/>
      <c r="ETM50" s="426"/>
      <c r="ETN50" s="426"/>
      <c r="ETO50" s="426"/>
      <c r="ETP50" s="426"/>
      <c r="ETQ50" s="426"/>
      <c r="ETR50" s="426"/>
      <c r="ETS50" s="426"/>
      <c r="ETT50" s="426"/>
      <c r="ETU50" s="426"/>
      <c r="ETV50" s="426"/>
      <c r="ETW50" s="426"/>
      <c r="ETX50" s="426"/>
      <c r="ETY50" s="426"/>
      <c r="ETZ50" s="426"/>
      <c r="EUA50" s="426"/>
      <c r="EUB50" s="426"/>
      <c r="EUC50" s="426"/>
      <c r="EUD50" s="426"/>
      <c r="EUE50" s="426"/>
      <c r="EUF50" s="426"/>
      <c r="EUG50" s="426"/>
      <c r="EUH50" s="426"/>
      <c r="EUI50" s="426"/>
      <c r="EUJ50" s="426"/>
      <c r="EUK50" s="426"/>
      <c r="EUL50" s="426"/>
      <c r="EUM50" s="426"/>
      <c r="EUN50" s="426"/>
      <c r="EUO50" s="426"/>
      <c r="EUP50" s="426"/>
      <c r="EUQ50" s="426"/>
      <c r="EUR50" s="426"/>
      <c r="EUS50" s="426"/>
      <c r="EUT50" s="426"/>
      <c r="EUU50" s="426"/>
      <c r="EUV50" s="426"/>
      <c r="EUW50" s="426"/>
      <c r="EUX50" s="426"/>
      <c r="EUY50" s="426"/>
      <c r="EUZ50" s="426"/>
      <c r="EVA50" s="426"/>
      <c r="EVB50" s="426"/>
      <c r="EVC50" s="426"/>
      <c r="EVD50" s="426"/>
      <c r="EVE50" s="426"/>
      <c r="EVF50" s="426"/>
      <c r="EVG50" s="426"/>
      <c r="EVH50" s="426"/>
      <c r="EVI50" s="426"/>
      <c r="EVJ50" s="426"/>
      <c r="EVK50" s="426"/>
      <c r="EVL50" s="426"/>
      <c r="EVM50" s="426"/>
      <c r="EVN50" s="426"/>
      <c r="EVO50" s="426"/>
      <c r="EVP50" s="426"/>
      <c r="EVQ50" s="426"/>
      <c r="EVR50" s="426"/>
      <c r="EVS50" s="426"/>
      <c r="EVT50" s="426"/>
      <c r="EVU50" s="426"/>
      <c r="EVV50" s="426"/>
      <c r="EVW50" s="426"/>
      <c r="EVX50" s="426"/>
      <c r="EVY50" s="426"/>
      <c r="EVZ50" s="426"/>
      <c r="EWA50" s="426"/>
      <c r="EWB50" s="426"/>
      <c r="EWC50" s="426"/>
      <c r="EWD50" s="426"/>
      <c r="EWE50" s="426"/>
      <c r="EWF50" s="426"/>
      <c r="EWG50" s="426"/>
      <c r="EWH50" s="426"/>
      <c r="EWI50" s="426"/>
      <c r="EWJ50" s="426"/>
      <c r="EWK50" s="426"/>
      <c r="EWL50" s="426"/>
      <c r="EWM50" s="426"/>
      <c r="EWN50" s="426"/>
      <c r="EWO50" s="426"/>
      <c r="EWP50" s="426"/>
      <c r="EWQ50" s="426"/>
      <c r="EWR50" s="426"/>
      <c r="EWS50" s="426"/>
      <c r="EWT50" s="426"/>
      <c r="EWU50" s="426"/>
      <c r="EWV50" s="426"/>
      <c r="EWW50" s="426"/>
      <c r="EWX50" s="426"/>
      <c r="EWY50" s="426"/>
      <c r="EWZ50" s="426"/>
      <c r="EXA50" s="426"/>
      <c r="EXB50" s="426"/>
      <c r="EXC50" s="426"/>
      <c r="EXD50" s="426"/>
      <c r="EXE50" s="426"/>
      <c r="EXF50" s="426"/>
      <c r="EXG50" s="426"/>
      <c r="EXH50" s="426"/>
      <c r="EXI50" s="426"/>
      <c r="EXJ50" s="426"/>
      <c r="EXK50" s="426"/>
      <c r="EXL50" s="426"/>
      <c r="EXM50" s="426"/>
      <c r="EXN50" s="426"/>
      <c r="EXO50" s="426"/>
      <c r="EXP50" s="426"/>
      <c r="EXQ50" s="426"/>
      <c r="EXR50" s="426"/>
      <c r="EXS50" s="426"/>
      <c r="EXT50" s="426"/>
      <c r="EXU50" s="426"/>
      <c r="EXV50" s="426"/>
      <c r="EXW50" s="426"/>
      <c r="EXX50" s="426"/>
      <c r="EXY50" s="426"/>
      <c r="EXZ50" s="426"/>
      <c r="EYA50" s="426"/>
      <c r="EYB50" s="426"/>
      <c r="EYC50" s="426"/>
      <c r="EYD50" s="426"/>
      <c r="EYE50" s="426"/>
      <c r="EYF50" s="426"/>
      <c r="EYG50" s="426"/>
      <c r="EYH50" s="426"/>
      <c r="EYI50" s="426"/>
      <c r="EYJ50" s="426"/>
      <c r="EYK50" s="426"/>
      <c r="EYL50" s="426"/>
      <c r="EYM50" s="426"/>
      <c r="EYN50" s="426"/>
      <c r="EYO50" s="426"/>
      <c r="EYP50" s="426"/>
      <c r="EYQ50" s="426"/>
      <c r="EYR50" s="426"/>
      <c r="EYS50" s="426"/>
      <c r="EYT50" s="426"/>
      <c r="EYU50" s="426"/>
      <c r="EYV50" s="426"/>
      <c r="EYW50" s="426"/>
      <c r="EYX50" s="426"/>
      <c r="EYY50" s="426"/>
      <c r="EYZ50" s="426"/>
      <c r="EZA50" s="426"/>
      <c r="EZB50" s="426"/>
      <c r="EZC50" s="426"/>
      <c r="EZD50" s="426"/>
      <c r="EZE50" s="426"/>
      <c r="EZF50" s="426"/>
      <c r="EZG50" s="426"/>
      <c r="EZH50" s="426"/>
      <c r="EZI50" s="426"/>
      <c r="EZJ50" s="426"/>
      <c r="EZK50" s="426"/>
      <c r="EZL50" s="426"/>
      <c r="EZM50" s="426"/>
      <c r="EZN50" s="426"/>
      <c r="EZO50" s="426"/>
      <c r="EZP50" s="426"/>
      <c r="EZQ50" s="426"/>
      <c r="EZR50" s="426"/>
      <c r="EZS50" s="426"/>
      <c r="EZT50" s="426"/>
      <c r="EZU50" s="426"/>
      <c r="EZV50" s="426"/>
      <c r="EZW50" s="426"/>
      <c r="EZX50" s="426"/>
      <c r="EZY50" s="426"/>
      <c r="EZZ50" s="426"/>
      <c r="FAA50" s="426"/>
      <c r="FAB50" s="426"/>
      <c r="FAC50" s="426"/>
      <c r="FAD50" s="426"/>
      <c r="FAE50" s="426"/>
      <c r="FAF50" s="426"/>
      <c r="FAG50" s="426"/>
      <c r="FAH50" s="426"/>
      <c r="FAI50" s="426"/>
      <c r="FAJ50" s="426"/>
      <c r="FAK50" s="426"/>
      <c r="FAL50" s="426"/>
      <c r="FAM50" s="426"/>
      <c r="FAN50" s="426"/>
      <c r="FAO50" s="426"/>
      <c r="FAP50" s="426"/>
      <c r="FAQ50" s="426"/>
      <c r="FAR50" s="426"/>
      <c r="FAS50" s="426"/>
      <c r="FAT50" s="426"/>
      <c r="FAU50" s="426"/>
      <c r="FAV50" s="426"/>
      <c r="FAW50" s="426"/>
      <c r="FAX50" s="426"/>
      <c r="FAY50" s="426"/>
      <c r="FAZ50" s="426"/>
      <c r="FBA50" s="426"/>
      <c r="FBB50" s="426"/>
      <c r="FBC50" s="426"/>
      <c r="FBD50" s="426"/>
      <c r="FBE50" s="426"/>
      <c r="FBF50" s="426"/>
      <c r="FBG50" s="426"/>
      <c r="FBH50" s="426"/>
      <c r="FBI50" s="426"/>
      <c r="FBJ50" s="426"/>
      <c r="FBK50" s="426"/>
      <c r="FBL50" s="426"/>
      <c r="FBM50" s="426"/>
      <c r="FBN50" s="426"/>
      <c r="FBO50" s="426"/>
      <c r="FBP50" s="426"/>
      <c r="FBQ50" s="426"/>
      <c r="FBR50" s="426"/>
      <c r="FBS50" s="426"/>
      <c r="FBT50" s="426"/>
      <c r="FBU50" s="426"/>
      <c r="FBV50" s="426"/>
      <c r="FBW50" s="426"/>
      <c r="FBX50" s="426"/>
      <c r="FBY50" s="426"/>
      <c r="FBZ50" s="426"/>
      <c r="FCA50" s="426"/>
      <c r="FCB50" s="426"/>
      <c r="FCC50" s="426"/>
      <c r="FCD50" s="426"/>
      <c r="FCE50" s="426"/>
      <c r="FCF50" s="426"/>
      <c r="FCG50" s="426"/>
      <c r="FCH50" s="426"/>
      <c r="FCI50" s="426"/>
      <c r="FCJ50" s="426"/>
      <c r="FCK50" s="426"/>
      <c r="FCL50" s="426"/>
      <c r="FCM50" s="426"/>
      <c r="FCN50" s="426"/>
      <c r="FCO50" s="426"/>
      <c r="FCP50" s="426"/>
      <c r="FCQ50" s="426"/>
      <c r="FCR50" s="426"/>
      <c r="FCS50" s="426"/>
      <c r="FCT50" s="426"/>
      <c r="FCU50" s="426"/>
      <c r="FCV50" s="426"/>
      <c r="FCW50" s="426"/>
      <c r="FCX50" s="426"/>
      <c r="FCY50" s="426"/>
      <c r="FCZ50" s="426"/>
      <c r="FDA50" s="426"/>
      <c r="FDB50" s="426"/>
      <c r="FDC50" s="426"/>
      <c r="FDD50" s="426"/>
      <c r="FDE50" s="426"/>
      <c r="FDF50" s="426"/>
      <c r="FDG50" s="426"/>
      <c r="FDH50" s="426"/>
      <c r="FDI50" s="426"/>
      <c r="FDJ50" s="426"/>
      <c r="FDK50" s="426"/>
      <c r="FDL50" s="426"/>
      <c r="FDM50" s="426"/>
      <c r="FDN50" s="426"/>
      <c r="FDO50" s="426"/>
      <c r="FDP50" s="426"/>
      <c r="FDQ50" s="426"/>
      <c r="FDR50" s="426"/>
      <c r="FDS50" s="426"/>
      <c r="FDT50" s="426"/>
      <c r="FDU50" s="426"/>
      <c r="FDV50" s="426"/>
      <c r="FDW50" s="426"/>
      <c r="FDX50" s="426"/>
      <c r="FDY50" s="426"/>
      <c r="FDZ50" s="426"/>
      <c r="FEA50" s="426"/>
      <c r="FEB50" s="426"/>
      <c r="FEC50" s="426"/>
      <c r="FED50" s="426"/>
      <c r="FEE50" s="426"/>
      <c r="FEF50" s="426"/>
      <c r="FEG50" s="426"/>
      <c r="FEH50" s="426"/>
      <c r="FEI50" s="426"/>
      <c r="FEJ50" s="426"/>
      <c r="FEK50" s="426"/>
      <c r="FEL50" s="426"/>
      <c r="FEM50" s="426"/>
      <c r="FEN50" s="426"/>
      <c r="FEO50" s="426"/>
      <c r="FEP50" s="426"/>
      <c r="FEQ50" s="426"/>
      <c r="FER50" s="426"/>
      <c r="FES50" s="426"/>
      <c r="FET50" s="426"/>
      <c r="FEU50" s="426"/>
      <c r="FEV50" s="426"/>
      <c r="FEW50" s="426"/>
      <c r="FEX50" s="426"/>
      <c r="FEY50" s="426"/>
      <c r="FEZ50" s="426"/>
      <c r="FFA50" s="426"/>
      <c r="FFB50" s="426"/>
      <c r="FFC50" s="426"/>
      <c r="FFD50" s="426"/>
      <c r="FFE50" s="426"/>
      <c r="FFF50" s="426"/>
      <c r="FFG50" s="426"/>
      <c r="FFH50" s="426"/>
      <c r="FFI50" s="426"/>
      <c r="FFJ50" s="426"/>
      <c r="FFK50" s="426"/>
      <c r="FFL50" s="426"/>
      <c r="FFM50" s="426"/>
      <c r="FFN50" s="426"/>
      <c r="FFO50" s="426"/>
      <c r="FFP50" s="426"/>
      <c r="FFQ50" s="426"/>
      <c r="FFR50" s="426"/>
      <c r="FFS50" s="426"/>
      <c r="FFT50" s="426"/>
      <c r="FFU50" s="426"/>
      <c r="FFV50" s="426"/>
      <c r="FFW50" s="426"/>
      <c r="FFX50" s="426"/>
      <c r="FFY50" s="426"/>
      <c r="FFZ50" s="426"/>
      <c r="FGA50" s="426"/>
      <c r="FGB50" s="426"/>
      <c r="FGC50" s="426"/>
      <c r="FGD50" s="426"/>
      <c r="FGE50" s="426"/>
      <c r="FGF50" s="426"/>
      <c r="FGG50" s="426"/>
      <c r="FGH50" s="426"/>
      <c r="FGI50" s="426"/>
      <c r="FGJ50" s="426"/>
      <c r="FGK50" s="426"/>
      <c r="FGL50" s="426"/>
      <c r="FGM50" s="426"/>
      <c r="FGN50" s="426"/>
      <c r="FGO50" s="426"/>
      <c r="FGP50" s="426"/>
      <c r="FGQ50" s="426"/>
      <c r="FGR50" s="426"/>
      <c r="FGS50" s="426"/>
      <c r="FGT50" s="426"/>
      <c r="FGU50" s="426"/>
      <c r="FGV50" s="426"/>
      <c r="FGW50" s="426"/>
      <c r="FGX50" s="426"/>
      <c r="FGY50" s="426"/>
      <c r="FGZ50" s="426"/>
      <c r="FHA50" s="426"/>
      <c r="FHB50" s="426"/>
      <c r="FHC50" s="426"/>
      <c r="FHD50" s="426"/>
      <c r="FHE50" s="426"/>
      <c r="FHF50" s="426"/>
      <c r="FHG50" s="426"/>
      <c r="FHH50" s="426"/>
      <c r="FHI50" s="426"/>
      <c r="FHJ50" s="426"/>
      <c r="FHK50" s="426"/>
      <c r="FHL50" s="426"/>
      <c r="FHM50" s="426"/>
      <c r="FHN50" s="426"/>
      <c r="FHO50" s="426"/>
      <c r="FHP50" s="426"/>
      <c r="FHQ50" s="426"/>
      <c r="FHR50" s="426"/>
      <c r="FHS50" s="426"/>
      <c r="FHT50" s="426"/>
      <c r="FHU50" s="426"/>
      <c r="FHV50" s="426"/>
      <c r="FHW50" s="426"/>
      <c r="FHX50" s="426"/>
      <c r="FHY50" s="426"/>
      <c r="FHZ50" s="426"/>
      <c r="FIA50" s="426"/>
      <c r="FIB50" s="426"/>
      <c r="FIC50" s="426"/>
      <c r="FID50" s="426"/>
      <c r="FIE50" s="426"/>
      <c r="FIF50" s="426"/>
      <c r="FIG50" s="426"/>
      <c r="FIH50" s="426"/>
      <c r="FII50" s="426"/>
      <c r="FIJ50" s="426"/>
      <c r="FIK50" s="426"/>
      <c r="FIL50" s="426"/>
      <c r="FIM50" s="426"/>
      <c r="FIN50" s="426"/>
      <c r="FIO50" s="426"/>
      <c r="FIP50" s="426"/>
      <c r="FIQ50" s="426"/>
      <c r="FIR50" s="426"/>
      <c r="FIS50" s="426"/>
      <c r="FIT50" s="426"/>
      <c r="FIU50" s="426"/>
      <c r="FIV50" s="426"/>
      <c r="FIW50" s="426"/>
      <c r="FIX50" s="426"/>
      <c r="FIY50" s="426"/>
      <c r="FIZ50" s="426"/>
      <c r="FJA50" s="426"/>
      <c r="FJB50" s="426"/>
      <c r="FJC50" s="426"/>
      <c r="FJD50" s="426"/>
      <c r="FJE50" s="426"/>
      <c r="FJF50" s="426"/>
      <c r="FJG50" s="426"/>
      <c r="FJH50" s="426"/>
      <c r="FJI50" s="426"/>
      <c r="FJJ50" s="426"/>
      <c r="FJK50" s="426"/>
      <c r="FJL50" s="426"/>
      <c r="FJM50" s="426"/>
      <c r="FJN50" s="426"/>
      <c r="FJO50" s="426"/>
      <c r="FJP50" s="426"/>
      <c r="FJQ50" s="426"/>
      <c r="FJR50" s="426"/>
      <c r="FJS50" s="426"/>
      <c r="FJT50" s="426"/>
      <c r="FJU50" s="426"/>
      <c r="FJV50" s="426"/>
      <c r="FJW50" s="426"/>
      <c r="FJX50" s="426"/>
      <c r="FJY50" s="426"/>
      <c r="FJZ50" s="426"/>
      <c r="FKA50" s="426"/>
      <c r="FKB50" s="426"/>
      <c r="FKC50" s="426"/>
      <c r="FKD50" s="426"/>
      <c r="FKE50" s="426"/>
      <c r="FKF50" s="426"/>
      <c r="FKG50" s="426"/>
      <c r="FKH50" s="426"/>
      <c r="FKI50" s="426"/>
      <c r="FKJ50" s="426"/>
      <c r="FKK50" s="426"/>
      <c r="FKL50" s="426"/>
      <c r="FKM50" s="426"/>
      <c r="FKN50" s="426"/>
      <c r="FKO50" s="426"/>
      <c r="FKP50" s="426"/>
      <c r="FKQ50" s="426"/>
      <c r="FKR50" s="426"/>
      <c r="FKS50" s="426"/>
      <c r="FKT50" s="426"/>
      <c r="FKU50" s="426"/>
      <c r="FKV50" s="426"/>
      <c r="FKW50" s="426"/>
      <c r="FKX50" s="426"/>
      <c r="FKY50" s="426"/>
      <c r="FKZ50" s="426"/>
      <c r="FLA50" s="426"/>
      <c r="FLB50" s="426"/>
      <c r="FLC50" s="426"/>
      <c r="FLD50" s="426"/>
      <c r="FLE50" s="426"/>
      <c r="FLF50" s="426"/>
      <c r="FLG50" s="426"/>
      <c r="FLH50" s="426"/>
      <c r="FLI50" s="426"/>
      <c r="FLJ50" s="426"/>
      <c r="FLK50" s="426"/>
      <c r="FLL50" s="426"/>
      <c r="FLM50" s="426"/>
      <c r="FLN50" s="426"/>
      <c r="FLO50" s="426"/>
      <c r="FLP50" s="426"/>
      <c r="FLQ50" s="426"/>
      <c r="FLR50" s="426"/>
      <c r="FLS50" s="426"/>
      <c r="FLT50" s="426"/>
      <c r="FLU50" s="426"/>
      <c r="FLV50" s="426"/>
      <c r="FLW50" s="426"/>
      <c r="FLX50" s="426"/>
      <c r="FLY50" s="426"/>
      <c r="FLZ50" s="426"/>
      <c r="FMA50" s="426"/>
      <c r="FMB50" s="426"/>
      <c r="FMC50" s="426"/>
      <c r="FMD50" s="426"/>
      <c r="FME50" s="426"/>
      <c r="FMF50" s="426"/>
      <c r="FMG50" s="426"/>
      <c r="FMH50" s="426"/>
      <c r="FMI50" s="426"/>
      <c r="FMJ50" s="426"/>
      <c r="FMK50" s="426"/>
      <c r="FML50" s="426"/>
      <c r="FMM50" s="426"/>
      <c r="FMN50" s="426"/>
      <c r="FMO50" s="426"/>
      <c r="FMP50" s="426"/>
      <c r="FMQ50" s="426"/>
      <c r="FMR50" s="426"/>
      <c r="FMS50" s="426"/>
      <c r="FMT50" s="426"/>
      <c r="FMU50" s="426"/>
      <c r="FMV50" s="426"/>
      <c r="FMW50" s="426"/>
      <c r="FMX50" s="426"/>
      <c r="FMY50" s="426"/>
      <c r="FMZ50" s="426"/>
      <c r="FNA50" s="426"/>
      <c r="FNB50" s="426"/>
      <c r="FNC50" s="426"/>
      <c r="FND50" s="426"/>
      <c r="FNE50" s="426"/>
      <c r="FNF50" s="426"/>
      <c r="FNG50" s="426"/>
      <c r="FNH50" s="426"/>
      <c r="FNI50" s="426"/>
      <c r="FNJ50" s="426"/>
      <c r="FNK50" s="426"/>
      <c r="FNL50" s="426"/>
      <c r="FNM50" s="426"/>
      <c r="FNN50" s="426"/>
      <c r="FNO50" s="426"/>
      <c r="FNP50" s="426"/>
      <c r="FNQ50" s="426"/>
      <c r="FNR50" s="426"/>
      <c r="FNS50" s="426"/>
      <c r="FNT50" s="426"/>
      <c r="FNU50" s="426"/>
      <c r="FNV50" s="426"/>
      <c r="FNW50" s="426"/>
      <c r="FNX50" s="426"/>
      <c r="FNY50" s="426"/>
      <c r="FNZ50" s="426"/>
      <c r="FOA50" s="426"/>
      <c r="FOB50" s="426"/>
      <c r="FOC50" s="426"/>
      <c r="FOD50" s="426"/>
      <c r="FOE50" s="426"/>
      <c r="FOF50" s="426"/>
      <c r="FOG50" s="426"/>
      <c r="FOH50" s="426"/>
      <c r="FOI50" s="426"/>
      <c r="FOJ50" s="426"/>
      <c r="FOK50" s="426"/>
      <c r="FOL50" s="426"/>
      <c r="FOM50" s="426"/>
      <c r="FON50" s="426"/>
      <c r="FOO50" s="426"/>
      <c r="FOP50" s="426"/>
      <c r="FOQ50" s="426"/>
      <c r="FOR50" s="426"/>
      <c r="FOS50" s="426"/>
      <c r="FOT50" s="426"/>
      <c r="FOU50" s="426"/>
      <c r="FOV50" s="426"/>
      <c r="FOW50" s="426"/>
      <c r="FOX50" s="426"/>
      <c r="FOY50" s="426"/>
      <c r="FOZ50" s="426"/>
      <c r="FPA50" s="426"/>
      <c r="FPB50" s="426"/>
      <c r="FPC50" s="426"/>
      <c r="FPD50" s="426"/>
      <c r="FPE50" s="426"/>
      <c r="FPF50" s="426"/>
      <c r="FPG50" s="426"/>
      <c r="FPH50" s="426"/>
      <c r="FPI50" s="426"/>
      <c r="FPJ50" s="426"/>
      <c r="FPK50" s="426"/>
      <c r="FPL50" s="426"/>
      <c r="FPM50" s="426"/>
      <c r="FPN50" s="426"/>
      <c r="FPO50" s="426"/>
      <c r="FPP50" s="426"/>
      <c r="FPQ50" s="426"/>
      <c r="FPR50" s="426"/>
      <c r="FPS50" s="426"/>
      <c r="FPT50" s="426"/>
      <c r="FPU50" s="426"/>
      <c r="FPV50" s="426"/>
      <c r="FPW50" s="426"/>
      <c r="FPX50" s="426"/>
      <c r="FPY50" s="426"/>
      <c r="FPZ50" s="426"/>
      <c r="FQA50" s="426"/>
      <c r="FQB50" s="426"/>
      <c r="FQC50" s="426"/>
      <c r="FQD50" s="426"/>
      <c r="FQE50" s="426"/>
      <c r="FQF50" s="426"/>
      <c r="FQG50" s="426"/>
      <c r="FQH50" s="426"/>
      <c r="FQI50" s="426"/>
      <c r="FQJ50" s="426"/>
      <c r="FQK50" s="426"/>
      <c r="FQL50" s="426"/>
      <c r="FQM50" s="426"/>
      <c r="FQN50" s="426"/>
      <c r="FQO50" s="426"/>
      <c r="FQP50" s="426"/>
      <c r="FQQ50" s="426"/>
      <c r="FQR50" s="426"/>
      <c r="FQS50" s="426"/>
      <c r="FQT50" s="426"/>
      <c r="FQU50" s="426"/>
      <c r="FQV50" s="426"/>
      <c r="FQW50" s="426"/>
      <c r="FQX50" s="426"/>
      <c r="FQY50" s="426"/>
      <c r="FQZ50" s="426"/>
      <c r="FRA50" s="426"/>
      <c r="FRB50" s="426"/>
      <c r="FRC50" s="426"/>
      <c r="FRD50" s="426"/>
      <c r="FRE50" s="426"/>
      <c r="FRF50" s="426"/>
      <c r="FRG50" s="426"/>
      <c r="FRH50" s="426"/>
      <c r="FRI50" s="426"/>
      <c r="FRJ50" s="426"/>
      <c r="FRK50" s="426"/>
      <c r="FRL50" s="426"/>
      <c r="FRM50" s="426"/>
      <c r="FRN50" s="426"/>
      <c r="FRO50" s="426"/>
      <c r="FRP50" s="426"/>
      <c r="FRQ50" s="426"/>
      <c r="FRR50" s="426"/>
      <c r="FRS50" s="426"/>
      <c r="FRT50" s="426"/>
      <c r="FRU50" s="426"/>
      <c r="FRV50" s="426"/>
      <c r="FRW50" s="426"/>
      <c r="FRX50" s="426"/>
      <c r="FRY50" s="426"/>
      <c r="FRZ50" s="426"/>
      <c r="FSA50" s="426"/>
      <c r="FSB50" s="426"/>
      <c r="FSC50" s="426"/>
      <c r="FSD50" s="426"/>
      <c r="FSE50" s="426"/>
      <c r="FSF50" s="426"/>
      <c r="FSG50" s="426"/>
      <c r="FSH50" s="426"/>
      <c r="FSI50" s="426"/>
      <c r="FSJ50" s="426"/>
      <c r="FSK50" s="426"/>
      <c r="FSL50" s="426"/>
      <c r="FSM50" s="426"/>
      <c r="FSN50" s="426"/>
      <c r="FSO50" s="426"/>
      <c r="FSP50" s="426"/>
      <c r="FSQ50" s="426"/>
      <c r="FSR50" s="426"/>
      <c r="FSS50" s="426"/>
      <c r="FST50" s="426"/>
      <c r="FSU50" s="426"/>
      <c r="FSV50" s="426"/>
      <c r="FSW50" s="426"/>
      <c r="FSX50" s="426"/>
      <c r="FSY50" s="426"/>
      <c r="FSZ50" s="426"/>
      <c r="FTA50" s="426"/>
      <c r="FTB50" s="426"/>
      <c r="FTC50" s="426"/>
      <c r="FTD50" s="426"/>
      <c r="FTE50" s="426"/>
      <c r="FTF50" s="426"/>
      <c r="FTG50" s="426"/>
      <c r="FTH50" s="426"/>
      <c r="FTI50" s="426"/>
      <c r="FTJ50" s="426"/>
      <c r="FTK50" s="426"/>
      <c r="FTL50" s="426"/>
      <c r="FTM50" s="426"/>
      <c r="FTN50" s="426"/>
      <c r="FTO50" s="426"/>
      <c r="FTP50" s="426"/>
      <c r="FTQ50" s="426"/>
      <c r="FTR50" s="426"/>
      <c r="FTS50" s="426"/>
      <c r="FTT50" s="426"/>
      <c r="FTU50" s="426"/>
      <c r="FTV50" s="426"/>
      <c r="FTW50" s="426"/>
      <c r="FTX50" s="426"/>
      <c r="FTY50" s="426"/>
      <c r="FTZ50" s="426"/>
      <c r="FUA50" s="426"/>
      <c r="FUB50" s="426"/>
      <c r="FUC50" s="426"/>
      <c r="FUD50" s="426"/>
      <c r="FUE50" s="426"/>
      <c r="FUF50" s="426"/>
      <c r="FUG50" s="426"/>
      <c r="FUH50" s="426"/>
      <c r="FUI50" s="426"/>
      <c r="FUJ50" s="426"/>
      <c r="FUK50" s="426"/>
      <c r="FUL50" s="426"/>
      <c r="FUM50" s="426"/>
      <c r="FUN50" s="426"/>
      <c r="FUO50" s="426"/>
      <c r="FUP50" s="426"/>
      <c r="FUQ50" s="426"/>
      <c r="FUR50" s="426"/>
      <c r="FUS50" s="426"/>
      <c r="FUT50" s="426"/>
      <c r="FUU50" s="426"/>
      <c r="FUV50" s="426"/>
      <c r="FUW50" s="426"/>
      <c r="FUX50" s="426"/>
      <c r="FUY50" s="426"/>
      <c r="FUZ50" s="426"/>
      <c r="FVA50" s="426"/>
      <c r="FVB50" s="426"/>
      <c r="FVC50" s="426"/>
      <c r="FVD50" s="426"/>
      <c r="FVE50" s="426"/>
      <c r="FVF50" s="426"/>
      <c r="FVG50" s="426"/>
      <c r="FVH50" s="426"/>
      <c r="FVI50" s="426"/>
      <c r="FVJ50" s="426"/>
      <c r="FVK50" s="426"/>
      <c r="FVL50" s="426"/>
      <c r="FVM50" s="426"/>
      <c r="FVN50" s="426"/>
      <c r="FVO50" s="426"/>
      <c r="FVP50" s="426"/>
      <c r="FVQ50" s="426"/>
      <c r="FVR50" s="426"/>
      <c r="FVS50" s="426"/>
      <c r="FVT50" s="426"/>
      <c r="FVU50" s="426"/>
      <c r="FVV50" s="426"/>
      <c r="FVW50" s="426"/>
      <c r="FVX50" s="426"/>
      <c r="FVY50" s="426"/>
      <c r="FVZ50" s="426"/>
      <c r="FWA50" s="426"/>
      <c r="FWB50" s="426"/>
      <c r="FWC50" s="426"/>
      <c r="FWD50" s="426"/>
      <c r="FWE50" s="426"/>
      <c r="FWF50" s="426"/>
      <c r="FWG50" s="426"/>
      <c r="FWH50" s="426"/>
      <c r="FWI50" s="426"/>
      <c r="FWJ50" s="426"/>
      <c r="FWK50" s="426"/>
      <c r="FWL50" s="426"/>
      <c r="FWM50" s="426"/>
      <c r="FWN50" s="426"/>
      <c r="FWO50" s="426"/>
      <c r="FWP50" s="426"/>
      <c r="FWQ50" s="426"/>
      <c r="FWR50" s="426"/>
      <c r="FWS50" s="426"/>
      <c r="FWT50" s="426"/>
      <c r="FWU50" s="426"/>
      <c r="FWV50" s="426"/>
      <c r="FWW50" s="426"/>
      <c r="FWX50" s="426"/>
      <c r="FWY50" s="426"/>
      <c r="FWZ50" s="426"/>
      <c r="FXA50" s="426"/>
      <c r="FXB50" s="426"/>
      <c r="FXC50" s="426"/>
      <c r="FXD50" s="426"/>
      <c r="FXE50" s="426"/>
      <c r="FXF50" s="426"/>
      <c r="FXG50" s="426"/>
      <c r="FXH50" s="426"/>
      <c r="FXI50" s="426"/>
      <c r="FXJ50" s="426"/>
      <c r="FXK50" s="426"/>
      <c r="FXL50" s="426"/>
      <c r="FXM50" s="426"/>
      <c r="FXN50" s="426"/>
      <c r="FXO50" s="426"/>
      <c r="FXP50" s="426"/>
      <c r="FXQ50" s="426"/>
      <c r="FXR50" s="426"/>
      <c r="FXS50" s="426"/>
      <c r="FXT50" s="426"/>
      <c r="FXU50" s="426"/>
      <c r="FXV50" s="426"/>
      <c r="FXW50" s="426"/>
      <c r="FXX50" s="426"/>
      <c r="FXY50" s="426"/>
      <c r="FXZ50" s="426"/>
      <c r="FYA50" s="426"/>
      <c r="FYB50" s="426"/>
      <c r="FYC50" s="426"/>
      <c r="FYD50" s="426"/>
      <c r="FYE50" s="426"/>
      <c r="FYF50" s="426"/>
      <c r="FYG50" s="426"/>
      <c r="FYH50" s="426"/>
      <c r="FYI50" s="426"/>
      <c r="FYJ50" s="426"/>
      <c r="FYK50" s="426"/>
      <c r="FYL50" s="426"/>
      <c r="FYM50" s="426"/>
      <c r="FYN50" s="426"/>
      <c r="FYO50" s="426"/>
      <c r="FYP50" s="426"/>
      <c r="FYQ50" s="426"/>
      <c r="FYR50" s="426"/>
      <c r="FYS50" s="426"/>
      <c r="FYT50" s="426"/>
      <c r="FYU50" s="426"/>
      <c r="FYV50" s="426"/>
      <c r="FYW50" s="426"/>
      <c r="FYX50" s="426"/>
      <c r="FYY50" s="426"/>
      <c r="FYZ50" s="426"/>
      <c r="FZA50" s="426"/>
      <c r="FZB50" s="426"/>
      <c r="FZC50" s="426"/>
      <c r="FZD50" s="426"/>
      <c r="FZE50" s="426"/>
      <c r="FZF50" s="426"/>
      <c r="FZG50" s="426"/>
      <c r="FZH50" s="426"/>
      <c r="FZI50" s="426"/>
      <c r="FZJ50" s="426"/>
      <c r="FZK50" s="426"/>
      <c r="FZL50" s="426"/>
      <c r="FZM50" s="426"/>
      <c r="FZN50" s="426"/>
      <c r="FZO50" s="426"/>
      <c r="FZP50" s="426"/>
      <c r="FZQ50" s="426"/>
      <c r="FZR50" s="426"/>
      <c r="FZS50" s="426"/>
      <c r="FZT50" s="426"/>
      <c r="FZU50" s="426"/>
      <c r="FZV50" s="426"/>
      <c r="FZW50" s="426"/>
      <c r="FZX50" s="426"/>
      <c r="FZY50" s="426"/>
      <c r="FZZ50" s="426"/>
      <c r="GAA50" s="426"/>
      <c r="GAB50" s="426"/>
      <c r="GAC50" s="426"/>
      <c r="GAD50" s="426"/>
      <c r="GAE50" s="426"/>
      <c r="GAF50" s="426"/>
      <c r="GAG50" s="426"/>
      <c r="GAH50" s="426"/>
      <c r="GAI50" s="426"/>
      <c r="GAJ50" s="426"/>
      <c r="GAK50" s="426"/>
      <c r="GAL50" s="426"/>
      <c r="GAM50" s="426"/>
      <c r="GAN50" s="426"/>
      <c r="GAO50" s="426"/>
      <c r="GAP50" s="426"/>
      <c r="GAQ50" s="426"/>
      <c r="GAR50" s="426"/>
      <c r="GAS50" s="426"/>
      <c r="GAT50" s="426"/>
      <c r="GAU50" s="426"/>
      <c r="GAV50" s="426"/>
      <c r="GAW50" s="426"/>
      <c r="GAX50" s="426"/>
      <c r="GAY50" s="426"/>
      <c r="GAZ50" s="426"/>
      <c r="GBA50" s="426"/>
      <c r="GBB50" s="426"/>
      <c r="GBC50" s="426"/>
      <c r="GBD50" s="426"/>
      <c r="GBE50" s="426"/>
      <c r="GBF50" s="426"/>
      <c r="GBG50" s="426"/>
      <c r="GBH50" s="426"/>
      <c r="GBI50" s="426"/>
      <c r="GBJ50" s="426"/>
      <c r="GBK50" s="426"/>
      <c r="GBL50" s="426"/>
      <c r="GBM50" s="426"/>
      <c r="GBN50" s="426"/>
      <c r="GBO50" s="426"/>
      <c r="GBP50" s="426"/>
      <c r="GBQ50" s="426"/>
      <c r="GBR50" s="426"/>
      <c r="GBS50" s="426"/>
      <c r="GBT50" s="426"/>
      <c r="GBU50" s="426"/>
      <c r="GBV50" s="426"/>
      <c r="GBW50" s="426"/>
      <c r="GBX50" s="426"/>
      <c r="GBY50" s="426"/>
      <c r="GBZ50" s="426"/>
      <c r="GCA50" s="426"/>
      <c r="GCB50" s="426"/>
      <c r="GCC50" s="426"/>
      <c r="GCD50" s="426"/>
      <c r="GCE50" s="426"/>
      <c r="GCF50" s="426"/>
      <c r="GCG50" s="426"/>
      <c r="GCH50" s="426"/>
      <c r="GCI50" s="426"/>
      <c r="GCJ50" s="426"/>
      <c r="GCK50" s="426"/>
      <c r="GCL50" s="426"/>
      <c r="GCM50" s="426"/>
      <c r="GCN50" s="426"/>
      <c r="GCO50" s="426"/>
      <c r="GCP50" s="426"/>
      <c r="GCQ50" s="426"/>
      <c r="GCR50" s="426"/>
      <c r="GCS50" s="426"/>
      <c r="GCT50" s="426"/>
      <c r="GCU50" s="426"/>
      <c r="GCV50" s="426"/>
      <c r="GCW50" s="426"/>
      <c r="GCX50" s="426"/>
      <c r="GCY50" s="426"/>
      <c r="GCZ50" s="426"/>
      <c r="GDA50" s="426"/>
      <c r="GDB50" s="426"/>
      <c r="GDC50" s="426"/>
      <c r="GDD50" s="426"/>
      <c r="GDE50" s="426"/>
      <c r="GDF50" s="426"/>
      <c r="GDG50" s="426"/>
      <c r="GDH50" s="426"/>
      <c r="GDI50" s="426"/>
      <c r="GDJ50" s="426"/>
      <c r="GDK50" s="426"/>
      <c r="GDL50" s="426"/>
      <c r="GDM50" s="426"/>
      <c r="GDN50" s="426"/>
      <c r="GDO50" s="426"/>
      <c r="GDP50" s="426"/>
      <c r="GDQ50" s="426"/>
      <c r="GDR50" s="426"/>
      <c r="GDS50" s="426"/>
      <c r="GDT50" s="426"/>
      <c r="GDU50" s="426"/>
      <c r="GDV50" s="426"/>
      <c r="GDW50" s="426"/>
      <c r="GDX50" s="426"/>
      <c r="GDY50" s="426"/>
      <c r="GDZ50" s="426"/>
      <c r="GEA50" s="426"/>
      <c r="GEB50" s="426"/>
      <c r="GEC50" s="426"/>
      <c r="GED50" s="426"/>
      <c r="GEE50" s="426"/>
      <c r="GEF50" s="426"/>
      <c r="GEG50" s="426"/>
      <c r="GEH50" s="426"/>
      <c r="GEI50" s="426"/>
      <c r="GEJ50" s="426"/>
      <c r="GEK50" s="426"/>
      <c r="GEL50" s="426"/>
      <c r="GEM50" s="426"/>
      <c r="GEN50" s="426"/>
      <c r="GEO50" s="426"/>
      <c r="GEP50" s="426"/>
      <c r="GEQ50" s="426"/>
      <c r="GER50" s="426"/>
      <c r="GES50" s="426"/>
      <c r="GET50" s="426"/>
      <c r="GEU50" s="426"/>
      <c r="GEV50" s="426"/>
      <c r="GEW50" s="426"/>
      <c r="GEX50" s="426"/>
      <c r="GEY50" s="426"/>
      <c r="GEZ50" s="426"/>
      <c r="GFA50" s="426"/>
      <c r="GFB50" s="426"/>
      <c r="GFC50" s="426"/>
      <c r="GFD50" s="426"/>
      <c r="GFE50" s="426"/>
      <c r="GFF50" s="426"/>
      <c r="GFG50" s="426"/>
      <c r="GFH50" s="426"/>
      <c r="GFI50" s="426"/>
      <c r="GFJ50" s="426"/>
      <c r="GFK50" s="426"/>
      <c r="GFL50" s="426"/>
      <c r="GFM50" s="426"/>
      <c r="GFN50" s="426"/>
      <c r="GFO50" s="426"/>
      <c r="GFP50" s="426"/>
      <c r="GFQ50" s="426"/>
      <c r="GFR50" s="426"/>
      <c r="GFS50" s="426"/>
      <c r="GFT50" s="426"/>
      <c r="GFU50" s="426"/>
      <c r="GFV50" s="426"/>
      <c r="GFW50" s="426"/>
      <c r="GFX50" s="426"/>
      <c r="GFY50" s="426"/>
      <c r="GFZ50" s="426"/>
      <c r="GGA50" s="426"/>
      <c r="GGB50" s="426"/>
      <c r="GGC50" s="426"/>
      <c r="GGD50" s="426"/>
      <c r="GGE50" s="426"/>
      <c r="GGF50" s="426"/>
      <c r="GGG50" s="426"/>
      <c r="GGH50" s="426"/>
      <c r="GGI50" s="426"/>
      <c r="GGJ50" s="426"/>
      <c r="GGK50" s="426"/>
      <c r="GGL50" s="426"/>
      <c r="GGM50" s="426"/>
      <c r="GGN50" s="426"/>
      <c r="GGO50" s="426"/>
      <c r="GGP50" s="426"/>
      <c r="GGQ50" s="426"/>
      <c r="GGR50" s="426"/>
      <c r="GGS50" s="426"/>
      <c r="GGT50" s="426"/>
      <c r="GGU50" s="426"/>
      <c r="GGV50" s="426"/>
      <c r="GGW50" s="426"/>
      <c r="GGX50" s="426"/>
      <c r="GGY50" s="426"/>
      <c r="GGZ50" s="426"/>
      <c r="GHA50" s="426"/>
      <c r="GHB50" s="426"/>
      <c r="GHC50" s="426"/>
      <c r="GHD50" s="426"/>
      <c r="GHE50" s="426"/>
      <c r="GHF50" s="426"/>
      <c r="GHG50" s="426"/>
      <c r="GHH50" s="426"/>
      <c r="GHI50" s="426"/>
      <c r="GHJ50" s="426"/>
      <c r="GHK50" s="426"/>
      <c r="GHL50" s="426"/>
      <c r="GHM50" s="426"/>
      <c r="GHN50" s="426"/>
      <c r="GHO50" s="426"/>
      <c r="GHP50" s="426"/>
      <c r="GHQ50" s="426"/>
      <c r="GHR50" s="426"/>
      <c r="GHS50" s="426"/>
      <c r="GHT50" s="426"/>
      <c r="GHU50" s="426"/>
      <c r="GHV50" s="426"/>
      <c r="GHW50" s="426"/>
      <c r="GHX50" s="426"/>
      <c r="GHY50" s="426"/>
      <c r="GHZ50" s="426"/>
      <c r="GIA50" s="426"/>
      <c r="GIB50" s="426"/>
      <c r="GIC50" s="426"/>
      <c r="GID50" s="426"/>
      <c r="GIE50" s="426"/>
      <c r="GIF50" s="426"/>
      <c r="GIG50" s="426"/>
      <c r="GIH50" s="426"/>
      <c r="GII50" s="426"/>
      <c r="GIJ50" s="426"/>
      <c r="GIK50" s="426"/>
      <c r="GIL50" s="426"/>
      <c r="GIM50" s="426"/>
      <c r="GIN50" s="426"/>
      <c r="GIO50" s="426"/>
      <c r="GIP50" s="426"/>
      <c r="GIQ50" s="426"/>
      <c r="GIR50" s="426"/>
      <c r="GIS50" s="426"/>
      <c r="GIT50" s="426"/>
      <c r="GIU50" s="426"/>
      <c r="GIV50" s="426"/>
      <c r="GIW50" s="426"/>
      <c r="GIX50" s="426"/>
      <c r="GIY50" s="426"/>
      <c r="GIZ50" s="426"/>
      <c r="GJA50" s="426"/>
      <c r="GJB50" s="426"/>
      <c r="GJC50" s="426"/>
      <c r="GJD50" s="426"/>
      <c r="GJE50" s="426"/>
      <c r="GJF50" s="426"/>
      <c r="GJG50" s="426"/>
      <c r="GJH50" s="426"/>
      <c r="GJI50" s="426"/>
      <c r="GJJ50" s="426"/>
      <c r="GJK50" s="426"/>
      <c r="GJL50" s="426"/>
      <c r="GJM50" s="426"/>
      <c r="GJN50" s="426"/>
      <c r="GJO50" s="426"/>
      <c r="GJP50" s="426"/>
      <c r="GJQ50" s="426"/>
      <c r="GJR50" s="426"/>
      <c r="GJS50" s="426"/>
      <c r="GJT50" s="426"/>
      <c r="GJU50" s="426"/>
      <c r="GJV50" s="426"/>
      <c r="GJW50" s="426"/>
      <c r="GJX50" s="426"/>
      <c r="GJY50" s="426"/>
      <c r="GJZ50" s="426"/>
      <c r="GKA50" s="426"/>
      <c r="GKB50" s="426"/>
      <c r="GKC50" s="426"/>
      <c r="GKD50" s="426"/>
      <c r="GKE50" s="426"/>
      <c r="GKF50" s="426"/>
      <c r="GKG50" s="426"/>
      <c r="GKH50" s="426"/>
      <c r="GKI50" s="426"/>
      <c r="GKJ50" s="426"/>
      <c r="GKK50" s="426"/>
      <c r="GKL50" s="426"/>
      <c r="GKM50" s="426"/>
      <c r="GKN50" s="426"/>
      <c r="GKO50" s="426"/>
      <c r="GKP50" s="426"/>
      <c r="GKQ50" s="426"/>
      <c r="GKR50" s="426"/>
      <c r="GKS50" s="426"/>
      <c r="GKT50" s="426"/>
      <c r="GKU50" s="426"/>
      <c r="GKV50" s="426"/>
      <c r="GKW50" s="426"/>
      <c r="GKX50" s="426"/>
      <c r="GKY50" s="426"/>
      <c r="GKZ50" s="426"/>
      <c r="GLA50" s="426"/>
      <c r="GLB50" s="426"/>
      <c r="GLC50" s="426"/>
      <c r="GLD50" s="426"/>
      <c r="GLE50" s="426"/>
      <c r="GLF50" s="426"/>
      <c r="GLG50" s="426"/>
      <c r="GLH50" s="426"/>
      <c r="GLI50" s="426"/>
      <c r="GLJ50" s="426"/>
      <c r="GLK50" s="426"/>
      <c r="GLL50" s="426"/>
      <c r="GLM50" s="426"/>
      <c r="GLN50" s="426"/>
      <c r="GLO50" s="426"/>
      <c r="GLP50" s="426"/>
      <c r="GLQ50" s="426"/>
      <c r="GLR50" s="426"/>
      <c r="GLS50" s="426"/>
      <c r="GLT50" s="426"/>
      <c r="GLU50" s="426"/>
      <c r="GLV50" s="426"/>
      <c r="GLW50" s="426"/>
      <c r="GLX50" s="426"/>
      <c r="GLY50" s="426"/>
      <c r="GLZ50" s="426"/>
      <c r="GMA50" s="426"/>
      <c r="GMB50" s="426"/>
      <c r="GMC50" s="426"/>
      <c r="GMD50" s="426"/>
      <c r="GME50" s="426"/>
      <c r="GMF50" s="426"/>
      <c r="GMG50" s="426"/>
      <c r="GMH50" s="426"/>
      <c r="GMI50" s="426"/>
      <c r="GMJ50" s="426"/>
      <c r="GMK50" s="426"/>
      <c r="GML50" s="426"/>
      <c r="GMM50" s="426"/>
      <c r="GMN50" s="426"/>
      <c r="GMO50" s="426"/>
      <c r="GMP50" s="426"/>
      <c r="GMQ50" s="426"/>
      <c r="GMR50" s="426"/>
      <c r="GMS50" s="426"/>
      <c r="GMT50" s="426"/>
      <c r="GMU50" s="426"/>
      <c r="GMV50" s="426"/>
      <c r="GMW50" s="426"/>
      <c r="GMX50" s="426"/>
      <c r="GMY50" s="426"/>
      <c r="GMZ50" s="426"/>
      <c r="GNA50" s="426"/>
      <c r="GNB50" s="426"/>
      <c r="GNC50" s="426"/>
      <c r="GND50" s="426"/>
      <c r="GNE50" s="426"/>
      <c r="GNF50" s="426"/>
      <c r="GNG50" s="426"/>
      <c r="GNH50" s="426"/>
      <c r="GNI50" s="426"/>
      <c r="GNJ50" s="426"/>
      <c r="GNK50" s="426"/>
      <c r="GNL50" s="426"/>
      <c r="GNM50" s="426"/>
      <c r="GNN50" s="426"/>
      <c r="GNO50" s="426"/>
      <c r="GNP50" s="426"/>
      <c r="GNQ50" s="426"/>
      <c r="GNR50" s="426"/>
      <c r="GNS50" s="426"/>
      <c r="GNT50" s="426"/>
      <c r="GNU50" s="426"/>
      <c r="GNV50" s="426"/>
      <c r="GNW50" s="426"/>
      <c r="GNX50" s="426"/>
      <c r="GNY50" s="426"/>
      <c r="GNZ50" s="426"/>
      <c r="GOA50" s="426"/>
      <c r="GOB50" s="426"/>
      <c r="GOC50" s="426"/>
      <c r="GOD50" s="426"/>
      <c r="GOE50" s="426"/>
      <c r="GOF50" s="426"/>
      <c r="GOG50" s="426"/>
      <c r="GOH50" s="426"/>
      <c r="GOI50" s="426"/>
      <c r="GOJ50" s="426"/>
      <c r="GOK50" s="426"/>
      <c r="GOL50" s="426"/>
      <c r="GOM50" s="426"/>
      <c r="GON50" s="426"/>
      <c r="GOO50" s="426"/>
      <c r="GOP50" s="426"/>
      <c r="GOQ50" s="426"/>
      <c r="GOR50" s="426"/>
      <c r="GOS50" s="426"/>
      <c r="GOT50" s="426"/>
      <c r="GOU50" s="426"/>
      <c r="GOV50" s="426"/>
      <c r="GOW50" s="426"/>
      <c r="GOX50" s="426"/>
      <c r="GOY50" s="426"/>
      <c r="GOZ50" s="426"/>
      <c r="GPA50" s="426"/>
      <c r="GPB50" s="426"/>
      <c r="GPC50" s="426"/>
      <c r="GPD50" s="426"/>
      <c r="GPE50" s="426"/>
      <c r="GPF50" s="426"/>
      <c r="GPG50" s="426"/>
      <c r="GPH50" s="426"/>
      <c r="GPI50" s="426"/>
      <c r="GPJ50" s="426"/>
      <c r="GPK50" s="426"/>
      <c r="GPL50" s="426"/>
      <c r="GPM50" s="426"/>
      <c r="GPN50" s="426"/>
      <c r="GPO50" s="426"/>
      <c r="GPP50" s="426"/>
      <c r="GPQ50" s="426"/>
      <c r="GPR50" s="426"/>
      <c r="GPS50" s="426"/>
      <c r="GPT50" s="426"/>
      <c r="GPU50" s="426"/>
      <c r="GPV50" s="426"/>
      <c r="GPW50" s="426"/>
      <c r="GPX50" s="426"/>
      <c r="GPY50" s="426"/>
      <c r="GPZ50" s="426"/>
      <c r="GQA50" s="426"/>
      <c r="GQB50" s="426"/>
      <c r="GQC50" s="426"/>
      <c r="GQD50" s="426"/>
      <c r="GQE50" s="426"/>
      <c r="GQF50" s="426"/>
      <c r="GQG50" s="426"/>
      <c r="GQH50" s="426"/>
      <c r="GQI50" s="426"/>
      <c r="GQJ50" s="426"/>
      <c r="GQK50" s="426"/>
      <c r="GQL50" s="426"/>
      <c r="GQM50" s="426"/>
      <c r="GQN50" s="426"/>
      <c r="GQO50" s="426"/>
      <c r="GQP50" s="426"/>
      <c r="GQQ50" s="426"/>
      <c r="GQR50" s="426"/>
      <c r="GQS50" s="426"/>
      <c r="GQT50" s="426"/>
      <c r="GQU50" s="426"/>
      <c r="GQV50" s="426"/>
      <c r="GQW50" s="426"/>
      <c r="GQX50" s="426"/>
      <c r="GQY50" s="426"/>
      <c r="GQZ50" s="426"/>
      <c r="GRA50" s="426"/>
      <c r="GRB50" s="426"/>
      <c r="GRC50" s="426"/>
      <c r="GRD50" s="426"/>
      <c r="GRE50" s="426"/>
      <c r="GRF50" s="426"/>
      <c r="GRG50" s="426"/>
      <c r="GRH50" s="426"/>
      <c r="GRI50" s="426"/>
      <c r="GRJ50" s="426"/>
      <c r="GRK50" s="426"/>
      <c r="GRL50" s="426"/>
      <c r="GRM50" s="426"/>
      <c r="GRN50" s="426"/>
      <c r="GRO50" s="426"/>
      <c r="GRP50" s="426"/>
      <c r="GRQ50" s="426"/>
      <c r="GRR50" s="426"/>
      <c r="GRS50" s="426"/>
      <c r="GRT50" s="426"/>
      <c r="GRU50" s="426"/>
      <c r="GRV50" s="426"/>
      <c r="GRW50" s="426"/>
      <c r="GRX50" s="426"/>
      <c r="GRY50" s="426"/>
      <c r="GRZ50" s="426"/>
      <c r="GSA50" s="426"/>
      <c r="GSB50" s="426"/>
      <c r="GSC50" s="426"/>
      <c r="GSD50" s="426"/>
      <c r="GSE50" s="426"/>
      <c r="GSF50" s="426"/>
      <c r="GSG50" s="426"/>
      <c r="GSH50" s="426"/>
      <c r="GSI50" s="426"/>
      <c r="GSJ50" s="426"/>
      <c r="GSK50" s="426"/>
      <c r="GSL50" s="426"/>
      <c r="GSM50" s="426"/>
      <c r="GSN50" s="426"/>
      <c r="GSO50" s="426"/>
      <c r="GSP50" s="426"/>
      <c r="GSQ50" s="426"/>
      <c r="GSR50" s="426"/>
      <c r="GSS50" s="426"/>
      <c r="GST50" s="426"/>
      <c r="GSU50" s="426"/>
      <c r="GSV50" s="426"/>
      <c r="GSW50" s="426"/>
      <c r="GSX50" s="426"/>
      <c r="GSY50" s="426"/>
      <c r="GSZ50" s="426"/>
      <c r="GTA50" s="426"/>
      <c r="GTB50" s="426"/>
      <c r="GTC50" s="426"/>
      <c r="GTD50" s="426"/>
      <c r="GTE50" s="426"/>
      <c r="GTF50" s="426"/>
      <c r="GTG50" s="426"/>
      <c r="GTH50" s="426"/>
      <c r="GTI50" s="426"/>
      <c r="GTJ50" s="426"/>
      <c r="GTK50" s="426"/>
      <c r="GTL50" s="426"/>
      <c r="GTM50" s="426"/>
      <c r="GTN50" s="426"/>
      <c r="GTO50" s="426"/>
      <c r="GTP50" s="426"/>
      <c r="GTQ50" s="426"/>
      <c r="GTR50" s="426"/>
      <c r="GTS50" s="426"/>
      <c r="GTT50" s="426"/>
      <c r="GTU50" s="426"/>
      <c r="GTV50" s="426"/>
      <c r="GTW50" s="426"/>
      <c r="GTX50" s="426"/>
      <c r="GTY50" s="426"/>
      <c r="GTZ50" s="426"/>
      <c r="GUA50" s="426"/>
      <c r="GUB50" s="426"/>
      <c r="GUC50" s="426"/>
      <c r="GUD50" s="426"/>
      <c r="GUE50" s="426"/>
      <c r="GUF50" s="426"/>
      <c r="GUG50" s="426"/>
      <c r="GUH50" s="426"/>
      <c r="GUI50" s="426"/>
      <c r="GUJ50" s="426"/>
      <c r="GUK50" s="426"/>
      <c r="GUL50" s="426"/>
      <c r="GUM50" s="426"/>
      <c r="GUN50" s="426"/>
      <c r="GUO50" s="426"/>
      <c r="GUP50" s="426"/>
      <c r="GUQ50" s="426"/>
      <c r="GUR50" s="426"/>
      <c r="GUS50" s="426"/>
      <c r="GUT50" s="426"/>
      <c r="GUU50" s="426"/>
      <c r="GUV50" s="426"/>
      <c r="GUW50" s="426"/>
      <c r="GUX50" s="426"/>
      <c r="GUY50" s="426"/>
      <c r="GUZ50" s="426"/>
      <c r="GVA50" s="426"/>
      <c r="GVB50" s="426"/>
      <c r="GVC50" s="426"/>
      <c r="GVD50" s="426"/>
      <c r="GVE50" s="426"/>
      <c r="GVF50" s="426"/>
      <c r="GVG50" s="426"/>
      <c r="GVH50" s="426"/>
      <c r="GVI50" s="426"/>
      <c r="GVJ50" s="426"/>
      <c r="GVK50" s="426"/>
      <c r="GVL50" s="426"/>
      <c r="GVM50" s="426"/>
      <c r="GVN50" s="426"/>
      <c r="GVO50" s="426"/>
      <c r="GVP50" s="426"/>
      <c r="GVQ50" s="426"/>
      <c r="GVR50" s="426"/>
      <c r="GVS50" s="426"/>
      <c r="GVT50" s="426"/>
      <c r="GVU50" s="426"/>
      <c r="GVV50" s="426"/>
      <c r="GVW50" s="426"/>
      <c r="GVX50" s="426"/>
      <c r="GVY50" s="426"/>
      <c r="GVZ50" s="426"/>
      <c r="GWA50" s="426"/>
      <c r="GWB50" s="426"/>
      <c r="GWC50" s="426"/>
      <c r="GWD50" s="426"/>
      <c r="GWE50" s="426"/>
      <c r="GWF50" s="426"/>
      <c r="GWG50" s="426"/>
      <c r="GWH50" s="426"/>
      <c r="GWI50" s="426"/>
      <c r="GWJ50" s="426"/>
      <c r="GWK50" s="426"/>
      <c r="GWL50" s="426"/>
      <c r="GWM50" s="426"/>
      <c r="GWN50" s="426"/>
      <c r="GWO50" s="426"/>
      <c r="GWP50" s="426"/>
      <c r="GWQ50" s="426"/>
      <c r="GWR50" s="426"/>
      <c r="GWS50" s="426"/>
      <c r="GWT50" s="426"/>
      <c r="GWU50" s="426"/>
      <c r="GWV50" s="426"/>
      <c r="GWW50" s="426"/>
      <c r="GWX50" s="426"/>
      <c r="GWY50" s="426"/>
      <c r="GWZ50" s="426"/>
      <c r="GXA50" s="426"/>
      <c r="GXB50" s="426"/>
      <c r="GXC50" s="426"/>
      <c r="GXD50" s="426"/>
      <c r="GXE50" s="426"/>
      <c r="GXF50" s="426"/>
      <c r="GXG50" s="426"/>
      <c r="GXH50" s="426"/>
      <c r="GXI50" s="426"/>
      <c r="GXJ50" s="426"/>
      <c r="GXK50" s="426"/>
      <c r="GXL50" s="426"/>
      <c r="GXM50" s="426"/>
      <c r="GXN50" s="426"/>
      <c r="GXO50" s="426"/>
      <c r="GXP50" s="426"/>
      <c r="GXQ50" s="426"/>
      <c r="GXR50" s="426"/>
      <c r="GXS50" s="426"/>
      <c r="GXT50" s="426"/>
      <c r="GXU50" s="426"/>
      <c r="GXV50" s="426"/>
      <c r="GXW50" s="426"/>
      <c r="GXX50" s="426"/>
      <c r="GXY50" s="426"/>
      <c r="GXZ50" s="426"/>
      <c r="GYA50" s="426"/>
      <c r="GYB50" s="426"/>
      <c r="GYC50" s="426"/>
      <c r="GYD50" s="426"/>
      <c r="GYE50" s="426"/>
      <c r="GYF50" s="426"/>
      <c r="GYG50" s="426"/>
      <c r="GYH50" s="426"/>
      <c r="GYI50" s="426"/>
      <c r="GYJ50" s="426"/>
      <c r="GYK50" s="426"/>
      <c r="GYL50" s="426"/>
      <c r="GYM50" s="426"/>
      <c r="GYN50" s="426"/>
      <c r="GYO50" s="426"/>
      <c r="GYP50" s="426"/>
      <c r="GYQ50" s="426"/>
      <c r="GYR50" s="426"/>
      <c r="GYS50" s="426"/>
      <c r="GYT50" s="426"/>
      <c r="GYU50" s="426"/>
      <c r="GYV50" s="426"/>
      <c r="GYW50" s="426"/>
      <c r="GYX50" s="426"/>
      <c r="GYY50" s="426"/>
      <c r="GYZ50" s="426"/>
      <c r="GZA50" s="426"/>
      <c r="GZB50" s="426"/>
      <c r="GZC50" s="426"/>
      <c r="GZD50" s="426"/>
      <c r="GZE50" s="426"/>
      <c r="GZF50" s="426"/>
      <c r="GZG50" s="426"/>
      <c r="GZH50" s="426"/>
      <c r="GZI50" s="426"/>
      <c r="GZJ50" s="426"/>
      <c r="GZK50" s="426"/>
      <c r="GZL50" s="426"/>
      <c r="GZM50" s="426"/>
      <c r="GZN50" s="426"/>
      <c r="GZO50" s="426"/>
      <c r="GZP50" s="426"/>
      <c r="GZQ50" s="426"/>
      <c r="GZR50" s="426"/>
      <c r="GZS50" s="426"/>
      <c r="GZT50" s="426"/>
      <c r="GZU50" s="426"/>
      <c r="GZV50" s="426"/>
      <c r="GZW50" s="426"/>
      <c r="GZX50" s="426"/>
      <c r="GZY50" s="426"/>
      <c r="GZZ50" s="426"/>
      <c r="HAA50" s="426"/>
      <c r="HAB50" s="426"/>
      <c r="HAC50" s="426"/>
      <c r="HAD50" s="426"/>
      <c r="HAE50" s="426"/>
      <c r="HAF50" s="426"/>
      <c r="HAG50" s="426"/>
      <c r="HAH50" s="426"/>
      <c r="HAI50" s="426"/>
      <c r="HAJ50" s="426"/>
      <c r="HAK50" s="426"/>
      <c r="HAL50" s="426"/>
      <c r="HAM50" s="426"/>
      <c r="HAN50" s="426"/>
      <c r="HAO50" s="426"/>
      <c r="HAP50" s="426"/>
      <c r="HAQ50" s="426"/>
      <c r="HAR50" s="426"/>
      <c r="HAS50" s="426"/>
      <c r="HAT50" s="426"/>
      <c r="HAU50" s="426"/>
      <c r="HAV50" s="426"/>
      <c r="HAW50" s="426"/>
      <c r="HAX50" s="426"/>
      <c r="HAY50" s="426"/>
      <c r="HAZ50" s="426"/>
      <c r="HBA50" s="426"/>
      <c r="HBB50" s="426"/>
      <c r="HBC50" s="426"/>
      <c r="HBD50" s="426"/>
      <c r="HBE50" s="426"/>
      <c r="HBF50" s="426"/>
      <c r="HBG50" s="426"/>
      <c r="HBH50" s="426"/>
      <c r="HBI50" s="426"/>
      <c r="HBJ50" s="426"/>
      <c r="HBK50" s="426"/>
      <c r="HBL50" s="426"/>
      <c r="HBM50" s="426"/>
      <c r="HBN50" s="426"/>
      <c r="HBO50" s="426"/>
      <c r="HBP50" s="426"/>
      <c r="HBQ50" s="426"/>
      <c r="HBR50" s="426"/>
      <c r="HBS50" s="426"/>
      <c r="HBT50" s="426"/>
      <c r="HBU50" s="426"/>
      <c r="HBV50" s="426"/>
      <c r="HBW50" s="426"/>
      <c r="HBX50" s="426"/>
      <c r="HBY50" s="426"/>
      <c r="HBZ50" s="426"/>
      <c r="HCA50" s="426"/>
      <c r="HCB50" s="426"/>
      <c r="HCC50" s="426"/>
      <c r="HCD50" s="426"/>
      <c r="HCE50" s="426"/>
      <c r="HCF50" s="426"/>
      <c r="HCG50" s="426"/>
      <c r="HCH50" s="426"/>
      <c r="HCI50" s="426"/>
      <c r="HCJ50" s="426"/>
      <c r="HCK50" s="426"/>
      <c r="HCL50" s="426"/>
      <c r="HCM50" s="426"/>
      <c r="HCN50" s="426"/>
      <c r="HCO50" s="426"/>
      <c r="HCP50" s="426"/>
      <c r="HCQ50" s="426"/>
      <c r="HCR50" s="426"/>
      <c r="HCS50" s="426"/>
      <c r="HCT50" s="426"/>
      <c r="HCU50" s="426"/>
      <c r="HCV50" s="426"/>
      <c r="HCW50" s="426"/>
      <c r="HCX50" s="426"/>
      <c r="HCY50" s="426"/>
      <c r="HCZ50" s="426"/>
      <c r="HDA50" s="426"/>
      <c r="HDB50" s="426"/>
      <c r="HDC50" s="426"/>
      <c r="HDD50" s="426"/>
      <c r="HDE50" s="426"/>
      <c r="HDF50" s="426"/>
      <c r="HDG50" s="426"/>
      <c r="HDH50" s="426"/>
      <c r="HDI50" s="426"/>
      <c r="HDJ50" s="426"/>
      <c r="HDK50" s="426"/>
      <c r="HDL50" s="426"/>
      <c r="HDM50" s="426"/>
      <c r="HDN50" s="426"/>
      <c r="HDO50" s="426"/>
      <c r="HDP50" s="426"/>
      <c r="HDQ50" s="426"/>
      <c r="HDR50" s="426"/>
      <c r="HDS50" s="426"/>
      <c r="HDT50" s="426"/>
      <c r="HDU50" s="426"/>
      <c r="HDV50" s="426"/>
      <c r="HDW50" s="426"/>
      <c r="HDX50" s="426"/>
      <c r="HDY50" s="426"/>
      <c r="HDZ50" s="426"/>
      <c r="HEA50" s="426"/>
      <c r="HEB50" s="426"/>
      <c r="HEC50" s="426"/>
      <c r="HED50" s="426"/>
      <c r="HEE50" s="426"/>
      <c r="HEF50" s="426"/>
      <c r="HEG50" s="426"/>
      <c r="HEH50" s="426"/>
      <c r="HEI50" s="426"/>
      <c r="HEJ50" s="426"/>
      <c r="HEK50" s="426"/>
      <c r="HEL50" s="426"/>
      <c r="HEM50" s="426"/>
      <c r="HEN50" s="426"/>
      <c r="HEO50" s="426"/>
      <c r="HEP50" s="426"/>
      <c r="HEQ50" s="426"/>
      <c r="HER50" s="426"/>
      <c r="HES50" s="426"/>
      <c r="HET50" s="426"/>
      <c r="HEU50" s="426"/>
      <c r="HEV50" s="426"/>
      <c r="HEW50" s="426"/>
      <c r="HEX50" s="426"/>
      <c r="HEY50" s="426"/>
      <c r="HEZ50" s="426"/>
      <c r="HFA50" s="426"/>
      <c r="HFB50" s="426"/>
      <c r="HFC50" s="426"/>
      <c r="HFD50" s="426"/>
      <c r="HFE50" s="426"/>
      <c r="HFF50" s="426"/>
      <c r="HFG50" s="426"/>
      <c r="HFH50" s="426"/>
      <c r="HFI50" s="426"/>
      <c r="HFJ50" s="426"/>
      <c r="HFK50" s="426"/>
      <c r="HFL50" s="426"/>
      <c r="HFM50" s="426"/>
      <c r="HFN50" s="426"/>
      <c r="HFO50" s="426"/>
      <c r="HFP50" s="426"/>
      <c r="HFQ50" s="426"/>
      <c r="HFR50" s="426"/>
      <c r="HFS50" s="426"/>
      <c r="HFT50" s="426"/>
      <c r="HFU50" s="426"/>
      <c r="HFV50" s="426"/>
      <c r="HFW50" s="426"/>
      <c r="HFX50" s="426"/>
      <c r="HFY50" s="426"/>
      <c r="HFZ50" s="426"/>
      <c r="HGA50" s="426"/>
      <c r="HGB50" s="426"/>
      <c r="HGC50" s="426"/>
      <c r="HGD50" s="426"/>
      <c r="HGE50" s="426"/>
      <c r="HGF50" s="426"/>
      <c r="HGG50" s="426"/>
      <c r="HGH50" s="426"/>
      <c r="HGI50" s="426"/>
      <c r="HGJ50" s="426"/>
      <c r="HGK50" s="426"/>
      <c r="HGL50" s="426"/>
      <c r="HGM50" s="426"/>
      <c r="HGN50" s="426"/>
      <c r="HGO50" s="426"/>
      <c r="HGP50" s="426"/>
      <c r="HGQ50" s="426"/>
      <c r="HGR50" s="426"/>
      <c r="HGS50" s="426"/>
      <c r="HGT50" s="426"/>
      <c r="HGU50" s="426"/>
      <c r="HGV50" s="426"/>
      <c r="HGW50" s="426"/>
      <c r="HGX50" s="426"/>
      <c r="HGY50" s="426"/>
      <c r="HGZ50" s="426"/>
      <c r="HHA50" s="426"/>
      <c r="HHB50" s="426"/>
      <c r="HHC50" s="426"/>
      <c r="HHD50" s="426"/>
      <c r="HHE50" s="426"/>
      <c r="HHF50" s="426"/>
      <c r="HHG50" s="426"/>
      <c r="HHH50" s="426"/>
      <c r="HHI50" s="426"/>
      <c r="HHJ50" s="426"/>
      <c r="HHK50" s="426"/>
      <c r="HHL50" s="426"/>
      <c r="HHM50" s="426"/>
      <c r="HHN50" s="426"/>
      <c r="HHO50" s="426"/>
      <c r="HHP50" s="426"/>
      <c r="HHQ50" s="426"/>
      <c r="HHR50" s="426"/>
      <c r="HHS50" s="426"/>
      <c r="HHT50" s="426"/>
      <c r="HHU50" s="426"/>
      <c r="HHV50" s="426"/>
      <c r="HHW50" s="426"/>
      <c r="HHX50" s="426"/>
      <c r="HHY50" s="426"/>
      <c r="HHZ50" s="426"/>
      <c r="HIA50" s="426"/>
      <c r="HIB50" s="426"/>
      <c r="HIC50" s="426"/>
      <c r="HID50" s="426"/>
      <c r="HIE50" s="426"/>
      <c r="HIF50" s="426"/>
      <c r="HIG50" s="426"/>
      <c r="HIH50" s="426"/>
      <c r="HII50" s="426"/>
      <c r="HIJ50" s="426"/>
      <c r="HIK50" s="426"/>
      <c r="HIL50" s="426"/>
      <c r="HIM50" s="426"/>
      <c r="HIN50" s="426"/>
      <c r="HIO50" s="426"/>
      <c r="HIP50" s="426"/>
      <c r="HIQ50" s="426"/>
      <c r="HIR50" s="426"/>
      <c r="HIS50" s="426"/>
      <c r="HIT50" s="426"/>
      <c r="HIU50" s="426"/>
      <c r="HIV50" s="426"/>
      <c r="HIW50" s="426"/>
      <c r="HIX50" s="426"/>
      <c r="HIY50" s="426"/>
      <c r="HIZ50" s="426"/>
      <c r="HJA50" s="426"/>
      <c r="HJB50" s="426"/>
      <c r="HJC50" s="426"/>
      <c r="HJD50" s="426"/>
      <c r="HJE50" s="426"/>
      <c r="HJF50" s="426"/>
      <c r="HJG50" s="426"/>
      <c r="HJH50" s="426"/>
      <c r="HJI50" s="426"/>
      <c r="HJJ50" s="426"/>
      <c r="HJK50" s="426"/>
      <c r="HJL50" s="426"/>
      <c r="HJM50" s="426"/>
      <c r="HJN50" s="426"/>
      <c r="HJO50" s="426"/>
      <c r="HJP50" s="426"/>
      <c r="HJQ50" s="426"/>
      <c r="HJR50" s="426"/>
      <c r="HJS50" s="426"/>
      <c r="HJT50" s="426"/>
      <c r="HJU50" s="426"/>
      <c r="HJV50" s="426"/>
      <c r="HJW50" s="426"/>
      <c r="HJX50" s="426"/>
      <c r="HJY50" s="426"/>
      <c r="HJZ50" s="426"/>
      <c r="HKA50" s="426"/>
      <c r="HKB50" s="426"/>
      <c r="HKC50" s="426"/>
      <c r="HKD50" s="426"/>
      <c r="HKE50" s="426"/>
      <c r="HKF50" s="426"/>
      <c r="HKG50" s="426"/>
      <c r="HKH50" s="426"/>
      <c r="HKI50" s="426"/>
      <c r="HKJ50" s="426"/>
      <c r="HKK50" s="426"/>
      <c r="HKL50" s="426"/>
      <c r="HKM50" s="426"/>
      <c r="HKN50" s="426"/>
      <c r="HKO50" s="426"/>
      <c r="HKP50" s="426"/>
      <c r="HKQ50" s="426"/>
      <c r="HKR50" s="426"/>
      <c r="HKS50" s="426"/>
      <c r="HKT50" s="426"/>
      <c r="HKU50" s="426"/>
      <c r="HKV50" s="426"/>
      <c r="HKW50" s="426"/>
      <c r="HKX50" s="426"/>
      <c r="HKY50" s="426"/>
      <c r="HKZ50" s="426"/>
      <c r="HLA50" s="426"/>
      <c r="HLB50" s="426"/>
      <c r="HLC50" s="426"/>
      <c r="HLD50" s="426"/>
      <c r="HLE50" s="426"/>
      <c r="HLF50" s="426"/>
      <c r="HLG50" s="426"/>
      <c r="HLH50" s="426"/>
      <c r="HLI50" s="426"/>
      <c r="HLJ50" s="426"/>
      <c r="HLK50" s="426"/>
      <c r="HLL50" s="426"/>
      <c r="HLM50" s="426"/>
      <c r="HLN50" s="426"/>
      <c r="HLO50" s="426"/>
      <c r="HLP50" s="426"/>
      <c r="HLQ50" s="426"/>
      <c r="HLR50" s="426"/>
      <c r="HLS50" s="426"/>
      <c r="HLT50" s="426"/>
      <c r="HLU50" s="426"/>
      <c r="HLV50" s="426"/>
      <c r="HLW50" s="426"/>
      <c r="HLX50" s="426"/>
      <c r="HLY50" s="426"/>
      <c r="HLZ50" s="426"/>
      <c r="HMA50" s="426"/>
      <c r="HMB50" s="426"/>
      <c r="HMC50" s="426"/>
      <c r="HMD50" s="426"/>
      <c r="HME50" s="426"/>
      <c r="HMF50" s="426"/>
      <c r="HMG50" s="426"/>
      <c r="HMH50" s="426"/>
      <c r="HMI50" s="426"/>
      <c r="HMJ50" s="426"/>
      <c r="HMK50" s="426"/>
      <c r="HML50" s="426"/>
      <c r="HMM50" s="426"/>
      <c r="HMN50" s="426"/>
      <c r="HMO50" s="426"/>
      <c r="HMP50" s="426"/>
      <c r="HMQ50" s="426"/>
      <c r="HMR50" s="426"/>
      <c r="HMS50" s="426"/>
      <c r="HMT50" s="426"/>
      <c r="HMU50" s="426"/>
      <c r="HMV50" s="426"/>
      <c r="HMW50" s="426"/>
      <c r="HMX50" s="426"/>
      <c r="HMY50" s="426"/>
      <c r="HMZ50" s="426"/>
      <c r="HNA50" s="426"/>
      <c r="HNB50" s="426"/>
      <c r="HNC50" s="426"/>
      <c r="HND50" s="426"/>
      <c r="HNE50" s="426"/>
      <c r="HNF50" s="426"/>
      <c r="HNG50" s="426"/>
      <c r="HNH50" s="426"/>
      <c r="HNI50" s="426"/>
      <c r="HNJ50" s="426"/>
      <c r="HNK50" s="426"/>
      <c r="HNL50" s="426"/>
      <c r="HNM50" s="426"/>
      <c r="HNN50" s="426"/>
      <c r="HNO50" s="426"/>
      <c r="HNP50" s="426"/>
      <c r="HNQ50" s="426"/>
      <c r="HNR50" s="426"/>
      <c r="HNS50" s="426"/>
      <c r="HNT50" s="426"/>
      <c r="HNU50" s="426"/>
      <c r="HNV50" s="426"/>
      <c r="HNW50" s="426"/>
      <c r="HNX50" s="426"/>
      <c r="HNY50" s="426"/>
      <c r="HNZ50" s="426"/>
      <c r="HOA50" s="426"/>
      <c r="HOB50" s="426"/>
      <c r="HOC50" s="426"/>
      <c r="HOD50" s="426"/>
      <c r="HOE50" s="426"/>
      <c r="HOF50" s="426"/>
      <c r="HOG50" s="426"/>
      <c r="HOH50" s="426"/>
      <c r="HOI50" s="426"/>
      <c r="HOJ50" s="426"/>
      <c r="HOK50" s="426"/>
      <c r="HOL50" s="426"/>
      <c r="HOM50" s="426"/>
      <c r="HON50" s="426"/>
      <c r="HOO50" s="426"/>
      <c r="HOP50" s="426"/>
      <c r="HOQ50" s="426"/>
      <c r="HOR50" s="426"/>
      <c r="HOS50" s="426"/>
      <c r="HOT50" s="426"/>
      <c r="HOU50" s="426"/>
      <c r="HOV50" s="426"/>
      <c r="HOW50" s="426"/>
      <c r="HOX50" s="426"/>
      <c r="HOY50" s="426"/>
      <c r="HOZ50" s="426"/>
      <c r="HPA50" s="426"/>
      <c r="HPB50" s="426"/>
      <c r="HPC50" s="426"/>
      <c r="HPD50" s="426"/>
      <c r="HPE50" s="426"/>
      <c r="HPF50" s="426"/>
      <c r="HPG50" s="426"/>
      <c r="HPH50" s="426"/>
      <c r="HPI50" s="426"/>
      <c r="HPJ50" s="426"/>
      <c r="HPK50" s="426"/>
      <c r="HPL50" s="426"/>
      <c r="HPM50" s="426"/>
      <c r="HPN50" s="426"/>
      <c r="HPO50" s="426"/>
      <c r="HPP50" s="426"/>
      <c r="HPQ50" s="426"/>
      <c r="HPR50" s="426"/>
      <c r="HPS50" s="426"/>
      <c r="HPT50" s="426"/>
      <c r="HPU50" s="426"/>
      <c r="HPV50" s="426"/>
      <c r="HPW50" s="426"/>
      <c r="HPX50" s="426"/>
      <c r="HPY50" s="426"/>
      <c r="HPZ50" s="426"/>
      <c r="HQA50" s="426"/>
      <c r="HQB50" s="426"/>
      <c r="HQC50" s="426"/>
      <c r="HQD50" s="426"/>
      <c r="HQE50" s="426"/>
      <c r="HQF50" s="426"/>
      <c r="HQG50" s="426"/>
      <c r="HQH50" s="426"/>
      <c r="HQI50" s="426"/>
      <c r="HQJ50" s="426"/>
      <c r="HQK50" s="426"/>
      <c r="HQL50" s="426"/>
      <c r="HQM50" s="426"/>
      <c r="HQN50" s="426"/>
      <c r="HQO50" s="426"/>
      <c r="HQP50" s="426"/>
      <c r="HQQ50" s="426"/>
      <c r="HQR50" s="426"/>
      <c r="HQS50" s="426"/>
      <c r="HQT50" s="426"/>
      <c r="HQU50" s="426"/>
      <c r="HQV50" s="426"/>
      <c r="HQW50" s="426"/>
      <c r="HQX50" s="426"/>
      <c r="HQY50" s="426"/>
      <c r="HQZ50" s="426"/>
      <c r="HRA50" s="426"/>
      <c r="HRB50" s="426"/>
      <c r="HRC50" s="426"/>
      <c r="HRD50" s="426"/>
      <c r="HRE50" s="426"/>
      <c r="HRF50" s="426"/>
      <c r="HRG50" s="426"/>
      <c r="HRH50" s="426"/>
      <c r="HRI50" s="426"/>
      <c r="HRJ50" s="426"/>
      <c r="HRK50" s="426"/>
      <c r="HRL50" s="426"/>
      <c r="HRM50" s="426"/>
      <c r="HRN50" s="426"/>
      <c r="HRO50" s="426"/>
      <c r="HRP50" s="426"/>
      <c r="HRQ50" s="426"/>
      <c r="HRR50" s="426"/>
      <c r="HRS50" s="426"/>
      <c r="HRT50" s="426"/>
      <c r="HRU50" s="426"/>
      <c r="HRV50" s="426"/>
      <c r="HRW50" s="426"/>
      <c r="HRX50" s="426"/>
      <c r="HRY50" s="426"/>
      <c r="HRZ50" s="426"/>
      <c r="HSA50" s="426"/>
      <c r="HSB50" s="426"/>
      <c r="HSC50" s="426"/>
      <c r="HSD50" s="426"/>
      <c r="HSE50" s="426"/>
      <c r="HSF50" s="426"/>
      <c r="HSG50" s="426"/>
      <c r="HSH50" s="426"/>
      <c r="HSI50" s="426"/>
      <c r="HSJ50" s="426"/>
      <c r="HSK50" s="426"/>
      <c r="HSL50" s="426"/>
      <c r="HSM50" s="426"/>
      <c r="HSN50" s="426"/>
      <c r="HSO50" s="426"/>
      <c r="HSP50" s="426"/>
      <c r="HSQ50" s="426"/>
      <c r="HSR50" s="426"/>
      <c r="HSS50" s="426"/>
      <c r="HST50" s="426"/>
      <c r="HSU50" s="426"/>
      <c r="HSV50" s="426"/>
      <c r="HSW50" s="426"/>
      <c r="HSX50" s="426"/>
      <c r="HSY50" s="426"/>
      <c r="HSZ50" s="426"/>
      <c r="HTA50" s="426"/>
      <c r="HTB50" s="426"/>
      <c r="HTC50" s="426"/>
      <c r="HTD50" s="426"/>
      <c r="HTE50" s="426"/>
      <c r="HTF50" s="426"/>
      <c r="HTG50" s="426"/>
      <c r="HTH50" s="426"/>
      <c r="HTI50" s="426"/>
      <c r="HTJ50" s="426"/>
      <c r="HTK50" s="426"/>
      <c r="HTL50" s="426"/>
      <c r="HTM50" s="426"/>
      <c r="HTN50" s="426"/>
      <c r="HTO50" s="426"/>
      <c r="HTP50" s="426"/>
      <c r="HTQ50" s="426"/>
      <c r="HTR50" s="426"/>
      <c r="HTS50" s="426"/>
      <c r="HTT50" s="426"/>
      <c r="HTU50" s="426"/>
      <c r="HTV50" s="426"/>
      <c r="HTW50" s="426"/>
      <c r="HTX50" s="426"/>
      <c r="HTY50" s="426"/>
      <c r="HTZ50" s="426"/>
      <c r="HUA50" s="426"/>
      <c r="HUB50" s="426"/>
      <c r="HUC50" s="426"/>
      <c r="HUD50" s="426"/>
      <c r="HUE50" s="426"/>
      <c r="HUF50" s="426"/>
      <c r="HUG50" s="426"/>
      <c r="HUH50" s="426"/>
      <c r="HUI50" s="426"/>
      <c r="HUJ50" s="426"/>
      <c r="HUK50" s="426"/>
      <c r="HUL50" s="426"/>
      <c r="HUM50" s="426"/>
      <c r="HUN50" s="426"/>
      <c r="HUO50" s="426"/>
      <c r="HUP50" s="426"/>
      <c r="HUQ50" s="426"/>
      <c r="HUR50" s="426"/>
      <c r="HUS50" s="426"/>
      <c r="HUT50" s="426"/>
      <c r="HUU50" s="426"/>
      <c r="HUV50" s="426"/>
      <c r="HUW50" s="426"/>
      <c r="HUX50" s="426"/>
      <c r="HUY50" s="426"/>
      <c r="HUZ50" s="426"/>
      <c r="HVA50" s="426"/>
      <c r="HVB50" s="426"/>
      <c r="HVC50" s="426"/>
      <c r="HVD50" s="426"/>
      <c r="HVE50" s="426"/>
      <c r="HVF50" s="426"/>
      <c r="HVG50" s="426"/>
      <c r="HVH50" s="426"/>
      <c r="HVI50" s="426"/>
      <c r="HVJ50" s="426"/>
      <c r="HVK50" s="426"/>
      <c r="HVL50" s="426"/>
      <c r="HVM50" s="426"/>
      <c r="HVN50" s="426"/>
      <c r="HVO50" s="426"/>
      <c r="HVP50" s="426"/>
      <c r="HVQ50" s="426"/>
      <c r="HVR50" s="426"/>
      <c r="HVS50" s="426"/>
      <c r="HVT50" s="426"/>
      <c r="HVU50" s="426"/>
      <c r="HVV50" s="426"/>
      <c r="HVW50" s="426"/>
      <c r="HVX50" s="426"/>
      <c r="HVY50" s="426"/>
      <c r="HVZ50" s="426"/>
      <c r="HWA50" s="426"/>
      <c r="HWB50" s="426"/>
      <c r="HWC50" s="426"/>
      <c r="HWD50" s="426"/>
      <c r="HWE50" s="426"/>
      <c r="HWF50" s="426"/>
      <c r="HWG50" s="426"/>
      <c r="HWH50" s="426"/>
      <c r="HWI50" s="426"/>
      <c r="HWJ50" s="426"/>
      <c r="HWK50" s="426"/>
      <c r="HWL50" s="426"/>
      <c r="HWM50" s="426"/>
      <c r="HWN50" s="426"/>
      <c r="HWO50" s="426"/>
      <c r="HWP50" s="426"/>
      <c r="HWQ50" s="426"/>
      <c r="HWR50" s="426"/>
      <c r="HWS50" s="426"/>
      <c r="HWT50" s="426"/>
      <c r="HWU50" s="426"/>
      <c r="HWV50" s="426"/>
      <c r="HWW50" s="426"/>
      <c r="HWX50" s="426"/>
      <c r="HWY50" s="426"/>
      <c r="HWZ50" s="426"/>
      <c r="HXA50" s="426"/>
      <c r="HXB50" s="426"/>
      <c r="HXC50" s="426"/>
      <c r="HXD50" s="426"/>
      <c r="HXE50" s="426"/>
      <c r="HXF50" s="426"/>
      <c r="HXG50" s="426"/>
      <c r="HXH50" s="426"/>
      <c r="HXI50" s="426"/>
      <c r="HXJ50" s="426"/>
      <c r="HXK50" s="426"/>
      <c r="HXL50" s="426"/>
      <c r="HXM50" s="426"/>
      <c r="HXN50" s="426"/>
      <c r="HXO50" s="426"/>
      <c r="HXP50" s="426"/>
      <c r="HXQ50" s="426"/>
      <c r="HXR50" s="426"/>
      <c r="HXS50" s="426"/>
      <c r="HXT50" s="426"/>
      <c r="HXU50" s="426"/>
      <c r="HXV50" s="426"/>
      <c r="HXW50" s="426"/>
      <c r="HXX50" s="426"/>
      <c r="HXY50" s="426"/>
      <c r="HXZ50" s="426"/>
      <c r="HYA50" s="426"/>
      <c r="HYB50" s="426"/>
      <c r="HYC50" s="426"/>
      <c r="HYD50" s="426"/>
      <c r="HYE50" s="426"/>
      <c r="HYF50" s="426"/>
      <c r="HYG50" s="426"/>
      <c r="HYH50" s="426"/>
      <c r="HYI50" s="426"/>
      <c r="HYJ50" s="426"/>
      <c r="HYK50" s="426"/>
      <c r="HYL50" s="426"/>
      <c r="HYM50" s="426"/>
      <c r="HYN50" s="426"/>
      <c r="HYO50" s="426"/>
      <c r="HYP50" s="426"/>
      <c r="HYQ50" s="426"/>
      <c r="HYR50" s="426"/>
      <c r="HYS50" s="426"/>
      <c r="HYT50" s="426"/>
      <c r="HYU50" s="426"/>
      <c r="HYV50" s="426"/>
      <c r="HYW50" s="426"/>
      <c r="HYX50" s="426"/>
      <c r="HYY50" s="426"/>
      <c r="HYZ50" s="426"/>
      <c r="HZA50" s="426"/>
      <c r="HZB50" s="426"/>
      <c r="HZC50" s="426"/>
      <c r="HZD50" s="426"/>
      <c r="HZE50" s="426"/>
      <c r="HZF50" s="426"/>
      <c r="HZG50" s="426"/>
      <c r="HZH50" s="426"/>
      <c r="HZI50" s="426"/>
      <c r="HZJ50" s="426"/>
      <c r="HZK50" s="426"/>
      <c r="HZL50" s="426"/>
      <c r="HZM50" s="426"/>
      <c r="HZN50" s="426"/>
      <c r="HZO50" s="426"/>
      <c r="HZP50" s="426"/>
      <c r="HZQ50" s="426"/>
      <c r="HZR50" s="426"/>
      <c r="HZS50" s="426"/>
      <c r="HZT50" s="426"/>
      <c r="HZU50" s="426"/>
      <c r="HZV50" s="426"/>
      <c r="HZW50" s="426"/>
      <c r="HZX50" s="426"/>
      <c r="HZY50" s="426"/>
      <c r="HZZ50" s="426"/>
      <c r="IAA50" s="426"/>
      <c r="IAB50" s="426"/>
      <c r="IAC50" s="426"/>
      <c r="IAD50" s="426"/>
      <c r="IAE50" s="426"/>
      <c r="IAF50" s="426"/>
      <c r="IAG50" s="426"/>
      <c r="IAH50" s="426"/>
      <c r="IAI50" s="426"/>
      <c r="IAJ50" s="426"/>
      <c r="IAK50" s="426"/>
      <c r="IAL50" s="426"/>
      <c r="IAM50" s="426"/>
      <c r="IAN50" s="426"/>
      <c r="IAO50" s="426"/>
      <c r="IAP50" s="426"/>
      <c r="IAQ50" s="426"/>
      <c r="IAR50" s="426"/>
      <c r="IAS50" s="426"/>
      <c r="IAT50" s="426"/>
      <c r="IAU50" s="426"/>
      <c r="IAV50" s="426"/>
      <c r="IAW50" s="426"/>
      <c r="IAX50" s="426"/>
      <c r="IAY50" s="426"/>
      <c r="IAZ50" s="426"/>
      <c r="IBA50" s="426"/>
      <c r="IBB50" s="426"/>
      <c r="IBC50" s="426"/>
      <c r="IBD50" s="426"/>
      <c r="IBE50" s="426"/>
      <c r="IBF50" s="426"/>
      <c r="IBG50" s="426"/>
      <c r="IBH50" s="426"/>
      <c r="IBI50" s="426"/>
      <c r="IBJ50" s="426"/>
      <c r="IBK50" s="426"/>
      <c r="IBL50" s="426"/>
      <c r="IBM50" s="426"/>
      <c r="IBN50" s="426"/>
      <c r="IBO50" s="426"/>
      <c r="IBP50" s="426"/>
      <c r="IBQ50" s="426"/>
      <c r="IBR50" s="426"/>
      <c r="IBS50" s="426"/>
      <c r="IBT50" s="426"/>
      <c r="IBU50" s="426"/>
      <c r="IBV50" s="426"/>
      <c r="IBW50" s="426"/>
      <c r="IBX50" s="426"/>
      <c r="IBY50" s="426"/>
      <c r="IBZ50" s="426"/>
      <c r="ICA50" s="426"/>
      <c r="ICB50" s="426"/>
      <c r="ICC50" s="426"/>
      <c r="ICD50" s="426"/>
      <c r="ICE50" s="426"/>
      <c r="ICF50" s="426"/>
      <c r="ICG50" s="426"/>
      <c r="ICH50" s="426"/>
      <c r="ICI50" s="426"/>
      <c r="ICJ50" s="426"/>
      <c r="ICK50" s="426"/>
      <c r="ICL50" s="426"/>
      <c r="ICM50" s="426"/>
      <c r="ICN50" s="426"/>
      <c r="ICO50" s="426"/>
      <c r="ICP50" s="426"/>
      <c r="ICQ50" s="426"/>
      <c r="ICR50" s="426"/>
      <c r="ICS50" s="426"/>
      <c r="ICT50" s="426"/>
      <c r="ICU50" s="426"/>
      <c r="ICV50" s="426"/>
      <c r="ICW50" s="426"/>
      <c r="ICX50" s="426"/>
      <c r="ICY50" s="426"/>
      <c r="ICZ50" s="426"/>
      <c r="IDA50" s="426"/>
      <c r="IDB50" s="426"/>
      <c r="IDC50" s="426"/>
      <c r="IDD50" s="426"/>
      <c r="IDE50" s="426"/>
      <c r="IDF50" s="426"/>
      <c r="IDG50" s="426"/>
      <c r="IDH50" s="426"/>
      <c r="IDI50" s="426"/>
      <c r="IDJ50" s="426"/>
      <c r="IDK50" s="426"/>
      <c r="IDL50" s="426"/>
      <c r="IDM50" s="426"/>
      <c r="IDN50" s="426"/>
      <c r="IDO50" s="426"/>
      <c r="IDP50" s="426"/>
      <c r="IDQ50" s="426"/>
      <c r="IDR50" s="426"/>
      <c r="IDS50" s="426"/>
      <c r="IDT50" s="426"/>
      <c r="IDU50" s="426"/>
      <c r="IDV50" s="426"/>
      <c r="IDW50" s="426"/>
      <c r="IDX50" s="426"/>
      <c r="IDY50" s="426"/>
      <c r="IDZ50" s="426"/>
      <c r="IEA50" s="426"/>
      <c r="IEB50" s="426"/>
      <c r="IEC50" s="426"/>
      <c r="IED50" s="426"/>
      <c r="IEE50" s="426"/>
      <c r="IEF50" s="426"/>
      <c r="IEG50" s="426"/>
      <c r="IEH50" s="426"/>
      <c r="IEI50" s="426"/>
      <c r="IEJ50" s="426"/>
      <c r="IEK50" s="426"/>
      <c r="IEL50" s="426"/>
      <c r="IEM50" s="426"/>
      <c r="IEN50" s="426"/>
      <c r="IEO50" s="426"/>
      <c r="IEP50" s="426"/>
      <c r="IEQ50" s="426"/>
      <c r="IER50" s="426"/>
      <c r="IES50" s="426"/>
      <c r="IET50" s="426"/>
      <c r="IEU50" s="426"/>
      <c r="IEV50" s="426"/>
      <c r="IEW50" s="426"/>
      <c r="IEX50" s="426"/>
      <c r="IEY50" s="426"/>
      <c r="IEZ50" s="426"/>
      <c r="IFA50" s="426"/>
      <c r="IFB50" s="426"/>
      <c r="IFC50" s="426"/>
      <c r="IFD50" s="426"/>
      <c r="IFE50" s="426"/>
      <c r="IFF50" s="426"/>
      <c r="IFG50" s="426"/>
      <c r="IFH50" s="426"/>
      <c r="IFI50" s="426"/>
      <c r="IFJ50" s="426"/>
      <c r="IFK50" s="426"/>
      <c r="IFL50" s="426"/>
      <c r="IFM50" s="426"/>
      <c r="IFN50" s="426"/>
      <c r="IFO50" s="426"/>
      <c r="IFP50" s="426"/>
      <c r="IFQ50" s="426"/>
      <c r="IFR50" s="426"/>
      <c r="IFS50" s="426"/>
      <c r="IFT50" s="426"/>
      <c r="IFU50" s="426"/>
      <c r="IFV50" s="426"/>
      <c r="IFW50" s="426"/>
      <c r="IFX50" s="426"/>
      <c r="IFY50" s="426"/>
      <c r="IFZ50" s="426"/>
      <c r="IGA50" s="426"/>
      <c r="IGB50" s="426"/>
      <c r="IGC50" s="426"/>
      <c r="IGD50" s="426"/>
      <c r="IGE50" s="426"/>
      <c r="IGF50" s="426"/>
      <c r="IGG50" s="426"/>
      <c r="IGH50" s="426"/>
      <c r="IGI50" s="426"/>
      <c r="IGJ50" s="426"/>
      <c r="IGK50" s="426"/>
      <c r="IGL50" s="426"/>
      <c r="IGM50" s="426"/>
      <c r="IGN50" s="426"/>
      <c r="IGO50" s="426"/>
      <c r="IGP50" s="426"/>
      <c r="IGQ50" s="426"/>
      <c r="IGR50" s="426"/>
      <c r="IGS50" s="426"/>
      <c r="IGT50" s="426"/>
      <c r="IGU50" s="426"/>
      <c r="IGV50" s="426"/>
      <c r="IGW50" s="426"/>
      <c r="IGX50" s="426"/>
      <c r="IGY50" s="426"/>
      <c r="IGZ50" s="426"/>
      <c r="IHA50" s="426"/>
      <c r="IHB50" s="426"/>
      <c r="IHC50" s="426"/>
      <c r="IHD50" s="426"/>
      <c r="IHE50" s="426"/>
      <c r="IHF50" s="426"/>
      <c r="IHG50" s="426"/>
      <c r="IHH50" s="426"/>
      <c r="IHI50" s="426"/>
      <c r="IHJ50" s="426"/>
      <c r="IHK50" s="426"/>
      <c r="IHL50" s="426"/>
      <c r="IHM50" s="426"/>
      <c r="IHN50" s="426"/>
      <c r="IHO50" s="426"/>
      <c r="IHP50" s="426"/>
      <c r="IHQ50" s="426"/>
      <c r="IHR50" s="426"/>
      <c r="IHS50" s="426"/>
      <c r="IHT50" s="426"/>
      <c r="IHU50" s="426"/>
      <c r="IHV50" s="426"/>
      <c r="IHW50" s="426"/>
      <c r="IHX50" s="426"/>
      <c r="IHY50" s="426"/>
      <c r="IHZ50" s="426"/>
      <c r="IIA50" s="426"/>
      <c r="IIB50" s="426"/>
      <c r="IIC50" s="426"/>
      <c r="IID50" s="426"/>
      <c r="IIE50" s="426"/>
      <c r="IIF50" s="426"/>
      <c r="IIG50" s="426"/>
      <c r="IIH50" s="426"/>
      <c r="III50" s="426"/>
      <c r="IIJ50" s="426"/>
      <c r="IIK50" s="426"/>
      <c r="IIL50" s="426"/>
      <c r="IIM50" s="426"/>
      <c r="IIN50" s="426"/>
      <c r="IIO50" s="426"/>
      <c r="IIP50" s="426"/>
      <c r="IIQ50" s="426"/>
      <c r="IIR50" s="426"/>
      <c r="IIS50" s="426"/>
      <c r="IIT50" s="426"/>
      <c r="IIU50" s="426"/>
      <c r="IIV50" s="426"/>
      <c r="IIW50" s="426"/>
      <c r="IIX50" s="426"/>
      <c r="IIY50" s="426"/>
      <c r="IIZ50" s="426"/>
      <c r="IJA50" s="426"/>
      <c r="IJB50" s="426"/>
      <c r="IJC50" s="426"/>
      <c r="IJD50" s="426"/>
      <c r="IJE50" s="426"/>
      <c r="IJF50" s="426"/>
      <c r="IJG50" s="426"/>
      <c r="IJH50" s="426"/>
      <c r="IJI50" s="426"/>
      <c r="IJJ50" s="426"/>
      <c r="IJK50" s="426"/>
      <c r="IJL50" s="426"/>
      <c r="IJM50" s="426"/>
      <c r="IJN50" s="426"/>
      <c r="IJO50" s="426"/>
      <c r="IJP50" s="426"/>
      <c r="IJQ50" s="426"/>
      <c r="IJR50" s="426"/>
      <c r="IJS50" s="426"/>
      <c r="IJT50" s="426"/>
      <c r="IJU50" s="426"/>
      <c r="IJV50" s="426"/>
      <c r="IJW50" s="426"/>
      <c r="IJX50" s="426"/>
      <c r="IJY50" s="426"/>
      <c r="IJZ50" s="426"/>
      <c r="IKA50" s="426"/>
      <c r="IKB50" s="426"/>
      <c r="IKC50" s="426"/>
      <c r="IKD50" s="426"/>
      <c r="IKE50" s="426"/>
      <c r="IKF50" s="426"/>
      <c r="IKG50" s="426"/>
      <c r="IKH50" s="426"/>
      <c r="IKI50" s="426"/>
      <c r="IKJ50" s="426"/>
      <c r="IKK50" s="426"/>
      <c r="IKL50" s="426"/>
      <c r="IKM50" s="426"/>
      <c r="IKN50" s="426"/>
      <c r="IKO50" s="426"/>
      <c r="IKP50" s="426"/>
      <c r="IKQ50" s="426"/>
      <c r="IKR50" s="426"/>
      <c r="IKS50" s="426"/>
      <c r="IKT50" s="426"/>
      <c r="IKU50" s="426"/>
      <c r="IKV50" s="426"/>
      <c r="IKW50" s="426"/>
      <c r="IKX50" s="426"/>
      <c r="IKY50" s="426"/>
      <c r="IKZ50" s="426"/>
      <c r="ILA50" s="426"/>
      <c r="ILB50" s="426"/>
      <c r="ILC50" s="426"/>
      <c r="ILD50" s="426"/>
      <c r="ILE50" s="426"/>
      <c r="ILF50" s="426"/>
      <c r="ILG50" s="426"/>
      <c r="ILH50" s="426"/>
      <c r="ILI50" s="426"/>
      <c r="ILJ50" s="426"/>
      <c r="ILK50" s="426"/>
      <c r="ILL50" s="426"/>
      <c r="ILM50" s="426"/>
      <c r="ILN50" s="426"/>
      <c r="ILO50" s="426"/>
      <c r="ILP50" s="426"/>
      <c r="ILQ50" s="426"/>
      <c r="ILR50" s="426"/>
      <c r="ILS50" s="426"/>
      <c r="ILT50" s="426"/>
      <c r="ILU50" s="426"/>
      <c r="ILV50" s="426"/>
      <c r="ILW50" s="426"/>
      <c r="ILX50" s="426"/>
      <c r="ILY50" s="426"/>
      <c r="ILZ50" s="426"/>
      <c r="IMA50" s="426"/>
      <c r="IMB50" s="426"/>
      <c r="IMC50" s="426"/>
      <c r="IMD50" s="426"/>
      <c r="IME50" s="426"/>
      <c r="IMF50" s="426"/>
      <c r="IMG50" s="426"/>
      <c r="IMH50" s="426"/>
      <c r="IMI50" s="426"/>
      <c r="IMJ50" s="426"/>
      <c r="IMK50" s="426"/>
      <c r="IML50" s="426"/>
      <c r="IMM50" s="426"/>
      <c r="IMN50" s="426"/>
      <c r="IMO50" s="426"/>
      <c r="IMP50" s="426"/>
      <c r="IMQ50" s="426"/>
      <c r="IMR50" s="426"/>
      <c r="IMS50" s="426"/>
      <c r="IMT50" s="426"/>
      <c r="IMU50" s="426"/>
      <c r="IMV50" s="426"/>
      <c r="IMW50" s="426"/>
      <c r="IMX50" s="426"/>
      <c r="IMY50" s="426"/>
      <c r="IMZ50" s="426"/>
      <c r="INA50" s="426"/>
      <c r="INB50" s="426"/>
      <c r="INC50" s="426"/>
      <c r="IND50" s="426"/>
      <c r="INE50" s="426"/>
      <c r="INF50" s="426"/>
      <c r="ING50" s="426"/>
      <c r="INH50" s="426"/>
      <c r="INI50" s="426"/>
      <c r="INJ50" s="426"/>
      <c r="INK50" s="426"/>
      <c r="INL50" s="426"/>
      <c r="INM50" s="426"/>
      <c r="INN50" s="426"/>
      <c r="INO50" s="426"/>
      <c r="INP50" s="426"/>
      <c r="INQ50" s="426"/>
      <c r="INR50" s="426"/>
      <c r="INS50" s="426"/>
      <c r="INT50" s="426"/>
      <c r="INU50" s="426"/>
      <c r="INV50" s="426"/>
      <c r="INW50" s="426"/>
      <c r="INX50" s="426"/>
      <c r="INY50" s="426"/>
      <c r="INZ50" s="426"/>
      <c r="IOA50" s="426"/>
      <c r="IOB50" s="426"/>
      <c r="IOC50" s="426"/>
      <c r="IOD50" s="426"/>
      <c r="IOE50" s="426"/>
      <c r="IOF50" s="426"/>
      <c r="IOG50" s="426"/>
      <c r="IOH50" s="426"/>
      <c r="IOI50" s="426"/>
      <c r="IOJ50" s="426"/>
      <c r="IOK50" s="426"/>
      <c r="IOL50" s="426"/>
      <c r="IOM50" s="426"/>
      <c r="ION50" s="426"/>
      <c r="IOO50" s="426"/>
      <c r="IOP50" s="426"/>
      <c r="IOQ50" s="426"/>
      <c r="IOR50" s="426"/>
      <c r="IOS50" s="426"/>
      <c r="IOT50" s="426"/>
      <c r="IOU50" s="426"/>
      <c r="IOV50" s="426"/>
      <c r="IOW50" s="426"/>
      <c r="IOX50" s="426"/>
      <c r="IOY50" s="426"/>
      <c r="IOZ50" s="426"/>
      <c r="IPA50" s="426"/>
      <c r="IPB50" s="426"/>
      <c r="IPC50" s="426"/>
      <c r="IPD50" s="426"/>
      <c r="IPE50" s="426"/>
      <c r="IPF50" s="426"/>
      <c r="IPG50" s="426"/>
      <c r="IPH50" s="426"/>
      <c r="IPI50" s="426"/>
      <c r="IPJ50" s="426"/>
      <c r="IPK50" s="426"/>
      <c r="IPL50" s="426"/>
      <c r="IPM50" s="426"/>
      <c r="IPN50" s="426"/>
      <c r="IPO50" s="426"/>
      <c r="IPP50" s="426"/>
      <c r="IPQ50" s="426"/>
      <c r="IPR50" s="426"/>
      <c r="IPS50" s="426"/>
      <c r="IPT50" s="426"/>
      <c r="IPU50" s="426"/>
      <c r="IPV50" s="426"/>
      <c r="IPW50" s="426"/>
      <c r="IPX50" s="426"/>
      <c r="IPY50" s="426"/>
      <c r="IPZ50" s="426"/>
      <c r="IQA50" s="426"/>
      <c r="IQB50" s="426"/>
      <c r="IQC50" s="426"/>
      <c r="IQD50" s="426"/>
      <c r="IQE50" s="426"/>
      <c r="IQF50" s="426"/>
      <c r="IQG50" s="426"/>
      <c r="IQH50" s="426"/>
      <c r="IQI50" s="426"/>
      <c r="IQJ50" s="426"/>
      <c r="IQK50" s="426"/>
      <c r="IQL50" s="426"/>
      <c r="IQM50" s="426"/>
      <c r="IQN50" s="426"/>
      <c r="IQO50" s="426"/>
      <c r="IQP50" s="426"/>
      <c r="IQQ50" s="426"/>
      <c r="IQR50" s="426"/>
      <c r="IQS50" s="426"/>
      <c r="IQT50" s="426"/>
      <c r="IQU50" s="426"/>
      <c r="IQV50" s="426"/>
      <c r="IQW50" s="426"/>
      <c r="IQX50" s="426"/>
      <c r="IQY50" s="426"/>
      <c r="IQZ50" s="426"/>
      <c r="IRA50" s="426"/>
      <c r="IRB50" s="426"/>
      <c r="IRC50" s="426"/>
      <c r="IRD50" s="426"/>
      <c r="IRE50" s="426"/>
      <c r="IRF50" s="426"/>
      <c r="IRG50" s="426"/>
      <c r="IRH50" s="426"/>
      <c r="IRI50" s="426"/>
      <c r="IRJ50" s="426"/>
      <c r="IRK50" s="426"/>
      <c r="IRL50" s="426"/>
      <c r="IRM50" s="426"/>
      <c r="IRN50" s="426"/>
      <c r="IRO50" s="426"/>
      <c r="IRP50" s="426"/>
      <c r="IRQ50" s="426"/>
      <c r="IRR50" s="426"/>
      <c r="IRS50" s="426"/>
      <c r="IRT50" s="426"/>
      <c r="IRU50" s="426"/>
      <c r="IRV50" s="426"/>
      <c r="IRW50" s="426"/>
      <c r="IRX50" s="426"/>
      <c r="IRY50" s="426"/>
      <c r="IRZ50" s="426"/>
      <c r="ISA50" s="426"/>
      <c r="ISB50" s="426"/>
      <c r="ISC50" s="426"/>
      <c r="ISD50" s="426"/>
      <c r="ISE50" s="426"/>
      <c r="ISF50" s="426"/>
      <c r="ISG50" s="426"/>
      <c r="ISH50" s="426"/>
      <c r="ISI50" s="426"/>
      <c r="ISJ50" s="426"/>
      <c r="ISK50" s="426"/>
      <c r="ISL50" s="426"/>
      <c r="ISM50" s="426"/>
      <c r="ISN50" s="426"/>
      <c r="ISO50" s="426"/>
      <c r="ISP50" s="426"/>
      <c r="ISQ50" s="426"/>
      <c r="ISR50" s="426"/>
      <c r="ISS50" s="426"/>
      <c r="IST50" s="426"/>
      <c r="ISU50" s="426"/>
      <c r="ISV50" s="426"/>
      <c r="ISW50" s="426"/>
      <c r="ISX50" s="426"/>
      <c r="ISY50" s="426"/>
      <c r="ISZ50" s="426"/>
      <c r="ITA50" s="426"/>
      <c r="ITB50" s="426"/>
      <c r="ITC50" s="426"/>
      <c r="ITD50" s="426"/>
      <c r="ITE50" s="426"/>
      <c r="ITF50" s="426"/>
      <c r="ITG50" s="426"/>
      <c r="ITH50" s="426"/>
      <c r="ITI50" s="426"/>
      <c r="ITJ50" s="426"/>
      <c r="ITK50" s="426"/>
      <c r="ITL50" s="426"/>
      <c r="ITM50" s="426"/>
      <c r="ITN50" s="426"/>
      <c r="ITO50" s="426"/>
      <c r="ITP50" s="426"/>
      <c r="ITQ50" s="426"/>
      <c r="ITR50" s="426"/>
      <c r="ITS50" s="426"/>
      <c r="ITT50" s="426"/>
      <c r="ITU50" s="426"/>
      <c r="ITV50" s="426"/>
      <c r="ITW50" s="426"/>
      <c r="ITX50" s="426"/>
      <c r="ITY50" s="426"/>
      <c r="ITZ50" s="426"/>
      <c r="IUA50" s="426"/>
      <c r="IUB50" s="426"/>
      <c r="IUC50" s="426"/>
      <c r="IUD50" s="426"/>
      <c r="IUE50" s="426"/>
      <c r="IUF50" s="426"/>
      <c r="IUG50" s="426"/>
      <c r="IUH50" s="426"/>
      <c r="IUI50" s="426"/>
      <c r="IUJ50" s="426"/>
      <c r="IUK50" s="426"/>
      <c r="IUL50" s="426"/>
      <c r="IUM50" s="426"/>
      <c r="IUN50" s="426"/>
      <c r="IUO50" s="426"/>
      <c r="IUP50" s="426"/>
      <c r="IUQ50" s="426"/>
      <c r="IUR50" s="426"/>
      <c r="IUS50" s="426"/>
      <c r="IUT50" s="426"/>
      <c r="IUU50" s="426"/>
      <c r="IUV50" s="426"/>
      <c r="IUW50" s="426"/>
      <c r="IUX50" s="426"/>
      <c r="IUY50" s="426"/>
      <c r="IUZ50" s="426"/>
      <c r="IVA50" s="426"/>
      <c r="IVB50" s="426"/>
      <c r="IVC50" s="426"/>
      <c r="IVD50" s="426"/>
      <c r="IVE50" s="426"/>
      <c r="IVF50" s="426"/>
      <c r="IVG50" s="426"/>
      <c r="IVH50" s="426"/>
      <c r="IVI50" s="426"/>
      <c r="IVJ50" s="426"/>
      <c r="IVK50" s="426"/>
      <c r="IVL50" s="426"/>
      <c r="IVM50" s="426"/>
      <c r="IVN50" s="426"/>
      <c r="IVO50" s="426"/>
      <c r="IVP50" s="426"/>
      <c r="IVQ50" s="426"/>
      <c r="IVR50" s="426"/>
      <c r="IVS50" s="426"/>
      <c r="IVT50" s="426"/>
      <c r="IVU50" s="426"/>
      <c r="IVV50" s="426"/>
      <c r="IVW50" s="426"/>
      <c r="IVX50" s="426"/>
      <c r="IVY50" s="426"/>
      <c r="IVZ50" s="426"/>
      <c r="IWA50" s="426"/>
      <c r="IWB50" s="426"/>
      <c r="IWC50" s="426"/>
      <c r="IWD50" s="426"/>
      <c r="IWE50" s="426"/>
      <c r="IWF50" s="426"/>
      <c r="IWG50" s="426"/>
      <c r="IWH50" s="426"/>
      <c r="IWI50" s="426"/>
      <c r="IWJ50" s="426"/>
      <c r="IWK50" s="426"/>
      <c r="IWL50" s="426"/>
      <c r="IWM50" s="426"/>
      <c r="IWN50" s="426"/>
      <c r="IWO50" s="426"/>
      <c r="IWP50" s="426"/>
      <c r="IWQ50" s="426"/>
      <c r="IWR50" s="426"/>
      <c r="IWS50" s="426"/>
      <c r="IWT50" s="426"/>
      <c r="IWU50" s="426"/>
      <c r="IWV50" s="426"/>
      <c r="IWW50" s="426"/>
      <c r="IWX50" s="426"/>
      <c r="IWY50" s="426"/>
      <c r="IWZ50" s="426"/>
      <c r="IXA50" s="426"/>
      <c r="IXB50" s="426"/>
      <c r="IXC50" s="426"/>
      <c r="IXD50" s="426"/>
      <c r="IXE50" s="426"/>
      <c r="IXF50" s="426"/>
      <c r="IXG50" s="426"/>
      <c r="IXH50" s="426"/>
      <c r="IXI50" s="426"/>
      <c r="IXJ50" s="426"/>
      <c r="IXK50" s="426"/>
      <c r="IXL50" s="426"/>
      <c r="IXM50" s="426"/>
      <c r="IXN50" s="426"/>
      <c r="IXO50" s="426"/>
      <c r="IXP50" s="426"/>
      <c r="IXQ50" s="426"/>
      <c r="IXR50" s="426"/>
      <c r="IXS50" s="426"/>
      <c r="IXT50" s="426"/>
      <c r="IXU50" s="426"/>
      <c r="IXV50" s="426"/>
      <c r="IXW50" s="426"/>
      <c r="IXX50" s="426"/>
      <c r="IXY50" s="426"/>
      <c r="IXZ50" s="426"/>
      <c r="IYA50" s="426"/>
      <c r="IYB50" s="426"/>
      <c r="IYC50" s="426"/>
      <c r="IYD50" s="426"/>
      <c r="IYE50" s="426"/>
      <c r="IYF50" s="426"/>
      <c r="IYG50" s="426"/>
      <c r="IYH50" s="426"/>
      <c r="IYI50" s="426"/>
      <c r="IYJ50" s="426"/>
      <c r="IYK50" s="426"/>
      <c r="IYL50" s="426"/>
      <c r="IYM50" s="426"/>
      <c r="IYN50" s="426"/>
      <c r="IYO50" s="426"/>
      <c r="IYP50" s="426"/>
      <c r="IYQ50" s="426"/>
      <c r="IYR50" s="426"/>
      <c r="IYS50" s="426"/>
      <c r="IYT50" s="426"/>
      <c r="IYU50" s="426"/>
      <c r="IYV50" s="426"/>
      <c r="IYW50" s="426"/>
      <c r="IYX50" s="426"/>
      <c r="IYY50" s="426"/>
      <c r="IYZ50" s="426"/>
      <c r="IZA50" s="426"/>
      <c r="IZB50" s="426"/>
      <c r="IZC50" s="426"/>
      <c r="IZD50" s="426"/>
      <c r="IZE50" s="426"/>
      <c r="IZF50" s="426"/>
      <c r="IZG50" s="426"/>
      <c r="IZH50" s="426"/>
      <c r="IZI50" s="426"/>
      <c r="IZJ50" s="426"/>
      <c r="IZK50" s="426"/>
      <c r="IZL50" s="426"/>
      <c r="IZM50" s="426"/>
      <c r="IZN50" s="426"/>
      <c r="IZO50" s="426"/>
      <c r="IZP50" s="426"/>
      <c r="IZQ50" s="426"/>
      <c r="IZR50" s="426"/>
      <c r="IZS50" s="426"/>
      <c r="IZT50" s="426"/>
      <c r="IZU50" s="426"/>
      <c r="IZV50" s="426"/>
      <c r="IZW50" s="426"/>
      <c r="IZX50" s="426"/>
      <c r="IZY50" s="426"/>
      <c r="IZZ50" s="426"/>
      <c r="JAA50" s="426"/>
      <c r="JAB50" s="426"/>
      <c r="JAC50" s="426"/>
      <c r="JAD50" s="426"/>
      <c r="JAE50" s="426"/>
      <c r="JAF50" s="426"/>
      <c r="JAG50" s="426"/>
      <c r="JAH50" s="426"/>
      <c r="JAI50" s="426"/>
      <c r="JAJ50" s="426"/>
      <c r="JAK50" s="426"/>
      <c r="JAL50" s="426"/>
      <c r="JAM50" s="426"/>
      <c r="JAN50" s="426"/>
      <c r="JAO50" s="426"/>
      <c r="JAP50" s="426"/>
      <c r="JAQ50" s="426"/>
      <c r="JAR50" s="426"/>
      <c r="JAS50" s="426"/>
      <c r="JAT50" s="426"/>
      <c r="JAU50" s="426"/>
      <c r="JAV50" s="426"/>
      <c r="JAW50" s="426"/>
      <c r="JAX50" s="426"/>
      <c r="JAY50" s="426"/>
      <c r="JAZ50" s="426"/>
      <c r="JBA50" s="426"/>
      <c r="JBB50" s="426"/>
      <c r="JBC50" s="426"/>
      <c r="JBD50" s="426"/>
      <c r="JBE50" s="426"/>
      <c r="JBF50" s="426"/>
      <c r="JBG50" s="426"/>
      <c r="JBH50" s="426"/>
      <c r="JBI50" s="426"/>
      <c r="JBJ50" s="426"/>
      <c r="JBK50" s="426"/>
      <c r="JBL50" s="426"/>
      <c r="JBM50" s="426"/>
      <c r="JBN50" s="426"/>
      <c r="JBO50" s="426"/>
      <c r="JBP50" s="426"/>
      <c r="JBQ50" s="426"/>
      <c r="JBR50" s="426"/>
      <c r="JBS50" s="426"/>
      <c r="JBT50" s="426"/>
      <c r="JBU50" s="426"/>
      <c r="JBV50" s="426"/>
      <c r="JBW50" s="426"/>
      <c r="JBX50" s="426"/>
      <c r="JBY50" s="426"/>
      <c r="JBZ50" s="426"/>
      <c r="JCA50" s="426"/>
      <c r="JCB50" s="426"/>
      <c r="JCC50" s="426"/>
      <c r="JCD50" s="426"/>
      <c r="JCE50" s="426"/>
      <c r="JCF50" s="426"/>
      <c r="JCG50" s="426"/>
      <c r="JCH50" s="426"/>
      <c r="JCI50" s="426"/>
      <c r="JCJ50" s="426"/>
      <c r="JCK50" s="426"/>
      <c r="JCL50" s="426"/>
      <c r="JCM50" s="426"/>
      <c r="JCN50" s="426"/>
      <c r="JCO50" s="426"/>
      <c r="JCP50" s="426"/>
      <c r="JCQ50" s="426"/>
      <c r="JCR50" s="426"/>
      <c r="JCS50" s="426"/>
      <c r="JCT50" s="426"/>
      <c r="JCU50" s="426"/>
      <c r="JCV50" s="426"/>
      <c r="JCW50" s="426"/>
      <c r="JCX50" s="426"/>
      <c r="JCY50" s="426"/>
      <c r="JCZ50" s="426"/>
      <c r="JDA50" s="426"/>
      <c r="JDB50" s="426"/>
      <c r="JDC50" s="426"/>
      <c r="JDD50" s="426"/>
      <c r="JDE50" s="426"/>
      <c r="JDF50" s="426"/>
      <c r="JDG50" s="426"/>
      <c r="JDH50" s="426"/>
      <c r="JDI50" s="426"/>
      <c r="JDJ50" s="426"/>
      <c r="JDK50" s="426"/>
      <c r="JDL50" s="426"/>
      <c r="JDM50" s="426"/>
      <c r="JDN50" s="426"/>
      <c r="JDO50" s="426"/>
      <c r="JDP50" s="426"/>
      <c r="JDQ50" s="426"/>
      <c r="JDR50" s="426"/>
      <c r="JDS50" s="426"/>
      <c r="JDT50" s="426"/>
      <c r="JDU50" s="426"/>
      <c r="JDV50" s="426"/>
      <c r="JDW50" s="426"/>
      <c r="JDX50" s="426"/>
      <c r="JDY50" s="426"/>
      <c r="JDZ50" s="426"/>
      <c r="JEA50" s="426"/>
      <c r="JEB50" s="426"/>
      <c r="JEC50" s="426"/>
      <c r="JED50" s="426"/>
      <c r="JEE50" s="426"/>
      <c r="JEF50" s="426"/>
      <c r="JEG50" s="426"/>
      <c r="JEH50" s="426"/>
      <c r="JEI50" s="426"/>
      <c r="JEJ50" s="426"/>
      <c r="JEK50" s="426"/>
      <c r="JEL50" s="426"/>
      <c r="JEM50" s="426"/>
      <c r="JEN50" s="426"/>
      <c r="JEO50" s="426"/>
      <c r="JEP50" s="426"/>
      <c r="JEQ50" s="426"/>
      <c r="JER50" s="426"/>
      <c r="JES50" s="426"/>
      <c r="JET50" s="426"/>
      <c r="JEU50" s="426"/>
      <c r="JEV50" s="426"/>
      <c r="JEW50" s="426"/>
      <c r="JEX50" s="426"/>
      <c r="JEY50" s="426"/>
      <c r="JEZ50" s="426"/>
      <c r="JFA50" s="426"/>
      <c r="JFB50" s="426"/>
      <c r="JFC50" s="426"/>
      <c r="JFD50" s="426"/>
      <c r="JFE50" s="426"/>
      <c r="JFF50" s="426"/>
      <c r="JFG50" s="426"/>
      <c r="JFH50" s="426"/>
      <c r="JFI50" s="426"/>
      <c r="JFJ50" s="426"/>
      <c r="JFK50" s="426"/>
      <c r="JFL50" s="426"/>
      <c r="JFM50" s="426"/>
      <c r="JFN50" s="426"/>
      <c r="JFO50" s="426"/>
      <c r="JFP50" s="426"/>
      <c r="JFQ50" s="426"/>
      <c r="JFR50" s="426"/>
      <c r="JFS50" s="426"/>
      <c r="JFT50" s="426"/>
      <c r="JFU50" s="426"/>
      <c r="JFV50" s="426"/>
      <c r="JFW50" s="426"/>
      <c r="JFX50" s="426"/>
      <c r="JFY50" s="426"/>
      <c r="JFZ50" s="426"/>
      <c r="JGA50" s="426"/>
      <c r="JGB50" s="426"/>
      <c r="JGC50" s="426"/>
      <c r="JGD50" s="426"/>
      <c r="JGE50" s="426"/>
      <c r="JGF50" s="426"/>
      <c r="JGG50" s="426"/>
      <c r="JGH50" s="426"/>
      <c r="JGI50" s="426"/>
      <c r="JGJ50" s="426"/>
      <c r="JGK50" s="426"/>
      <c r="JGL50" s="426"/>
      <c r="JGM50" s="426"/>
      <c r="JGN50" s="426"/>
      <c r="JGO50" s="426"/>
      <c r="JGP50" s="426"/>
      <c r="JGQ50" s="426"/>
      <c r="JGR50" s="426"/>
      <c r="JGS50" s="426"/>
      <c r="JGT50" s="426"/>
      <c r="JGU50" s="426"/>
      <c r="JGV50" s="426"/>
      <c r="JGW50" s="426"/>
      <c r="JGX50" s="426"/>
      <c r="JGY50" s="426"/>
      <c r="JGZ50" s="426"/>
      <c r="JHA50" s="426"/>
      <c r="JHB50" s="426"/>
      <c r="JHC50" s="426"/>
      <c r="JHD50" s="426"/>
      <c r="JHE50" s="426"/>
      <c r="JHF50" s="426"/>
      <c r="JHG50" s="426"/>
      <c r="JHH50" s="426"/>
      <c r="JHI50" s="426"/>
      <c r="JHJ50" s="426"/>
      <c r="JHK50" s="426"/>
      <c r="JHL50" s="426"/>
      <c r="JHM50" s="426"/>
      <c r="JHN50" s="426"/>
      <c r="JHO50" s="426"/>
      <c r="JHP50" s="426"/>
      <c r="JHQ50" s="426"/>
      <c r="JHR50" s="426"/>
      <c r="JHS50" s="426"/>
      <c r="JHT50" s="426"/>
      <c r="JHU50" s="426"/>
      <c r="JHV50" s="426"/>
      <c r="JHW50" s="426"/>
      <c r="JHX50" s="426"/>
      <c r="JHY50" s="426"/>
      <c r="JHZ50" s="426"/>
      <c r="JIA50" s="426"/>
      <c r="JIB50" s="426"/>
      <c r="JIC50" s="426"/>
      <c r="JID50" s="426"/>
      <c r="JIE50" s="426"/>
      <c r="JIF50" s="426"/>
      <c r="JIG50" s="426"/>
      <c r="JIH50" s="426"/>
      <c r="JII50" s="426"/>
      <c r="JIJ50" s="426"/>
      <c r="JIK50" s="426"/>
      <c r="JIL50" s="426"/>
      <c r="JIM50" s="426"/>
      <c r="JIN50" s="426"/>
      <c r="JIO50" s="426"/>
      <c r="JIP50" s="426"/>
      <c r="JIQ50" s="426"/>
      <c r="JIR50" s="426"/>
      <c r="JIS50" s="426"/>
      <c r="JIT50" s="426"/>
      <c r="JIU50" s="426"/>
      <c r="JIV50" s="426"/>
      <c r="JIW50" s="426"/>
      <c r="JIX50" s="426"/>
      <c r="JIY50" s="426"/>
      <c r="JIZ50" s="426"/>
      <c r="JJA50" s="426"/>
      <c r="JJB50" s="426"/>
      <c r="JJC50" s="426"/>
      <c r="JJD50" s="426"/>
      <c r="JJE50" s="426"/>
      <c r="JJF50" s="426"/>
      <c r="JJG50" s="426"/>
      <c r="JJH50" s="426"/>
      <c r="JJI50" s="426"/>
      <c r="JJJ50" s="426"/>
      <c r="JJK50" s="426"/>
      <c r="JJL50" s="426"/>
      <c r="JJM50" s="426"/>
      <c r="JJN50" s="426"/>
      <c r="JJO50" s="426"/>
      <c r="JJP50" s="426"/>
      <c r="JJQ50" s="426"/>
      <c r="JJR50" s="426"/>
      <c r="JJS50" s="426"/>
      <c r="JJT50" s="426"/>
      <c r="JJU50" s="426"/>
      <c r="JJV50" s="426"/>
      <c r="JJW50" s="426"/>
      <c r="JJX50" s="426"/>
      <c r="JJY50" s="426"/>
      <c r="JJZ50" s="426"/>
      <c r="JKA50" s="426"/>
      <c r="JKB50" s="426"/>
      <c r="JKC50" s="426"/>
      <c r="JKD50" s="426"/>
      <c r="JKE50" s="426"/>
      <c r="JKF50" s="426"/>
      <c r="JKG50" s="426"/>
      <c r="JKH50" s="426"/>
      <c r="JKI50" s="426"/>
      <c r="JKJ50" s="426"/>
      <c r="JKK50" s="426"/>
      <c r="JKL50" s="426"/>
      <c r="JKM50" s="426"/>
      <c r="JKN50" s="426"/>
      <c r="JKO50" s="426"/>
      <c r="JKP50" s="426"/>
      <c r="JKQ50" s="426"/>
      <c r="JKR50" s="426"/>
      <c r="JKS50" s="426"/>
      <c r="JKT50" s="426"/>
      <c r="JKU50" s="426"/>
      <c r="JKV50" s="426"/>
      <c r="JKW50" s="426"/>
      <c r="JKX50" s="426"/>
      <c r="JKY50" s="426"/>
      <c r="JKZ50" s="426"/>
      <c r="JLA50" s="426"/>
      <c r="JLB50" s="426"/>
      <c r="JLC50" s="426"/>
      <c r="JLD50" s="426"/>
      <c r="JLE50" s="426"/>
      <c r="JLF50" s="426"/>
      <c r="JLG50" s="426"/>
      <c r="JLH50" s="426"/>
      <c r="JLI50" s="426"/>
      <c r="JLJ50" s="426"/>
      <c r="JLK50" s="426"/>
      <c r="JLL50" s="426"/>
      <c r="JLM50" s="426"/>
      <c r="JLN50" s="426"/>
      <c r="JLO50" s="426"/>
      <c r="JLP50" s="426"/>
      <c r="JLQ50" s="426"/>
      <c r="JLR50" s="426"/>
      <c r="JLS50" s="426"/>
      <c r="JLT50" s="426"/>
      <c r="JLU50" s="426"/>
      <c r="JLV50" s="426"/>
      <c r="JLW50" s="426"/>
      <c r="JLX50" s="426"/>
      <c r="JLY50" s="426"/>
      <c r="JLZ50" s="426"/>
      <c r="JMA50" s="426"/>
      <c r="JMB50" s="426"/>
      <c r="JMC50" s="426"/>
      <c r="JMD50" s="426"/>
      <c r="JME50" s="426"/>
      <c r="JMF50" s="426"/>
      <c r="JMG50" s="426"/>
      <c r="JMH50" s="426"/>
      <c r="JMI50" s="426"/>
      <c r="JMJ50" s="426"/>
      <c r="JMK50" s="426"/>
      <c r="JML50" s="426"/>
      <c r="JMM50" s="426"/>
      <c r="JMN50" s="426"/>
      <c r="JMO50" s="426"/>
      <c r="JMP50" s="426"/>
      <c r="JMQ50" s="426"/>
      <c r="JMR50" s="426"/>
      <c r="JMS50" s="426"/>
      <c r="JMT50" s="426"/>
      <c r="JMU50" s="426"/>
      <c r="JMV50" s="426"/>
      <c r="JMW50" s="426"/>
      <c r="JMX50" s="426"/>
      <c r="JMY50" s="426"/>
      <c r="JMZ50" s="426"/>
      <c r="JNA50" s="426"/>
      <c r="JNB50" s="426"/>
      <c r="JNC50" s="426"/>
      <c r="JND50" s="426"/>
      <c r="JNE50" s="426"/>
      <c r="JNF50" s="426"/>
      <c r="JNG50" s="426"/>
      <c r="JNH50" s="426"/>
      <c r="JNI50" s="426"/>
      <c r="JNJ50" s="426"/>
      <c r="JNK50" s="426"/>
      <c r="JNL50" s="426"/>
      <c r="JNM50" s="426"/>
      <c r="JNN50" s="426"/>
      <c r="JNO50" s="426"/>
      <c r="JNP50" s="426"/>
      <c r="JNQ50" s="426"/>
      <c r="JNR50" s="426"/>
      <c r="JNS50" s="426"/>
      <c r="JNT50" s="426"/>
      <c r="JNU50" s="426"/>
      <c r="JNV50" s="426"/>
      <c r="JNW50" s="426"/>
      <c r="JNX50" s="426"/>
      <c r="JNY50" s="426"/>
      <c r="JNZ50" s="426"/>
      <c r="JOA50" s="426"/>
      <c r="JOB50" s="426"/>
      <c r="JOC50" s="426"/>
      <c r="JOD50" s="426"/>
      <c r="JOE50" s="426"/>
      <c r="JOF50" s="426"/>
      <c r="JOG50" s="426"/>
      <c r="JOH50" s="426"/>
      <c r="JOI50" s="426"/>
      <c r="JOJ50" s="426"/>
      <c r="JOK50" s="426"/>
      <c r="JOL50" s="426"/>
      <c r="JOM50" s="426"/>
      <c r="JON50" s="426"/>
      <c r="JOO50" s="426"/>
      <c r="JOP50" s="426"/>
      <c r="JOQ50" s="426"/>
      <c r="JOR50" s="426"/>
      <c r="JOS50" s="426"/>
      <c r="JOT50" s="426"/>
      <c r="JOU50" s="426"/>
      <c r="JOV50" s="426"/>
      <c r="JOW50" s="426"/>
      <c r="JOX50" s="426"/>
      <c r="JOY50" s="426"/>
      <c r="JOZ50" s="426"/>
      <c r="JPA50" s="426"/>
      <c r="JPB50" s="426"/>
      <c r="JPC50" s="426"/>
      <c r="JPD50" s="426"/>
      <c r="JPE50" s="426"/>
      <c r="JPF50" s="426"/>
      <c r="JPG50" s="426"/>
      <c r="JPH50" s="426"/>
      <c r="JPI50" s="426"/>
      <c r="JPJ50" s="426"/>
      <c r="JPK50" s="426"/>
      <c r="JPL50" s="426"/>
      <c r="JPM50" s="426"/>
      <c r="JPN50" s="426"/>
      <c r="JPO50" s="426"/>
      <c r="JPP50" s="426"/>
      <c r="JPQ50" s="426"/>
      <c r="JPR50" s="426"/>
      <c r="JPS50" s="426"/>
      <c r="JPT50" s="426"/>
      <c r="JPU50" s="426"/>
      <c r="JPV50" s="426"/>
      <c r="JPW50" s="426"/>
      <c r="JPX50" s="426"/>
      <c r="JPY50" s="426"/>
      <c r="JPZ50" s="426"/>
      <c r="JQA50" s="426"/>
      <c r="JQB50" s="426"/>
      <c r="JQC50" s="426"/>
      <c r="JQD50" s="426"/>
      <c r="JQE50" s="426"/>
      <c r="JQF50" s="426"/>
      <c r="JQG50" s="426"/>
      <c r="JQH50" s="426"/>
      <c r="JQI50" s="426"/>
      <c r="JQJ50" s="426"/>
      <c r="JQK50" s="426"/>
      <c r="JQL50" s="426"/>
      <c r="JQM50" s="426"/>
      <c r="JQN50" s="426"/>
      <c r="JQO50" s="426"/>
      <c r="JQP50" s="426"/>
      <c r="JQQ50" s="426"/>
      <c r="JQR50" s="426"/>
      <c r="JQS50" s="426"/>
      <c r="JQT50" s="426"/>
      <c r="JQU50" s="426"/>
      <c r="JQV50" s="426"/>
      <c r="JQW50" s="426"/>
      <c r="JQX50" s="426"/>
      <c r="JQY50" s="426"/>
      <c r="JQZ50" s="426"/>
      <c r="JRA50" s="426"/>
      <c r="JRB50" s="426"/>
      <c r="JRC50" s="426"/>
      <c r="JRD50" s="426"/>
      <c r="JRE50" s="426"/>
      <c r="JRF50" s="426"/>
      <c r="JRG50" s="426"/>
      <c r="JRH50" s="426"/>
      <c r="JRI50" s="426"/>
      <c r="JRJ50" s="426"/>
      <c r="JRK50" s="426"/>
      <c r="JRL50" s="426"/>
      <c r="JRM50" s="426"/>
      <c r="JRN50" s="426"/>
      <c r="JRO50" s="426"/>
      <c r="JRP50" s="426"/>
      <c r="JRQ50" s="426"/>
      <c r="JRR50" s="426"/>
      <c r="JRS50" s="426"/>
      <c r="JRT50" s="426"/>
      <c r="JRU50" s="426"/>
      <c r="JRV50" s="426"/>
      <c r="JRW50" s="426"/>
      <c r="JRX50" s="426"/>
      <c r="JRY50" s="426"/>
      <c r="JRZ50" s="426"/>
      <c r="JSA50" s="426"/>
      <c r="JSB50" s="426"/>
      <c r="JSC50" s="426"/>
      <c r="JSD50" s="426"/>
      <c r="JSE50" s="426"/>
      <c r="JSF50" s="426"/>
      <c r="JSG50" s="426"/>
      <c r="JSH50" s="426"/>
      <c r="JSI50" s="426"/>
      <c r="JSJ50" s="426"/>
      <c r="JSK50" s="426"/>
      <c r="JSL50" s="426"/>
      <c r="JSM50" s="426"/>
      <c r="JSN50" s="426"/>
      <c r="JSO50" s="426"/>
      <c r="JSP50" s="426"/>
      <c r="JSQ50" s="426"/>
      <c r="JSR50" s="426"/>
      <c r="JSS50" s="426"/>
      <c r="JST50" s="426"/>
      <c r="JSU50" s="426"/>
      <c r="JSV50" s="426"/>
      <c r="JSW50" s="426"/>
      <c r="JSX50" s="426"/>
      <c r="JSY50" s="426"/>
      <c r="JSZ50" s="426"/>
      <c r="JTA50" s="426"/>
      <c r="JTB50" s="426"/>
      <c r="JTC50" s="426"/>
      <c r="JTD50" s="426"/>
      <c r="JTE50" s="426"/>
      <c r="JTF50" s="426"/>
      <c r="JTG50" s="426"/>
      <c r="JTH50" s="426"/>
      <c r="JTI50" s="426"/>
      <c r="JTJ50" s="426"/>
      <c r="JTK50" s="426"/>
      <c r="JTL50" s="426"/>
      <c r="JTM50" s="426"/>
      <c r="JTN50" s="426"/>
      <c r="JTO50" s="426"/>
      <c r="JTP50" s="426"/>
      <c r="JTQ50" s="426"/>
      <c r="JTR50" s="426"/>
      <c r="JTS50" s="426"/>
      <c r="JTT50" s="426"/>
      <c r="JTU50" s="426"/>
      <c r="JTV50" s="426"/>
      <c r="JTW50" s="426"/>
      <c r="JTX50" s="426"/>
      <c r="JTY50" s="426"/>
      <c r="JTZ50" s="426"/>
      <c r="JUA50" s="426"/>
      <c r="JUB50" s="426"/>
      <c r="JUC50" s="426"/>
      <c r="JUD50" s="426"/>
      <c r="JUE50" s="426"/>
      <c r="JUF50" s="426"/>
      <c r="JUG50" s="426"/>
      <c r="JUH50" s="426"/>
      <c r="JUI50" s="426"/>
      <c r="JUJ50" s="426"/>
      <c r="JUK50" s="426"/>
      <c r="JUL50" s="426"/>
      <c r="JUM50" s="426"/>
      <c r="JUN50" s="426"/>
      <c r="JUO50" s="426"/>
      <c r="JUP50" s="426"/>
      <c r="JUQ50" s="426"/>
      <c r="JUR50" s="426"/>
      <c r="JUS50" s="426"/>
      <c r="JUT50" s="426"/>
      <c r="JUU50" s="426"/>
      <c r="JUV50" s="426"/>
      <c r="JUW50" s="426"/>
      <c r="JUX50" s="426"/>
      <c r="JUY50" s="426"/>
      <c r="JUZ50" s="426"/>
      <c r="JVA50" s="426"/>
      <c r="JVB50" s="426"/>
      <c r="JVC50" s="426"/>
      <c r="JVD50" s="426"/>
      <c r="JVE50" s="426"/>
      <c r="JVF50" s="426"/>
      <c r="JVG50" s="426"/>
      <c r="JVH50" s="426"/>
      <c r="JVI50" s="426"/>
      <c r="JVJ50" s="426"/>
      <c r="JVK50" s="426"/>
      <c r="JVL50" s="426"/>
      <c r="JVM50" s="426"/>
      <c r="JVN50" s="426"/>
      <c r="JVO50" s="426"/>
      <c r="JVP50" s="426"/>
      <c r="JVQ50" s="426"/>
      <c r="JVR50" s="426"/>
      <c r="JVS50" s="426"/>
      <c r="JVT50" s="426"/>
      <c r="JVU50" s="426"/>
      <c r="JVV50" s="426"/>
      <c r="JVW50" s="426"/>
      <c r="JVX50" s="426"/>
      <c r="JVY50" s="426"/>
      <c r="JVZ50" s="426"/>
      <c r="JWA50" s="426"/>
      <c r="JWB50" s="426"/>
      <c r="JWC50" s="426"/>
      <c r="JWD50" s="426"/>
      <c r="JWE50" s="426"/>
      <c r="JWF50" s="426"/>
      <c r="JWG50" s="426"/>
      <c r="JWH50" s="426"/>
      <c r="JWI50" s="426"/>
      <c r="JWJ50" s="426"/>
      <c r="JWK50" s="426"/>
      <c r="JWL50" s="426"/>
      <c r="JWM50" s="426"/>
      <c r="JWN50" s="426"/>
      <c r="JWO50" s="426"/>
      <c r="JWP50" s="426"/>
      <c r="JWQ50" s="426"/>
      <c r="JWR50" s="426"/>
      <c r="JWS50" s="426"/>
      <c r="JWT50" s="426"/>
      <c r="JWU50" s="426"/>
      <c r="JWV50" s="426"/>
      <c r="JWW50" s="426"/>
      <c r="JWX50" s="426"/>
      <c r="JWY50" s="426"/>
      <c r="JWZ50" s="426"/>
      <c r="JXA50" s="426"/>
      <c r="JXB50" s="426"/>
      <c r="JXC50" s="426"/>
      <c r="JXD50" s="426"/>
      <c r="JXE50" s="426"/>
      <c r="JXF50" s="426"/>
      <c r="JXG50" s="426"/>
      <c r="JXH50" s="426"/>
      <c r="JXI50" s="426"/>
      <c r="JXJ50" s="426"/>
      <c r="JXK50" s="426"/>
      <c r="JXL50" s="426"/>
      <c r="JXM50" s="426"/>
      <c r="JXN50" s="426"/>
      <c r="JXO50" s="426"/>
      <c r="JXP50" s="426"/>
      <c r="JXQ50" s="426"/>
      <c r="JXR50" s="426"/>
      <c r="JXS50" s="426"/>
      <c r="JXT50" s="426"/>
      <c r="JXU50" s="426"/>
      <c r="JXV50" s="426"/>
      <c r="JXW50" s="426"/>
      <c r="JXX50" s="426"/>
      <c r="JXY50" s="426"/>
      <c r="JXZ50" s="426"/>
      <c r="JYA50" s="426"/>
      <c r="JYB50" s="426"/>
      <c r="JYC50" s="426"/>
      <c r="JYD50" s="426"/>
      <c r="JYE50" s="426"/>
      <c r="JYF50" s="426"/>
      <c r="JYG50" s="426"/>
      <c r="JYH50" s="426"/>
      <c r="JYI50" s="426"/>
      <c r="JYJ50" s="426"/>
      <c r="JYK50" s="426"/>
      <c r="JYL50" s="426"/>
      <c r="JYM50" s="426"/>
      <c r="JYN50" s="426"/>
      <c r="JYO50" s="426"/>
      <c r="JYP50" s="426"/>
      <c r="JYQ50" s="426"/>
      <c r="JYR50" s="426"/>
      <c r="JYS50" s="426"/>
      <c r="JYT50" s="426"/>
      <c r="JYU50" s="426"/>
      <c r="JYV50" s="426"/>
      <c r="JYW50" s="426"/>
      <c r="JYX50" s="426"/>
      <c r="JYY50" s="426"/>
      <c r="JYZ50" s="426"/>
      <c r="JZA50" s="426"/>
      <c r="JZB50" s="426"/>
      <c r="JZC50" s="426"/>
      <c r="JZD50" s="426"/>
      <c r="JZE50" s="426"/>
      <c r="JZF50" s="426"/>
      <c r="JZG50" s="426"/>
      <c r="JZH50" s="426"/>
      <c r="JZI50" s="426"/>
      <c r="JZJ50" s="426"/>
      <c r="JZK50" s="426"/>
      <c r="JZL50" s="426"/>
      <c r="JZM50" s="426"/>
      <c r="JZN50" s="426"/>
      <c r="JZO50" s="426"/>
      <c r="JZP50" s="426"/>
      <c r="JZQ50" s="426"/>
      <c r="JZR50" s="426"/>
      <c r="JZS50" s="426"/>
      <c r="JZT50" s="426"/>
      <c r="JZU50" s="426"/>
      <c r="JZV50" s="426"/>
      <c r="JZW50" s="426"/>
      <c r="JZX50" s="426"/>
      <c r="JZY50" s="426"/>
      <c r="JZZ50" s="426"/>
      <c r="KAA50" s="426"/>
      <c r="KAB50" s="426"/>
      <c r="KAC50" s="426"/>
      <c r="KAD50" s="426"/>
      <c r="KAE50" s="426"/>
      <c r="KAF50" s="426"/>
      <c r="KAG50" s="426"/>
      <c r="KAH50" s="426"/>
      <c r="KAI50" s="426"/>
      <c r="KAJ50" s="426"/>
      <c r="KAK50" s="426"/>
      <c r="KAL50" s="426"/>
      <c r="KAM50" s="426"/>
      <c r="KAN50" s="426"/>
      <c r="KAO50" s="426"/>
      <c r="KAP50" s="426"/>
      <c r="KAQ50" s="426"/>
      <c r="KAR50" s="426"/>
      <c r="KAS50" s="426"/>
      <c r="KAT50" s="426"/>
      <c r="KAU50" s="426"/>
      <c r="KAV50" s="426"/>
      <c r="KAW50" s="426"/>
      <c r="KAX50" s="426"/>
      <c r="KAY50" s="426"/>
      <c r="KAZ50" s="426"/>
      <c r="KBA50" s="426"/>
      <c r="KBB50" s="426"/>
      <c r="KBC50" s="426"/>
      <c r="KBD50" s="426"/>
      <c r="KBE50" s="426"/>
      <c r="KBF50" s="426"/>
      <c r="KBG50" s="426"/>
      <c r="KBH50" s="426"/>
      <c r="KBI50" s="426"/>
      <c r="KBJ50" s="426"/>
      <c r="KBK50" s="426"/>
      <c r="KBL50" s="426"/>
      <c r="KBM50" s="426"/>
      <c r="KBN50" s="426"/>
      <c r="KBO50" s="426"/>
      <c r="KBP50" s="426"/>
      <c r="KBQ50" s="426"/>
      <c r="KBR50" s="426"/>
      <c r="KBS50" s="426"/>
      <c r="KBT50" s="426"/>
      <c r="KBU50" s="426"/>
      <c r="KBV50" s="426"/>
      <c r="KBW50" s="426"/>
      <c r="KBX50" s="426"/>
      <c r="KBY50" s="426"/>
      <c r="KBZ50" s="426"/>
      <c r="KCA50" s="426"/>
      <c r="KCB50" s="426"/>
      <c r="KCC50" s="426"/>
      <c r="KCD50" s="426"/>
      <c r="KCE50" s="426"/>
      <c r="KCF50" s="426"/>
      <c r="KCG50" s="426"/>
      <c r="KCH50" s="426"/>
      <c r="KCI50" s="426"/>
      <c r="KCJ50" s="426"/>
      <c r="KCK50" s="426"/>
      <c r="KCL50" s="426"/>
      <c r="KCM50" s="426"/>
      <c r="KCN50" s="426"/>
      <c r="KCO50" s="426"/>
      <c r="KCP50" s="426"/>
      <c r="KCQ50" s="426"/>
      <c r="KCR50" s="426"/>
      <c r="KCS50" s="426"/>
      <c r="KCT50" s="426"/>
      <c r="KCU50" s="426"/>
      <c r="KCV50" s="426"/>
      <c r="KCW50" s="426"/>
      <c r="KCX50" s="426"/>
      <c r="KCY50" s="426"/>
      <c r="KCZ50" s="426"/>
      <c r="KDA50" s="426"/>
      <c r="KDB50" s="426"/>
      <c r="KDC50" s="426"/>
      <c r="KDD50" s="426"/>
      <c r="KDE50" s="426"/>
      <c r="KDF50" s="426"/>
      <c r="KDG50" s="426"/>
      <c r="KDH50" s="426"/>
      <c r="KDI50" s="426"/>
      <c r="KDJ50" s="426"/>
      <c r="KDK50" s="426"/>
      <c r="KDL50" s="426"/>
      <c r="KDM50" s="426"/>
      <c r="KDN50" s="426"/>
      <c r="KDO50" s="426"/>
      <c r="KDP50" s="426"/>
      <c r="KDQ50" s="426"/>
      <c r="KDR50" s="426"/>
      <c r="KDS50" s="426"/>
      <c r="KDT50" s="426"/>
      <c r="KDU50" s="426"/>
      <c r="KDV50" s="426"/>
      <c r="KDW50" s="426"/>
      <c r="KDX50" s="426"/>
      <c r="KDY50" s="426"/>
      <c r="KDZ50" s="426"/>
      <c r="KEA50" s="426"/>
      <c r="KEB50" s="426"/>
      <c r="KEC50" s="426"/>
      <c r="KED50" s="426"/>
      <c r="KEE50" s="426"/>
      <c r="KEF50" s="426"/>
      <c r="KEG50" s="426"/>
      <c r="KEH50" s="426"/>
      <c r="KEI50" s="426"/>
      <c r="KEJ50" s="426"/>
      <c r="KEK50" s="426"/>
      <c r="KEL50" s="426"/>
      <c r="KEM50" s="426"/>
      <c r="KEN50" s="426"/>
      <c r="KEO50" s="426"/>
      <c r="KEP50" s="426"/>
      <c r="KEQ50" s="426"/>
      <c r="KER50" s="426"/>
      <c r="KES50" s="426"/>
      <c r="KET50" s="426"/>
      <c r="KEU50" s="426"/>
      <c r="KEV50" s="426"/>
      <c r="KEW50" s="426"/>
      <c r="KEX50" s="426"/>
      <c r="KEY50" s="426"/>
      <c r="KEZ50" s="426"/>
      <c r="KFA50" s="426"/>
      <c r="KFB50" s="426"/>
      <c r="KFC50" s="426"/>
      <c r="KFD50" s="426"/>
      <c r="KFE50" s="426"/>
      <c r="KFF50" s="426"/>
      <c r="KFG50" s="426"/>
      <c r="KFH50" s="426"/>
      <c r="KFI50" s="426"/>
      <c r="KFJ50" s="426"/>
      <c r="KFK50" s="426"/>
      <c r="KFL50" s="426"/>
      <c r="KFM50" s="426"/>
      <c r="KFN50" s="426"/>
      <c r="KFO50" s="426"/>
      <c r="KFP50" s="426"/>
      <c r="KFQ50" s="426"/>
      <c r="KFR50" s="426"/>
      <c r="KFS50" s="426"/>
      <c r="KFT50" s="426"/>
      <c r="KFU50" s="426"/>
      <c r="KFV50" s="426"/>
      <c r="KFW50" s="426"/>
      <c r="KFX50" s="426"/>
      <c r="KFY50" s="426"/>
      <c r="KFZ50" s="426"/>
      <c r="KGA50" s="426"/>
      <c r="KGB50" s="426"/>
      <c r="KGC50" s="426"/>
      <c r="KGD50" s="426"/>
      <c r="KGE50" s="426"/>
      <c r="KGF50" s="426"/>
      <c r="KGG50" s="426"/>
      <c r="KGH50" s="426"/>
      <c r="KGI50" s="426"/>
      <c r="KGJ50" s="426"/>
      <c r="KGK50" s="426"/>
      <c r="KGL50" s="426"/>
      <c r="KGM50" s="426"/>
      <c r="KGN50" s="426"/>
      <c r="KGO50" s="426"/>
      <c r="KGP50" s="426"/>
      <c r="KGQ50" s="426"/>
      <c r="KGR50" s="426"/>
      <c r="KGS50" s="426"/>
      <c r="KGT50" s="426"/>
      <c r="KGU50" s="426"/>
      <c r="KGV50" s="426"/>
      <c r="KGW50" s="426"/>
      <c r="KGX50" s="426"/>
      <c r="KGY50" s="426"/>
      <c r="KGZ50" s="426"/>
      <c r="KHA50" s="426"/>
      <c r="KHB50" s="426"/>
      <c r="KHC50" s="426"/>
      <c r="KHD50" s="426"/>
      <c r="KHE50" s="426"/>
      <c r="KHF50" s="426"/>
      <c r="KHG50" s="426"/>
      <c r="KHH50" s="426"/>
      <c r="KHI50" s="426"/>
      <c r="KHJ50" s="426"/>
      <c r="KHK50" s="426"/>
      <c r="KHL50" s="426"/>
      <c r="KHM50" s="426"/>
      <c r="KHN50" s="426"/>
      <c r="KHO50" s="426"/>
      <c r="KHP50" s="426"/>
      <c r="KHQ50" s="426"/>
      <c r="KHR50" s="426"/>
      <c r="KHS50" s="426"/>
      <c r="KHT50" s="426"/>
      <c r="KHU50" s="426"/>
      <c r="KHV50" s="426"/>
      <c r="KHW50" s="426"/>
      <c r="KHX50" s="426"/>
      <c r="KHY50" s="426"/>
      <c r="KHZ50" s="426"/>
      <c r="KIA50" s="426"/>
      <c r="KIB50" s="426"/>
      <c r="KIC50" s="426"/>
      <c r="KID50" s="426"/>
      <c r="KIE50" s="426"/>
      <c r="KIF50" s="426"/>
      <c r="KIG50" s="426"/>
      <c r="KIH50" s="426"/>
      <c r="KII50" s="426"/>
      <c r="KIJ50" s="426"/>
      <c r="KIK50" s="426"/>
      <c r="KIL50" s="426"/>
      <c r="KIM50" s="426"/>
      <c r="KIN50" s="426"/>
      <c r="KIO50" s="426"/>
      <c r="KIP50" s="426"/>
      <c r="KIQ50" s="426"/>
      <c r="KIR50" s="426"/>
      <c r="KIS50" s="426"/>
      <c r="KIT50" s="426"/>
      <c r="KIU50" s="426"/>
      <c r="KIV50" s="426"/>
      <c r="KIW50" s="426"/>
      <c r="KIX50" s="426"/>
      <c r="KIY50" s="426"/>
      <c r="KIZ50" s="426"/>
      <c r="KJA50" s="426"/>
      <c r="KJB50" s="426"/>
      <c r="KJC50" s="426"/>
      <c r="KJD50" s="426"/>
      <c r="KJE50" s="426"/>
      <c r="KJF50" s="426"/>
      <c r="KJG50" s="426"/>
      <c r="KJH50" s="426"/>
      <c r="KJI50" s="426"/>
      <c r="KJJ50" s="426"/>
      <c r="KJK50" s="426"/>
      <c r="KJL50" s="426"/>
      <c r="KJM50" s="426"/>
      <c r="KJN50" s="426"/>
      <c r="KJO50" s="426"/>
      <c r="KJP50" s="426"/>
      <c r="KJQ50" s="426"/>
      <c r="KJR50" s="426"/>
      <c r="KJS50" s="426"/>
      <c r="KJT50" s="426"/>
      <c r="KJU50" s="426"/>
      <c r="KJV50" s="426"/>
      <c r="KJW50" s="426"/>
      <c r="KJX50" s="426"/>
      <c r="KJY50" s="426"/>
      <c r="KJZ50" s="426"/>
      <c r="KKA50" s="426"/>
      <c r="KKB50" s="426"/>
      <c r="KKC50" s="426"/>
      <c r="KKD50" s="426"/>
      <c r="KKE50" s="426"/>
      <c r="KKF50" s="426"/>
      <c r="KKG50" s="426"/>
      <c r="KKH50" s="426"/>
      <c r="KKI50" s="426"/>
      <c r="KKJ50" s="426"/>
      <c r="KKK50" s="426"/>
      <c r="KKL50" s="426"/>
      <c r="KKM50" s="426"/>
      <c r="KKN50" s="426"/>
      <c r="KKO50" s="426"/>
      <c r="KKP50" s="426"/>
      <c r="KKQ50" s="426"/>
      <c r="KKR50" s="426"/>
      <c r="KKS50" s="426"/>
      <c r="KKT50" s="426"/>
      <c r="KKU50" s="426"/>
      <c r="KKV50" s="426"/>
      <c r="KKW50" s="426"/>
      <c r="KKX50" s="426"/>
      <c r="KKY50" s="426"/>
      <c r="KKZ50" s="426"/>
      <c r="KLA50" s="426"/>
      <c r="KLB50" s="426"/>
      <c r="KLC50" s="426"/>
      <c r="KLD50" s="426"/>
      <c r="KLE50" s="426"/>
      <c r="KLF50" s="426"/>
      <c r="KLG50" s="426"/>
      <c r="KLH50" s="426"/>
      <c r="KLI50" s="426"/>
      <c r="KLJ50" s="426"/>
      <c r="KLK50" s="426"/>
      <c r="KLL50" s="426"/>
      <c r="KLM50" s="426"/>
      <c r="KLN50" s="426"/>
      <c r="KLO50" s="426"/>
      <c r="KLP50" s="426"/>
      <c r="KLQ50" s="426"/>
      <c r="KLR50" s="426"/>
      <c r="KLS50" s="426"/>
      <c r="KLT50" s="426"/>
      <c r="KLU50" s="426"/>
      <c r="KLV50" s="426"/>
      <c r="KLW50" s="426"/>
      <c r="KLX50" s="426"/>
      <c r="KLY50" s="426"/>
      <c r="KLZ50" s="426"/>
      <c r="KMA50" s="426"/>
      <c r="KMB50" s="426"/>
      <c r="KMC50" s="426"/>
      <c r="KMD50" s="426"/>
      <c r="KME50" s="426"/>
      <c r="KMF50" s="426"/>
      <c r="KMG50" s="426"/>
      <c r="KMH50" s="426"/>
      <c r="KMI50" s="426"/>
      <c r="KMJ50" s="426"/>
      <c r="KMK50" s="426"/>
      <c r="KML50" s="426"/>
      <c r="KMM50" s="426"/>
      <c r="KMN50" s="426"/>
      <c r="KMO50" s="426"/>
      <c r="KMP50" s="426"/>
      <c r="KMQ50" s="426"/>
      <c r="KMR50" s="426"/>
      <c r="KMS50" s="426"/>
      <c r="KMT50" s="426"/>
      <c r="KMU50" s="426"/>
      <c r="KMV50" s="426"/>
      <c r="KMW50" s="426"/>
      <c r="KMX50" s="426"/>
      <c r="KMY50" s="426"/>
      <c r="KMZ50" s="426"/>
      <c r="KNA50" s="426"/>
      <c r="KNB50" s="426"/>
      <c r="KNC50" s="426"/>
      <c r="KND50" s="426"/>
      <c r="KNE50" s="426"/>
      <c r="KNF50" s="426"/>
      <c r="KNG50" s="426"/>
      <c r="KNH50" s="426"/>
      <c r="KNI50" s="426"/>
      <c r="KNJ50" s="426"/>
      <c r="KNK50" s="426"/>
      <c r="KNL50" s="426"/>
      <c r="KNM50" s="426"/>
      <c r="KNN50" s="426"/>
      <c r="KNO50" s="426"/>
      <c r="KNP50" s="426"/>
      <c r="KNQ50" s="426"/>
      <c r="KNR50" s="426"/>
      <c r="KNS50" s="426"/>
      <c r="KNT50" s="426"/>
      <c r="KNU50" s="426"/>
      <c r="KNV50" s="426"/>
      <c r="KNW50" s="426"/>
      <c r="KNX50" s="426"/>
      <c r="KNY50" s="426"/>
      <c r="KNZ50" s="426"/>
      <c r="KOA50" s="426"/>
      <c r="KOB50" s="426"/>
      <c r="KOC50" s="426"/>
      <c r="KOD50" s="426"/>
      <c r="KOE50" s="426"/>
      <c r="KOF50" s="426"/>
      <c r="KOG50" s="426"/>
      <c r="KOH50" s="426"/>
      <c r="KOI50" s="426"/>
      <c r="KOJ50" s="426"/>
      <c r="KOK50" s="426"/>
      <c r="KOL50" s="426"/>
      <c r="KOM50" s="426"/>
      <c r="KON50" s="426"/>
      <c r="KOO50" s="426"/>
      <c r="KOP50" s="426"/>
      <c r="KOQ50" s="426"/>
      <c r="KOR50" s="426"/>
      <c r="KOS50" s="426"/>
      <c r="KOT50" s="426"/>
      <c r="KOU50" s="426"/>
      <c r="KOV50" s="426"/>
      <c r="KOW50" s="426"/>
      <c r="KOX50" s="426"/>
      <c r="KOY50" s="426"/>
      <c r="KOZ50" s="426"/>
      <c r="KPA50" s="426"/>
      <c r="KPB50" s="426"/>
      <c r="KPC50" s="426"/>
      <c r="KPD50" s="426"/>
      <c r="KPE50" s="426"/>
      <c r="KPF50" s="426"/>
      <c r="KPG50" s="426"/>
      <c r="KPH50" s="426"/>
      <c r="KPI50" s="426"/>
      <c r="KPJ50" s="426"/>
      <c r="KPK50" s="426"/>
      <c r="KPL50" s="426"/>
      <c r="KPM50" s="426"/>
      <c r="KPN50" s="426"/>
      <c r="KPO50" s="426"/>
      <c r="KPP50" s="426"/>
      <c r="KPQ50" s="426"/>
      <c r="KPR50" s="426"/>
      <c r="KPS50" s="426"/>
      <c r="KPT50" s="426"/>
      <c r="KPU50" s="426"/>
      <c r="KPV50" s="426"/>
      <c r="KPW50" s="426"/>
      <c r="KPX50" s="426"/>
      <c r="KPY50" s="426"/>
      <c r="KPZ50" s="426"/>
      <c r="KQA50" s="426"/>
      <c r="KQB50" s="426"/>
      <c r="KQC50" s="426"/>
      <c r="KQD50" s="426"/>
      <c r="KQE50" s="426"/>
      <c r="KQF50" s="426"/>
      <c r="KQG50" s="426"/>
      <c r="KQH50" s="426"/>
      <c r="KQI50" s="426"/>
      <c r="KQJ50" s="426"/>
      <c r="KQK50" s="426"/>
      <c r="KQL50" s="426"/>
      <c r="KQM50" s="426"/>
      <c r="KQN50" s="426"/>
      <c r="KQO50" s="426"/>
      <c r="KQP50" s="426"/>
      <c r="KQQ50" s="426"/>
      <c r="KQR50" s="426"/>
      <c r="KQS50" s="426"/>
      <c r="KQT50" s="426"/>
      <c r="KQU50" s="426"/>
      <c r="KQV50" s="426"/>
      <c r="KQW50" s="426"/>
      <c r="KQX50" s="426"/>
      <c r="KQY50" s="426"/>
      <c r="KQZ50" s="426"/>
      <c r="KRA50" s="426"/>
      <c r="KRB50" s="426"/>
      <c r="KRC50" s="426"/>
      <c r="KRD50" s="426"/>
      <c r="KRE50" s="426"/>
      <c r="KRF50" s="426"/>
      <c r="KRG50" s="426"/>
      <c r="KRH50" s="426"/>
      <c r="KRI50" s="426"/>
      <c r="KRJ50" s="426"/>
      <c r="KRK50" s="426"/>
      <c r="KRL50" s="426"/>
      <c r="KRM50" s="426"/>
      <c r="KRN50" s="426"/>
      <c r="KRO50" s="426"/>
      <c r="KRP50" s="426"/>
      <c r="KRQ50" s="426"/>
      <c r="KRR50" s="426"/>
      <c r="KRS50" s="426"/>
      <c r="KRT50" s="426"/>
      <c r="KRU50" s="426"/>
      <c r="KRV50" s="426"/>
      <c r="KRW50" s="426"/>
      <c r="KRX50" s="426"/>
      <c r="KRY50" s="426"/>
      <c r="KRZ50" s="426"/>
      <c r="KSA50" s="426"/>
      <c r="KSB50" s="426"/>
      <c r="KSC50" s="426"/>
      <c r="KSD50" s="426"/>
      <c r="KSE50" s="426"/>
      <c r="KSF50" s="426"/>
      <c r="KSG50" s="426"/>
      <c r="KSH50" s="426"/>
      <c r="KSI50" s="426"/>
      <c r="KSJ50" s="426"/>
      <c r="KSK50" s="426"/>
      <c r="KSL50" s="426"/>
      <c r="KSM50" s="426"/>
      <c r="KSN50" s="426"/>
      <c r="KSO50" s="426"/>
      <c r="KSP50" s="426"/>
      <c r="KSQ50" s="426"/>
      <c r="KSR50" s="426"/>
      <c r="KSS50" s="426"/>
      <c r="KST50" s="426"/>
      <c r="KSU50" s="426"/>
      <c r="KSV50" s="426"/>
      <c r="KSW50" s="426"/>
      <c r="KSX50" s="426"/>
      <c r="KSY50" s="426"/>
      <c r="KSZ50" s="426"/>
      <c r="KTA50" s="426"/>
      <c r="KTB50" s="426"/>
      <c r="KTC50" s="426"/>
      <c r="KTD50" s="426"/>
      <c r="KTE50" s="426"/>
      <c r="KTF50" s="426"/>
      <c r="KTG50" s="426"/>
      <c r="KTH50" s="426"/>
      <c r="KTI50" s="426"/>
      <c r="KTJ50" s="426"/>
      <c r="KTK50" s="426"/>
      <c r="KTL50" s="426"/>
      <c r="KTM50" s="426"/>
      <c r="KTN50" s="426"/>
      <c r="KTO50" s="426"/>
      <c r="KTP50" s="426"/>
      <c r="KTQ50" s="426"/>
      <c r="KTR50" s="426"/>
      <c r="KTS50" s="426"/>
      <c r="KTT50" s="426"/>
      <c r="KTU50" s="426"/>
      <c r="KTV50" s="426"/>
      <c r="KTW50" s="426"/>
      <c r="KTX50" s="426"/>
      <c r="KTY50" s="426"/>
      <c r="KTZ50" s="426"/>
      <c r="KUA50" s="426"/>
      <c r="KUB50" s="426"/>
      <c r="KUC50" s="426"/>
      <c r="KUD50" s="426"/>
      <c r="KUE50" s="426"/>
      <c r="KUF50" s="426"/>
      <c r="KUG50" s="426"/>
      <c r="KUH50" s="426"/>
      <c r="KUI50" s="426"/>
      <c r="KUJ50" s="426"/>
      <c r="KUK50" s="426"/>
      <c r="KUL50" s="426"/>
      <c r="KUM50" s="426"/>
      <c r="KUN50" s="426"/>
      <c r="KUO50" s="426"/>
      <c r="KUP50" s="426"/>
      <c r="KUQ50" s="426"/>
      <c r="KUR50" s="426"/>
      <c r="KUS50" s="426"/>
      <c r="KUT50" s="426"/>
      <c r="KUU50" s="426"/>
      <c r="KUV50" s="426"/>
      <c r="KUW50" s="426"/>
      <c r="KUX50" s="426"/>
      <c r="KUY50" s="426"/>
      <c r="KUZ50" s="426"/>
      <c r="KVA50" s="426"/>
      <c r="KVB50" s="426"/>
      <c r="KVC50" s="426"/>
      <c r="KVD50" s="426"/>
      <c r="KVE50" s="426"/>
      <c r="KVF50" s="426"/>
      <c r="KVG50" s="426"/>
      <c r="KVH50" s="426"/>
      <c r="KVI50" s="426"/>
      <c r="KVJ50" s="426"/>
      <c r="KVK50" s="426"/>
      <c r="KVL50" s="426"/>
      <c r="KVM50" s="426"/>
      <c r="KVN50" s="426"/>
      <c r="KVO50" s="426"/>
      <c r="KVP50" s="426"/>
      <c r="KVQ50" s="426"/>
      <c r="KVR50" s="426"/>
      <c r="KVS50" s="426"/>
      <c r="KVT50" s="426"/>
      <c r="KVU50" s="426"/>
      <c r="KVV50" s="426"/>
      <c r="KVW50" s="426"/>
      <c r="KVX50" s="426"/>
      <c r="KVY50" s="426"/>
      <c r="KVZ50" s="426"/>
      <c r="KWA50" s="426"/>
      <c r="KWB50" s="426"/>
      <c r="KWC50" s="426"/>
      <c r="KWD50" s="426"/>
      <c r="KWE50" s="426"/>
      <c r="KWF50" s="426"/>
      <c r="KWG50" s="426"/>
      <c r="KWH50" s="426"/>
      <c r="KWI50" s="426"/>
      <c r="KWJ50" s="426"/>
      <c r="KWK50" s="426"/>
      <c r="KWL50" s="426"/>
      <c r="KWM50" s="426"/>
      <c r="KWN50" s="426"/>
      <c r="KWO50" s="426"/>
      <c r="KWP50" s="426"/>
      <c r="KWQ50" s="426"/>
      <c r="KWR50" s="426"/>
      <c r="KWS50" s="426"/>
      <c r="KWT50" s="426"/>
      <c r="KWU50" s="426"/>
      <c r="KWV50" s="426"/>
      <c r="KWW50" s="426"/>
      <c r="KWX50" s="426"/>
      <c r="KWY50" s="426"/>
      <c r="KWZ50" s="426"/>
      <c r="KXA50" s="426"/>
      <c r="KXB50" s="426"/>
      <c r="KXC50" s="426"/>
      <c r="KXD50" s="426"/>
      <c r="KXE50" s="426"/>
      <c r="KXF50" s="426"/>
      <c r="KXG50" s="426"/>
      <c r="KXH50" s="426"/>
      <c r="KXI50" s="426"/>
      <c r="KXJ50" s="426"/>
      <c r="KXK50" s="426"/>
      <c r="KXL50" s="426"/>
      <c r="KXM50" s="426"/>
      <c r="KXN50" s="426"/>
      <c r="KXO50" s="426"/>
      <c r="KXP50" s="426"/>
      <c r="KXQ50" s="426"/>
      <c r="KXR50" s="426"/>
      <c r="KXS50" s="426"/>
      <c r="KXT50" s="426"/>
      <c r="KXU50" s="426"/>
      <c r="KXV50" s="426"/>
      <c r="KXW50" s="426"/>
      <c r="KXX50" s="426"/>
      <c r="KXY50" s="426"/>
      <c r="KXZ50" s="426"/>
      <c r="KYA50" s="426"/>
      <c r="KYB50" s="426"/>
      <c r="KYC50" s="426"/>
      <c r="KYD50" s="426"/>
      <c r="KYE50" s="426"/>
      <c r="KYF50" s="426"/>
      <c r="KYG50" s="426"/>
      <c r="KYH50" s="426"/>
      <c r="KYI50" s="426"/>
      <c r="KYJ50" s="426"/>
      <c r="KYK50" s="426"/>
      <c r="KYL50" s="426"/>
      <c r="KYM50" s="426"/>
      <c r="KYN50" s="426"/>
      <c r="KYO50" s="426"/>
      <c r="KYP50" s="426"/>
      <c r="KYQ50" s="426"/>
      <c r="KYR50" s="426"/>
      <c r="KYS50" s="426"/>
      <c r="KYT50" s="426"/>
      <c r="KYU50" s="426"/>
      <c r="KYV50" s="426"/>
      <c r="KYW50" s="426"/>
      <c r="KYX50" s="426"/>
      <c r="KYY50" s="426"/>
      <c r="KYZ50" s="426"/>
      <c r="KZA50" s="426"/>
      <c r="KZB50" s="426"/>
      <c r="KZC50" s="426"/>
      <c r="KZD50" s="426"/>
      <c r="KZE50" s="426"/>
      <c r="KZF50" s="426"/>
      <c r="KZG50" s="426"/>
      <c r="KZH50" s="426"/>
      <c r="KZI50" s="426"/>
      <c r="KZJ50" s="426"/>
      <c r="KZK50" s="426"/>
      <c r="KZL50" s="426"/>
      <c r="KZM50" s="426"/>
      <c r="KZN50" s="426"/>
      <c r="KZO50" s="426"/>
      <c r="KZP50" s="426"/>
      <c r="KZQ50" s="426"/>
      <c r="KZR50" s="426"/>
      <c r="KZS50" s="426"/>
      <c r="KZT50" s="426"/>
      <c r="KZU50" s="426"/>
      <c r="KZV50" s="426"/>
      <c r="KZW50" s="426"/>
      <c r="KZX50" s="426"/>
      <c r="KZY50" s="426"/>
      <c r="KZZ50" s="426"/>
      <c r="LAA50" s="426"/>
      <c r="LAB50" s="426"/>
      <c r="LAC50" s="426"/>
      <c r="LAD50" s="426"/>
      <c r="LAE50" s="426"/>
      <c r="LAF50" s="426"/>
      <c r="LAG50" s="426"/>
      <c r="LAH50" s="426"/>
      <c r="LAI50" s="426"/>
      <c r="LAJ50" s="426"/>
      <c r="LAK50" s="426"/>
      <c r="LAL50" s="426"/>
      <c r="LAM50" s="426"/>
      <c r="LAN50" s="426"/>
      <c r="LAO50" s="426"/>
      <c r="LAP50" s="426"/>
      <c r="LAQ50" s="426"/>
      <c r="LAR50" s="426"/>
      <c r="LAS50" s="426"/>
      <c r="LAT50" s="426"/>
      <c r="LAU50" s="426"/>
      <c r="LAV50" s="426"/>
      <c r="LAW50" s="426"/>
      <c r="LAX50" s="426"/>
      <c r="LAY50" s="426"/>
      <c r="LAZ50" s="426"/>
      <c r="LBA50" s="426"/>
      <c r="LBB50" s="426"/>
      <c r="LBC50" s="426"/>
      <c r="LBD50" s="426"/>
      <c r="LBE50" s="426"/>
      <c r="LBF50" s="426"/>
      <c r="LBG50" s="426"/>
      <c r="LBH50" s="426"/>
      <c r="LBI50" s="426"/>
      <c r="LBJ50" s="426"/>
      <c r="LBK50" s="426"/>
      <c r="LBL50" s="426"/>
      <c r="LBM50" s="426"/>
      <c r="LBN50" s="426"/>
      <c r="LBO50" s="426"/>
      <c r="LBP50" s="426"/>
      <c r="LBQ50" s="426"/>
      <c r="LBR50" s="426"/>
      <c r="LBS50" s="426"/>
      <c r="LBT50" s="426"/>
      <c r="LBU50" s="426"/>
      <c r="LBV50" s="426"/>
      <c r="LBW50" s="426"/>
      <c r="LBX50" s="426"/>
      <c r="LBY50" s="426"/>
      <c r="LBZ50" s="426"/>
      <c r="LCA50" s="426"/>
      <c r="LCB50" s="426"/>
      <c r="LCC50" s="426"/>
      <c r="LCD50" s="426"/>
      <c r="LCE50" s="426"/>
      <c r="LCF50" s="426"/>
      <c r="LCG50" s="426"/>
      <c r="LCH50" s="426"/>
      <c r="LCI50" s="426"/>
      <c r="LCJ50" s="426"/>
      <c r="LCK50" s="426"/>
      <c r="LCL50" s="426"/>
      <c r="LCM50" s="426"/>
      <c r="LCN50" s="426"/>
      <c r="LCO50" s="426"/>
      <c r="LCP50" s="426"/>
      <c r="LCQ50" s="426"/>
      <c r="LCR50" s="426"/>
      <c r="LCS50" s="426"/>
      <c r="LCT50" s="426"/>
      <c r="LCU50" s="426"/>
      <c r="LCV50" s="426"/>
      <c r="LCW50" s="426"/>
      <c r="LCX50" s="426"/>
      <c r="LCY50" s="426"/>
      <c r="LCZ50" s="426"/>
      <c r="LDA50" s="426"/>
      <c r="LDB50" s="426"/>
      <c r="LDC50" s="426"/>
      <c r="LDD50" s="426"/>
      <c r="LDE50" s="426"/>
      <c r="LDF50" s="426"/>
      <c r="LDG50" s="426"/>
      <c r="LDH50" s="426"/>
      <c r="LDI50" s="426"/>
      <c r="LDJ50" s="426"/>
      <c r="LDK50" s="426"/>
      <c r="LDL50" s="426"/>
      <c r="LDM50" s="426"/>
      <c r="LDN50" s="426"/>
      <c r="LDO50" s="426"/>
      <c r="LDP50" s="426"/>
      <c r="LDQ50" s="426"/>
      <c r="LDR50" s="426"/>
      <c r="LDS50" s="426"/>
      <c r="LDT50" s="426"/>
      <c r="LDU50" s="426"/>
      <c r="LDV50" s="426"/>
      <c r="LDW50" s="426"/>
      <c r="LDX50" s="426"/>
      <c r="LDY50" s="426"/>
      <c r="LDZ50" s="426"/>
      <c r="LEA50" s="426"/>
      <c r="LEB50" s="426"/>
      <c r="LEC50" s="426"/>
      <c r="LED50" s="426"/>
      <c r="LEE50" s="426"/>
      <c r="LEF50" s="426"/>
      <c r="LEG50" s="426"/>
      <c r="LEH50" s="426"/>
      <c r="LEI50" s="426"/>
      <c r="LEJ50" s="426"/>
      <c r="LEK50" s="426"/>
      <c r="LEL50" s="426"/>
      <c r="LEM50" s="426"/>
      <c r="LEN50" s="426"/>
      <c r="LEO50" s="426"/>
      <c r="LEP50" s="426"/>
      <c r="LEQ50" s="426"/>
      <c r="LER50" s="426"/>
      <c r="LES50" s="426"/>
      <c r="LET50" s="426"/>
      <c r="LEU50" s="426"/>
      <c r="LEV50" s="426"/>
      <c r="LEW50" s="426"/>
      <c r="LEX50" s="426"/>
      <c r="LEY50" s="426"/>
      <c r="LEZ50" s="426"/>
      <c r="LFA50" s="426"/>
      <c r="LFB50" s="426"/>
      <c r="LFC50" s="426"/>
      <c r="LFD50" s="426"/>
      <c r="LFE50" s="426"/>
      <c r="LFF50" s="426"/>
      <c r="LFG50" s="426"/>
      <c r="LFH50" s="426"/>
      <c r="LFI50" s="426"/>
      <c r="LFJ50" s="426"/>
      <c r="LFK50" s="426"/>
      <c r="LFL50" s="426"/>
      <c r="LFM50" s="426"/>
      <c r="LFN50" s="426"/>
      <c r="LFO50" s="426"/>
      <c r="LFP50" s="426"/>
      <c r="LFQ50" s="426"/>
      <c r="LFR50" s="426"/>
      <c r="LFS50" s="426"/>
      <c r="LFT50" s="426"/>
      <c r="LFU50" s="426"/>
      <c r="LFV50" s="426"/>
      <c r="LFW50" s="426"/>
      <c r="LFX50" s="426"/>
      <c r="LFY50" s="426"/>
      <c r="LFZ50" s="426"/>
      <c r="LGA50" s="426"/>
      <c r="LGB50" s="426"/>
      <c r="LGC50" s="426"/>
      <c r="LGD50" s="426"/>
      <c r="LGE50" s="426"/>
      <c r="LGF50" s="426"/>
      <c r="LGG50" s="426"/>
      <c r="LGH50" s="426"/>
      <c r="LGI50" s="426"/>
      <c r="LGJ50" s="426"/>
      <c r="LGK50" s="426"/>
      <c r="LGL50" s="426"/>
      <c r="LGM50" s="426"/>
      <c r="LGN50" s="426"/>
      <c r="LGO50" s="426"/>
      <c r="LGP50" s="426"/>
      <c r="LGQ50" s="426"/>
      <c r="LGR50" s="426"/>
      <c r="LGS50" s="426"/>
      <c r="LGT50" s="426"/>
      <c r="LGU50" s="426"/>
      <c r="LGV50" s="426"/>
      <c r="LGW50" s="426"/>
      <c r="LGX50" s="426"/>
      <c r="LGY50" s="426"/>
      <c r="LGZ50" s="426"/>
      <c r="LHA50" s="426"/>
      <c r="LHB50" s="426"/>
      <c r="LHC50" s="426"/>
      <c r="LHD50" s="426"/>
      <c r="LHE50" s="426"/>
      <c r="LHF50" s="426"/>
      <c r="LHG50" s="426"/>
      <c r="LHH50" s="426"/>
      <c r="LHI50" s="426"/>
      <c r="LHJ50" s="426"/>
      <c r="LHK50" s="426"/>
      <c r="LHL50" s="426"/>
      <c r="LHM50" s="426"/>
      <c r="LHN50" s="426"/>
      <c r="LHO50" s="426"/>
      <c r="LHP50" s="426"/>
      <c r="LHQ50" s="426"/>
      <c r="LHR50" s="426"/>
      <c r="LHS50" s="426"/>
      <c r="LHT50" s="426"/>
      <c r="LHU50" s="426"/>
      <c r="LHV50" s="426"/>
      <c r="LHW50" s="426"/>
      <c r="LHX50" s="426"/>
      <c r="LHY50" s="426"/>
      <c r="LHZ50" s="426"/>
      <c r="LIA50" s="426"/>
      <c r="LIB50" s="426"/>
      <c r="LIC50" s="426"/>
      <c r="LID50" s="426"/>
      <c r="LIE50" s="426"/>
      <c r="LIF50" s="426"/>
      <c r="LIG50" s="426"/>
      <c r="LIH50" s="426"/>
      <c r="LII50" s="426"/>
      <c r="LIJ50" s="426"/>
      <c r="LIK50" s="426"/>
      <c r="LIL50" s="426"/>
      <c r="LIM50" s="426"/>
      <c r="LIN50" s="426"/>
      <c r="LIO50" s="426"/>
      <c r="LIP50" s="426"/>
      <c r="LIQ50" s="426"/>
      <c r="LIR50" s="426"/>
      <c r="LIS50" s="426"/>
      <c r="LIT50" s="426"/>
      <c r="LIU50" s="426"/>
      <c r="LIV50" s="426"/>
      <c r="LIW50" s="426"/>
      <c r="LIX50" s="426"/>
      <c r="LIY50" s="426"/>
      <c r="LIZ50" s="426"/>
      <c r="LJA50" s="426"/>
      <c r="LJB50" s="426"/>
      <c r="LJC50" s="426"/>
      <c r="LJD50" s="426"/>
      <c r="LJE50" s="426"/>
      <c r="LJF50" s="426"/>
      <c r="LJG50" s="426"/>
      <c r="LJH50" s="426"/>
      <c r="LJI50" s="426"/>
      <c r="LJJ50" s="426"/>
      <c r="LJK50" s="426"/>
      <c r="LJL50" s="426"/>
      <c r="LJM50" s="426"/>
      <c r="LJN50" s="426"/>
      <c r="LJO50" s="426"/>
      <c r="LJP50" s="426"/>
      <c r="LJQ50" s="426"/>
      <c r="LJR50" s="426"/>
      <c r="LJS50" s="426"/>
      <c r="LJT50" s="426"/>
      <c r="LJU50" s="426"/>
      <c r="LJV50" s="426"/>
      <c r="LJW50" s="426"/>
      <c r="LJX50" s="426"/>
      <c r="LJY50" s="426"/>
      <c r="LJZ50" s="426"/>
      <c r="LKA50" s="426"/>
      <c r="LKB50" s="426"/>
      <c r="LKC50" s="426"/>
      <c r="LKD50" s="426"/>
      <c r="LKE50" s="426"/>
      <c r="LKF50" s="426"/>
      <c r="LKG50" s="426"/>
      <c r="LKH50" s="426"/>
      <c r="LKI50" s="426"/>
      <c r="LKJ50" s="426"/>
      <c r="LKK50" s="426"/>
      <c r="LKL50" s="426"/>
      <c r="LKM50" s="426"/>
      <c r="LKN50" s="426"/>
      <c r="LKO50" s="426"/>
      <c r="LKP50" s="426"/>
      <c r="LKQ50" s="426"/>
      <c r="LKR50" s="426"/>
      <c r="LKS50" s="426"/>
      <c r="LKT50" s="426"/>
      <c r="LKU50" s="426"/>
      <c r="LKV50" s="426"/>
      <c r="LKW50" s="426"/>
      <c r="LKX50" s="426"/>
      <c r="LKY50" s="426"/>
      <c r="LKZ50" s="426"/>
      <c r="LLA50" s="426"/>
      <c r="LLB50" s="426"/>
      <c r="LLC50" s="426"/>
      <c r="LLD50" s="426"/>
      <c r="LLE50" s="426"/>
      <c r="LLF50" s="426"/>
      <c r="LLG50" s="426"/>
      <c r="LLH50" s="426"/>
      <c r="LLI50" s="426"/>
      <c r="LLJ50" s="426"/>
      <c r="LLK50" s="426"/>
      <c r="LLL50" s="426"/>
      <c r="LLM50" s="426"/>
      <c r="LLN50" s="426"/>
      <c r="LLO50" s="426"/>
      <c r="LLP50" s="426"/>
      <c r="LLQ50" s="426"/>
      <c r="LLR50" s="426"/>
      <c r="LLS50" s="426"/>
      <c r="LLT50" s="426"/>
      <c r="LLU50" s="426"/>
      <c r="LLV50" s="426"/>
      <c r="LLW50" s="426"/>
      <c r="LLX50" s="426"/>
      <c r="LLY50" s="426"/>
      <c r="LLZ50" s="426"/>
      <c r="LMA50" s="426"/>
      <c r="LMB50" s="426"/>
      <c r="LMC50" s="426"/>
      <c r="LMD50" s="426"/>
      <c r="LME50" s="426"/>
      <c r="LMF50" s="426"/>
      <c r="LMG50" s="426"/>
      <c r="LMH50" s="426"/>
      <c r="LMI50" s="426"/>
      <c r="LMJ50" s="426"/>
      <c r="LMK50" s="426"/>
      <c r="LML50" s="426"/>
      <c r="LMM50" s="426"/>
      <c r="LMN50" s="426"/>
      <c r="LMO50" s="426"/>
      <c r="LMP50" s="426"/>
      <c r="LMQ50" s="426"/>
      <c r="LMR50" s="426"/>
      <c r="LMS50" s="426"/>
      <c r="LMT50" s="426"/>
      <c r="LMU50" s="426"/>
      <c r="LMV50" s="426"/>
      <c r="LMW50" s="426"/>
      <c r="LMX50" s="426"/>
      <c r="LMY50" s="426"/>
      <c r="LMZ50" s="426"/>
      <c r="LNA50" s="426"/>
      <c r="LNB50" s="426"/>
      <c r="LNC50" s="426"/>
      <c r="LND50" s="426"/>
      <c r="LNE50" s="426"/>
      <c r="LNF50" s="426"/>
      <c r="LNG50" s="426"/>
      <c r="LNH50" s="426"/>
      <c r="LNI50" s="426"/>
      <c r="LNJ50" s="426"/>
      <c r="LNK50" s="426"/>
      <c r="LNL50" s="426"/>
      <c r="LNM50" s="426"/>
      <c r="LNN50" s="426"/>
      <c r="LNO50" s="426"/>
      <c r="LNP50" s="426"/>
      <c r="LNQ50" s="426"/>
      <c r="LNR50" s="426"/>
      <c r="LNS50" s="426"/>
      <c r="LNT50" s="426"/>
      <c r="LNU50" s="426"/>
      <c r="LNV50" s="426"/>
      <c r="LNW50" s="426"/>
      <c r="LNX50" s="426"/>
      <c r="LNY50" s="426"/>
      <c r="LNZ50" s="426"/>
      <c r="LOA50" s="426"/>
      <c r="LOB50" s="426"/>
      <c r="LOC50" s="426"/>
      <c r="LOD50" s="426"/>
      <c r="LOE50" s="426"/>
      <c r="LOF50" s="426"/>
      <c r="LOG50" s="426"/>
      <c r="LOH50" s="426"/>
      <c r="LOI50" s="426"/>
      <c r="LOJ50" s="426"/>
      <c r="LOK50" s="426"/>
      <c r="LOL50" s="426"/>
      <c r="LOM50" s="426"/>
      <c r="LON50" s="426"/>
      <c r="LOO50" s="426"/>
      <c r="LOP50" s="426"/>
      <c r="LOQ50" s="426"/>
      <c r="LOR50" s="426"/>
      <c r="LOS50" s="426"/>
      <c r="LOT50" s="426"/>
      <c r="LOU50" s="426"/>
      <c r="LOV50" s="426"/>
      <c r="LOW50" s="426"/>
      <c r="LOX50" s="426"/>
      <c r="LOY50" s="426"/>
      <c r="LOZ50" s="426"/>
      <c r="LPA50" s="426"/>
      <c r="LPB50" s="426"/>
      <c r="LPC50" s="426"/>
      <c r="LPD50" s="426"/>
      <c r="LPE50" s="426"/>
      <c r="LPF50" s="426"/>
      <c r="LPG50" s="426"/>
      <c r="LPH50" s="426"/>
      <c r="LPI50" s="426"/>
      <c r="LPJ50" s="426"/>
      <c r="LPK50" s="426"/>
      <c r="LPL50" s="426"/>
      <c r="LPM50" s="426"/>
      <c r="LPN50" s="426"/>
      <c r="LPO50" s="426"/>
      <c r="LPP50" s="426"/>
      <c r="LPQ50" s="426"/>
      <c r="LPR50" s="426"/>
      <c r="LPS50" s="426"/>
      <c r="LPT50" s="426"/>
      <c r="LPU50" s="426"/>
      <c r="LPV50" s="426"/>
      <c r="LPW50" s="426"/>
      <c r="LPX50" s="426"/>
      <c r="LPY50" s="426"/>
      <c r="LPZ50" s="426"/>
      <c r="LQA50" s="426"/>
      <c r="LQB50" s="426"/>
      <c r="LQC50" s="426"/>
      <c r="LQD50" s="426"/>
      <c r="LQE50" s="426"/>
      <c r="LQF50" s="426"/>
      <c r="LQG50" s="426"/>
      <c r="LQH50" s="426"/>
      <c r="LQI50" s="426"/>
      <c r="LQJ50" s="426"/>
      <c r="LQK50" s="426"/>
      <c r="LQL50" s="426"/>
      <c r="LQM50" s="426"/>
      <c r="LQN50" s="426"/>
      <c r="LQO50" s="426"/>
      <c r="LQP50" s="426"/>
      <c r="LQQ50" s="426"/>
      <c r="LQR50" s="426"/>
      <c r="LQS50" s="426"/>
      <c r="LQT50" s="426"/>
      <c r="LQU50" s="426"/>
      <c r="LQV50" s="426"/>
      <c r="LQW50" s="426"/>
      <c r="LQX50" s="426"/>
      <c r="LQY50" s="426"/>
      <c r="LQZ50" s="426"/>
      <c r="LRA50" s="426"/>
      <c r="LRB50" s="426"/>
      <c r="LRC50" s="426"/>
      <c r="LRD50" s="426"/>
      <c r="LRE50" s="426"/>
      <c r="LRF50" s="426"/>
      <c r="LRG50" s="426"/>
      <c r="LRH50" s="426"/>
      <c r="LRI50" s="426"/>
      <c r="LRJ50" s="426"/>
      <c r="LRK50" s="426"/>
      <c r="LRL50" s="426"/>
      <c r="LRM50" s="426"/>
      <c r="LRN50" s="426"/>
      <c r="LRO50" s="426"/>
      <c r="LRP50" s="426"/>
      <c r="LRQ50" s="426"/>
      <c r="LRR50" s="426"/>
      <c r="LRS50" s="426"/>
      <c r="LRT50" s="426"/>
      <c r="LRU50" s="426"/>
      <c r="LRV50" s="426"/>
      <c r="LRW50" s="426"/>
      <c r="LRX50" s="426"/>
      <c r="LRY50" s="426"/>
      <c r="LRZ50" s="426"/>
      <c r="LSA50" s="426"/>
      <c r="LSB50" s="426"/>
      <c r="LSC50" s="426"/>
      <c r="LSD50" s="426"/>
      <c r="LSE50" s="426"/>
      <c r="LSF50" s="426"/>
      <c r="LSG50" s="426"/>
      <c r="LSH50" s="426"/>
      <c r="LSI50" s="426"/>
      <c r="LSJ50" s="426"/>
      <c r="LSK50" s="426"/>
      <c r="LSL50" s="426"/>
      <c r="LSM50" s="426"/>
      <c r="LSN50" s="426"/>
      <c r="LSO50" s="426"/>
      <c r="LSP50" s="426"/>
      <c r="LSQ50" s="426"/>
      <c r="LSR50" s="426"/>
      <c r="LSS50" s="426"/>
      <c r="LST50" s="426"/>
      <c r="LSU50" s="426"/>
      <c r="LSV50" s="426"/>
      <c r="LSW50" s="426"/>
      <c r="LSX50" s="426"/>
      <c r="LSY50" s="426"/>
      <c r="LSZ50" s="426"/>
      <c r="LTA50" s="426"/>
      <c r="LTB50" s="426"/>
      <c r="LTC50" s="426"/>
      <c r="LTD50" s="426"/>
      <c r="LTE50" s="426"/>
      <c r="LTF50" s="426"/>
      <c r="LTG50" s="426"/>
      <c r="LTH50" s="426"/>
      <c r="LTI50" s="426"/>
      <c r="LTJ50" s="426"/>
      <c r="LTK50" s="426"/>
      <c r="LTL50" s="426"/>
      <c r="LTM50" s="426"/>
      <c r="LTN50" s="426"/>
      <c r="LTO50" s="426"/>
      <c r="LTP50" s="426"/>
      <c r="LTQ50" s="426"/>
      <c r="LTR50" s="426"/>
      <c r="LTS50" s="426"/>
      <c r="LTT50" s="426"/>
      <c r="LTU50" s="426"/>
      <c r="LTV50" s="426"/>
      <c r="LTW50" s="426"/>
      <c r="LTX50" s="426"/>
      <c r="LTY50" s="426"/>
      <c r="LTZ50" s="426"/>
      <c r="LUA50" s="426"/>
      <c r="LUB50" s="426"/>
      <c r="LUC50" s="426"/>
      <c r="LUD50" s="426"/>
      <c r="LUE50" s="426"/>
      <c r="LUF50" s="426"/>
      <c r="LUG50" s="426"/>
      <c r="LUH50" s="426"/>
      <c r="LUI50" s="426"/>
      <c r="LUJ50" s="426"/>
      <c r="LUK50" s="426"/>
      <c r="LUL50" s="426"/>
      <c r="LUM50" s="426"/>
      <c r="LUN50" s="426"/>
      <c r="LUO50" s="426"/>
      <c r="LUP50" s="426"/>
      <c r="LUQ50" s="426"/>
      <c r="LUR50" s="426"/>
      <c r="LUS50" s="426"/>
      <c r="LUT50" s="426"/>
      <c r="LUU50" s="426"/>
      <c r="LUV50" s="426"/>
      <c r="LUW50" s="426"/>
      <c r="LUX50" s="426"/>
      <c r="LUY50" s="426"/>
      <c r="LUZ50" s="426"/>
      <c r="LVA50" s="426"/>
      <c r="LVB50" s="426"/>
      <c r="LVC50" s="426"/>
      <c r="LVD50" s="426"/>
      <c r="LVE50" s="426"/>
      <c r="LVF50" s="426"/>
      <c r="LVG50" s="426"/>
      <c r="LVH50" s="426"/>
      <c r="LVI50" s="426"/>
      <c r="LVJ50" s="426"/>
      <c r="LVK50" s="426"/>
      <c r="LVL50" s="426"/>
      <c r="LVM50" s="426"/>
      <c r="LVN50" s="426"/>
      <c r="LVO50" s="426"/>
      <c r="LVP50" s="426"/>
      <c r="LVQ50" s="426"/>
      <c r="LVR50" s="426"/>
      <c r="LVS50" s="426"/>
      <c r="LVT50" s="426"/>
      <c r="LVU50" s="426"/>
      <c r="LVV50" s="426"/>
      <c r="LVW50" s="426"/>
      <c r="LVX50" s="426"/>
      <c r="LVY50" s="426"/>
      <c r="LVZ50" s="426"/>
      <c r="LWA50" s="426"/>
      <c r="LWB50" s="426"/>
      <c r="LWC50" s="426"/>
      <c r="LWD50" s="426"/>
      <c r="LWE50" s="426"/>
      <c r="LWF50" s="426"/>
      <c r="LWG50" s="426"/>
      <c r="LWH50" s="426"/>
      <c r="LWI50" s="426"/>
      <c r="LWJ50" s="426"/>
      <c r="LWK50" s="426"/>
      <c r="LWL50" s="426"/>
      <c r="LWM50" s="426"/>
      <c r="LWN50" s="426"/>
      <c r="LWO50" s="426"/>
      <c r="LWP50" s="426"/>
      <c r="LWQ50" s="426"/>
      <c r="LWR50" s="426"/>
      <c r="LWS50" s="426"/>
      <c r="LWT50" s="426"/>
      <c r="LWU50" s="426"/>
      <c r="LWV50" s="426"/>
      <c r="LWW50" s="426"/>
      <c r="LWX50" s="426"/>
      <c r="LWY50" s="426"/>
      <c r="LWZ50" s="426"/>
      <c r="LXA50" s="426"/>
      <c r="LXB50" s="426"/>
      <c r="LXC50" s="426"/>
      <c r="LXD50" s="426"/>
      <c r="LXE50" s="426"/>
      <c r="LXF50" s="426"/>
      <c r="LXG50" s="426"/>
      <c r="LXH50" s="426"/>
      <c r="LXI50" s="426"/>
      <c r="LXJ50" s="426"/>
      <c r="LXK50" s="426"/>
      <c r="LXL50" s="426"/>
      <c r="LXM50" s="426"/>
      <c r="LXN50" s="426"/>
      <c r="LXO50" s="426"/>
      <c r="LXP50" s="426"/>
      <c r="LXQ50" s="426"/>
      <c r="LXR50" s="426"/>
      <c r="LXS50" s="426"/>
      <c r="LXT50" s="426"/>
      <c r="LXU50" s="426"/>
      <c r="LXV50" s="426"/>
      <c r="LXW50" s="426"/>
      <c r="LXX50" s="426"/>
      <c r="LXY50" s="426"/>
      <c r="LXZ50" s="426"/>
      <c r="LYA50" s="426"/>
      <c r="LYB50" s="426"/>
      <c r="LYC50" s="426"/>
      <c r="LYD50" s="426"/>
      <c r="LYE50" s="426"/>
      <c r="LYF50" s="426"/>
      <c r="LYG50" s="426"/>
      <c r="LYH50" s="426"/>
      <c r="LYI50" s="426"/>
      <c r="LYJ50" s="426"/>
      <c r="LYK50" s="426"/>
      <c r="LYL50" s="426"/>
      <c r="LYM50" s="426"/>
      <c r="LYN50" s="426"/>
      <c r="LYO50" s="426"/>
      <c r="LYP50" s="426"/>
      <c r="LYQ50" s="426"/>
      <c r="LYR50" s="426"/>
      <c r="LYS50" s="426"/>
      <c r="LYT50" s="426"/>
      <c r="LYU50" s="426"/>
      <c r="LYV50" s="426"/>
      <c r="LYW50" s="426"/>
      <c r="LYX50" s="426"/>
      <c r="LYY50" s="426"/>
      <c r="LYZ50" s="426"/>
      <c r="LZA50" s="426"/>
      <c r="LZB50" s="426"/>
      <c r="LZC50" s="426"/>
      <c r="LZD50" s="426"/>
      <c r="LZE50" s="426"/>
      <c r="LZF50" s="426"/>
      <c r="LZG50" s="426"/>
      <c r="LZH50" s="426"/>
      <c r="LZI50" s="426"/>
      <c r="LZJ50" s="426"/>
      <c r="LZK50" s="426"/>
      <c r="LZL50" s="426"/>
      <c r="LZM50" s="426"/>
      <c r="LZN50" s="426"/>
      <c r="LZO50" s="426"/>
      <c r="LZP50" s="426"/>
      <c r="LZQ50" s="426"/>
      <c r="LZR50" s="426"/>
      <c r="LZS50" s="426"/>
      <c r="LZT50" s="426"/>
      <c r="LZU50" s="426"/>
      <c r="LZV50" s="426"/>
      <c r="LZW50" s="426"/>
      <c r="LZX50" s="426"/>
      <c r="LZY50" s="426"/>
      <c r="LZZ50" s="426"/>
      <c r="MAA50" s="426"/>
      <c r="MAB50" s="426"/>
      <c r="MAC50" s="426"/>
      <c r="MAD50" s="426"/>
      <c r="MAE50" s="426"/>
      <c r="MAF50" s="426"/>
      <c r="MAG50" s="426"/>
      <c r="MAH50" s="426"/>
      <c r="MAI50" s="426"/>
      <c r="MAJ50" s="426"/>
      <c r="MAK50" s="426"/>
      <c r="MAL50" s="426"/>
      <c r="MAM50" s="426"/>
      <c r="MAN50" s="426"/>
      <c r="MAO50" s="426"/>
      <c r="MAP50" s="426"/>
      <c r="MAQ50" s="426"/>
      <c r="MAR50" s="426"/>
      <c r="MAS50" s="426"/>
      <c r="MAT50" s="426"/>
      <c r="MAU50" s="426"/>
      <c r="MAV50" s="426"/>
      <c r="MAW50" s="426"/>
      <c r="MAX50" s="426"/>
      <c r="MAY50" s="426"/>
      <c r="MAZ50" s="426"/>
      <c r="MBA50" s="426"/>
      <c r="MBB50" s="426"/>
      <c r="MBC50" s="426"/>
      <c r="MBD50" s="426"/>
      <c r="MBE50" s="426"/>
      <c r="MBF50" s="426"/>
      <c r="MBG50" s="426"/>
      <c r="MBH50" s="426"/>
      <c r="MBI50" s="426"/>
      <c r="MBJ50" s="426"/>
      <c r="MBK50" s="426"/>
      <c r="MBL50" s="426"/>
      <c r="MBM50" s="426"/>
      <c r="MBN50" s="426"/>
      <c r="MBO50" s="426"/>
      <c r="MBP50" s="426"/>
      <c r="MBQ50" s="426"/>
      <c r="MBR50" s="426"/>
      <c r="MBS50" s="426"/>
      <c r="MBT50" s="426"/>
      <c r="MBU50" s="426"/>
      <c r="MBV50" s="426"/>
      <c r="MBW50" s="426"/>
      <c r="MBX50" s="426"/>
      <c r="MBY50" s="426"/>
      <c r="MBZ50" s="426"/>
      <c r="MCA50" s="426"/>
      <c r="MCB50" s="426"/>
      <c r="MCC50" s="426"/>
      <c r="MCD50" s="426"/>
      <c r="MCE50" s="426"/>
      <c r="MCF50" s="426"/>
      <c r="MCG50" s="426"/>
      <c r="MCH50" s="426"/>
      <c r="MCI50" s="426"/>
      <c r="MCJ50" s="426"/>
      <c r="MCK50" s="426"/>
      <c r="MCL50" s="426"/>
      <c r="MCM50" s="426"/>
      <c r="MCN50" s="426"/>
      <c r="MCO50" s="426"/>
      <c r="MCP50" s="426"/>
      <c r="MCQ50" s="426"/>
      <c r="MCR50" s="426"/>
      <c r="MCS50" s="426"/>
      <c r="MCT50" s="426"/>
      <c r="MCU50" s="426"/>
      <c r="MCV50" s="426"/>
      <c r="MCW50" s="426"/>
      <c r="MCX50" s="426"/>
      <c r="MCY50" s="426"/>
      <c r="MCZ50" s="426"/>
      <c r="MDA50" s="426"/>
      <c r="MDB50" s="426"/>
      <c r="MDC50" s="426"/>
      <c r="MDD50" s="426"/>
      <c r="MDE50" s="426"/>
      <c r="MDF50" s="426"/>
      <c r="MDG50" s="426"/>
      <c r="MDH50" s="426"/>
      <c r="MDI50" s="426"/>
      <c r="MDJ50" s="426"/>
      <c r="MDK50" s="426"/>
      <c r="MDL50" s="426"/>
      <c r="MDM50" s="426"/>
      <c r="MDN50" s="426"/>
      <c r="MDO50" s="426"/>
      <c r="MDP50" s="426"/>
      <c r="MDQ50" s="426"/>
      <c r="MDR50" s="426"/>
      <c r="MDS50" s="426"/>
      <c r="MDT50" s="426"/>
      <c r="MDU50" s="426"/>
      <c r="MDV50" s="426"/>
      <c r="MDW50" s="426"/>
      <c r="MDX50" s="426"/>
      <c r="MDY50" s="426"/>
      <c r="MDZ50" s="426"/>
      <c r="MEA50" s="426"/>
      <c r="MEB50" s="426"/>
      <c r="MEC50" s="426"/>
      <c r="MED50" s="426"/>
      <c r="MEE50" s="426"/>
      <c r="MEF50" s="426"/>
      <c r="MEG50" s="426"/>
      <c r="MEH50" s="426"/>
      <c r="MEI50" s="426"/>
      <c r="MEJ50" s="426"/>
      <c r="MEK50" s="426"/>
      <c r="MEL50" s="426"/>
      <c r="MEM50" s="426"/>
      <c r="MEN50" s="426"/>
      <c r="MEO50" s="426"/>
      <c r="MEP50" s="426"/>
      <c r="MEQ50" s="426"/>
      <c r="MER50" s="426"/>
      <c r="MES50" s="426"/>
      <c r="MET50" s="426"/>
      <c r="MEU50" s="426"/>
      <c r="MEV50" s="426"/>
      <c r="MEW50" s="426"/>
      <c r="MEX50" s="426"/>
      <c r="MEY50" s="426"/>
      <c r="MEZ50" s="426"/>
      <c r="MFA50" s="426"/>
      <c r="MFB50" s="426"/>
      <c r="MFC50" s="426"/>
      <c r="MFD50" s="426"/>
      <c r="MFE50" s="426"/>
      <c r="MFF50" s="426"/>
      <c r="MFG50" s="426"/>
      <c r="MFH50" s="426"/>
      <c r="MFI50" s="426"/>
      <c r="MFJ50" s="426"/>
      <c r="MFK50" s="426"/>
      <c r="MFL50" s="426"/>
      <c r="MFM50" s="426"/>
      <c r="MFN50" s="426"/>
      <c r="MFO50" s="426"/>
      <c r="MFP50" s="426"/>
      <c r="MFQ50" s="426"/>
      <c r="MFR50" s="426"/>
      <c r="MFS50" s="426"/>
      <c r="MFT50" s="426"/>
      <c r="MFU50" s="426"/>
      <c r="MFV50" s="426"/>
      <c r="MFW50" s="426"/>
      <c r="MFX50" s="426"/>
      <c r="MFY50" s="426"/>
      <c r="MFZ50" s="426"/>
      <c r="MGA50" s="426"/>
      <c r="MGB50" s="426"/>
      <c r="MGC50" s="426"/>
      <c r="MGD50" s="426"/>
      <c r="MGE50" s="426"/>
      <c r="MGF50" s="426"/>
      <c r="MGG50" s="426"/>
      <c r="MGH50" s="426"/>
      <c r="MGI50" s="426"/>
      <c r="MGJ50" s="426"/>
      <c r="MGK50" s="426"/>
      <c r="MGL50" s="426"/>
      <c r="MGM50" s="426"/>
      <c r="MGN50" s="426"/>
      <c r="MGO50" s="426"/>
      <c r="MGP50" s="426"/>
      <c r="MGQ50" s="426"/>
      <c r="MGR50" s="426"/>
      <c r="MGS50" s="426"/>
      <c r="MGT50" s="426"/>
      <c r="MGU50" s="426"/>
      <c r="MGV50" s="426"/>
      <c r="MGW50" s="426"/>
      <c r="MGX50" s="426"/>
      <c r="MGY50" s="426"/>
      <c r="MGZ50" s="426"/>
      <c r="MHA50" s="426"/>
      <c r="MHB50" s="426"/>
      <c r="MHC50" s="426"/>
      <c r="MHD50" s="426"/>
      <c r="MHE50" s="426"/>
      <c r="MHF50" s="426"/>
      <c r="MHG50" s="426"/>
      <c r="MHH50" s="426"/>
      <c r="MHI50" s="426"/>
      <c r="MHJ50" s="426"/>
      <c r="MHK50" s="426"/>
      <c r="MHL50" s="426"/>
      <c r="MHM50" s="426"/>
      <c r="MHN50" s="426"/>
      <c r="MHO50" s="426"/>
      <c r="MHP50" s="426"/>
      <c r="MHQ50" s="426"/>
      <c r="MHR50" s="426"/>
      <c r="MHS50" s="426"/>
      <c r="MHT50" s="426"/>
      <c r="MHU50" s="426"/>
      <c r="MHV50" s="426"/>
      <c r="MHW50" s="426"/>
      <c r="MHX50" s="426"/>
      <c r="MHY50" s="426"/>
      <c r="MHZ50" s="426"/>
      <c r="MIA50" s="426"/>
      <c r="MIB50" s="426"/>
      <c r="MIC50" s="426"/>
      <c r="MID50" s="426"/>
      <c r="MIE50" s="426"/>
      <c r="MIF50" s="426"/>
      <c r="MIG50" s="426"/>
      <c r="MIH50" s="426"/>
      <c r="MII50" s="426"/>
      <c r="MIJ50" s="426"/>
      <c r="MIK50" s="426"/>
      <c r="MIL50" s="426"/>
      <c r="MIM50" s="426"/>
      <c r="MIN50" s="426"/>
      <c r="MIO50" s="426"/>
      <c r="MIP50" s="426"/>
      <c r="MIQ50" s="426"/>
      <c r="MIR50" s="426"/>
      <c r="MIS50" s="426"/>
      <c r="MIT50" s="426"/>
      <c r="MIU50" s="426"/>
      <c r="MIV50" s="426"/>
      <c r="MIW50" s="426"/>
      <c r="MIX50" s="426"/>
      <c r="MIY50" s="426"/>
      <c r="MIZ50" s="426"/>
      <c r="MJA50" s="426"/>
      <c r="MJB50" s="426"/>
      <c r="MJC50" s="426"/>
      <c r="MJD50" s="426"/>
      <c r="MJE50" s="426"/>
      <c r="MJF50" s="426"/>
      <c r="MJG50" s="426"/>
      <c r="MJH50" s="426"/>
      <c r="MJI50" s="426"/>
      <c r="MJJ50" s="426"/>
      <c r="MJK50" s="426"/>
      <c r="MJL50" s="426"/>
      <c r="MJM50" s="426"/>
      <c r="MJN50" s="426"/>
      <c r="MJO50" s="426"/>
      <c r="MJP50" s="426"/>
      <c r="MJQ50" s="426"/>
      <c r="MJR50" s="426"/>
      <c r="MJS50" s="426"/>
      <c r="MJT50" s="426"/>
      <c r="MJU50" s="426"/>
      <c r="MJV50" s="426"/>
      <c r="MJW50" s="426"/>
      <c r="MJX50" s="426"/>
      <c r="MJY50" s="426"/>
      <c r="MJZ50" s="426"/>
      <c r="MKA50" s="426"/>
      <c r="MKB50" s="426"/>
      <c r="MKC50" s="426"/>
      <c r="MKD50" s="426"/>
      <c r="MKE50" s="426"/>
      <c r="MKF50" s="426"/>
      <c r="MKG50" s="426"/>
      <c r="MKH50" s="426"/>
      <c r="MKI50" s="426"/>
      <c r="MKJ50" s="426"/>
      <c r="MKK50" s="426"/>
      <c r="MKL50" s="426"/>
      <c r="MKM50" s="426"/>
      <c r="MKN50" s="426"/>
      <c r="MKO50" s="426"/>
      <c r="MKP50" s="426"/>
      <c r="MKQ50" s="426"/>
      <c r="MKR50" s="426"/>
      <c r="MKS50" s="426"/>
      <c r="MKT50" s="426"/>
      <c r="MKU50" s="426"/>
      <c r="MKV50" s="426"/>
      <c r="MKW50" s="426"/>
      <c r="MKX50" s="426"/>
      <c r="MKY50" s="426"/>
      <c r="MKZ50" s="426"/>
      <c r="MLA50" s="426"/>
      <c r="MLB50" s="426"/>
      <c r="MLC50" s="426"/>
      <c r="MLD50" s="426"/>
      <c r="MLE50" s="426"/>
      <c r="MLF50" s="426"/>
      <c r="MLG50" s="426"/>
      <c r="MLH50" s="426"/>
      <c r="MLI50" s="426"/>
      <c r="MLJ50" s="426"/>
      <c r="MLK50" s="426"/>
      <c r="MLL50" s="426"/>
      <c r="MLM50" s="426"/>
      <c r="MLN50" s="426"/>
      <c r="MLO50" s="426"/>
      <c r="MLP50" s="426"/>
      <c r="MLQ50" s="426"/>
      <c r="MLR50" s="426"/>
      <c r="MLS50" s="426"/>
      <c r="MLT50" s="426"/>
      <c r="MLU50" s="426"/>
      <c r="MLV50" s="426"/>
      <c r="MLW50" s="426"/>
      <c r="MLX50" s="426"/>
      <c r="MLY50" s="426"/>
      <c r="MLZ50" s="426"/>
      <c r="MMA50" s="426"/>
      <c r="MMB50" s="426"/>
      <c r="MMC50" s="426"/>
      <c r="MMD50" s="426"/>
      <c r="MME50" s="426"/>
      <c r="MMF50" s="426"/>
      <c r="MMG50" s="426"/>
      <c r="MMH50" s="426"/>
      <c r="MMI50" s="426"/>
      <c r="MMJ50" s="426"/>
      <c r="MMK50" s="426"/>
      <c r="MML50" s="426"/>
      <c r="MMM50" s="426"/>
      <c r="MMN50" s="426"/>
      <c r="MMO50" s="426"/>
      <c r="MMP50" s="426"/>
      <c r="MMQ50" s="426"/>
      <c r="MMR50" s="426"/>
      <c r="MMS50" s="426"/>
      <c r="MMT50" s="426"/>
      <c r="MMU50" s="426"/>
      <c r="MMV50" s="426"/>
      <c r="MMW50" s="426"/>
      <c r="MMX50" s="426"/>
      <c r="MMY50" s="426"/>
      <c r="MMZ50" s="426"/>
      <c r="MNA50" s="426"/>
      <c r="MNB50" s="426"/>
      <c r="MNC50" s="426"/>
      <c r="MND50" s="426"/>
      <c r="MNE50" s="426"/>
      <c r="MNF50" s="426"/>
      <c r="MNG50" s="426"/>
      <c r="MNH50" s="426"/>
      <c r="MNI50" s="426"/>
      <c r="MNJ50" s="426"/>
      <c r="MNK50" s="426"/>
      <c r="MNL50" s="426"/>
      <c r="MNM50" s="426"/>
      <c r="MNN50" s="426"/>
      <c r="MNO50" s="426"/>
      <c r="MNP50" s="426"/>
      <c r="MNQ50" s="426"/>
      <c r="MNR50" s="426"/>
      <c r="MNS50" s="426"/>
      <c r="MNT50" s="426"/>
      <c r="MNU50" s="426"/>
      <c r="MNV50" s="426"/>
      <c r="MNW50" s="426"/>
      <c r="MNX50" s="426"/>
      <c r="MNY50" s="426"/>
      <c r="MNZ50" s="426"/>
      <c r="MOA50" s="426"/>
      <c r="MOB50" s="426"/>
      <c r="MOC50" s="426"/>
      <c r="MOD50" s="426"/>
      <c r="MOE50" s="426"/>
      <c r="MOF50" s="426"/>
      <c r="MOG50" s="426"/>
      <c r="MOH50" s="426"/>
      <c r="MOI50" s="426"/>
      <c r="MOJ50" s="426"/>
      <c r="MOK50" s="426"/>
      <c r="MOL50" s="426"/>
      <c r="MOM50" s="426"/>
      <c r="MON50" s="426"/>
      <c r="MOO50" s="426"/>
      <c r="MOP50" s="426"/>
      <c r="MOQ50" s="426"/>
      <c r="MOR50" s="426"/>
      <c r="MOS50" s="426"/>
      <c r="MOT50" s="426"/>
      <c r="MOU50" s="426"/>
      <c r="MOV50" s="426"/>
      <c r="MOW50" s="426"/>
      <c r="MOX50" s="426"/>
      <c r="MOY50" s="426"/>
      <c r="MOZ50" s="426"/>
      <c r="MPA50" s="426"/>
      <c r="MPB50" s="426"/>
      <c r="MPC50" s="426"/>
      <c r="MPD50" s="426"/>
      <c r="MPE50" s="426"/>
      <c r="MPF50" s="426"/>
      <c r="MPG50" s="426"/>
      <c r="MPH50" s="426"/>
      <c r="MPI50" s="426"/>
      <c r="MPJ50" s="426"/>
      <c r="MPK50" s="426"/>
      <c r="MPL50" s="426"/>
      <c r="MPM50" s="426"/>
      <c r="MPN50" s="426"/>
      <c r="MPO50" s="426"/>
      <c r="MPP50" s="426"/>
      <c r="MPQ50" s="426"/>
      <c r="MPR50" s="426"/>
      <c r="MPS50" s="426"/>
      <c r="MPT50" s="426"/>
      <c r="MPU50" s="426"/>
      <c r="MPV50" s="426"/>
      <c r="MPW50" s="426"/>
      <c r="MPX50" s="426"/>
      <c r="MPY50" s="426"/>
      <c r="MPZ50" s="426"/>
      <c r="MQA50" s="426"/>
      <c r="MQB50" s="426"/>
      <c r="MQC50" s="426"/>
      <c r="MQD50" s="426"/>
      <c r="MQE50" s="426"/>
      <c r="MQF50" s="426"/>
      <c r="MQG50" s="426"/>
      <c r="MQH50" s="426"/>
      <c r="MQI50" s="426"/>
      <c r="MQJ50" s="426"/>
      <c r="MQK50" s="426"/>
      <c r="MQL50" s="426"/>
      <c r="MQM50" s="426"/>
      <c r="MQN50" s="426"/>
      <c r="MQO50" s="426"/>
      <c r="MQP50" s="426"/>
      <c r="MQQ50" s="426"/>
      <c r="MQR50" s="426"/>
      <c r="MQS50" s="426"/>
      <c r="MQT50" s="426"/>
      <c r="MQU50" s="426"/>
      <c r="MQV50" s="426"/>
      <c r="MQW50" s="426"/>
      <c r="MQX50" s="426"/>
      <c r="MQY50" s="426"/>
      <c r="MQZ50" s="426"/>
      <c r="MRA50" s="426"/>
      <c r="MRB50" s="426"/>
      <c r="MRC50" s="426"/>
      <c r="MRD50" s="426"/>
      <c r="MRE50" s="426"/>
      <c r="MRF50" s="426"/>
      <c r="MRG50" s="426"/>
      <c r="MRH50" s="426"/>
      <c r="MRI50" s="426"/>
      <c r="MRJ50" s="426"/>
      <c r="MRK50" s="426"/>
      <c r="MRL50" s="426"/>
      <c r="MRM50" s="426"/>
      <c r="MRN50" s="426"/>
      <c r="MRO50" s="426"/>
      <c r="MRP50" s="426"/>
      <c r="MRQ50" s="426"/>
      <c r="MRR50" s="426"/>
      <c r="MRS50" s="426"/>
      <c r="MRT50" s="426"/>
      <c r="MRU50" s="426"/>
      <c r="MRV50" s="426"/>
      <c r="MRW50" s="426"/>
      <c r="MRX50" s="426"/>
      <c r="MRY50" s="426"/>
      <c r="MRZ50" s="426"/>
      <c r="MSA50" s="426"/>
      <c r="MSB50" s="426"/>
      <c r="MSC50" s="426"/>
      <c r="MSD50" s="426"/>
      <c r="MSE50" s="426"/>
      <c r="MSF50" s="426"/>
      <c r="MSG50" s="426"/>
      <c r="MSH50" s="426"/>
      <c r="MSI50" s="426"/>
      <c r="MSJ50" s="426"/>
      <c r="MSK50" s="426"/>
      <c r="MSL50" s="426"/>
      <c r="MSM50" s="426"/>
      <c r="MSN50" s="426"/>
      <c r="MSO50" s="426"/>
      <c r="MSP50" s="426"/>
      <c r="MSQ50" s="426"/>
      <c r="MSR50" s="426"/>
      <c r="MSS50" s="426"/>
      <c r="MST50" s="426"/>
      <c r="MSU50" s="426"/>
      <c r="MSV50" s="426"/>
      <c r="MSW50" s="426"/>
      <c r="MSX50" s="426"/>
      <c r="MSY50" s="426"/>
      <c r="MSZ50" s="426"/>
      <c r="MTA50" s="426"/>
      <c r="MTB50" s="426"/>
      <c r="MTC50" s="426"/>
      <c r="MTD50" s="426"/>
      <c r="MTE50" s="426"/>
      <c r="MTF50" s="426"/>
      <c r="MTG50" s="426"/>
      <c r="MTH50" s="426"/>
      <c r="MTI50" s="426"/>
      <c r="MTJ50" s="426"/>
      <c r="MTK50" s="426"/>
      <c r="MTL50" s="426"/>
      <c r="MTM50" s="426"/>
      <c r="MTN50" s="426"/>
      <c r="MTO50" s="426"/>
      <c r="MTP50" s="426"/>
      <c r="MTQ50" s="426"/>
      <c r="MTR50" s="426"/>
      <c r="MTS50" s="426"/>
      <c r="MTT50" s="426"/>
      <c r="MTU50" s="426"/>
      <c r="MTV50" s="426"/>
      <c r="MTW50" s="426"/>
      <c r="MTX50" s="426"/>
      <c r="MTY50" s="426"/>
      <c r="MTZ50" s="426"/>
      <c r="MUA50" s="426"/>
      <c r="MUB50" s="426"/>
      <c r="MUC50" s="426"/>
      <c r="MUD50" s="426"/>
      <c r="MUE50" s="426"/>
      <c r="MUF50" s="426"/>
      <c r="MUG50" s="426"/>
      <c r="MUH50" s="426"/>
      <c r="MUI50" s="426"/>
      <c r="MUJ50" s="426"/>
      <c r="MUK50" s="426"/>
      <c r="MUL50" s="426"/>
      <c r="MUM50" s="426"/>
      <c r="MUN50" s="426"/>
      <c r="MUO50" s="426"/>
      <c r="MUP50" s="426"/>
      <c r="MUQ50" s="426"/>
      <c r="MUR50" s="426"/>
      <c r="MUS50" s="426"/>
      <c r="MUT50" s="426"/>
      <c r="MUU50" s="426"/>
      <c r="MUV50" s="426"/>
      <c r="MUW50" s="426"/>
      <c r="MUX50" s="426"/>
      <c r="MUY50" s="426"/>
      <c r="MUZ50" s="426"/>
      <c r="MVA50" s="426"/>
      <c r="MVB50" s="426"/>
      <c r="MVC50" s="426"/>
      <c r="MVD50" s="426"/>
      <c r="MVE50" s="426"/>
      <c r="MVF50" s="426"/>
      <c r="MVG50" s="426"/>
      <c r="MVH50" s="426"/>
      <c r="MVI50" s="426"/>
      <c r="MVJ50" s="426"/>
      <c r="MVK50" s="426"/>
      <c r="MVL50" s="426"/>
      <c r="MVM50" s="426"/>
      <c r="MVN50" s="426"/>
      <c r="MVO50" s="426"/>
      <c r="MVP50" s="426"/>
      <c r="MVQ50" s="426"/>
      <c r="MVR50" s="426"/>
      <c r="MVS50" s="426"/>
      <c r="MVT50" s="426"/>
      <c r="MVU50" s="426"/>
      <c r="MVV50" s="426"/>
      <c r="MVW50" s="426"/>
      <c r="MVX50" s="426"/>
      <c r="MVY50" s="426"/>
      <c r="MVZ50" s="426"/>
      <c r="MWA50" s="426"/>
      <c r="MWB50" s="426"/>
      <c r="MWC50" s="426"/>
      <c r="MWD50" s="426"/>
      <c r="MWE50" s="426"/>
      <c r="MWF50" s="426"/>
      <c r="MWG50" s="426"/>
      <c r="MWH50" s="426"/>
      <c r="MWI50" s="426"/>
      <c r="MWJ50" s="426"/>
      <c r="MWK50" s="426"/>
      <c r="MWL50" s="426"/>
      <c r="MWM50" s="426"/>
      <c r="MWN50" s="426"/>
      <c r="MWO50" s="426"/>
      <c r="MWP50" s="426"/>
      <c r="MWQ50" s="426"/>
      <c r="MWR50" s="426"/>
      <c r="MWS50" s="426"/>
      <c r="MWT50" s="426"/>
      <c r="MWU50" s="426"/>
      <c r="MWV50" s="426"/>
      <c r="MWW50" s="426"/>
      <c r="MWX50" s="426"/>
      <c r="MWY50" s="426"/>
      <c r="MWZ50" s="426"/>
      <c r="MXA50" s="426"/>
      <c r="MXB50" s="426"/>
      <c r="MXC50" s="426"/>
      <c r="MXD50" s="426"/>
      <c r="MXE50" s="426"/>
      <c r="MXF50" s="426"/>
      <c r="MXG50" s="426"/>
      <c r="MXH50" s="426"/>
      <c r="MXI50" s="426"/>
      <c r="MXJ50" s="426"/>
      <c r="MXK50" s="426"/>
      <c r="MXL50" s="426"/>
      <c r="MXM50" s="426"/>
      <c r="MXN50" s="426"/>
      <c r="MXO50" s="426"/>
      <c r="MXP50" s="426"/>
      <c r="MXQ50" s="426"/>
      <c r="MXR50" s="426"/>
      <c r="MXS50" s="426"/>
      <c r="MXT50" s="426"/>
      <c r="MXU50" s="426"/>
      <c r="MXV50" s="426"/>
      <c r="MXW50" s="426"/>
      <c r="MXX50" s="426"/>
      <c r="MXY50" s="426"/>
      <c r="MXZ50" s="426"/>
      <c r="MYA50" s="426"/>
      <c r="MYB50" s="426"/>
      <c r="MYC50" s="426"/>
      <c r="MYD50" s="426"/>
      <c r="MYE50" s="426"/>
      <c r="MYF50" s="426"/>
      <c r="MYG50" s="426"/>
      <c r="MYH50" s="426"/>
      <c r="MYI50" s="426"/>
      <c r="MYJ50" s="426"/>
      <c r="MYK50" s="426"/>
      <c r="MYL50" s="426"/>
      <c r="MYM50" s="426"/>
      <c r="MYN50" s="426"/>
      <c r="MYO50" s="426"/>
      <c r="MYP50" s="426"/>
      <c r="MYQ50" s="426"/>
      <c r="MYR50" s="426"/>
      <c r="MYS50" s="426"/>
      <c r="MYT50" s="426"/>
      <c r="MYU50" s="426"/>
      <c r="MYV50" s="426"/>
      <c r="MYW50" s="426"/>
      <c r="MYX50" s="426"/>
      <c r="MYY50" s="426"/>
      <c r="MYZ50" s="426"/>
      <c r="MZA50" s="426"/>
      <c r="MZB50" s="426"/>
      <c r="MZC50" s="426"/>
      <c r="MZD50" s="426"/>
      <c r="MZE50" s="426"/>
      <c r="MZF50" s="426"/>
      <c r="MZG50" s="426"/>
      <c r="MZH50" s="426"/>
      <c r="MZI50" s="426"/>
      <c r="MZJ50" s="426"/>
      <c r="MZK50" s="426"/>
      <c r="MZL50" s="426"/>
      <c r="MZM50" s="426"/>
      <c r="MZN50" s="426"/>
      <c r="MZO50" s="426"/>
      <c r="MZP50" s="426"/>
      <c r="MZQ50" s="426"/>
      <c r="MZR50" s="426"/>
      <c r="MZS50" s="426"/>
      <c r="MZT50" s="426"/>
      <c r="MZU50" s="426"/>
      <c r="MZV50" s="426"/>
      <c r="MZW50" s="426"/>
      <c r="MZX50" s="426"/>
      <c r="MZY50" s="426"/>
      <c r="MZZ50" s="426"/>
      <c r="NAA50" s="426"/>
      <c r="NAB50" s="426"/>
      <c r="NAC50" s="426"/>
      <c r="NAD50" s="426"/>
      <c r="NAE50" s="426"/>
      <c r="NAF50" s="426"/>
      <c r="NAG50" s="426"/>
      <c r="NAH50" s="426"/>
      <c r="NAI50" s="426"/>
      <c r="NAJ50" s="426"/>
      <c r="NAK50" s="426"/>
      <c r="NAL50" s="426"/>
      <c r="NAM50" s="426"/>
      <c r="NAN50" s="426"/>
      <c r="NAO50" s="426"/>
      <c r="NAP50" s="426"/>
      <c r="NAQ50" s="426"/>
      <c r="NAR50" s="426"/>
      <c r="NAS50" s="426"/>
      <c r="NAT50" s="426"/>
      <c r="NAU50" s="426"/>
      <c r="NAV50" s="426"/>
      <c r="NAW50" s="426"/>
      <c r="NAX50" s="426"/>
      <c r="NAY50" s="426"/>
      <c r="NAZ50" s="426"/>
      <c r="NBA50" s="426"/>
      <c r="NBB50" s="426"/>
      <c r="NBC50" s="426"/>
      <c r="NBD50" s="426"/>
      <c r="NBE50" s="426"/>
      <c r="NBF50" s="426"/>
      <c r="NBG50" s="426"/>
      <c r="NBH50" s="426"/>
      <c r="NBI50" s="426"/>
      <c r="NBJ50" s="426"/>
      <c r="NBK50" s="426"/>
      <c r="NBL50" s="426"/>
      <c r="NBM50" s="426"/>
      <c r="NBN50" s="426"/>
      <c r="NBO50" s="426"/>
      <c r="NBP50" s="426"/>
      <c r="NBQ50" s="426"/>
      <c r="NBR50" s="426"/>
      <c r="NBS50" s="426"/>
      <c r="NBT50" s="426"/>
      <c r="NBU50" s="426"/>
      <c r="NBV50" s="426"/>
      <c r="NBW50" s="426"/>
      <c r="NBX50" s="426"/>
      <c r="NBY50" s="426"/>
      <c r="NBZ50" s="426"/>
      <c r="NCA50" s="426"/>
      <c r="NCB50" s="426"/>
      <c r="NCC50" s="426"/>
      <c r="NCD50" s="426"/>
      <c r="NCE50" s="426"/>
      <c r="NCF50" s="426"/>
      <c r="NCG50" s="426"/>
      <c r="NCH50" s="426"/>
      <c r="NCI50" s="426"/>
      <c r="NCJ50" s="426"/>
      <c r="NCK50" s="426"/>
      <c r="NCL50" s="426"/>
      <c r="NCM50" s="426"/>
      <c r="NCN50" s="426"/>
      <c r="NCO50" s="426"/>
      <c r="NCP50" s="426"/>
      <c r="NCQ50" s="426"/>
      <c r="NCR50" s="426"/>
      <c r="NCS50" s="426"/>
      <c r="NCT50" s="426"/>
      <c r="NCU50" s="426"/>
      <c r="NCV50" s="426"/>
      <c r="NCW50" s="426"/>
      <c r="NCX50" s="426"/>
      <c r="NCY50" s="426"/>
      <c r="NCZ50" s="426"/>
      <c r="NDA50" s="426"/>
      <c r="NDB50" s="426"/>
      <c r="NDC50" s="426"/>
      <c r="NDD50" s="426"/>
      <c r="NDE50" s="426"/>
      <c r="NDF50" s="426"/>
      <c r="NDG50" s="426"/>
      <c r="NDH50" s="426"/>
      <c r="NDI50" s="426"/>
      <c r="NDJ50" s="426"/>
      <c r="NDK50" s="426"/>
      <c r="NDL50" s="426"/>
      <c r="NDM50" s="426"/>
      <c r="NDN50" s="426"/>
      <c r="NDO50" s="426"/>
      <c r="NDP50" s="426"/>
      <c r="NDQ50" s="426"/>
      <c r="NDR50" s="426"/>
      <c r="NDS50" s="426"/>
      <c r="NDT50" s="426"/>
      <c r="NDU50" s="426"/>
      <c r="NDV50" s="426"/>
      <c r="NDW50" s="426"/>
      <c r="NDX50" s="426"/>
      <c r="NDY50" s="426"/>
      <c r="NDZ50" s="426"/>
      <c r="NEA50" s="426"/>
      <c r="NEB50" s="426"/>
      <c r="NEC50" s="426"/>
      <c r="NED50" s="426"/>
      <c r="NEE50" s="426"/>
      <c r="NEF50" s="426"/>
      <c r="NEG50" s="426"/>
      <c r="NEH50" s="426"/>
      <c r="NEI50" s="426"/>
      <c r="NEJ50" s="426"/>
      <c r="NEK50" s="426"/>
      <c r="NEL50" s="426"/>
      <c r="NEM50" s="426"/>
      <c r="NEN50" s="426"/>
      <c r="NEO50" s="426"/>
      <c r="NEP50" s="426"/>
      <c r="NEQ50" s="426"/>
      <c r="NER50" s="426"/>
      <c r="NES50" s="426"/>
      <c r="NET50" s="426"/>
      <c r="NEU50" s="426"/>
      <c r="NEV50" s="426"/>
      <c r="NEW50" s="426"/>
      <c r="NEX50" s="426"/>
      <c r="NEY50" s="426"/>
      <c r="NEZ50" s="426"/>
      <c r="NFA50" s="426"/>
      <c r="NFB50" s="426"/>
      <c r="NFC50" s="426"/>
      <c r="NFD50" s="426"/>
      <c r="NFE50" s="426"/>
      <c r="NFF50" s="426"/>
      <c r="NFG50" s="426"/>
      <c r="NFH50" s="426"/>
      <c r="NFI50" s="426"/>
      <c r="NFJ50" s="426"/>
      <c r="NFK50" s="426"/>
      <c r="NFL50" s="426"/>
      <c r="NFM50" s="426"/>
      <c r="NFN50" s="426"/>
      <c r="NFO50" s="426"/>
      <c r="NFP50" s="426"/>
      <c r="NFQ50" s="426"/>
      <c r="NFR50" s="426"/>
      <c r="NFS50" s="426"/>
      <c r="NFT50" s="426"/>
      <c r="NFU50" s="426"/>
      <c r="NFV50" s="426"/>
      <c r="NFW50" s="426"/>
      <c r="NFX50" s="426"/>
      <c r="NFY50" s="426"/>
      <c r="NFZ50" s="426"/>
      <c r="NGA50" s="426"/>
      <c r="NGB50" s="426"/>
      <c r="NGC50" s="426"/>
      <c r="NGD50" s="426"/>
      <c r="NGE50" s="426"/>
      <c r="NGF50" s="426"/>
      <c r="NGG50" s="426"/>
      <c r="NGH50" s="426"/>
      <c r="NGI50" s="426"/>
      <c r="NGJ50" s="426"/>
      <c r="NGK50" s="426"/>
      <c r="NGL50" s="426"/>
      <c r="NGM50" s="426"/>
      <c r="NGN50" s="426"/>
      <c r="NGO50" s="426"/>
      <c r="NGP50" s="426"/>
      <c r="NGQ50" s="426"/>
      <c r="NGR50" s="426"/>
      <c r="NGS50" s="426"/>
      <c r="NGT50" s="426"/>
      <c r="NGU50" s="426"/>
      <c r="NGV50" s="426"/>
      <c r="NGW50" s="426"/>
      <c r="NGX50" s="426"/>
      <c r="NGY50" s="426"/>
      <c r="NGZ50" s="426"/>
      <c r="NHA50" s="426"/>
      <c r="NHB50" s="426"/>
      <c r="NHC50" s="426"/>
      <c r="NHD50" s="426"/>
      <c r="NHE50" s="426"/>
      <c r="NHF50" s="426"/>
      <c r="NHG50" s="426"/>
      <c r="NHH50" s="426"/>
      <c r="NHI50" s="426"/>
      <c r="NHJ50" s="426"/>
      <c r="NHK50" s="426"/>
      <c r="NHL50" s="426"/>
      <c r="NHM50" s="426"/>
      <c r="NHN50" s="426"/>
      <c r="NHO50" s="426"/>
      <c r="NHP50" s="426"/>
      <c r="NHQ50" s="426"/>
      <c r="NHR50" s="426"/>
      <c r="NHS50" s="426"/>
      <c r="NHT50" s="426"/>
      <c r="NHU50" s="426"/>
      <c r="NHV50" s="426"/>
      <c r="NHW50" s="426"/>
      <c r="NHX50" s="426"/>
      <c r="NHY50" s="426"/>
      <c r="NHZ50" s="426"/>
      <c r="NIA50" s="426"/>
      <c r="NIB50" s="426"/>
      <c r="NIC50" s="426"/>
      <c r="NID50" s="426"/>
      <c r="NIE50" s="426"/>
      <c r="NIF50" s="426"/>
      <c r="NIG50" s="426"/>
      <c r="NIH50" s="426"/>
      <c r="NII50" s="426"/>
      <c r="NIJ50" s="426"/>
      <c r="NIK50" s="426"/>
      <c r="NIL50" s="426"/>
      <c r="NIM50" s="426"/>
      <c r="NIN50" s="426"/>
      <c r="NIO50" s="426"/>
      <c r="NIP50" s="426"/>
      <c r="NIQ50" s="426"/>
      <c r="NIR50" s="426"/>
      <c r="NIS50" s="426"/>
      <c r="NIT50" s="426"/>
      <c r="NIU50" s="426"/>
      <c r="NIV50" s="426"/>
      <c r="NIW50" s="426"/>
      <c r="NIX50" s="426"/>
      <c r="NIY50" s="426"/>
      <c r="NIZ50" s="426"/>
      <c r="NJA50" s="426"/>
      <c r="NJB50" s="426"/>
      <c r="NJC50" s="426"/>
      <c r="NJD50" s="426"/>
      <c r="NJE50" s="426"/>
      <c r="NJF50" s="426"/>
      <c r="NJG50" s="426"/>
      <c r="NJH50" s="426"/>
      <c r="NJI50" s="426"/>
      <c r="NJJ50" s="426"/>
      <c r="NJK50" s="426"/>
      <c r="NJL50" s="426"/>
      <c r="NJM50" s="426"/>
      <c r="NJN50" s="426"/>
      <c r="NJO50" s="426"/>
      <c r="NJP50" s="426"/>
      <c r="NJQ50" s="426"/>
      <c r="NJR50" s="426"/>
      <c r="NJS50" s="426"/>
      <c r="NJT50" s="426"/>
      <c r="NJU50" s="426"/>
      <c r="NJV50" s="426"/>
      <c r="NJW50" s="426"/>
      <c r="NJX50" s="426"/>
      <c r="NJY50" s="426"/>
      <c r="NJZ50" s="426"/>
      <c r="NKA50" s="426"/>
      <c r="NKB50" s="426"/>
      <c r="NKC50" s="426"/>
      <c r="NKD50" s="426"/>
      <c r="NKE50" s="426"/>
      <c r="NKF50" s="426"/>
      <c r="NKG50" s="426"/>
      <c r="NKH50" s="426"/>
      <c r="NKI50" s="426"/>
      <c r="NKJ50" s="426"/>
      <c r="NKK50" s="426"/>
      <c r="NKL50" s="426"/>
      <c r="NKM50" s="426"/>
      <c r="NKN50" s="426"/>
      <c r="NKO50" s="426"/>
      <c r="NKP50" s="426"/>
      <c r="NKQ50" s="426"/>
      <c r="NKR50" s="426"/>
      <c r="NKS50" s="426"/>
      <c r="NKT50" s="426"/>
      <c r="NKU50" s="426"/>
      <c r="NKV50" s="426"/>
      <c r="NKW50" s="426"/>
      <c r="NKX50" s="426"/>
      <c r="NKY50" s="426"/>
      <c r="NKZ50" s="426"/>
      <c r="NLA50" s="426"/>
      <c r="NLB50" s="426"/>
      <c r="NLC50" s="426"/>
      <c r="NLD50" s="426"/>
      <c r="NLE50" s="426"/>
      <c r="NLF50" s="426"/>
      <c r="NLG50" s="426"/>
      <c r="NLH50" s="426"/>
      <c r="NLI50" s="426"/>
      <c r="NLJ50" s="426"/>
      <c r="NLK50" s="426"/>
      <c r="NLL50" s="426"/>
      <c r="NLM50" s="426"/>
      <c r="NLN50" s="426"/>
      <c r="NLO50" s="426"/>
      <c r="NLP50" s="426"/>
      <c r="NLQ50" s="426"/>
      <c r="NLR50" s="426"/>
      <c r="NLS50" s="426"/>
      <c r="NLT50" s="426"/>
      <c r="NLU50" s="426"/>
      <c r="NLV50" s="426"/>
      <c r="NLW50" s="426"/>
      <c r="NLX50" s="426"/>
      <c r="NLY50" s="426"/>
      <c r="NLZ50" s="426"/>
      <c r="NMA50" s="426"/>
      <c r="NMB50" s="426"/>
      <c r="NMC50" s="426"/>
      <c r="NMD50" s="426"/>
      <c r="NME50" s="426"/>
      <c r="NMF50" s="426"/>
      <c r="NMG50" s="426"/>
      <c r="NMH50" s="426"/>
      <c r="NMI50" s="426"/>
      <c r="NMJ50" s="426"/>
      <c r="NMK50" s="426"/>
      <c r="NML50" s="426"/>
      <c r="NMM50" s="426"/>
      <c r="NMN50" s="426"/>
      <c r="NMO50" s="426"/>
      <c r="NMP50" s="426"/>
      <c r="NMQ50" s="426"/>
      <c r="NMR50" s="426"/>
      <c r="NMS50" s="426"/>
      <c r="NMT50" s="426"/>
      <c r="NMU50" s="426"/>
      <c r="NMV50" s="426"/>
      <c r="NMW50" s="426"/>
      <c r="NMX50" s="426"/>
      <c r="NMY50" s="426"/>
      <c r="NMZ50" s="426"/>
      <c r="NNA50" s="426"/>
      <c r="NNB50" s="426"/>
      <c r="NNC50" s="426"/>
      <c r="NND50" s="426"/>
      <c r="NNE50" s="426"/>
      <c r="NNF50" s="426"/>
      <c r="NNG50" s="426"/>
      <c r="NNH50" s="426"/>
      <c r="NNI50" s="426"/>
      <c r="NNJ50" s="426"/>
      <c r="NNK50" s="426"/>
      <c r="NNL50" s="426"/>
      <c r="NNM50" s="426"/>
      <c r="NNN50" s="426"/>
      <c r="NNO50" s="426"/>
      <c r="NNP50" s="426"/>
      <c r="NNQ50" s="426"/>
      <c r="NNR50" s="426"/>
      <c r="NNS50" s="426"/>
      <c r="NNT50" s="426"/>
      <c r="NNU50" s="426"/>
      <c r="NNV50" s="426"/>
      <c r="NNW50" s="426"/>
      <c r="NNX50" s="426"/>
      <c r="NNY50" s="426"/>
      <c r="NNZ50" s="426"/>
      <c r="NOA50" s="426"/>
      <c r="NOB50" s="426"/>
      <c r="NOC50" s="426"/>
      <c r="NOD50" s="426"/>
      <c r="NOE50" s="426"/>
      <c r="NOF50" s="426"/>
      <c r="NOG50" s="426"/>
      <c r="NOH50" s="426"/>
      <c r="NOI50" s="426"/>
      <c r="NOJ50" s="426"/>
      <c r="NOK50" s="426"/>
      <c r="NOL50" s="426"/>
      <c r="NOM50" s="426"/>
      <c r="NON50" s="426"/>
      <c r="NOO50" s="426"/>
      <c r="NOP50" s="426"/>
      <c r="NOQ50" s="426"/>
      <c r="NOR50" s="426"/>
      <c r="NOS50" s="426"/>
      <c r="NOT50" s="426"/>
      <c r="NOU50" s="426"/>
      <c r="NOV50" s="426"/>
      <c r="NOW50" s="426"/>
      <c r="NOX50" s="426"/>
      <c r="NOY50" s="426"/>
      <c r="NOZ50" s="426"/>
      <c r="NPA50" s="426"/>
      <c r="NPB50" s="426"/>
      <c r="NPC50" s="426"/>
      <c r="NPD50" s="426"/>
      <c r="NPE50" s="426"/>
      <c r="NPF50" s="426"/>
      <c r="NPG50" s="426"/>
      <c r="NPH50" s="426"/>
      <c r="NPI50" s="426"/>
      <c r="NPJ50" s="426"/>
      <c r="NPK50" s="426"/>
      <c r="NPL50" s="426"/>
      <c r="NPM50" s="426"/>
      <c r="NPN50" s="426"/>
      <c r="NPO50" s="426"/>
      <c r="NPP50" s="426"/>
      <c r="NPQ50" s="426"/>
      <c r="NPR50" s="426"/>
      <c r="NPS50" s="426"/>
      <c r="NPT50" s="426"/>
      <c r="NPU50" s="426"/>
      <c r="NPV50" s="426"/>
      <c r="NPW50" s="426"/>
      <c r="NPX50" s="426"/>
      <c r="NPY50" s="426"/>
      <c r="NPZ50" s="426"/>
      <c r="NQA50" s="426"/>
      <c r="NQB50" s="426"/>
      <c r="NQC50" s="426"/>
      <c r="NQD50" s="426"/>
      <c r="NQE50" s="426"/>
      <c r="NQF50" s="426"/>
      <c r="NQG50" s="426"/>
      <c r="NQH50" s="426"/>
      <c r="NQI50" s="426"/>
      <c r="NQJ50" s="426"/>
      <c r="NQK50" s="426"/>
      <c r="NQL50" s="426"/>
      <c r="NQM50" s="426"/>
      <c r="NQN50" s="426"/>
      <c r="NQO50" s="426"/>
      <c r="NQP50" s="426"/>
      <c r="NQQ50" s="426"/>
      <c r="NQR50" s="426"/>
      <c r="NQS50" s="426"/>
      <c r="NQT50" s="426"/>
      <c r="NQU50" s="426"/>
      <c r="NQV50" s="426"/>
      <c r="NQW50" s="426"/>
      <c r="NQX50" s="426"/>
      <c r="NQY50" s="426"/>
      <c r="NQZ50" s="426"/>
      <c r="NRA50" s="426"/>
      <c r="NRB50" s="426"/>
      <c r="NRC50" s="426"/>
      <c r="NRD50" s="426"/>
      <c r="NRE50" s="426"/>
      <c r="NRF50" s="426"/>
      <c r="NRG50" s="426"/>
      <c r="NRH50" s="426"/>
      <c r="NRI50" s="426"/>
      <c r="NRJ50" s="426"/>
      <c r="NRK50" s="426"/>
      <c r="NRL50" s="426"/>
      <c r="NRM50" s="426"/>
      <c r="NRN50" s="426"/>
      <c r="NRO50" s="426"/>
      <c r="NRP50" s="426"/>
      <c r="NRQ50" s="426"/>
      <c r="NRR50" s="426"/>
      <c r="NRS50" s="426"/>
      <c r="NRT50" s="426"/>
      <c r="NRU50" s="426"/>
      <c r="NRV50" s="426"/>
      <c r="NRW50" s="426"/>
      <c r="NRX50" s="426"/>
      <c r="NRY50" s="426"/>
      <c r="NRZ50" s="426"/>
      <c r="NSA50" s="426"/>
      <c r="NSB50" s="426"/>
      <c r="NSC50" s="426"/>
      <c r="NSD50" s="426"/>
      <c r="NSE50" s="426"/>
      <c r="NSF50" s="426"/>
      <c r="NSG50" s="426"/>
      <c r="NSH50" s="426"/>
      <c r="NSI50" s="426"/>
      <c r="NSJ50" s="426"/>
      <c r="NSK50" s="426"/>
      <c r="NSL50" s="426"/>
      <c r="NSM50" s="426"/>
      <c r="NSN50" s="426"/>
      <c r="NSO50" s="426"/>
      <c r="NSP50" s="426"/>
      <c r="NSQ50" s="426"/>
      <c r="NSR50" s="426"/>
      <c r="NSS50" s="426"/>
      <c r="NST50" s="426"/>
      <c r="NSU50" s="426"/>
      <c r="NSV50" s="426"/>
      <c r="NSW50" s="426"/>
      <c r="NSX50" s="426"/>
      <c r="NSY50" s="426"/>
      <c r="NSZ50" s="426"/>
      <c r="NTA50" s="426"/>
      <c r="NTB50" s="426"/>
      <c r="NTC50" s="426"/>
      <c r="NTD50" s="426"/>
      <c r="NTE50" s="426"/>
      <c r="NTF50" s="426"/>
      <c r="NTG50" s="426"/>
      <c r="NTH50" s="426"/>
      <c r="NTI50" s="426"/>
      <c r="NTJ50" s="426"/>
      <c r="NTK50" s="426"/>
      <c r="NTL50" s="426"/>
      <c r="NTM50" s="426"/>
      <c r="NTN50" s="426"/>
      <c r="NTO50" s="426"/>
      <c r="NTP50" s="426"/>
      <c r="NTQ50" s="426"/>
      <c r="NTR50" s="426"/>
      <c r="NTS50" s="426"/>
      <c r="NTT50" s="426"/>
      <c r="NTU50" s="426"/>
      <c r="NTV50" s="426"/>
      <c r="NTW50" s="426"/>
      <c r="NTX50" s="426"/>
      <c r="NTY50" s="426"/>
      <c r="NTZ50" s="426"/>
      <c r="NUA50" s="426"/>
      <c r="NUB50" s="426"/>
      <c r="NUC50" s="426"/>
      <c r="NUD50" s="426"/>
      <c r="NUE50" s="426"/>
      <c r="NUF50" s="426"/>
      <c r="NUG50" s="426"/>
      <c r="NUH50" s="426"/>
      <c r="NUI50" s="426"/>
      <c r="NUJ50" s="426"/>
      <c r="NUK50" s="426"/>
      <c r="NUL50" s="426"/>
      <c r="NUM50" s="426"/>
      <c r="NUN50" s="426"/>
      <c r="NUO50" s="426"/>
      <c r="NUP50" s="426"/>
      <c r="NUQ50" s="426"/>
      <c r="NUR50" s="426"/>
      <c r="NUS50" s="426"/>
      <c r="NUT50" s="426"/>
      <c r="NUU50" s="426"/>
      <c r="NUV50" s="426"/>
      <c r="NUW50" s="426"/>
      <c r="NUX50" s="426"/>
      <c r="NUY50" s="426"/>
      <c r="NUZ50" s="426"/>
      <c r="NVA50" s="426"/>
      <c r="NVB50" s="426"/>
      <c r="NVC50" s="426"/>
      <c r="NVD50" s="426"/>
      <c r="NVE50" s="426"/>
      <c r="NVF50" s="426"/>
      <c r="NVG50" s="426"/>
      <c r="NVH50" s="426"/>
      <c r="NVI50" s="426"/>
      <c r="NVJ50" s="426"/>
      <c r="NVK50" s="426"/>
      <c r="NVL50" s="426"/>
      <c r="NVM50" s="426"/>
      <c r="NVN50" s="426"/>
      <c r="NVO50" s="426"/>
      <c r="NVP50" s="426"/>
      <c r="NVQ50" s="426"/>
      <c r="NVR50" s="426"/>
      <c r="NVS50" s="426"/>
      <c r="NVT50" s="426"/>
      <c r="NVU50" s="426"/>
      <c r="NVV50" s="426"/>
      <c r="NVW50" s="426"/>
      <c r="NVX50" s="426"/>
      <c r="NVY50" s="426"/>
      <c r="NVZ50" s="426"/>
      <c r="NWA50" s="426"/>
      <c r="NWB50" s="426"/>
      <c r="NWC50" s="426"/>
      <c r="NWD50" s="426"/>
      <c r="NWE50" s="426"/>
      <c r="NWF50" s="426"/>
      <c r="NWG50" s="426"/>
      <c r="NWH50" s="426"/>
      <c r="NWI50" s="426"/>
      <c r="NWJ50" s="426"/>
      <c r="NWK50" s="426"/>
      <c r="NWL50" s="426"/>
      <c r="NWM50" s="426"/>
      <c r="NWN50" s="426"/>
      <c r="NWO50" s="426"/>
      <c r="NWP50" s="426"/>
      <c r="NWQ50" s="426"/>
      <c r="NWR50" s="426"/>
      <c r="NWS50" s="426"/>
      <c r="NWT50" s="426"/>
      <c r="NWU50" s="426"/>
      <c r="NWV50" s="426"/>
      <c r="NWW50" s="426"/>
      <c r="NWX50" s="426"/>
      <c r="NWY50" s="426"/>
      <c r="NWZ50" s="426"/>
      <c r="NXA50" s="426"/>
      <c r="NXB50" s="426"/>
      <c r="NXC50" s="426"/>
      <c r="NXD50" s="426"/>
      <c r="NXE50" s="426"/>
      <c r="NXF50" s="426"/>
      <c r="NXG50" s="426"/>
      <c r="NXH50" s="426"/>
      <c r="NXI50" s="426"/>
      <c r="NXJ50" s="426"/>
      <c r="NXK50" s="426"/>
      <c r="NXL50" s="426"/>
      <c r="NXM50" s="426"/>
      <c r="NXN50" s="426"/>
      <c r="NXO50" s="426"/>
      <c r="NXP50" s="426"/>
      <c r="NXQ50" s="426"/>
      <c r="NXR50" s="426"/>
      <c r="NXS50" s="426"/>
      <c r="NXT50" s="426"/>
      <c r="NXU50" s="426"/>
      <c r="NXV50" s="426"/>
      <c r="NXW50" s="426"/>
      <c r="NXX50" s="426"/>
      <c r="NXY50" s="426"/>
      <c r="NXZ50" s="426"/>
      <c r="NYA50" s="426"/>
      <c r="NYB50" s="426"/>
      <c r="NYC50" s="426"/>
      <c r="NYD50" s="426"/>
      <c r="NYE50" s="426"/>
      <c r="NYF50" s="426"/>
      <c r="NYG50" s="426"/>
      <c r="NYH50" s="426"/>
      <c r="NYI50" s="426"/>
      <c r="NYJ50" s="426"/>
      <c r="NYK50" s="426"/>
      <c r="NYL50" s="426"/>
      <c r="NYM50" s="426"/>
      <c r="NYN50" s="426"/>
      <c r="NYO50" s="426"/>
      <c r="NYP50" s="426"/>
      <c r="NYQ50" s="426"/>
      <c r="NYR50" s="426"/>
      <c r="NYS50" s="426"/>
      <c r="NYT50" s="426"/>
      <c r="NYU50" s="426"/>
      <c r="NYV50" s="426"/>
      <c r="NYW50" s="426"/>
      <c r="NYX50" s="426"/>
      <c r="NYY50" s="426"/>
      <c r="NYZ50" s="426"/>
      <c r="NZA50" s="426"/>
      <c r="NZB50" s="426"/>
      <c r="NZC50" s="426"/>
      <c r="NZD50" s="426"/>
      <c r="NZE50" s="426"/>
      <c r="NZF50" s="426"/>
      <c r="NZG50" s="426"/>
      <c r="NZH50" s="426"/>
      <c r="NZI50" s="426"/>
      <c r="NZJ50" s="426"/>
      <c r="NZK50" s="426"/>
      <c r="NZL50" s="426"/>
      <c r="NZM50" s="426"/>
      <c r="NZN50" s="426"/>
      <c r="NZO50" s="426"/>
      <c r="NZP50" s="426"/>
      <c r="NZQ50" s="426"/>
      <c r="NZR50" s="426"/>
      <c r="NZS50" s="426"/>
      <c r="NZT50" s="426"/>
      <c r="NZU50" s="426"/>
      <c r="NZV50" s="426"/>
      <c r="NZW50" s="426"/>
      <c r="NZX50" s="426"/>
      <c r="NZY50" s="426"/>
      <c r="NZZ50" s="426"/>
      <c r="OAA50" s="426"/>
      <c r="OAB50" s="426"/>
      <c r="OAC50" s="426"/>
      <c r="OAD50" s="426"/>
      <c r="OAE50" s="426"/>
      <c r="OAF50" s="426"/>
      <c r="OAG50" s="426"/>
      <c r="OAH50" s="426"/>
      <c r="OAI50" s="426"/>
      <c r="OAJ50" s="426"/>
      <c r="OAK50" s="426"/>
      <c r="OAL50" s="426"/>
      <c r="OAM50" s="426"/>
      <c r="OAN50" s="426"/>
      <c r="OAO50" s="426"/>
      <c r="OAP50" s="426"/>
      <c r="OAQ50" s="426"/>
      <c r="OAR50" s="426"/>
      <c r="OAS50" s="426"/>
      <c r="OAT50" s="426"/>
      <c r="OAU50" s="426"/>
      <c r="OAV50" s="426"/>
      <c r="OAW50" s="426"/>
      <c r="OAX50" s="426"/>
      <c r="OAY50" s="426"/>
      <c r="OAZ50" s="426"/>
      <c r="OBA50" s="426"/>
      <c r="OBB50" s="426"/>
      <c r="OBC50" s="426"/>
      <c r="OBD50" s="426"/>
      <c r="OBE50" s="426"/>
      <c r="OBF50" s="426"/>
      <c r="OBG50" s="426"/>
      <c r="OBH50" s="426"/>
      <c r="OBI50" s="426"/>
      <c r="OBJ50" s="426"/>
      <c r="OBK50" s="426"/>
      <c r="OBL50" s="426"/>
      <c r="OBM50" s="426"/>
      <c r="OBN50" s="426"/>
      <c r="OBO50" s="426"/>
      <c r="OBP50" s="426"/>
      <c r="OBQ50" s="426"/>
      <c r="OBR50" s="426"/>
      <c r="OBS50" s="426"/>
      <c r="OBT50" s="426"/>
      <c r="OBU50" s="426"/>
      <c r="OBV50" s="426"/>
      <c r="OBW50" s="426"/>
      <c r="OBX50" s="426"/>
      <c r="OBY50" s="426"/>
      <c r="OBZ50" s="426"/>
      <c r="OCA50" s="426"/>
      <c r="OCB50" s="426"/>
      <c r="OCC50" s="426"/>
      <c r="OCD50" s="426"/>
      <c r="OCE50" s="426"/>
      <c r="OCF50" s="426"/>
      <c r="OCG50" s="426"/>
      <c r="OCH50" s="426"/>
      <c r="OCI50" s="426"/>
      <c r="OCJ50" s="426"/>
      <c r="OCK50" s="426"/>
      <c r="OCL50" s="426"/>
      <c r="OCM50" s="426"/>
      <c r="OCN50" s="426"/>
      <c r="OCO50" s="426"/>
      <c r="OCP50" s="426"/>
      <c r="OCQ50" s="426"/>
      <c r="OCR50" s="426"/>
      <c r="OCS50" s="426"/>
      <c r="OCT50" s="426"/>
      <c r="OCU50" s="426"/>
      <c r="OCV50" s="426"/>
      <c r="OCW50" s="426"/>
      <c r="OCX50" s="426"/>
      <c r="OCY50" s="426"/>
      <c r="OCZ50" s="426"/>
      <c r="ODA50" s="426"/>
      <c r="ODB50" s="426"/>
      <c r="ODC50" s="426"/>
      <c r="ODD50" s="426"/>
      <c r="ODE50" s="426"/>
      <c r="ODF50" s="426"/>
      <c r="ODG50" s="426"/>
      <c r="ODH50" s="426"/>
      <c r="ODI50" s="426"/>
      <c r="ODJ50" s="426"/>
      <c r="ODK50" s="426"/>
      <c r="ODL50" s="426"/>
      <c r="ODM50" s="426"/>
      <c r="ODN50" s="426"/>
      <c r="ODO50" s="426"/>
      <c r="ODP50" s="426"/>
      <c r="ODQ50" s="426"/>
      <c r="ODR50" s="426"/>
      <c r="ODS50" s="426"/>
      <c r="ODT50" s="426"/>
      <c r="ODU50" s="426"/>
      <c r="ODV50" s="426"/>
      <c r="ODW50" s="426"/>
      <c r="ODX50" s="426"/>
      <c r="ODY50" s="426"/>
      <c r="ODZ50" s="426"/>
      <c r="OEA50" s="426"/>
      <c r="OEB50" s="426"/>
      <c r="OEC50" s="426"/>
      <c r="OED50" s="426"/>
      <c r="OEE50" s="426"/>
      <c r="OEF50" s="426"/>
      <c r="OEG50" s="426"/>
      <c r="OEH50" s="426"/>
      <c r="OEI50" s="426"/>
      <c r="OEJ50" s="426"/>
      <c r="OEK50" s="426"/>
      <c r="OEL50" s="426"/>
      <c r="OEM50" s="426"/>
      <c r="OEN50" s="426"/>
      <c r="OEO50" s="426"/>
      <c r="OEP50" s="426"/>
      <c r="OEQ50" s="426"/>
      <c r="OER50" s="426"/>
      <c r="OES50" s="426"/>
      <c r="OET50" s="426"/>
      <c r="OEU50" s="426"/>
      <c r="OEV50" s="426"/>
      <c r="OEW50" s="426"/>
      <c r="OEX50" s="426"/>
      <c r="OEY50" s="426"/>
      <c r="OEZ50" s="426"/>
      <c r="OFA50" s="426"/>
      <c r="OFB50" s="426"/>
      <c r="OFC50" s="426"/>
      <c r="OFD50" s="426"/>
      <c r="OFE50" s="426"/>
      <c r="OFF50" s="426"/>
      <c r="OFG50" s="426"/>
      <c r="OFH50" s="426"/>
      <c r="OFI50" s="426"/>
      <c r="OFJ50" s="426"/>
      <c r="OFK50" s="426"/>
      <c r="OFL50" s="426"/>
      <c r="OFM50" s="426"/>
      <c r="OFN50" s="426"/>
      <c r="OFO50" s="426"/>
      <c r="OFP50" s="426"/>
      <c r="OFQ50" s="426"/>
      <c r="OFR50" s="426"/>
      <c r="OFS50" s="426"/>
      <c r="OFT50" s="426"/>
      <c r="OFU50" s="426"/>
      <c r="OFV50" s="426"/>
      <c r="OFW50" s="426"/>
      <c r="OFX50" s="426"/>
      <c r="OFY50" s="426"/>
      <c r="OFZ50" s="426"/>
      <c r="OGA50" s="426"/>
      <c r="OGB50" s="426"/>
      <c r="OGC50" s="426"/>
      <c r="OGD50" s="426"/>
      <c r="OGE50" s="426"/>
      <c r="OGF50" s="426"/>
      <c r="OGG50" s="426"/>
      <c r="OGH50" s="426"/>
      <c r="OGI50" s="426"/>
      <c r="OGJ50" s="426"/>
      <c r="OGK50" s="426"/>
      <c r="OGL50" s="426"/>
      <c r="OGM50" s="426"/>
      <c r="OGN50" s="426"/>
      <c r="OGO50" s="426"/>
      <c r="OGP50" s="426"/>
      <c r="OGQ50" s="426"/>
      <c r="OGR50" s="426"/>
      <c r="OGS50" s="426"/>
      <c r="OGT50" s="426"/>
      <c r="OGU50" s="426"/>
      <c r="OGV50" s="426"/>
      <c r="OGW50" s="426"/>
      <c r="OGX50" s="426"/>
      <c r="OGY50" s="426"/>
      <c r="OGZ50" s="426"/>
      <c r="OHA50" s="426"/>
      <c r="OHB50" s="426"/>
      <c r="OHC50" s="426"/>
      <c r="OHD50" s="426"/>
      <c r="OHE50" s="426"/>
      <c r="OHF50" s="426"/>
      <c r="OHG50" s="426"/>
      <c r="OHH50" s="426"/>
      <c r="OHI50" s="426"/>
      <c r="OHJ50" s="426"/>
      <c r="OHK50" s="426"/>
      <c r="OHL50" s="426"/>
      <c r="OHM50" s="426"/>
      <c r="OHN50" s="426"/>
      <c r="OHO50" s="426"/>
      <c r="OHP50" s="426"/>
      <c r="OHQ50" s="426"/>
      <c r="OHR50" s="426"/>
      <c r="OHS50" s="426"/>
      <c r="OHT50" s="426"/>
      <c r="OHU50" s="426"/>
      <c r="OHV50" s="426"/>
      <c r="OHW50" s="426"/>
      <c r="OHX50" s="426"/>
      <c r="OHY50" s="426"/>
      <c r="OHZ50" s="426"/>
      <c r="OIA50" s="426"/>
      <c r="OIB50" s="426"/>
      <c r="OIC50" s="426"/>
      <c r="OID50" s="426"/>
      <c r="OIE50" s="426"/>
      <c r="OIF50" s="426"/>
      <c r="OIG50" s="426"/>
      <c r="OIH50" s="426"/>
      <c r="OII50" s="426"/>
      <c r="OIJ50" s="426"/>
      <c r="OIK50" s="426"/>
      <c r="OIL50" s="426"/>
      <c r="OIM50" s="426"/>
      <c r="OIN50" s="426"/>
      <c r="OIO50" s="426"/>
      <c r="OIP50" s="426"/>
      <c r="OIQ50" s="426"/>
      <c r="OIR50" s="426"/>
      <c r="OIS50" s="426"/>
      <c r="OIT50" s="426"/>
      <c r="OIU50" s="426"/>
      <c r="OIV50" s="426"/>
      <c r="OIW50" s="426"/>
      <c r="OIX50" s="426"/>
      <c r="OIY50" s="426"/>
      <c r="OIZ50" s="426"/>
      <c r="OJA50" s="426"/>
      <c r="OJB50" s="426"/>
      <c r="OJC50" s="426"/>
      <c r="OJD50" s="426"/>
      <c r="OJE50" s="426"/>
      <c r="OJF50" s="426"/>
      <c r="OJG50" s="426"/>
      <c r="OJH50" s="426"/>
      <c r="OJI50" s="426"/>
      <c r="OJJ50" s="426"/>
      <c r="OJK50" s="426"/>
      <c r="OJL50" s="426"/>
      <c r="OJM50" s="426"/>
      <c r="OJN50" s="426"/>
      <c r="OJO50" s="426"/>
      <c r="OJP50" s="426"/>
      <c r="OJQ50" s="426"/>
      <c r="OJR50" s="426"/>
      <c r="OJS50" s="426"/>
      <c r="OJT50" s="426"/>
      <c r="OJU50" s="426"/>
      <c r="OJV50" s="426"/>
      <c r="OJW50" s="426"/>
      <c r="OJX50" s="426"/>
      <c r="OJY50" s="426"/>
      <c r="OJZ50" s="426"/>
      <c r="OKA50" s="426"/>
      <c r="OKB50" s="426"/>
      <c r="OKC50" s="426"/>
      <c r="OKD50" s="426"/>
      <c r="OKE50" s="426"/>
      <c r="OKF50" s="426"/>
      <c r="OKG50" s="426"/>
      <c r="OKH50" s="426"/>
      <c r="OKI50" s="426"/>
      <c r="OKJ50" s="426"/>
      <c r="OKK50" s="426"/>
      <c r="OKL50" s="426"/>
      <c r="OKM50" s="426"/>
      <c r="OKN50" s="426"/>
      <c r="OKO50" s="426"/>
      <c r="OKP50" s="426"/>
      <c r="OKQ50" s="426"/>
      <c r="OKR50" s="426"/>
      <c r="OKS50" s="426"/>
      <c r="OKT50" s="426"/>
      <c r="OKU50" s="426"/>
      <c r="OKV50" s="426"/>
      <c r="OKW50" s="426"/>
      <c r="OKX50" s="426"/>
      <c r="OKY50" s="426"/>
      <c r="OKZ50" s="426"/>
      <c r="OLA50" s="426"/>
      <c r="OLB50" s="426"/>
      <c r="OLC50" s="426"/>
      <c r="OLD50" s="426"/>
      <c r="OLE50" s="426"/>
      <c r="OLF50" s="426"/>
      <c r="OLG50" s="426"/>
      <c r="OLH50" s="426"/>
      <c r="OLI50" s="426"/>
      <c r="OLJ50" s="426"/>
      <c r="OLK50" s="426"/>
      <c r="OLL50" s="426"/>
      <c r="OLM50" s="426"/>
      <c r="OLN50" s="426"/>
      <c r="OLO50" s="426"/>
      <c r="OLP50" s="426"/>
      <c r="OLQ50" s="426"/>
      <c r="OLR50" s="426"/>
      <c r="OLS50" s="426"/>
      <c r="OLT50" s="426"/>
      <c r="OLU50" s="426"/>
      <c r="OLV50" s="426"/>
      <c r="OLW50" s="426"/>
      <c r="OLX50" s="426"/>
      <c r="OLY50" s="426"/>
      <c r="OLZ50" s="426"/>
      <c r="OMA50" s="426"/>
      <c r="OMB50" s="426"/>
      <c r="OMC50" s="426"/>
      <c r="OMD50" s="426"/>
      <c r="OME50" s="426"/>
      <c r="OMF50" s="426"/>
      <c r="OMG50" s="426"/>
      <c r="OMH50" s="426"/>
      <c r="OMI50" s="426"/>
      <c r="OMJ50" s="426"/>
      <c r="OMK50" s="426"/>
      <c r="OML50" s="426"/>
      <c r="OMM50" s="426"/>
      <c r="OMN50" s="426"/>
      <c r="OMO50" s="426"/>
      <c r="OMP50" s="426"/>
      <c r="OMQ50" s="426"/>
      <c r="OMR50" s="426"/>
      <c r="OMS50" s="426"/>
      <c r="OMT50" s="426"/>
      <c r="OMU50" s="426"/>
      <c r="OMV50" s="426"/>
      <c r="OMW50" s="426"/>
      <c r="OMX50" s="426"/>
      <c r="OMY50" s="426"/>
      <c r="OMZ50" s="426"/>
      <c r="ONA50" s="426"/>
      <c r="ONB50" s="426"/>
      <c r="ONC50" s="426"/>
      <c r="OND50" s="426"/>
      <c r="ONE50" s="426"/>
      <c r="ONF50" s="426"/>
      <c r="ONG50" s="426"/>
      <c r="ONH50" s="426"/>
      <c r="ONI50" s="426"/>
      <c r="ONJ50" s="426"/>
      <c r="ONK50" s="426"/>
      <c r="ONL50" s="426"/>
      <c r="ONM50" s="426"/>
      <c r="ONN50" s="426"/>
      <c r="ONO50" s="426"/>
      <c r="ONP50" s="426"/>
      <c r="ONQ50" s="426"/>
      <c r="ONR50" s="426"/>
      <c r="ONS50" s="426"/>
      <c r="ONT50" s="426"/>
      <c r="ONU50" s="426"/>
      <c r="ONV50" s="426"/>
      <c r="ONW50" s="426"/>
      <c r="ONX50" s="426"/>
      <c r="ONY50" s="426"/>
      <c r="ONZ50" s="426"/>
      <c r="OOA50" s="426"/>
      <c r="OOB50" s="426"/>
      <c r="OOC50" s="426"/>
      <c r="OOD50" s="426"/>
      <c r="OOE50" s="426"/>
      <c r="OOF50" s="426"/>
      <c r="OOG50" s="426"/>
      <c r="OOH50" s="426"/>
      <c r="OOI50" s="426"/>
      <c r="OOJ50" s="426"/>
      <c r="OOK50" s="426"/>
      <c r="OOL50" s="426"/>
      <c r="OOM50" s="426"/>
      <c r="OON50" s="426"/>
      <c r="OOO50" s="426"/>
      <c r="OOP50" s="426"/>
      <c r="OOQ50" s="426"/>
      <c r="OOR50" s="426"/>
      <c r="OOS50" s="426"/>
      <c r="OOT50" s="426"/>
      <c r="OOU50" s="426"/>
      <c r="OOV50" s="426"/>
      <c r="OOW50" s="426"/>
      <c r="OOX50" s="426"/>
      <c r="OOY50" s="426"/>
      <c r="OOZ50" s="426"/>
      <c r="OPA50" s="426"/>
      <c r="OPB50" s="426"/>
      <c r="OPC50" s="426"/>
      <c r="OPD50" s="426"/>
      <c r="OPE50" s="426"/>
      <c r="OPF50" s="426"/>
      <c r="OPG50" s="426"/>
      <c r="OPH50" s="426"/>
      <c r="OPI50" s="426"/>
      <c r="OPJ50" s="426"/>
      <c r="OPK50" s="426"/>
      <c r="OPL50" s="426"/>
      <c r="OPM50" s="426"/>
      <c r="OPN50" s="426"/>
      <c r="OPO50" s="426"/>
      <c r="OPP50" s="426"/>
      <c r="OPQ50" s="426"/>
      <c r="OPR50" s="426"/>
      <c r="OPS50" s="426"/>
      <c r="OPT50" s="426"/>
      <c r="OPU50" s="426"/>
      <c r="OPV50" s="426"/>
      <c r="OPW50" s="426"/>
      <c r="OPX50" s="426"/>
      <c r="OPY50" s="426"/>
      <c r="OPZ50" s="426"/>
      <c r="OQA50" s="426"/>
      <c r="OQB50" s="426"/>
      <c r="OQC50" s="426"/>
      <c r="OQD50" s="426"/>
      <c r="OQE50" s="426"/>
      <c r="OQF50" s="426"/>
      <c r="OQG50" s="426"/>
      <c r="OQH50" s="426"/>
      <c r="OQI50" s="426"/>
      <c r="OQJ50" s="426"/>
      <c r="OQK50" s="426"/>
      <c r="OQL50" s="426"/>
      <c r="OQM50" s="426"/>
      <c r="OQN50" s="426"/>
      <c r="OQO50" s="426"/>
      <c r="OQP50" s="426"/>
      <c r="OQQ50" s="426"/>
      <c r="OQR50" s="426"/>
      <c r="OQS50" s="426"/>
      <c r="OQT50" s="426"/>
      <c r="OQU50" s="426"/>
      <c r="OQV50" s="426"/>
      <c r="OQW50" s="426"/>
      <c r="OQX50" s="426"/>
      <c r="OQY50" s="426"/>
      <c r="OQZ50" s="426"/>
      <c r="ORA50" s="426"/>
      <c r="ORB50" s="426"/>
      <c r="ORC50" s="426"/>
      <c r="ORD50" s="426"/>
      <c r="ORE50" s="426"/>
      <c r="ORF50" s="426"/>
      <c r="ORG50" s="426"/>
      <c r="ORH50" s="426"/>
      <c r="ORI50" s="426"/>
      <c r="ORJ50" s="426"/>
      <c r="ORK50" s="426"/>
      <c r="ORL50" s="426"/>
      <c r="ORM50" s="426"/>
      <c r="ORN50" s="426"/>
      <c r="ORO50" s="426"/>
      <c r="ORP50" s="426"/>
      <c r="ORQ50" s="426"/>
      <c r="ORR50" s="426"/>
      <c r="ORS50" s="426"/>
      <c r="ORT50" s="426"/>
      <c r="ORU50" s="426"/>
      <c r="ORV50" s="426"/>
      <c r="ORW50" s="426"/>
      <c r="ORX50" s="426"/>
      <c r="ORY50" s="426"/>
      <c r="ORZ50" s="426"/>
      <c r="OSA50" s="426"/>
      <c r="OSB50" s="426"/>
      <c r="OSC50" s="426"/>
      <c r="OSD50" s="426"/>
      <c r="OSE50" s="426"/>
      <c r="OSF50" s="426"/>
      <c r="OSG50" s="426"/>
      <c r="OSH50" s="426"/>
      <c r="OSI50" s="426"/>
      <c r="OSJ50" s="426"/>
      <c r="OSK50" s="426"/>
      <c r="OSL50" s="426"/>
      <c r="OSM50" s="426"/>
      <c r="OSN50" s="426"/>
      <c r="OSO50" s="426"/>
      <c r="OSP50" s="426"/>
      <c r="OSQ50" s="426"/>
      <c r="OSR50" s="426"/>
      <c r="OSS50" s="426"/>
      <c r="OST50" s="426"/>
      <c r="OSU50" s="426"/>
      <c r="OSV50" s="426"/>
      <c r="OSW50" s="426"/>
      <c r="OSX50" s="426"/>
      <c r="OSY50" s="426"/>
      <c r="OSZ50" s="426"/>
      <c r="OTA50" s="426"/>
      <c r="OTB50" s="426"/>
      <c r="OTC50" s="426"/>
      <c r="OTD50" s="426"/>
      <c r="OTE50" s="426"/>
      <c r="OTF50" s="426"/>
      <c r="OTG50" s="426"/>
      <c r="OTH50" s="426"/>
      <c r="OTI50" s="426"/>
      <c r="OTJ50" s="426"/>
      <c r="OTK50" s="426"/>
      <c r="OTL50" s="426"/>
      <c r="OTM50" s="426"/>
      <c r="OTN50" s="426"/>
      <c r="OTO50" s="426"/>
      <c r="OTP50" s="426"/>
      <c r="OTQ50" s="426"/>
      <c r="OTR50" s="426"/>
      <c r="OTS50" s="426"/>
      <c r="OTT50" s="426"/>
      <c r="OTU50" s="426"/>
      <c r="OTV50" s="426"/>
      <c r="OTW50" s="426"/>
      <c r="OTX50" s="426"/>
      <c r="OTY50" s="426"/>
      <c r="OTZ50" s="426"/>
      <c r="OUA50" s="426"/>
      <c r="OUB50" s="426"/>
      <c r="OUC50" s="426"/>
      <c r="OUD50" s="426"/>
      <c r="OUE50" s="426"/>
      <c r="OUF50" s="426"/>
      <c r="OUG50" s="426"/>
      <c r="OUH50" s="426"/>
      <c r="OUI50" s="426"/>
      <c r="OUJ50" s="426"/>
      <c r="OUK50" s="426"/>
      <c r="OUL50" s="426"/>
      <c r="OUM50" s="426"/>
      <c r="OUN50" s="426"/>
      <c r="OUO50" s="426"/>
      <c r="OUP50" s="426"/>
      <c r="OUQ50" s="426"/>
      <c r="OUR50" s="426"/>
      <c r="OUS50" s="426"/>
      <c r="OUT50" s="426"/>
      <c r="OUU50" s="426"/>
      <c r="OUV50" s="426"/>
      <c r="OUW50" s="426"/>
      <c r="OUX50" s="426"/>
      <c r="OUY50" s="426"/>
      <c r="OUZ50" s="426"/>
      <c r="OVA50" s="426"/>
      <c r="OVB50" s="426"/>
      <c r="OVC50" s="426"/>
      <c r="OVD50" s="426"/>
      <c r="OVE50" s="426"/>
      <c r="OVF50" s="426"/>
      <c r="OVG50" s="426"/>
      <c r="OVH50" s="426"/>
      <c r="OVI50" s="426"/>
      <c r="OVJ50" s="426"/>
      <c r="OVK50" s="426"/>
      <c r="OVL50" s="426"/>
      <c r="OVM50" s="426"/>
      <c r="OVN50" s="426"/>
      <c r="OVO50" s="426"/>
      <c r="OVP50" s="426"/>
      <c r="OVQ50" s="426"/>
      <c r="OVR50" s="426"/>
      <c r="OVS50" s="426"/>
      <c r="OVT50" s="426"/>
      <c r="OVU50" s="426"/>
      <c r="OVV50" s="426"/>
      <c r="OVW50" s="426"/>
      <c r="OVX50" s="426"/>
      <c r="OVY50" s="426"/>
      <c r="OVZ50" s="426"/>
      <c r="OWA50" s="426"/>
      <c r="OWB50" s="426"/>
      <c r="OWC50" s="426"/>
      <c r="OWD50" s="426"/>
      <c r="OWE50" s="426"/>
      <c r="OWF50" s="426"/>
      <c r="OWG50" s="426"/>
      <c r="OWH50" s="426"/>
      <c r="OWI50" s="426"/>
      <c r="OWJ50" s="426"/>
      <c r="OWK50" s="426"/>
      <c r="OWL50" s="426"/>
      <c r="OWM50" s="426"/>
      <c r="OWN50" s="426"/>
      <c r="OWO50" s="426"/>
      <c r="OWP50" s="426"/>
      <c r="OWQ50" s="426"/>
      <c r="OWR50" s="426"/>
      <c r="OWS50" s="426"/>
      <c r="OWT50" s="426"/>
      <c r="OWU50" s="426"/>
      <c r="OWV50" s="426"/>
      <c r="OWW50" s="426"/>
      <c r="OWX50" s="426"/>
      <c r="OWY50" s="426"/>
      <c r="OWZ50" s="426"/>
      <c r="OXA50" s="426"/>
      <c r="OXB50" s="426"/>
      <c r="OXC50" s="426"/>
      <c r="OXD50" s="426"/>
      <c r="OXE50" s="426"/>
      <c r="OXF50" s="426"/>
      <c r="OXG50" s="426"/>
      <c r="OXH50" s="426"/>
      <c r="OXI50" s="426"/>
      <c r="OXJ50" s="426"/>
      <c r="OXK50" s="426"/>
      <c r="OXL50" s="426"/>
      <c r="OXM50" s="426"/>
      <c r="OXN50" s="426"/>
      <c r="OXO50" s="426"/>
      <c r="OXP50" s="426"/>
      <c r="OXQ50" s="426"/>
      <c r="OXR50" s="426"/>
      <c r="OXS50" s="426"/>
      <c r="OXT50" s="426"/>
      <c r="OXU50" s="426"/>
      <c r="OXV50" s="426"/>
      <c r="OXW50" s="426"/>
      <c r="OXX50" s="426"/>
      <c r="OXY50" s="426"/>
      <c r="OXZ50" s="426"/>
      <c r="OYA50" s="426"/>
      <c r="OYB50" s="426"/>
      <c r="OYC50" s="426"/>
      <c r="OYD50" s="426"/>
      <c r="OYE50" s="426"/>
      <c r="OYF50" s="426"/>
      <c r="OYG50" s="426"/>
      <c r="OYH50" s="426"/>
      <c r="OYI50" s="426"/>
      <c r="OYJ50" s="426"/>
      <c r="OYK50" s="426"/>
      <c r="OYL50" s="426"/>
      <c r="OYM50" s="426"/>
      <c r="OYN50" s="426"/>
      <c r="OYO50" s="426"/>
      <c r="OYP50" s="426"/>
      <c r="OYQ50" s="426"/>
      <c r="OYR50" s="426"/>
      <c r="OYS50" s="426"/>
      <c r="OYT50" s="426"/>
      <c r="OYU50" s="426"/>
      <c r="OYV50" s="426"/>
      <c r="OYW50" s="426"/>
      <c r="OYX50" s="426"/>
      <c r="OYY50" s="426"/>
      <c r="OYZ50" s="426"/>
      <c r="OZA50" s="426"/>
      <c r="OZB50" s="426"/>
      <c r="OZC50" s="426"/>
      <c r="OZD50" s="426"/>
      <c r="OZE50" s="426"/>
      <c r="OZF50" s="426"/>
      <c r="OZG50" s="426"/>
      <c r="OZH50" s="426"/>
      <c r="OZI50" s="426"/>
      <c r="OZJ50" s="426"/>
      <c r="OZK50" s="426"/>
      <c r="OZL50" s="426"/>
      <c r="OZM50" s="426"/>
      <c r="OZN50" s="426"/>
      <c r="OZO50" s="426"/>
      <c r="OZP50" s="426"/>
      <c r="OZQ50" s="426"/>
      <c r="OZR50" s="426"/>
      <c r="OZS50" s="426"/>
      <c r="OZT50" s="426"/>
      <c r="OZU50" s="426"/>
      <c r="OZV50" s="426"/>
      <c r="OZW50" s="426"/>
      <c r="OZX50" s="426"/>
      <c r="OZY50" s="426"/>
      <c r="OZZ50" s="426"/>
      <c r="PAA50" s="426"/>
      <c r="PAB50" s="426"/>
      <c r="PAC50" s="426"/>
      <c r="PAD50" s="426"/>
      <c r="PAE50" s="426"/>
      <c r="PAF50" s="426"/>
      <c r="PAG50" s="426"/>
      <c r="PAH50" s="426"/>
      <c r="PAI50" s="426"/>
      <c r="PAJ50" s="426"/>
      <c r="PAK50" s="426"/>
      <c r="PAL50" s="426"/>
      <c r="PAM50" s="426"/>
      <c r="PAN50" s="426"/>
      <c r="PAO50" s="426"/>
      <c r="PAP50" s="426"/>
      <c r="PAQ50" s="426"/>
      <c r="PAR50" s="426"/>
      <c r="PAS50" s="426"/>
      <c r="PAT50" s="426"/>
      <c r="PAU50" s="426"/>
      <c r="PAV50" s="426"/>
      <c r="PAW50" s="426"/>
      <c r="PAX50" s="426"/>
      <c r="PAY50" s="426"/>
      <c r="PAZ50" s="426"/>
      <c r="PBA50" s="426"/>
      <c r="PBB50" s="426"/>
      <c r="PBC50" s="426"/>
      <c r="PBD50" s="426"/>
      <c r="PBE50" s="426"/>
      <c r="PBF50" s="426"/>
      <c r="PBG50" s="426"/>
      <c r="PBH50" s="426"/>
      <c r="PBI50" s="426"/>
      <c r="PBJ50" s="426"/>
      <c r="PBK50" s="426"/>
      <c r="PBL50" s="426"/>
      <c r="PBM50" s="426"/>
      <c r="PBN50" s="426"/>
      <c r="PBO50" s="426"/>
      <c r="PBP50" s="426"/>
      <c r="PBQ50" s="426"/>
      <c r="PBR50" s="426"/>
      <c r="PBS50" s="426"/>
      <c r="PBT50" s="426"/>
      <c r="PBU50" s="426"/>
      <c r="PBV50" s="426"/>
      <c r="PBW50" s="426"/>
      <c r="PBX50" s="426"/>
      <c r="PBY50" s="426"/>
      <c r="PBZ50" s="426"/>
      <c r="PCA50" s="426"/>
      <c r="PCB50" s="426"/>
      <c r="PCC50" s="426"/>
      <c r="PCD50" s="426"/>
      <c r="PCE50" s="426"/>
      <c r="PCF50" s="426"/>
      <c r="PCG50" s="426"/>
      <c r="PCH50" s="426"/>
      <c r="PCI50" s="426"/>
      <c r="PCJ50" s="426"/>
      <c r="PCK50" s="426"/>
      <c r="PCL50" s="426"/>
      <c r="PCM50" s="426"/>
      <c r="PCN50" s="426"/>
      <c r="PCO50" s="426"/>
      <c r="PCP50" s="426"/>
      <c r="PCQ50" s="426"/>
      <c r="PCR50" s="426"/>
      <c r="PCS50" s="426"/>
      <c r="PCT50" s="426"/>
      <c r="PCU50" s="426"/>
      <c r="PCV50" s="426"/>
      <c r="PCW50" s="426"/>
      <c r="PCX50" s="426"/>
      <c r="PCY50" s="426"/>
      <c r="PCZ50" s="426"/>
      <c r="PDA50" s="426"/>
      <c r="PDB50" s="426"/>
      <c r="PDC50" s="426"/>
      <c r="PDD50" s="426"/>
      <c r="PDE50" s="426"/>
      <c r="PDF50" s="426"/>
      <c r="PDG50" s="426"/>
      <c r="PDH50" s="426"/>
      <c r="PDI50" s="426"/>
      <c r="PDJ50" s="426"/>
      <c r="PDK50" s="426"/>
      <c r="PDL50" s="426"/>
      <c r="PDM50" s="426"/>
      <c r="PDN50" s="426"/>
      <c r="PDO50" s="426"/>
      <c r="PDP50" s="426"/>
      <c r="PDQ50" s="426"/>
      <c r="PDR50" s="426"/>
      <c r="PDS50" s="426"/>
      <c r="PDT50" s="426"/>
      <c r="PDU50" s="426"/>
      <c r="PDV50" s="426"/>
      <c r="PDW50" s="426"/>
      <c r="PDX50" s="426"/>
      <c r="PDY50" s="426"/>
      <c r="PDZ50" s="426"/>
      <c r="PEA50" s="426"/>
      <c r="PEB50" s="426"/>
      <c r="PEC50" s="426"/>
      <c r="PED50" s="426"/>
      <c r="PEE50" s="426"/>
      <c r="PEF50" s="426"/>
      <c r="PEG50" s="426"/>
      <c r="PEH50" s="426"/>
      <c r="PEI50" s="426"/>
      <c r="PEJ50" s="426"/>
      <c r="PEK50" s="426"/>
      <c r="PEL50" s="426"/>
      <c r="PEM50" s="426"/>
      <c r="PEN50" s="426"/>
      <c r="PEO50" s="426"/>
      <c r="PEP50" s="426"/>
      <c r="PEQ50" s="426"/>
      <c r="PER50" s="426"/>
      <c r="PES50" s="426"/>
      <c r="PET50" s="426"/>
      <c r="PEU50" s="426"/>
      <c r="PEV50" s="426"/>
      <c r="PEW50" s="426"/>
      <c r="PEX50" s="426"/>
      <c r="PEY50" s="426"/>
      <c r="PEZ50" s="426"/>
      <c r="PFA50" s="426"/>
      <c r="PFB50" s="426"/>
      <c r="PFC50" s="426"/>
      <c r="PFD50" s="426"/>
      <c r="PFE50" s="426"/>
      <c r="PFF50" s="426"/>
      <c r="PFG50" s="426"/>
      <c r="PFH50" s="426"/>
      <c r="PFI50" s="426"/>
      <c r="PFJ50" s="426"/>
      <c r="PFK50" s="426"/>
      <c r="PFL50" s="426"/>
      <c r="PFM50" s="426"/>
      <c r="PFN50" s="426"/>
      <c r="PFO50" s="426"/>
      <c r="PFP50" s="426"/>
      <c r="PFQ50" s="426"/>
      <c r="PFR50" s="426"/>
      <c r="PFS50" s="426"/>
      <c r="PFT50" s="426"/>
      <c r="PFU50" s="426"/>
      <c r="PFV50" s="426"/>
      <c r="PFW50" s="426"/>
      <c r="PFX50" s="426"/>
      <c r="PFY50" s="426"/>
      <c r="PFZ50" s="426"/>
      <c r="PGA50" s="426"/>
      <c r="PGB50" s="426"/>
      <c r="PGC50" s="426"/>
      <c r="PGD50" s="426"/>
      <c r="PGE50" s="426"/>
      <c r="PGF50" s="426"/>
      <c r="PGG50" s="426"/>
      <c r="PGH50" s="426"/>
      <c r="PGI50" s="426"/>
      <c r="PGJ50" s="426"/>
      <c r="PGK50" s="426"/>
      <c r="PGL50" s="426"/>
      <c r="PGM50" s="426"/>
      <c r="PGN50" s="426"/>
      <c r="PGO50" s="426"/>
      <c r="PGP50" s="426"/>
      <c r="PGQ50" s="426"/>
      <c r="PGR50" s="426"/>
      <c r="PGS50" s="426"/>
      <c r="PGT50" s="426"/>
      <c r="PGU50" s="426"/>
      <c r="PGV50" s="426"/>
      <c r="PGW50" s="426"/>
      <c r="PGX50" s="426"/>
      <c r="PGY50" s="426"/>
      <c r="PGZ50" s="426"/>
      <c r="PHA50" s="426"/>
      <c r="PHB50" s="426"/>
      <c r="PHC50" s="426"/>
      <c r="PHD50" s="426"/>
      <c r="PHE50" s="426"/>
      <c r="PHF50" s="426"/>
      <c r="PHG50" s="426"/>
      <c r="PHH50" s="426"/>
      <c r="PHI50" s="426"/>
      <c r="PHJ50" s="426"/>
      <c r="PHK50" s="426"/>
      <c r="PHL50" s="426"/>
      <c r="PHM50" s="426"/>
      <c r="PHN50" s="426"/>
      <c r="PHO50" s="426"/>
      <c r="PHP50" s="426"/>
      <c r="PHQ50" s="426"/>
      <c r="PHR50" s="426"/>
      <c r="PHS50" s="426"/>
      <c r="PHT50" s="426"/>
      <c r="PHU50" s="426"/>
      <c r="PHV50" s="426"/>
      <c r="PHW50" s="426"/>
      <c r="PHX50" s="426"/>
      <c r="PHY50" s="426"/>
      <c r="PHZ50" s="426"/>
      <c r="PIA50" s="426"/>
      <c r="PIB50" s="426"/>
      <c r="PIC50" s="426"/>
      <c r="PID50" s="426"/>
      <c r="PIE50" s="426"/>
      <c r="PIF50" s="426"/>
      <c r="PIG50" s="426"/>
      <c r="PIH50" s="426"/>
      <c r="PII50" s="426"/>
      <c r="PIJ50" s="426"/>
      <c r="PIK50" s="426"/>
      <c r="PIL50" s="426"/>
      <c r="PIM50" s="426"/>
      <c r="PIN50" s="426"/>
      <c r="PIO50" s="426"/>
      <c r="PIP50" s="426"/>
      <c r="PIQ50" s="426"/>
      <c r="PIR50" s="426"/>
      <c r="PIS50" s="426"/>
      <c r="PIT50" s="426"/>
      <c r="PIU50" s="426"/>
      <c r="PIV50" s="426"/>
      <c r="PIW50" s="426"/>
      <c r="PIX50" s="426"/>
      <c r="PIY50" s="426"/>
      <c r="PIZ50" s="426"/>
      <c r="PJA50" s="426"/>
      <c r="PJB50" s="426"/>
      <c r="PJC50" s="426"/>
      <c r="PJD50" s="426"/>
      <c r="PJE50" s="426"/>
      <c r="PJF50" s="426"/>
      <c r="PJG50" s="426"/>
      <c r="PJH50" s="426"/>
      <c r="PJI50" s="426"/>
      <c r="PJJ50" s="426"/>
      <c r="PJK50" s="426"/>
      <c r="PJL50" s="426"/>
      <c r="PJM50" s="426"/>
      <c r="PJN50" s="426"/>
      <c r="PJO50" s="426"/>
      <c r="PJP50" s="426"/>
      <c r="PJQ50" s="426"/>
      <c r="PJR50" s="426"/>
      <c r="PJS50" s="426"/>
      <c r="PJT50" s="426"/>
      <c r="PJU50" s="426"/>
      <c r="PJV50" s="426"/>
      <c r="PJW50" s="426"/>
      <c r="PJX50" s="426"/>
      <c r="PJY50" s="426"/>
      <c r="PJZ50" s="426"/>
      <c r="PKA50" s="426"/>
      <c r="PKB50" s="426"/>
      <c r="PKC50" s="426"/>
      <c r="PKD50" s="426"/>
      <c r="PKE50" s="426"/>
      <c r="PKF50" s="426"/>
      <c r="PKG50" s="426"/>
      <c r="PKH50" s="426"/>
      <c r="PKI50" s="426"/>
      <c r="PKJ50" s="426"/>
      <c r="PKK50" s="426"/>
      <c r="PKL50" s="426"/>
      <c r="PKM50" s="426"/>
      <c r="PKN50" s="426"/>
      <c r="PKO50" s="426"/>
      <c r="PKP50" s="426"/>
      <c r="PKQ50" s="426"/>
      <c r="PKR50" s="426"/>
      <c r="PKS50" s="426"/>
      <c r="PKT50" s="426"/>
      <c r="PKU50" s="426"/>
      <c r="PKV50" s="426"/>
      <c r="PKW50" s="426"/>
      <c r="PKX50" s="426"/>
      <c r="PKY50" s="426"/>
      <c r="PKZ50" s="426"/>
      <c r="PLA50" s="426"/>
      <c r="PLB50" s="426"/>
      <c r="PLC50" s="426"/>
      <c r="PLD50" s="426"/>
      <c r="PLE50" s="426"/>
      <c r="PLF50" s="426"/>
      <c r="PLG50" s="426"/>
      <c r="PLH50" s="426"/>
      <c r="PLI50" s="426"/>
      <c r="PLJ50" s="426"/>
      <c r="PLK50" s="426"/>
      <c r="PLL50" s="426"/>
      <c r="PLM50" s="426"/>
      <c r="PLN50" s="426"/>
      <c r="PLO50" s="426"/>
      <c r="PLP50" s="426"/>
      <c r="PLQ50" s="426"/>
      <c r="PLR50" s="426"/>
      <c r="PLS50" s="426"/>
      <c r="PLT50" s="426"/>
      <c r="PLU50" s="426"/>
      <c r="PLV50" s="426"/>
      <c r="PLW50" s="426"/>
      <c r="PLX50" s="426"/>
      <c r="PLY50" s="426"/>
      <c r="PLZ50" s="426"/>
      <c r="PMA50" s="426"/>
      <c r="PMB50" s="426"/>
      <c r="PMC50" s="426"/>
      <c r="PMD50" s="426"/>
      <c r="PME50" s="426"/>
      <c r="PMF50" s="426"/>
      <c r="PMG50" s="426"/>
      <c r="PMH50" s="426"/>
      <c r="PMI50" s="426"/>
      <c r="PMJ50" s="426"/>
      <c r="PMK50" s="426"/>
      <c r="PML50" s="426"/>
      <c r="PMM50" s="426"/>
      <c r="PMN50" s="426"/>
      <c r="PMO50" s="426"/>
      <c r="PMP50" s="426"/>
      <c r="PMQ50" s="426"/>
      <c r="PMR50" s="426"/>
      <c r="PMS50" s="426"/>
      <c r="PMT50" s="426"/>
      <c r="PMU50" s="426"/>
      <c r="PMV50" s="426"/>
      <c r="PMW50" s="426"/>
      <c r="PMX50" s="426"/>
      <c r="PMY50" s="426"/>
      <c r="PMZ50" s="426"/>
      <c r="PNA50" s="426"/>
      <c r="PNB50" s="426"/>
      <c r="PNC50" s="426"/>
      <c r="PND50" s="426"/>
      <c r="PNE50" s="426"/>
      <c r="PNF50" s="426"/>
      <c r="PNG50" s="426"/>
      <c r="PNH50" s="426"/>
      <c r="PNI50" s="426"/>
      <c r="PNJ50" s="426"/>
      <c r="PNK50" s="426"/>
      <c r="PNL50" s="426"/>
      <c r="PNM50" s="426"/>
      <c r="PNN50" s="426"/>
      <c r="PNO50" s="426"/>
      <c r="PNP50" s="426"/>
      <c r="PNQ50" s="426"/>
      <c r="PNR50" s="426"/>
      <c r="PNS50" s="426"/>
      <c r="PNT50" s="426"/>
      <c r="PNU50" s="426"/>
      <c r="PNV50" s="426"/>
      <c r="PNW50" s="426"/>
      <c r="PNX50" s="426"/>
      <c r="PNY50" s="426"/>
      <c r="PNZ50" s="426"/>
      <c r="POA50" s="426"/>
      <c r="POB50" s="426"/>
      <c r="POC50" s="426"/>
      <c r="POD50" s="426"/>
      <c r="POE50" s="426"/>
      <c r="POF50" s="426"/>
      <c r="POG50" s="426"/>
      <c r="POH50" s="426"/>
      <c r="POI50" s="426"/>
      <c r="POJ50" s="426"/>
      <c r="POK50" s="426"/>
      <c r="POL50" s="426"/>
      <c r="POM50" s="426"/>
      <c r="PON50" s="426"/>
      <c r="POO50" s="426"/>
      <c r="POP50" s="426"/>
      <c r="POQ50" s="426"/>
      <c r="POR50" s="426"/>
      <c r="POS50" s="426"/>
      <c r="POT50" s="426"/>
      <c r="POU50" s="426"/>
      <c r="POV50" s="426"/>
      <c r="POW50" s="426"/>
      <c r="POX50" s="426"/>
      <c r="POY50" s="426"/>
      <c r="POZ50" s="426"/>
      <c r="PPA50" s="426"/>
      <c r="PPB50" s="426"/>
      <c r="PPC50" s="426"/>
      <c r="PPD50" s="426"/>
      <c r="PPE50" s="426"/>
      <c r="PPF50" s="426"/>
      <c r="PPG50" s="426"/>
      <c r="PPH50" s="426"/>
      <c r="PPI50" s="426"/>
      <c r="PPJ50" s="426"/>
      <c r="PPK50" s="426"/>
      <c r="PPL50" s="426"/>
      <c r="PPM50" s="426"/>
      <c r="PPN50" s="426"/>
      <c r="PPO50" s="426"/>
      <c r="PPP50" s="426"/>
      <c r="PPQ50" s="426"/>
      <c r="PPR50" s="426"/>
      <c r="PPS50" s="426"/>
      <c r="PPT50" s="426"/>
      <c r="PPU50" s="426"/>
      <c r="PPV50" s="426"/>
      <c r="PPW50" s="426"/>
      <c r="PPX50" s="426"/>
      <c r="PPY50" s="426"/>
      <c r="PPZ50" s="426"/>
      <c r="PQA50" s="426"/>
      <c r="PQB50" s="426"/>
      <c r="PQC50" s="426"/>
      <c r="PQD50" s="426"/>
      <c r="PQE50" s="426"/>
      <c r="PQF50" s="426"/>
      <c r="PQG50" s="426"/>
      <c r="PQH50" s="426"/>
      <c r="PQI50" s="426"/>
      <c r="PQJ50" s="426"/>
      <c r="PQK50" s="426"/>
      <c r="PQL50" s="426"/>
      <c r="PQM50" s="426"/>
      <c r="PQN50" s="426"/>
      <c r="PQO50" s="426"/>
      <c r="PQP50" s="426"/>
      <c r="PQQ50" s="426"/>
      <c r="PQR50" s="426"/>
      <c r="PQS50" s="426"/>
      <c r="PQT50" s="426"/>
      <c r="PQU50" s="426"/>
      <c r="PQV50" s="426"/>
      <c r="PQW50" s="426"/>
      <c r="PQX50" s="426"/>
      <c r="PQY50" s="426"/>
      <c r="PQZ50" s="426"/>
      <c r="PRA50" s="426"/>
      <c r="PRB50" s="426"/>
      <c r="PRC50" s="426"/>
      <c r="PRD50" s="426"/>
      <c r="PRE50" s="426"/>
      <c r="PRF50" s="426"/>
      <c r="PRG50" s="426"/>
      <c r="PRH50" s="426"/>
      <c r="PRI50" s="426"/>
      <c r="PRJ50" s="426"/>
      <c r="PRK50" s="426"/>
      <c r="PRL50" s="426"/>
      <c r="PRM50" s="426"/>
      <c r="PRN50" s="426"/>
      <c r="PRO50" s="426"/>
      <c r="PRP50" s="426"/>
      <c r="PRQ50" s="426"/>
      <c r="PRR50" s="426"/>
      <c r="PRS50" s="426"/>
      <c r="PRT50" s="426"/>
      <c r="PRU50" s="426"/>
      <c r="PRV50" s="426"/>
      <c r="PRW50" s="426"/>
      <c r="PRX50" s="426"/>
      <c r="PRY50" s="426"/>
      <c r="PRZ50" s="426"/>
      <c r="PSA50" s="426"/>
      <c r="PSB50" s="426"/>
      <c r="PSC50" s="426"/>
      <c r="PSD50" s="426"/>
      <c r="PSE50" s="426"/>
      <c r="PSF50" s="426"/>
      <c r="PSG50" s="426"/>
      <c r="PSH50" s="426"/>
      <c r="PSI50" s="426"/>
      <c r="PSJ50" s="426"/>
      <c r="PSK50" s="426"/>
      <c r="PSL50" s="426"/>
      <c r="PSM50" s="426"/>
      <c r="PSN50" s="426"/>
      <c r="PSO50" s="426"/>
      <c r="PSP50" s="426"/>
      <c r="PSQ50" s="426"/>
      <c r="PSR50" s="426"/>
      <c r="PSS50" s="426"/>
      <c r="PST50" s="426"/>
      <c r="PSU50" s="426"/>
      <c r="PSV50" s="426"/>
      <c r="PSW50" s="426"/>
      <c r="PSX50" s="426"/>
      <c r="PSY50" s="426"/>
      <c r="PSZ50" s="426"/>
      <c r="PTA50" s="426"/>
      <c r="PTB50" s="426"/>
      <c r="PTC50" s="426"/>
      <c r="PTD50" s="426"/>
      <c r="PTE50" s="426"/>
      <c r="PTF50" s="426"/>
      <c r="PTG50" s="426"/>
      <c r="PTH50" s="426"/>
      <c r="PTI50" s="426"/>
      <c r="PTJ50" s="426"/>
      <c r="PTK50" s="426"/>
      <c r="PTL50" s="426"/>
      <c r="PTM50" s="426"/>
      <c r="PTN50" s="426"/>
      <c r="PTO50" s="426"/>
      <c r="PTP50" s="426"/>
      <c r="PTQ50" s="426"/>
      <c r="PTR50" s="426"/>
      <c r="PTS50" s="426"/>
      <c r="PTT50" s="426"/>
      <c r="PTU50" s="426"/>
      <c r="PTV50" s="426"/>
      <c r="PTW50" s="426"/>
      <c r="PTX50" s="426"/>
      <c r="PTY50" s="426"/>
      <c r="PTZ50" s="426"/>
      <c r="PUA50" s="426"/>
      <c r="PUB50" s="426"/>
      <c r="PUC50" s="426"/>
      <c r="PUD50" s="426"/>
      <c r="PUE50" s="426"/>
      <c r="PUF50" s="426"/>
      <c r="PUG50" s="426"/>
      <c r="PUH50" s="426"/>
      <c r="PUI50" s="426"/>
      <c r="PUJ50" s="426"/>
      <c r="PUK50" s="426"/>
      <c r="PUL50" s="426"/>
      <c r="PUM50" s="426"/>
      <c r="PUN50" s="426"/>
      <c r="PUO50" s="426"/>
      <c r="PUP50" s="426"/>
      <c r="PUQ50" s="426"/>
      <c r="PUR50" s="426"/>
      <c r="PUS50" s="426"/>
      <c r="PUT50" s="426"/>
      <c r="PUU50" s="426"/>
      <c r="PUV50" s="426"/>
      <c r="PUW50" s="426"/>
      <c r="PUX50" s="426"/>
      <c r="PUY50" s="426"/>
      <c r="PUZ50" s="426"/>
      <c r="PVA50" s="426"/>
      <c r="PVB50" s="426"/>
      <c r="PVC50" s="426"/>
      <c r="PVD50" s="426"/>
      <c r="PVE50" s="426"/>
      <c r="PVF50" s="426"/>
      <c r="PVG50" s="426"/>
      <c r="PVH50" s="426"/>
      <c r="PVI50" s="426"/>
      <c r="PVJ50" s="426"/>
      <c r="PVK50" s="426"/>
      <c r="PVL50" s="426"/>
      <c r="PVM50" s="426"/>
      <c r="PVN50" s="426"/>
      <c r="PVO50" s="426"/>
      <c r="PVP50" s="426"/>
      <c r="PVQ50" s="426"/>
      <c r="PVR50" s="426"/>
      <c r="PVS50" s="426"/>
      <c r="PVT50" s="426"/>
      <c r="PVU50" s="426"/>
      <c r="PVV50" s="426"/>
      <c r="PVW50" s="426"/>
      <c r="PVX50" s="426"/>
      <c r="PVY50" s="426"/>
      <c r="PVZ50" s="426"/>
      <c r="PWA50" s="426"/>
      <c r="PWB50" s="426"/>
      <c r="PWC50" s="426"/>
      <c r="PWD50" s="426"/>
      <c r="PWE50" s="426"/>
      <c r="PWF50" s="426"/>
      <c r="PWG50" s="426"/>
      <c r="PWH50" s="426"/>
      <c r="PWI50" s="426"/>
      <c r="PWJ50" s="426"/>
      <c r="PWK50" s="426"/>
      <c r="PWL50" s="426"/>
      <c r="PWM50" s="426"/>
      <c r="PWN50" s="426"/>
      <c r="PWO50" s="426"/>
      <c r="PWP50" s="426"/>
      <c r="PWQ50" s="426"/>
      <c r="PWR50" s="426"/>
      <c r="PWS50" s="426"/>
      <c r="PWT50" s="426"/>
      <c r="PWU50" s="426"/>
      <c r="PWV50" s="426"/>
      <c r="PWW50" s="426"/>
      <c r="PWX50" s="426"/>
      <c r="PWY50" s="426"/>
      <c r="PWZ50" s="426"/>
      <c r="PXA50" s="426"/>
      <c r="PXB50" s="426"/>
      <c r="PXC50" s="426"/>
      <c r="PXD50" s="426"/>
      <c r="PXE50" s="426"/>
      <c r="PXF50" s="426"/>
      <c r="PXG50" s="426"/>
      <c r="PXH50" s="426"/>
      <c r="PXI50" s="426"/>
      <c r="PXJ50" s="426"/>
      <c r="PXK50" s="426"/>
      <c r="PXL50" s="426"/>
      <c r="PXM50" s="426"/>
      <c r="PXN50" s="426"/>
      <c r="PXO50" s="426"/>
      <c r="PXP50" s="426"/>
      <c r="PXQ50" s="426"/>
      <c r="PXR50" s="426"/>
      <c r="PXS50" s="426"/>
      <c r="PXT50" s="426"/>
      <c r="PXU50" s="426"/>
      <c r="PXV50" s="426"/>
      <c r="PXW50" s="426"/>
      <c r="PXX50" s="426"/>
      <c r="PXY50" s="426"/>
      <c r="PXZ50" s="426"/>
      <c r="PYA50" s="426"/>
      <c r="PYB50" s="426"/>
      <c r="PYC50" s="426"/>
      <c r="PYD50" s="426"/>
      <c r="PYE50" s="426"/>
      <c r="PYF50" s="426"/>
      <c r="PYG50" s="426"/>
      <c r="PYH50" s="426"/>
      <c r="PYI50" s="426"/>
      <c r="PYJ50" s="426"/>
      <c r="PYK50" s="426"/>
      <c r="PYL50" s="426"/>
      <c r="PYM50" s="426"/>
      <c r="PYN50" s="426"/>
      <c r="PYO50" s="426"/>
      <c r="PYP50" s="426"/>
      <c r="PYQ50" s="426"/>
      <c r="PYR50" s="426"/>
      <c r="PYS50" s="426"/>
      <c r="PYT50" s="426"/>
      <c r="PYU50" s="426"/>
      <c r="PYV50" s="426"/>
      <c r="PYW50" s="426"/>
      <c r="PYX50" s="426"/>
      <c r="PYY50" s="426"/>
      <c r="PYZ50" s="426"/>
      <c r="PZA50" s="426"/>
      <c r="PZB50" s="426"/>
      <c r="PZC50" s="426"/>
      <c r="PZD50" s="426"/>
      <c r="PZE50" s="426"/>
      <c r="PZF50" s="426"/>
      <c r="PZG50" s="426"/>
      <c r="PZH50" s="426"/>
      <c r="PZI50" s="426"/>
      <c r="PZJ50" s="426"/>
      <c r="PZK50" s="426"/>
      <c r="PZL50" s="426"/>
      <c r="PZM50" s="426"/>
      <c r="PZN50" s="426"/>
      <c r="PZO50" s="426"/>
      <c r="PZP50" s="426"/>
      <c r="PZQ50" s="426"/>
      <c r="PZR50" s="426"/>
      <c r="PZS50" s="426"/>
      <c r="PZT50" s="426"/>
      <c r="PZU50" s="426"/>
      <c r="PZV50" s="426"/>
      <c r="PZW50" s="426"/>
      <c r="PZX50" s="426"/>
      <c r="PZY50" s="426"/>
      <c r="PZZ50" s="426"/>
      <c r="QAA50" s="426"/>
      <c r="QAB50" s="426"/>
      <c r="QAC50" s="426"/>
      <c r="QAD50" s="426"/>
      <c r="QAE50" s="426"/>
      <c r="QAF50" s="426"/>
      <c r="QAG50" s="426"/>
      <c r="QAH50" s="426"/>
      <c r="QAI50" s="426"/>
      <c r="QAJ50" s="426"/>
      <c r="QAK50" s="426"/>
      <c r="QAL50" s="426"/>
      <c r="QAM50" s="426"/>
      <c r="QAN50" s="426"/>
      <c r="QAO50" s="426"/>
      <c r="QAP50" s="426"/>
      <c r="QAQ50" s="426"/>
      <c r="QAR50" s="426"/>
      <c r="QAS50" s="426"/>
      <c r="QAT50" s="426"/>
      <c r="QAU50" s="426"/>
      <c r="QAV50" s="426"/>
      <c r="QAW50" s="426"/>
      <c r="QAX50" s="426"/>
      <c r="QAY50" s="426"/>
      <c r="QAZ50" s="426"/>
      <c r="QBA50" s="426"/>
      <c r="QBB50" s="426"/>
      <c r="QBC50" s="426"/>
      <c r="QBD50" s="426"/>
      <c r="QBE50" s="426"/>
      <c r="QBF50" s="426"/>
      <c r="QBG50" s="426"/>
      <c r="QBH50" s="426"/>
      <c r="QBI50" s="426"/>
      <c r="QBJ50" s="426"/>
      <c r="QBK50" s="426"/>
      <c r="QBL50" s="426"/>
      <c r="QBM50" s="426"/>
      <c r="QBN50" s="426"/>
      <c r="QBO50" s="426"/>
      <c r="QBP50" s="426"/>
      <c r="QBQ50" s="426"/>
      <c r="QBR50" s="426"/>
      <c r="QBS50" s="426"/>
      <c r="QBT50" s="426"/>
      <c r="QBU50" s="426"/>
      <c r="QBV50" s="426"/>
      <c r="QBW50" s="426"/>
      <c r="QBX50" s="426"/>
      <c r="QBY50" s="426"/>
      <c r="QBZ50" s="426"/>
      <c r="QCA50" s="426"/>
      <c r="QCB50" s="426"/>
      <c r="QCC50" s="426"/>
      <c r="QCD50" s="426"/>
      <c r="QCE50" s="426"/>
      <c r="QCF50" s="426"/>
      <c r="QCG50" s="426"/>
      <c r="QCH50" s="426"/>
      <c r="QCI50" s="426"/>
      <c r="QCJ50" s="426"/>
      <c r="QCK50" s="426"/>
      <c r="QCL50" s="426"/>
      <c r="QCM50" s="426"/>
      <c r="QCN50" s="426"/>
      <c r="QCO50" s="426"/>
      <c r="QCP50" s="426"/>
      <c r="QCQ50" s="426"/>
      <c r="QCR50" s="426"/>
      <c r="QCS50" s="426"/>
      <c r="QCT50" s="426"/>
      <c r="QCU50" s="426"/>
      <c r="QCV50" s="426"/>
      <c r="QCW50" s="426"/>
      <c r="QCX50" s="426"/>
      <c r="QCY50" s="426"/>
      <c r="QCZ50" s="426"/>
      <c r="QDA50" s="426"/>
      <c r="QDB50" s="426"/>
      <c r="QDC50" s="426"/>
      <c r="QDD50" s="426"/>
      <c r="QDE50" s="426"/>
      <c r="QDF50" s="426"/>
      <c r="QDG50" s="426"/>
      <c r="QDH50" s="426"/>
      <c r="QDI50" s="426"/>
      <c r="QDJ50" s="426"/>
      <c r="QDK50" s="426"/>
      <c r="QDL50" s="426"/>
      <c r="QDM50" s="426"/>
      <c r="QDN50" s="426"/>
      <c r="QDO50" s="426"/>
      <c r="QDP50" s="426"/>
      <c r="QDQ50" s="426"/>
      <c r="QDR50" s="426"/>
      <c r="QDS50" s="426"/>
      <c r="QDT50" s="426"/>
      <c r="QDU50" s="426"/>
      <c r="QDV50" s="426"/>
      <c r="QDW50" s="426"/>
      <c r="QDX50" s="426"/>
      <c r="QDY50" s="426"/>
      <c r="QDZ50" s="426"/>
      <c r="QEA50" s="426"/>
      <c r="QEB50" s="426"/>
      <c r="QEC50" s="426"/>
      <c r="QED50" s="426"/>
      <c r="QEE50" s="426"/>
      <c r="QEF50" s="426"/>
      <c r="QEG50" s="426"/>
      <c r="QEH50" s="426"/>
      <c r="QEI50" s="426"/>
      <c r="QEJ50" s="426"/>
      <c r="QEK50" s="426"/>
      <c r="QEL50" s="426"/>
      <c r="QEM50" s="426"/>
      <c r="QEN50" s="426"/>
      <c r="QEO50" s="426"/>
      <c r="QEP50" s="426"/>
      <c r="QEQ50" s="426"/>
      <c r="QER50" s="426"/>
      <c r="QES50" s="426"/>
      <c r="QET50" s="426"/>
      <c r="QEU50" s="426"/>
      <c r="QEV50" s="426"/>
      <c r="QEW50" s="426"/>
      <c r="QEX50" s="426"/>
      <c r="QEY50" s="426"/>
      <c r="QEZ50" s="426"/>
      <c r="QFA50" s="426"/>
      <c r="QFB50" s="426"/>
      <c r="QFC50" s="426"/>
      <c r="QFD50" s="426"/>
      <c r="QFE50" s="426"/>
      <c r="QFF50" s="426"/>
      <c r="QFG50" s="426"/>
      <c r="QFH50" s="426"/>
      <c r="QFI50" s="426"/>
      <c r="QFJ50" s="426"/>
      <c r="QFK50" s="426"/>
      <c r="QFL50" s="426"/>
      <c r="QFM50" s="426"/>
      <c r="QFN50" s="426"/>
      <c r="QFO50" s="426"/>
      <c r="QFP50" s="426"/>
      <c r="QFQ50" s="426"/>
      <c r="QFR50" s="426"/>
      <c r="QFS50" s="426"/>
      <c r="QFT50" s="426"/>
      <c r="QFU50" s="426"/>
      <c r="QFV50" s="426"/>
      <c r="QFW50" s="426"/>
      <c r="QFX50" s="426"/>
      <c r="QFY50" s="426"/>
      <c r="QFZ50" s="426"/>
      <c r="QGA50" s="426"/>
      <c r="QGB50" s="426"/>
      <c r="QGC50" s="426"/>
      <c r="QGD50" s="426"/>
      <c r="QGE50" s="426"/>
      <c r="QGF50" s="426"/>
      <c r="QGG50" s="426"/>
      <c r="QGH50" s="426"/>
      <c r="QGI50" s="426"/>
      <c r="QGJ50" s="426"/>
      <c r="QGK50" s="426"/>
      <c r="QGL50" s="426"/>
      <c r="QGM50" s="426"/>
      <c r="QGN50" s="426"/>
      <c r="QGO50" s="426"/>
      <c r="QGP50" s="426"/>
      <c r="QGQ50" s="426"/>
      <c r="QGR50" s="426"/>
      <c r="QGS50" s="426"/>
      <c r="QGT50" s="426"/>
      <c r="QGU50" s="426"/>
      <c r="QGV50" s="426"/>
      <c r="QGW50" s="426"/>
      <c r="QGX50" s="426"/>
      <c r="QGY50" s="426"/>
      <c r="QGZ50" s="426"/>
      <c r="QHA50" s="426"/>
      <c r="QHB50" s="426"/>
      <c r="QHC50" s="426"/>
      <c r="QHD50" s="426"/>
      <c r="QHE50" s="426"/>
      <c r="QHF50" s="426"/>
      <c r="QHG50" s="426"/>
      <c r="QHH50" s="426"/>
      <c r="QHI50" s="426"/>
      <c r="QHJ50" s="426"/>
      <c r="QHK50" s="426"/>
      <c r="QHL50" s="426"/>
      <c r="QHM50" s="426"/>
      <c r="QHN50" s="426"/>
      <c r="QHO50" s="426"/>
      <c r="QHP50" s="426"/>
      <c r="QHQ50" s="426"/>
      <c r="QHR50" s="426"/>
      <c r="QHS50" s="426"/>
      <c r="QHT50" s="426"/>
      <c r="QHU50" s="426"/>
      <c r="QHV50" s="426"/>
      <c r="QHW50" s="426"/>
      <c r="QHX50" s="426"/>
      <c r="QHY50" s="426"/>
      <c r="QHZ50" s="426"/>
      <c r="QIA50" s="426"/>
      <c r="QIB50" s="426"/>
      <c r="QIC50" s="426"/>
      <c r="QID50" s="426"/>
      <c r="QIE50" s="426"/>
      <c r="QIF50" s="426"/>
      <c r="QIG50" s="426"/>
      <c r="QIH50" s="426"/>
      <c r="QII50" s="426"/>
      <c r="QIJ50" s="426"/>
      <c r="QIK50" s="426"/>
      <c r="QIL50" s="426"/>
      <c r="QIM50" s="426"/>
      <c r="QIN50" s="426"/>
      <c r="QIO50" s="426"/>
      <c r="QIP50" s="426"/>
      <c r="QIQ50" s="426"/>
      <c r="QIR50" s="426"/>
      <c r="QIS50" s="426"/>
      <c r="QIT50" s="426"/>
      <c r="QIU50" s="426"/>
      <c r="QIV50" s="426"/>
      <c r="QIW50" s="426"/>
      <c r="QIX50" s="426"/>
      <c r="QIY50" s="426"/>
      <c r="QIZ50" s="426"/>
      <c r="QJA50" s="426"/>
      <c r="QJB50" s="426"/>
      <c r="QJC50" s="426"/>
      <c r="QJD50" s="426"/>
      <c r="QJE50" s="426"/>
      <c r="QJF50" s="426"/>
      <c r="QJG50" s="426"/>
      <c r="QJH50" s="426"/>
      <c r="QJI50" s="426"/>
      <c r="QJJ50" s="426"/>
      <c r="QJK50" s="426"/>
      <c r="QJL50" s="426"/>
      <c r="QJM50" s="426"/>
      <c r="QJN50" s="426"/>
      <c r="QJO50" s="426"/>
      <c r="QJP50" s="426"/>
      <c r="QJQ50" s="426"/>
      <c r="QJR50" s="426"/>
      <c r="QJS50" s="426"/>
      <c r="QJT50" s="426"/>
      <c r="QJU50" s="426"/>
      <c r="QJV50" s="426"/>
      <c r="QJW50" s="426"/>
      <c r="QJX50" s="426"/>
      <c r="QJY50" s="426"/>
      <c r="QJZ50" s="426"/>
      <c r="QKA50" s="426"/>
      <c r="QKB50" s="426"/>
      <c r="QKC50" s="426"/>
      <c r="QKD50" s="426"/>
      <c r="QKE50" s="426"/>
      <c r="QKF50" s="426"/>
      <c r="QKG50" s="426"/>
      <c r="QKH50" s="426"/>
      <c r="QKI50" s="426"/>
      <c r="QKJ50" s="426"/>
      <c r="QKK50" s="426"/>
      <c r="QKL50" s="426"/>
      <c r="QKM50" s="426"/>
      <c r="QKN50" s="426"/>
      <c r="QKO50" s="426"/>
      <c r="QKP50" s="426"/>
      <c r="QKQ50" s="426"/>
      <c r="QKR50" s="426"/>
      <c r="QKS50" s="426"/>
      <c r="QKT50" s="426"/>
      <c r="QKU50" s="426"/>
      <c r="QKV50" s="426"/>
      <c r="QKW50" s="426"/>
      <c r="QKX50" s="426"/>
      <c r="QKY50" s="426"/>
      <c r="QKZ50" s="426"/>
      <c r="QLA50" s="426"/>
      <c r="QLB50" s="426"/>
      <c r="QLC50" s="426"/>
      <c r="QLD50" s="426"/>
      <c r="QLE50" s="426"/>
      <c r="QLF50" s="426"/>
      <c r="QLG50" s="426"/>
      <c r="QLH50" s="426"/>
      <c r="QLI50" s="426"/>
      <c r="QLJ50" s="426"/>
      <c r="QLK50" s="426"/>
      <c r="QLL50" s="426"/>
      <c r="QLM50" s="426"/>
      <c r="QLN50" s="426"/>
      <c r="QLO50" s="426"/>
      <c r="QLP50" s="426"/>
      <c r="QLQ50" s="426"/>
      <c r="QLR50" s="426"/>
      <c r="QLS50" s="426"/>
      <c r="QLT50" s="426"/>
      <c r="QLU50" s="426"/>
      <c r="QLV50" s="426"/>
      <c r="QLW50" s="426"/>
      <c r="QLX50" s="426"/>
      <c r="QLY50" s="426"/>
      <c r="QLZ50" s="426"/>
      <c r="QMA50" s="426"/>
      <c r="QMB50" s="426"/>
      <c r="QMC50" s="426"/>
      <c r="QMD50" s="426"/>
      <c r="QME50" s="426"/>
      <c r="QMF50" s="426"/>
      <c r="QMG50" s="426"/>
      <c r="QMH50" s="426"/>
      <c r="QMI50" s="426"/>
      <c r="QMJ50" s="426"/>
      <c r="QMK50" s="426"/>
      <c r="QML50" s="426"/>
      <c r="QMM50" s="426"/>
      <c r="QMN50" s="426"/>
      <c r="QMO50" s="426"/>
      <c r="QMP50" s="426"/>
      <c r="QMQ50" s="426"/>
      <c r="QMR50" s="426"/>
      <c r="QMS50" s="426"/>
      <c r="QMT50" s="426"/>
      <c r="QMU50" s="426"/>
      <c r="QMV50" s="426"/>
      <c r="QMW50" s="426"/>
      <c r="QMX50" s="426"/>
      <c r="QMY50" s="426"/>
      <c r="QMZ50" s="426"/>
      <c r="QNA50" s="426"/>
      <c r="QNB50" s="426"/>
      <c r="QNC50" s="426"/>
      <c r="QND50" s="426"/>
      <c r="QNE50" s="426"/>
      <c r="QNF50" s="426"/>
      <c r="QNG50" s="426"/>
      <c r="QNH50" s="426"/>
      <c r="QNI50" s="426"/>
      <c r="QNJ50" s="426"/>
      <c r="QNK50" s="426"/>
      <c r="QNL50" s="426"/>
      <c r="QNM50" s="426"/>
      <c r="QNN50" s="426"/>
      <c r="QNO50" s="426"/>
      <c r="QNP50" s="426"/>
      <c r="QNQ50" s="426"/>
      <c r="QNR50" s="426"/>
      <c r="QNS50" s="426"/>
      <c r="QNT50" s="426"/>
      <c r="QNU50" s="426"/>
      <c r="QNV50" s="426"/>
      <c r="QNW50" s="426"/>
      <c r="QNX50" s="426"/>
      <c r="QNY50" s="426"/>
      <c r="QNZ50" s="426"/>
      <c r="QOA50" s="426"/>
      <c r="QOB50" s="426"/>
      <c r="QOC50" s="426"/>
      <c r="QOD50" s="426"/>
      <c r="QOE50" s="426"/>
      <c r="QOF50" s="426"/>
      <c r="QOG50" s="426"/>
      <c r="QOH50" s="426"/>
      <c r="QOI50" s="426"/>
      <c r="QOJ50" s="426"/>
      <c r="QOK50" s="426"/>
      <c r="QOL50" s="426"/>
      <c r="QOM50" s="426"/>
      <c r="QON50" s="426"/>
      <c r="QOO50" s="426"/>
      <c r="QOP50" s="426"/>
      <c r="QOQ50" s="426"/>
      <c r="QOR50" s="426"/>
      <c r="QOS50" s="426"/>
      <c r="QOT50" s="426"/>
      <c r="QOU50" s="426"/>
      <c r="QOV50" s="426"/>
      <c r="QOW50" s="426"/>
      <c r="QOX50" s="426"/>
      <c r="QOY50" s="426"/>
      <c r="QOZ50" s="426"/>
      <c r="QPA50" s="426"/>
      <c r="QPB50" s="426"/>
      <c r="QPC50" s="426"/>
      <c r="QPD50" s="426"/>
      <c r="QPE50" s="426"/>
      <c r="QPF50" s="426"/>
      <c r="QPG50" s="426"/>
      <c r="QPH50" s="426"/>
      <c r="QPI50" s="426"/>
      <c r="QPJ50" s="426"/>
      <c r="QPK50" s="426"/>
      <c r="QPL50" s="426"/>
      <c r="QPM50" s="426"/>
      <c r="QPN50" s="426"/>
      <c r="QPO50" s="426"/>
      <c r="QPP50" s="426"/>
      <c r="QPQ50" s="426"/>
      <c r="QPR50" s="426"/>
      <c r="QPS50" s="426"/>
      <c r="QPT50" s="426"/>
      <c r="QPU50" s="426"/>
      <c r="QPV50" s="426"/>
      <c r="QPW50" s="426"/>
      <c r="QPX50" s="426"/>
      <c r="QPY50" s="426"/>
      <c r="QPZ50" s="426"/>
      <c r="QQA50" s="426"/>
      <c r="QQB50" s="426"/>
      <c r="QQC50" s="426"/>
      <c r="QQD50" s="426"/>
      <c r="QQE50" s="426"/>
      <c r="QQF50" s="426"/>
      <c r="QQG50" s="426"/>
      <c r="QQH50" s="426"/>
      <c r="QQI50" s="426"/>
      <c r="QQJ50" s="426"/>
      <c r="QQK50" s="426"/>
      <c r="QQL50" s="426"/>
      <c r="QQM50" s="426"/>
      <c r="QQN50" s="426"/>
      <c r="QQO50" s="426"/>
      <c r="QQP50" s="426"/>
      <c r="QQQ50" s="426"/>
      <c r="QQR50" s="426"/>
      <c r="QQS50" s="426"/>
      <c r="QQT50" s="426"/>
      <c r="QQU50" s="426"/>
      <c r="QQV50" s="426"/>
      <c r="QQW50" s="426"/>
      <c r="QQX50" s="426"/>
      <c r="QQY50" s="426"/>
      <c r="QQZ50" s="426"/>
      <c r="QRA50" s="426"/>
      <c r="QRB50" s="426"/>
      <c r="QRC50" s="426"/>
      <c r="QRD50" s="426"/>
      <c r="QRE50" s="426"/>
      <c r="QRF50" s="426"/>
      <c r="QRG50" s="426"/>
      <c r="QRH50" s="426"/>
      <c r="QRI50" s="426"/>
      <c r="QRJ50" s="426"/>
      <c r="QRK50" s="426"/>
      <c r="QRL50" s="426"/>
      <c r="QRM50" s="426"/>
      <c r="QRN50" s="426"/>
      <c r="QRO50" s="426"/>
      <c r="QRP50" s="426"/>
      <c r="QRQ50" s="426"/>
      <c r="QRR50" s="426"/>
      <c r="QRS50" s="426"/>
      <c r="QRT50" s="426"/>
      <c r="QRU50" s="426"/>
      <c r="QRV50" s="426"/>
      <c r="QRW50" s="426"/>
      <c r="QRX50" s="426"/>
      <c r="QRY50" s="426"/>
      <c r="QRZ50" s="426"/>
      <c r="QSA50" s="426"/>
      <c r="QSB50" s="426"/>
      <c r="QSC50" s="426"/>
      <c r="QSD50" s="426"/>
      <c r="QSE50" s="426"/>
      <c r="QSF50" s="426"/>
      <c r="QSG50" s="426"/>
      <c r="QSH50" s="426"/>
      <c r="QSI50" s="426"/>
      <c r="QSJ50" s="426"/>
      <c r="QSK50" s="426"/>
      <c r="QSL50" s="426"/>
      <c r="QSM50" s="426"/>
      <c r="QSN50" s="426"/>
      <c r="QSO50" s="426"/>
      <c r="QSP50" s="426"/>
      <c r="QSQ50" s="426"/>
      <c r="QSR50" s="426"/>
      <c r="QSS50" s="426"/>
      <c r="QST50" s="426"/>
      <c r="QSU50" s="426"/>
      <c r="QSV50" s="426"/>
      <c r="QSW50" s="426"/>
      <c r="QSX50" s="426"/>
      <c r="QSY50" s="426"/>
      <c r="QSZ50" s="426"/>
      <c r="QTA50" s="426"/>
      <c r="QTB50" s="426"/>
      <c r="QTC50" s="426"/>
      <c r="QTD50" s="426"/>
      <c r="QTE50" s="426"/>
      <c r="QTF50" s="426"/>
      <c r="QTG50" s="426"/>
      <c r="QTH50" s="426"/>
      <c r="QTI50" s="426"/>
      <c r="QTJ50" s="426"/>
      <c r="QTK50" s="426"/>
      <c r="QTL50" s="426"/>
      <c r="QTM50" s="426"/>
      <c r="QTN50" s="426"/>
      <c r="QTO50" s="426"/>
      <c r="QTP50" s="426"/>
      <c r="QTQ50" s="426"/>
      <c r="QTR50" s="426"/>
      <c r="QTS50" s="426"/>
      <c r="QTT50" s="426"/>
      <c r="QTU50" s="426"/>
      <c r="QTV50" s="426"/>
      <c r="QTW50" s="426"/>
      <c r="QTX50" s="426"/>
      <c r="QTY50" s="426"/>
      <c r="QTZ50" s="426"/>
      <c r="QUA50" s="426"/>
      <c r="QUB50" s="426"/>
      <c r="QUC50" s="426"/>
      <c r="QUD50" s="426"/>
      <c r="QUE50" s="426"/>
      <c r="QUF50" s="426"/>
      <c r="QUG50" s="426"/>
      <c r="QUH50" s="426"/>
      <c r="QUI50" s="426"/>
      <c r="QUJ50" s="426"/>
      <c r="QUK50" s="426"/>
      <c r="QUL50" s="426"/>
      <c r="QUM50" s="426"/>
      <c r="QUN50" s="426"/>
      <c r="QUO50" s="426"/>
      <c r="QUP50" s="426"/>
      <c r="QUQ50" s="426"/>
      <c r="QUR50" s="426"/>
      <c r="QUS50" s="426"/>
      <c r="QUT50" s="426"/>
      <c r="QUU50" s="426"/>
      <c r="QUV50" s="426"/>
      <c r="QUW50" s="426"/>
      <c r="QUX50" s="426"/>
      <c r="QUY50" s="426"/>
      <c r="QUZ50" s="426"/>
      <c r="QVA50" s="426"/>
      <c r="QVB50" s="426"/>
      <c r="QVC50" s="426"/>
      <c r="QVD50" s="426"/>
      <c r="QVE50" s="426"/>
      <c r="QVF50" s="426"/>
      <c r="QVG50" s="426"/>
      <c r="QVH50" s="426"/>
      <c r="QVI50" s="426"/>
      <c r="QVJ50" s="426"/>
      <c r="QVK50" s="426"/>
      <c r="QVL50" s="426"/>
      <c r="QVM50" s="426"/>
      <c r="QVN50" s="426"/>
      <c r="QVO50" s="426"/>
      <c r="QVP50" s="426"/>
      <c r="QVQ50" s="426"/>
      <c r="QVR50" s="426"/>
      <c r="QVS50" s="426"/>
      <c r="QVT50" s="426"/>
      <c r="QVU50" s="426"/>
      <c r="QVV50" s="426"/>
      <c r="QVW50" s="426"/>
      <c r="QVX50" s="426"/>
      <c r="QVY50" s="426"/>
      <c r="QVZ50" s="426"/>
      <c r="QWA50" s="426"/>
      <c r="QWB50" s="426"/>
      <c r="QWC50" s="426"/>
      <c r="QWD50" s="426"/>
      <c r="QWE50" s="426"/>
      <c r="QWF50" s="426"/>
      <c r="QWG50" s="426"/>
      <c r="QWH50" s="426"/>
      <c r="QWI50" s="426"/>
      <c r="QWJ50" s="426"/>
      <c r="QWK50" s="426"/>
      <c r="QWL50" s="426"/>
      <c r="QWM50" s="426"/>
      <c r="QWN50" s="426"/>
      <c r="QWO50" s="426"/>
      <c r="QWP50" s="426"/>
      <c r="QWQ50" s="426"/>
      <c r="QWR50" s="426"/>
      <c r="QWS50" s="426"/>
      <c r="QWT50" s="426"/>
      <c r="QWU50" s="426"/>
      <c r="QWV50" s="426"/>
      <c r="QWW50" s="426"/>
      <c r="QWX50" s="426"/>
      <c r="QWY50" s="426"/>
      <c r="QWZ50" s="426"/>
      <c r="QXA50" s="426"/>
      <c r="QXB50" s="426"/>
      <c r="QXC50" s="426"/>
      <c r="QXD50" s="426"/>
      <c r="QXE50" s="426"/>
      <c r="QXF50" s="426"/>
      <c r="QXG50" s="426"/>
      <c r="QXH50" s="426"/>
      <c r="QXI50" s="426"/>
      <c r="QXJ50" s="426"/>
      <c r="QXK50" s="426"/>
      <c r="QXL50" s="426"/>
      <c r="QXM50" s="426"/>
      <c r="QXN50" s="426"/>
      <c r="QXO50" s="426"/>
      <c r="QXP50" s="426"/>
      <c r="QXQ50" s="426"/>
      <c r="QXR50" s="426"/>
      <c r="QXS50" s="426"/>
      <c r="QXT50" s="426"/>
      <c r="QXU50" s="426"/>
      <c r="QXV50" s="426"/>
      <c r="QXW50" s="426"/>
      <c r="QXX50" s="426"/>
      <c r="QXY50" s="426"/>
      <c r="QXZ50" s="426"/>
      <c r="QYA50" s="426"/>
      <c r="QYB50" s="426"/>
      <c r="QYC50" s="426"/>
      <c r="QYD50" s="426"/>
      <c r="QYE50" s="426"/>
      <c r="QYF50" s="426"/>
      <c r="QYG50" s="426"/>
      <c r="QYH50" s="426"/>
      <c r="QYI50" s="426"/>
      <c r="QYJ50" s="426"/>
      <c r="QYK50" s="426"/>
      <c r="QYL50" s="426"/>
      <c r="QYM50" s="426"/>
      <c r="QYN50" s="426"/>
      <c r="QYO50" s="426"/>
      <c r="QYP50" s="426"/>
      <c r="QYQ50" s="426"/>
      <c r="QYR50" s="426"/>
      <c r="QYS50" s="426"/>
      <c r="QYT50" s="426"/>
      <c r="QYU50" s="426"/>
      <c r="QYV50" s="426"/>
      <c r="QYW50" s="426"/>
      <c r="QYX50" s="426"/>
      <c r="QYY50" s="426"/>
      <c r="QYZ50" s="426"/>
      <c r="QZA50" s="426"/>
      <c r="QZB50" s="426"/>
      <c r="QZC50" s="426"/>
      <c r="QZD50" s="426"/>
      <c r="QZE50" s="426"/>
      <c r="QZF50" s="426"/>
      <c r="QZG50" s="426"/>
      <c r="QZH50" s="426"/>
      <c r="QZI50" s="426"/>
      <c r="QZJ50" s="426"/>
      <c r="QZK50" s="426"/>
      <c r="QZL50" s="426"/>
      <c r="QZM50" s="426"/>
      <c r="QZN50" s="426"/>
      <c r="QZO50" s="426"/>
      <c r="QZP50" s="426"/>
      <c r="QZQ50" s="426"/>
      <c r="QZR50" s="426"/>
      <c r="QZS50" s="426"/>
      <c r="QZT50" s="426"/>
      <c r="QZU50" s="426"/>
      <c r="QZV50" s="426"/>
      <c r="QZW50" s="426"/>
      <c r="QZX50" s="426"/>
      <c r="QZY50" s="426"/>
      <c r="QZZ50" s="426"/>
      <c r="RAA50" s="426"/>
      <c r="RAB50" s="426"/>
      <c r="RAC50" s="426"/>
      <c r="RAD50" s="426"/>
      <c r="RAE50" s="426"/>
      <c r="RAF50" s="426"/>
      <c r="RAG50" s="426"/>
      <c r="RAH50" s="426"/>
      <c r="RAI50" s="426"/>
      <c r="RAJ50" s="426"/>
      <c r="RAK50" s="426"/>
      <c r="RAL50" s="426"/>
      <c r="RAM50" s="426"/>
      <c r="RAN50" s="426"/>
      <c r="RAO50" s="426"/>
      <c r="RAP50" s="426"/>
      <c r="RAQ50" s="426"/>
      <c r="RAR50" s="426"/>
      <c r="RAS50" s="426"/>
      <c r="RAT50" s="426"/>
      <c r="RAU50" s="426"/>
      <c r="RAV50" s="426"/>
      <c r="RAW50" s="426"/>
      <c r="RAX50" s="426"/>
      <c r="RAY50" s="426"/>
      <c r="RAZ50" s="426"/>
      <c r="RBA50" s="426"/>
      <c r="RBB50" s="426"/>
      <c r="RBC50" s="426"/>
      <c r="RBD50" s="426"/>
      <c r="RBE50" s="426"/>
      <c r="RBF50" s="426"/>
      <c r="RBG50" s="426"/>
      <c r="RBH50" s="426"/>
      <c r="RBI50" s="426"/>
      <c r="RBJ50" s="426"/>
      <c r="RBK50" s="426"/>
      <c r="RBL50" s="426"/>
      <c r="RBM50" s="426"/>
      <c r="RBN50" s="426"/>
      <c r="RBO50" s="426"/>
      <c r="RBP50" s="426"/>
      <c r="RBQ50" s="426"/>
      <c r="RBR50" s="426"/>
      <c r="RBS50" s="426"/>
      <c r="RBT50" s="426"/>
      <c r="RBU50" s="426"/>
      <c r="RBV50" s="426"/>
      <c r="RBW50" s="426"/>
      <c r="RBX50" s="426"/>
      <c r="RBY50" s="426"/>
      <c r="RBZ50" s="426"/>
      <c r="RCA50" s="426"/>
      <c r="RCB50" s="426"/>
      <c r="RCC50" s="426"/>
      <c r="RCD50" s="426"/>
      <c r="RCE50" s="426"/>
      <c r="RCF50" s="426"/>
      <c r="RCG50" s="426"/>
      <c r="RCH50" s="426"/>
      <c r="RCI50" s="426"/>
      <c r="RCJ50" s="426"/>
      <c r="RCK50" s="426"/>
      <c r="RCL50" s="426"/>
      <c r="RCM50" s="426"/>
      <c r="RCN50" s="426"/>
      <c r="RCO50" s="426"/>
      <c r="RCP50" s="426"/>
      <c r="RCQ50" s="426"/>
      <c r="RCR50" s="426"/>
      <c r="RCS50" s="426"/>
      <c r="RCT50" s="426"/>
      <c r="RCU50" s="426"/>
      <c r="RCV50" s="426"/>
      <c r="RCW50" s="426"/>
      <c r="RCX50" s="426"/>
      <c r="RCY50" s="426"/>
      <c r="RCZ50" s="426"/>
      <c r="RDA50" s="426"/>
      <c r="RDB50" s="426"/>
      <c r="RDC50" s="426"/>
      <c r="RDD50" s="426"/>
      <c r="RDE50" s="426"/>
      <c r="RDF50" s="426"/>
      <c r="RDG50" s="426"/>
      <c r="RDH50" s="426"/>
      <c r="RDI50" s="426"/>
      <c r="RDJ50" s="426"/>
      <c r="RDK50" s="426"/>
      <c r="RDL50" s="426"/>
      <c r="RDM50" s="426"/>
      <c r="RDN50" s="426"/>
      <c r="RDO50" s="426"/>
      <c r="RDP50" s="426"/>
      <c r="RDQ50" s="426"/>
      <c r="RDR50" s="426"/>
      <c r="RDS50" s="426"/>
      <c r="RDT50" s="426"/>
      <c r="RDU50" s="426"/>
      <c r="RDV50" s="426"/>
      <c r="RDW50" s="426"/>
      <c r="RDX50" s="426"/>
      <c r="RDY50" s="426"/>
      <c r="RDZ50" s="426"/>
      <c r="REA50" s="426"/>
      <c r="REB50" s="426"/>
      <c r="REC50" s="426"/>
      <c r="RED50" s="426"/>
      <c r="REE50" s="426"/>
      <c r="REF50" s="426"/>
      <c r="REG50" s="426"/>
      <c r="REH50" s="426"/>
      <c r="REI50" s="426"/>
      <c r="REJ50" s="426"/>
      <c r="REK50" s="426"/>
      <c r="REL50" s="426"/>
      <c r="REM50" s="426"/>
      <c r="REN50" s="426"/>
      <c r="REO50" s="426"/>
      <c r="REP50" s="426"/>
      <c r="REQ50" s="426"/>
      <c r="RER50" s="426"/>
      <c r="RES50" s="426"/>
      <c r="RET50" s="426"/>
      <c r="REU50" s="426"/>
      <c r="REV50" s="426"/>
      <c r="REW50" s="426"/>
      <c r="REX50" s="426"/>
      <c r="REY50" s="426"/>
      <c r="REZ50" s="426"/>
      <c r="RFA50" s="426"/>
      <c r="RFB50" s="426"/>
      <c r="RFC50" s="426"/>
      <c r="RFD50" s="426"/>
      <c r="RFE50" s="426"/>
      <c r="RFF50" s="426"/>
      <c r="RFG50" s="426"/>
      <c r="RFH50" s="426"/>
      <c r="RFI50" s="426"/>
      <c r="RFJ50" s="426"/>
      <c r="RFK50" s="426"/>
      <c r="RFL50" s="426"/>
      <c r="RFM50" s="426"/>
      <c r="RFN50" s="426"/>
      <c r="RFO50" s="426"/>
      <c r="RFP50" s="426"/>
      <c r="RFQ50" s="426"/>
      <c r="RFR50" s="426"/>
      <c r="RFS50" s="426"/>
      <c r="RFT50" s="426"/>
      <c r="RFU50" s="426"/>
      <c r="RFV50" s="426"/>
      <c r="RFW50" s="426"/>
      <c r="RFX50" s="426"/>
      <c r="RFY50" s="426"/>
      <c r="RFZ50" s="426"/>
      <c r="RGA50" s="426"/>
      <c r="RGB50" s="426"/>
      <c r="RGC50" s="426"/>
      <c r="RGD50" s="426"/>
      <c r="RGE50" s="426"/>
      <c r="RGF50" s="426"/>
      <c r="RGG50" s="426"/>
      <c r="RGH50" s="426"/>
      <c r="RGI50" s="426"/>
      <c r="RGJ50" s="426"/>
      <c r="RGK50" s="426"/>
      <c r="RGL50" s="426"/>
      <c r="RGM50" s="426"/>
      <c r="RGN50" s="426"/>
      <c r="RGO50" s="426"/>
      <c r="RGP50" s="426"/>
      <c r="RGQ50" s="426"/>
      <c r="RGR50" s="426"/>
      <c r="RGS50" s="426"/>
      <c r="RGT50" s="426"/>
      <c r="RGU50" s="426"/>
      <c r="RGV50" s="426"/>
      <c r="RGW50" s="426"/>
      <c r="RGX50" s="426"/>
      <c r="RGY50" s="426"/>
      <c r="RGZ50" s="426"/>
      <c r="RHA50" s="426"/>
      <c r="RHB50" s="426"/>
      <c r="RHC50" s="426"/>
      <c r="RHD50" s="426"/>
      <c r="RHE50" s="426"/>
      <c r="RHF50" s="426"/>
      <c r="RHG50" s="426"/>
      <c r="RHH50" s="426"/>
      <c r="RHI50" s="426"/>
      <c r="RHJ50" s="426"/>
      <c r="RHK50" s="426"/>
      <c r="RHL50" s="426"/>
      <c r="RHM50" s="426"/>
      <c r="RHN50" s="426"/>
      <c r="RHO50" s="426"/>
      <c r="RHP50" s="426"/>
      <c r="RHQ50" s="426"/>
      <c r="RHR50" s="426"/>
      <c r="RHS50" s="426"/>
      <c r="RHT50" s="426"/>
      <c r="RHU50" s="426"/>
      <c r="RHV50" s="426"/>
      <c r="RHW50" s="426"/>
      <c r="RHX50" s="426"/>
      <c r="RHY50" s="426"/>
      <c r="RHZ50" s="426"/>
      <c r="RIA50" s="426"/>
      <c r="RIB50" s="426"/>
      <c r="RIC50" s="426"/>
      <c r="RID50" s="426"/>
      <c r="RIE50" s="426"/>
      <c r="RIF50" s="426"/>
      <c r="RIG50" s="426"/>
      <c r="RIH50" s="426"/>
      <c r="RII50" s="426"/>
      <c r="RIJ50" s="426"/>
      <c r="RIK50" s="426"/>
      <c r="RIL50" s="426"/>
      <c r="RIM50" s="426"/>
      <c r="RIN50" s="426"/>
      <c r="RIO50" s="426"/>
      <c r="RIP50" s="426"/>
      <c r="RIQ50" s="426"/>
      <c r="RIR50" s="426"/>
      <c r="RIS50" s="426"/>
      <c r="RIT50" s="426"/>
      <c r="RIU50" s="426"/>
      <c r="RIV50" s="426"/>
      <c r="RIW50" s="426"/>
      <c r="RIX50" s="426"/>
      <c r="RIY50" s="426"/>
      <c r="RIZ50" s="426"/>
      <c r="RJA50" s="426"/>
      <c r="RJB50" s="426"/>
      <c r="RJC50" s="426"/>
      <c r="RJD50" s="426"/>
      <c r="RJE50" s="426"/>
      <c r="RJF50" s="426"/>
      <c r="RJG50" s="426"/>
      <c r="RJH50" s="426"/>
      <c r="RJI50" s="426"/>
      <c r="RJJ50" s="426"/>
      <c r="RJK50" s="426"/>
      <c r="RJL50" s="426"/>
      <c r="RJM50" s="426"/>
      <c r="RJN50" s="426"/>
      <c r="RJO50" s="426"/>
      <c r="RJP50" s="426"/>
      <c r="RJQ50" s="426"/>
      <c r="RJR50" s="426"/>
      <c r="RJS50" s="426"/>
      <c r="RJT50" s="426"/>
      <c r="RJU50" s="426"/>
      <c r="RJV50" s="426"/>
      <c r="RJW50" s="426"/>
      <c r="RJX50" s="426"/>
      <c r="RJY50" s="426"/>
      <c r="RJZ50" s="426"/>
      <c r="RKA50" s="426"/>
      <c r="RKB50" s="426"/>
      <c r="RKC50" s="426"/>
      <c r="RKD50" s="426"/>
      <c r="RKE50" s="426"/>
      <c r="RKF50" s="426"/>
      <c r="RKG50" s="426"/>
      <c r="RKH50" s="426"/>
      <c r="RKI50" s="426"/>
      <c r="RKJ50" s="426"/>
      <c r="RKK50" s="426"/>
      <c r="RKL50" s="426"/>
      <c r="RKM50" s="426"/>
      <c r="RKN50" s="426"/>
      <c r="RKO50" s="426"/>
      <c r="RKP50" s="426"/>
      <c r="RKQ50" s="426"/>
      <c r="RKR50" s="426"/>
      <c r="RKS50" s="426"/>
      <c r="RKT50" s="426"/>
      <c r="RKU50" s="426"/>
      <c r="RKV50" s="426"/>
      <c r="RKW50" s="426"/>
      <c r="RKX50" s="426"/>
      <c r="RKY50" s="426"/>
      <c r="RKZ50" s="426"/>
      <c r="RLA50" s="426"/>
      <c r="RLB50" s="426"/>
      <c r="RLC50" s="426"/>
      <c r="RLD50" s="426"/>
      <c r="RLE50" s="426"/>
      <c r="RLF50" s="426"/>
      <c r="RLG50" s="426"/>
      <c r="RLH50" s="426"/>
      <c r="RLI50" s="426"/>
      <c r="RLJ50" s="426"/>
      <c r="RLK50" s="426"/>
      <c r="RLL50" s="426"/>
      <c r="RLM50" s="426"/>
      <c r="RLN50" s="426"/>
      <c r="RLO50" s="426"/>
      <c r="RLP50" s="426"/>
      <c r="RLQ50" s="426"/>
      <c r="RLR50" s="426"/>
      <c r="RLS50" s="426"/>
      <c r="RLT50" s="426"/>
      <c r="RLU50" s="426"/>
      <c r="RLV50" s="426"/>
      <c r="RLW50" s="426"/>
      <c r="RLX50" s="426"/>
      <c r="RLY50" s="426"/>
      <c r="RLZ50" s="426"/>
      <c r="RMA50" s="426"/>
      <c r="RMB50" s="426"/>
      <c r="RMC50" s="426"/>
      <c r="RMD50" s="426"/>
      <c r="RME50" s="426"/>
      <c r="RMF50" s="426"/>
      <c r="RMG50" s="426"/>
      <c r="RMH50" s="426"/>
      <c r="RMI50" s="426"/>
      <c r="RMJ50" s="426"/>
      <c r="RMK50" s="426"/>
      <c r="RML50" s="426"/>
      <c r="RMM50" s="426"/>
      <c r="RMN50" s="426"/>
      <c r="RMO50" s="426"/>
      <c r="RMP50" s="426"/>
      <c r="RMQ50" s="426"/>
      <c r="RMR50" s="426"/>
      <c r="RMS50" s="426"/>
      <c r="RMT50" s="426"/>
      <c r="RMU50" s="426"/>
      <c r="RMV50" s="426"/>
      <c r="RMW50" s="426"/>
      <c r="RMX50" s="426"/>
      <c r="RMY50" s="426"/>
      <c r="RMZ50" s="426"/>
      <c r="RNA50" s="426"/>
      <c r="RNB50" s="426"/>
      <c r="RNC50" s="426"/>
      <c r="RND50" s="426"/>
      <c r="RNE50" s="426"/>
      <c r="RNF50" s="426"/>
      <c r="RNG50" s="426"/>
      <c r="RNH50" s="426"/>
      <c r="RNI50" s="426"/>
      <c r="RNJ50" s="426"/>
      <c r="RNK50" s="426"/>
      <c r="RNL50" s="426"/>
      <c r="RNM50" s="426"/>
      <c r="RNN50" s="426"/>
      <c r="RNO50" s="426"/>
      <c r="RNP50" s="426"/>
      <c r="RNQ50" s="426"/>
      <c r="RNR50" s="426"/>
      <c r="RNS50" s="426"/>
      <c r="RNT50" s="426"/>
      <c r="RNU50" s="426"/>
      <c r="RNV50" s="426"/>
      <c r="RNW50" s="426"/>
      <c r="RNX50" s="426"/>
      <c r="RNY50" s="426"/>
      <c r="RNZ50" s="426"/>
      <c r="ROA50" s="426"/>
      <c r="ROB50" s="426"/>
      <c r="ROC50" s="426"/>
      <c r="ROD50" s="426"/>
      <c r="ROE50" s="426"/>
      <c r="ROF50" s="426"/>
      <c r="ROG50" s="426"/>
      <c r="ROH50" s="426"/>
      <c r="ROI50" s="426"/>
      <c r="ROJ50" s="426"/>
      <c r="ROK50" s="426"/>
      <c r="ROL50" s="426"/>
      <c r="ROM50" s="426"/>
      <c r="RON50" s="426"/>
      <c r="ROO50" s="426"/>
      <c r="ROP50" s="426"/>
      <c r="ROQ50" s="426"/>
      <c r="ROR50" s="426"/>
      <c r="ROS50" s="426"/>
      <c r="ROT50" s="426"/>
      <c r="ROU50" s="426"/>
      <c r="ROV50" s="426"/>
      <c r="ROW50" s="426"/>
      <c r="ROX50" s="426"/>
      <c r="ROY50" s="426"/>
      <c r="ROZ50" s="426"/>
      <c r="RPA50" s="426"/>
      <c r="RPB50" s="426"/>
      <c r="RPC50" s="426"/>
      <c r="RPD50" s="426"/>
      <c r="RPE50" s="426"/>
      <c r="RPF50" s="426"/>
      <c r="RPG50" s="426"/>
      <c r="RPH50" s="426"/>
      <c r="RPI50" s="426"/>
      <c r="RPJ50" s="426"/>
      <c r="RPK50" s="426"/>
      <c r="RPL50" s="426"/>
      <c r="RPM50" s="426"/>
      <c r="RPN50" s="426"/>
      <c r="RPO50" s="426"/>
      <c r="RPP50" s="426"/>
      <c r="RPQ50" s="426"/>
      <c r="RPR50" s="426"/>
      <c r="RPS50" s="426"/>
      <c r="RPT50" s="426"/>
      <c r="RPU50" s="426"/>
      <c r="RPV50" s="426"/>
      <c r="RPW50" s="426"/>
      <c r="RPX50" s="426"/>
      <c r="RPY50" s="426"/>
      <c r="RPZ50" s="426"/>
      <c r="RQA50" s="426"/>
      <c r="RQB50" s="426"/>
      <c r="RQC50" s="426"/>
      <c r="RQD50" s="426"/>
      <c r="RQE50" s="426"/>
      <c r="RQF50" s="426"/>
      <c r="RQG50" s="426"/>
      <c r="RQH50" s="426"/>
      <c r="RQI50" s="426"/>
      <c r="RQJ50" s="426"/>
      <c r="RQK50" s="426"/>
      <c r="RQL50" s="426"/>
      <c r="RQM50" s="426"/>
      <c r="RQN50" s="426"/>
      <c r="RQO50" s="426"/>
      <c r="RQP50" s="426"/>
      <c r="RQQ50" s="426"/>
      <c r="RQR50" s="426"/>
      <c r="RQS50" s="426"/>
      <c r="RQT50" s="426"/>
      <c r="RQU50" s="426"/>
      <c r="RQV50" s="426"/>
      <c r="RQW50" s="426"/>
      <c r="RQX50" s="426"/>
      <c r="RQY50" s="426"/>
      <c r="RQZ50" s="426"/>
      <c r="RRA50" s="426"/>
      <c r="RRB50" s="426"/>
      <c r="RRC50" s="426"/>
      <c r="RRD50" s="426"/>
      <c r="RRE50" s="426"/>
      <c r="RRF50" s="426"/>
      <c r="RRG50" s="426"/>
      <c r="RRH50" s="426"/>
      <c r="RRI50" s="426"/>
      <c r="RRJ50" s="426"/>
      <c r="RRK50" s="426"/>
      <c r="RRL50" s="426"/>
      <c r="RRM50" s="426"/>
      <c r="RRN50" s="426"/>
      <c r="RRO50" s="426"/>
      <c r="RRP50" s="426"/>
      <c r="RRQ50" s="426"/>
      <c r="RRR50" s="426"/>
      <c r="RRS50" s="426"/>
      <c r="RRT50" s="426"/>
      <c r="RRU50" s="426"/>
      <c r="RRV50" s="426"/>
      <c r="RRW50" s="426"/>
      <c r="RRX50" s="426"/>
      <c r="RRY50" s="426"/>
      <c r="RRZ50" s="426"/>
      <c r="RSA50" s="426"/>
      <c r="RSB50" s="426"/>
      <c r="RSC50" s="426"/>
      <c r="RSD50" s="426"/>
      <c r="RSE50" s="426"/>
      <c r="RSF50" s="426"/>
      <c r="RSG50" s="426"/>
      <c r="RSH50" s="426"/>
      <c r="RSI50" s="426"/>
      <c r="RSJ50" s="426"/>
      <c r="RSK50" s="426"/>
      <c r="RSL50" s="426"/>
      <c r="RSM50" s="426"/>
      <c r="RSN50" s="426"/>
      <c r="RSO50" s="426"/>
      <c r="RSP50" s="426"/>
      <c r="RSQ50" s="426"/>
      <c r="RSR50" s="426"/>
      <c r="RSS50" s="426"/>
      <c r="RST50" s="426"/>
      <c r="RSU50" s="426"/>
      <c r="RSV50" s="426"/>
      <c r="RSW50" s="426"/>
      <c r="RSX50" s="426"/>
      <c r="RSY50" s="426"/>
      <c r="RSZ50" s="426"/>
      <c r="RTA50" s="426"/>
      <c r="RTB50" s="426"/>
      <c r="RTC50" s="426"/>
      <c r="RTD50" s="426"/>
      <c r="RTE50" s="426"/>
      <c r="RTF50" s="426"/>
      <c r="RTG50" s="426"/>
      <c r="RTH50" s="426"/>
      <c r="RTI50" s="426"/>
      <c r="RTJ50" s="426"/>
      <c r="RTK50" s="426"/>
      <c r="RTL50" s="426"/>
      <c r="RTM50" s="426"/>
      <c r="RTN50" s="426"/>
      <c r="RTO50" s="426"/>
      <c r="RTP50" s="426"/>
      <c r="RTQ50" s="426"/>
      <c r="RTR50" s="426"/>
      <c r="RTS50" s="426"/>
      <c r="RTT50" s="426"/>
      <c r="RTU50" s="426"/>
      <c r="RTV50" s="426"/>
      <c r="RTW50" s="426"/>
      <c r="RTX50" s="426"/>
      <c r="RTY50" s="426"/>
      <c r="RTZ50" s="426"/>
      <c r="RUA50" s="426"/>
      <c r="RUB50" s="426"/>
      <c r="RUC50" s="426"/>
      <c r="RUD50" s="426"/>
      <c r="RUE50" s="426"/>
      <c r="RUF50" s="426"/>
      <c r="RUG50" s="426"/>
      <c r="RUH50" s="426"/>
      <c r="RUI50" s="426"/>
      <c r="RUJ50" s="426"/>
      <c r="RUK50" s="426"/>
      <c r="RUL50" s="426"/>
      <c r="RUM50" s="426"/>
      <c r="RUN50" s="426"/>
      <c r="RUO50" s="426"/>
      <c r="RUP50" s="426"/>
      <c r="RUQ50" s="426"/>
      <c r="RUR50" s="426"/>
      <c r="RUS50" s="426"/>
      <c r="RUT50" s="426"/>
      <c r="RUU50" s="426"/>
      <c r="RUV50" s="426"/>
      <c r="RUW50" s="426"/>
      <c r="RUX50" s="426"/>
      <c r="RUY50" s="426"/>
      <c r="RUZ50" s="426"/>
      <c r="RVA50" s="426"/>
      <c r="RVB50" s="426"/>
      <c r="RVC50" s="426"/>
      <c r="RVD50" s="426"/>
      <c r="RVE50" s="426"/>
      <c r="RVF50" s="426"/>
      <c r="RVG50" s="426"/>
      <c r="RVH50" s="426"/>
      <c r="RVI50" s="426"/>
      <c r="RVJ50" s="426"/>
      <c r="RVK50" s="426"/>
      <c r="RVL50" s="426"/>
      <c r="RVM50" s="426"/>
      <c r="RVN50" s="426"/>
      <c r="RVO50" s="426"/>
      <c r="RVP50" s="426"/>
      <c r="RVQ50" s="426"/>
      <c r="RVR50" s="426"/>
      <c r="RVS50" s="426"/>
      <c r="RVT50" s="426"/>
      <c r="RVU50" s="426"/>
      <c r="RVV50" s="426"/>
      <c r="RVW50" s="426"/>
      <c r="RVX50" s="426"/>
      <c r="RVY50" s="426"/>
      <c r="RVZ50" s="426"/>
      <c r="RWA50" s="426"/>
      <c r="RWB50" s="426"/>
      <c r="RWC50" s="426"/>
      <c r="RWD50" s="426"/>
      <c r="RWE50" s="426"/>
      <c r="RWF50" s="426"/>
      <c r="RWG50" s="426"/>
      <c r="RWH50" s="426"/>
      <c r="RWI50" s="426"/>
      <c r="RWJ50" s="426"/>
      <c r="RWK50" s="426"/>
      <c r="RWL50" s="426"/>
      <c r="RWM50" s="426"/>
      <c r="RWN50" s="426"/>
      <c r="RWO50" s="426"/>
      <c r="RWP50" s="426"/>
      <c r="RWQ50" s="426"/>
      <c r="RWR50" s="426"/>
      <c r="RWS50" s="426"/>
      <c r="RWT50" s="426"/>
      <c r="RWU50" s="426"/>
      <c r="RWV50" s="426"/>
      <c r="RWW50" s="426"/>
      <c r="RWX50" s="426"/>
      <c r="RWY50" s="426"/>
      <c r="RWZ50" s="426"/>
      <c r="RXA50" s="426"/>
      <c r="RXB50" s="426"/>
      <c r="RXC50" s="426"/>
      <c r="RXD50" s="426"/>
      <c r="RXE50" s="426"/>
      <c r="RXF50" s="426"/>
      <c r="RXG50" s="426"/>
      <c r="RXH50" s="426"/>
      <c r="RXI50" s="426"/>
      <c r="RXJ50" s="426"/>
      <c r="RXK50" s="426"/>
      <c r="RXL50" s="426"/>
      <c r="RXM50" s="426"/>
      <c r="RXN50" s="426"/>
      <c r="RXO50" s="426"/>
      <c r="RXP50" s="426"/>
      <c r="RXQ50" s="426"/>
      <c r="RXR50" s="426"/>
      <c r="RXS50" s="426"/>
      <c r="RXT50" s="426"/>
      <c r="RXU50" s="426"/>
      <c r="RXV50" s="426"/>
      <c r="RXW50" s="426"/>
      <c r="RXX50" s="426"/>
      <c r="RXY50" s="426"/>
      <c r="RXZ50" s="426"/>
      <c r="RYA50" s="426"/>
      <c r="RYB50" s="426"/>
      <c r="RYC50" s="426"/>
      <c r="RYD50" s="426"/>
      <c r="RYE50" s="426"/>
      <c r="RYF50" s="426"/>
      <c r="RYG50" s="426"/>
      <c r="RYH50" s="426"/>
      <c r="RYI50" s="426"/>
      <c r="RYJ50" s="426"/>
      <c r="RYK50" s="426"/>
      <c r="RYL50" s="426"/>
      <c r="RYM50" s="426"/>
      <c r="RYN50" s="426"/>
      <c r="RYO50" s="426"/>
      <c r="RYP50" s="426"/>
      <c r="RYQ50" s="426"/>
      <c r="RYR50" s="426"/>
      <c r="RYS50" s="426"/>
      <c r="RYT50" s="426"/>
      <c r="RYU50" s="426"/>
      <c r="RYV50" s="426"/>
      <c r="RYW50" s="426"/>
      <c r="RYX50" s="426"/>
      <c r="RYY50" s="426"/>
      <c r="RYZ50" s="426"/>
      <c r="RZA50" s="426"/>
      <c r="RZB50" s="426"/>
      <c r="RZC50" s="426"/>
      <c r="RZD50" s="426"/>
      <c r="RZE50" s="426"/>
      <c r="RZF50" s="426"/>
      <c r="RZG50" s="426"/>
      <c r="RZH50" s="426"/>
      <c r="RZI50" s="426"/>
      <c r="RZJ50" s="426"/>
      <c r="RZK50" s="426"/>
      <c r="RZL50" s="426"/>
      <c r="RZM50" s="426"/>
      <c r="RZN50" s="426"/>
      <c r="RZO50" s="426"/>
      <c r="RZP50" s="426"/>
      <c r="RZQ50" s="426"/>
      <c r="RZR50" s="426"/>
      <c r="RZS50" s="426"/>
      <c r="RZT50" s="426"/>
      <c r="RZU50" s="426"/>
      <c r="RZV50" s="426"/>
      <c r="RZW50" s="426"/>
      <c r="RZX50" s="426"/>
      <c r="RZY50" s="426"/>
      <c r="RZZ50" s="426"/>
      <c r="SAA50" s="426"/>
      <c r="SAB50" s="426"/>
      <c r="SAC50" s="426"/>
      <c r="SAD50" s="426"/>
      <c r="SAE50" s="426"/>
      <c r="SAF50" s="426"/>
      <c r="SAG50" s="426"/>
      <c r="SAH50" s="426"/>
      <c r="SAI50" s="426"/>
      <c r="SAJ50" s="426"/>
      <c r="SAK50" s="426"/>
      <c r="SAL50" s="426"/>
      <c r="SAM50" s="426"/>
      <c r="SAN50" s="426"/>
      <c r="SAO50" s="426"/>
      <c r="SAP50" s="426"/>
      <c r="SAQ50" s="426"/>
      <c r="SAR50" s="426"/>
      <c r="SAS50" s="426"/>
      <c r="SAT50" s="426"/>
      <c r="SAU50" s="426"/>
      <c r="SAV50" s="426"/>
      <c r="SAW50" s="426"/>
      <c r="SAX50" s="426"/>
      <c r="SAY50" s="426"/>
      <c r="SAZ50" s="426"/>
      <c r="SBA50" s="426"/>
      <c r="SBB50" s="426"/>
      <c r="SBC50" s="426"/>
      <c r="SBD50" s="426"/>
      <c r="SBE50" s="426"/>
      <c r="SBF50" s="426"/>
      <c r="SBG50" s="426"/>
      <c r="SBH50" s="426"/>
      <c r="SBI50" s="426"/>
      <c r="SBJ50" s="426"/>
      <c r="SBK50" s="426"/>
      <c r="SBL50" s="426"/>
      <c r="SBM50" s="426"/>
      <c r="SBN50" s="426"/>
      <c r="SBO50" s="426"/>
      <c r="SBP50" s="426"/>
      <c r="SBQ50" s="426"/>
      <c r="SBR50" s="426"/>
      <c r="SBS50" s="426"/>
      <c r="SBT50" s="426"/>
      <c r="SBU50" s="426"/>
      <c r="SBV50" s="426"/>
      <c r="SBW50" s="426"/>
      <c r="SBX50" s="426"/>
      <c r="SBY50" s="426"/>
      <c r="SBZ50" s="426"/>
      <c r="SCA50" s="426"/>
      <c r="SCB50" s="426"/>
      <c r="SCC50" s="426"/>
      <c r="SCD50" s="426"/>
      <c r="SCE50" s="426"/>
      <c r="SCF50" s="426"/>
      <c r="SCG50" s="426"/>
      <c r="SCH50" s="426"/>
      <c r="SCI50" s="426"/>
      <c r="SCJ50" s="426"/>
      <c r="SCK50" s="426"/>
      <c r="SCL50" s="426"/>
      <c r="SCM50" s="426"/>
      <c r="SCN50" s="426"/>
      <c r="SCO50" s="426"/>
      <c r="SCP50" s="426"/>
      <c r="SCQ50" s="426"/>
      <c r="SCR50" s="426"/>
      <c r="SCS50" s="426"/>
      <c r="SCT50" s="426"/>
      <c r="SCU50" s="426"/>
      <c r="SCV50" s="426"/>
      <c r="SCW50" s="426"/>
      <c r="SCX50" s="426"/>
      <c r="SCY50" s="426"/>
      <c r="SCZ50" s="426"/>
      <c r="SDA50" s="426"/>
      <c r="SDB50" s="426"/>
      <c r="SDC50" s="426"/>
      <c r="SDD50" s="426"/>
      <c r="SDE50" s="426"/>
      <c r="SDF50" s="426"/>
      <c r="SDG50" s="426"/>
      <c r="SDH50" s="426"/>
      <c r="SDI50" s="426"/>
      <c r="SDJ50" s="426"/>
      <c r="SDK50" s="426"/>
      <c r="SDL50" s="426"/>
      <c r="SDM50" s="426"/>
      <c r="SDN50" s="426"/>
      <c r="SDO50" s="426"/>
      <c r="SDP50" s="426"/>
      <c r="SDQ50" s="426"/>
      <c r="SDR50" s="426"/>
      <c r="SDS50" s="426"/>
      <c r="SDT50" s="426"/>
      <c r="SDU50" s="426"/>
      <c r="SDV50" s="426"/>
      <c r="SDW50" s="426"/>
      <c r="SDX50" s="426"/>
      <c r="SDY50" s="426"/>
      <c r="SDZ50" s="426"/>
      <c r="SEA50" s="426"/>
      <c r="SEB50" s="426"/>
      <c r="SEC50" s="426"/>
      <c r="SED50" s="426"/>
      <c r="SEE50" s="426"/>
      <c r="SEF50" s="426"/>
      <c r="SEG50" s="426"/>
      <c r="SEH50" s="426"/>
      <c r="SEI50" s="426"/>
      <c r="SEJ50" s="426"/>
      <c r="SEK50" s="426"/>
      <c r="SEL50" s="426"/>
      <c r="SEM50" s="426"/>
      <c r="SEN50" s="426"/>
      <c r="SEO50" s="426"/>
      <c r="SEP50" s="426"/>
      <c r="SEQ50" s="426"/>
      <c r="SER50" s="426"/>
      <c r="SES50" s="426"/>
      <c r="SET50" s="426"/>
      <c r="SEU50" s="426"/>
      <c r="SEV50" s="426"/>
      <c r="SEW50" s="426"/>
      <c r="SEX50" s="426"/>
      <c r="SEY50" s="426"/>
      <c r="SEZ50" s="426"/>
      <c r="SFA50" s="426"/>
      <c r="SFB50" s="426"/>
      <c r="SFC50" s="426"/>
      <c r="SFD50" s="426"/>
      <c r="SFE50" s="426"/>
      <c r="SFF50" s="426"/>
      <c r="SFG50" s="426"/>
      <c r="SFH50" s="426"/>
      <c r="SFI50" s="426"/>
      <c r="SFJ50" s="426"/>
      <c r="SFK50" s="426"/>
      <c r="SFL50" s="426"/>
      <c r="SFM50" s="426"/>
      <c r="SFN50" s="426"/>
      <c r="SFO50" s="426"/>
      <c r="SFP50" s="426"/>
      <c r="SFQ50" s="426"/>
      <c r="SFR50" s="426"/>
      <c r="SFS50" s="426"/>
      <c r="SFT50" s="426"/>
      <c r="SFU50" s="426"/>
      <c r="SFV50" s="426"/>
      <c r="SFW50" s="426"/>
      <c r="SFX50" s="426"/>
      <c r="SFY50" s="426"/>
      <c r="SFZ50" s="426"/>
      <c r="SGA50" s="426"/>
      <c r="SGB50" s="426"/>
      <c r="SGC50" s="426"/>
      <c r="SGD50" s="426"/>
      <c r="SGE50" s="426"/>
      <c r="SGF50" s="426"/>
      <c r="SGG50" s="426"/>
      <c r="SGH50" s="426"/>
      <c r="SGI50" s="426"/>
      <c r="SGJ50" s="426"/>
      <c r="SGK50" s="426"/>
      <c r="SGL50" s="426"/>
      <c r="SGM50" s="426"/>
      <c r="SGN50" s="426"/>
      <c r="SGO50" s="426"/>
      <c r="SGP50" s="426"/>
      <c r="SGQ50" s="426"/>
      <c r="SGR50" s="426"/>
      <c r="SGS50" s="426"/>
      <c r="SGT50" s="426"/>
      <c r="SGU50" s="426"/>
      <c r="SGV50" s="426"/>
      <c r="SGW50" s="426"/>
      <c r="SGX50" s="426"/>
      <c r="SGY50" s="426"/>
      <c r="SGZ50" s="426"/>
      <c r="SHA50" s="426"/>
      <c r="SHB50" s="426"/>
      <c r="SHC50" s="426"/>
      <c r="SHD50" s="426"/>
      <c r="SHE50" s="426"/>
      <c r="SHF50" s="426"/>
      <c r="SHG50" s="426"/>
      <c r="SHH50" s="426"/>
      <c r="SHI50" s="426"/>
      <c r="SHJ50" s="426"/>
      <c r="SHK50" s="426"/>
      <c r="SHL50" s="426"/>
      <c r="SHM50" s="426"/>
      <c r="SHN50" s="426"/>
      <c r="SHO50" s="426"/>
      <c r="SHP50" s="426"/>
      <c r="SHQ50" s="426"/>
      <c r="SHR50" s="426"/>
      <c r="SHS50" s="426"/>
      <c r="SHT50" s="426"/>
      <c r="SHU50" s="426"/>
      <c r="SHV50" s="426"/>
      <c r="SHW50" s="426"/>
      <c r="SHX50" s="426"/>
      <c r="SHY50" s="426"/>
      <c r="SHZ50" s="426"/>
      <c r="SIA50" s="426"/>
      <c r="SIB50" s="426"/>
      <c r="SIC50" s="426"/>
      <c r="SID50" s="426"/>
      <c r="SIE50" s="426"/>
      <c r="SIF50" s="426"/>
      <c r="SIG50" s="426"/>
      <c r="SIH50" s="426"/>
      <c r="SII50" s="426"/>
      <c r="SIJ50" s="426"/>
      <c r="SIK50" s="426"/>
      <c r="SIL50" s="426"/>
      <c r="SIM50" s="426"/>
      <c r="SIN50" s="426"/>
      <c r="SIO50" s="426"/>
      <c r="SIP50" s="426"/>
      <c r="SIQ50" s="426"/>
      <c r="SIR50" s="426"/>
      <c r="SIS50" s="426"/>
      <c r="SIT50" s="426"/>
      <c r="SIU50" s="426"/>
      <c r="SIV50" s="426"/>
      <c r="SIW50" s="426"/>
      <c r="SIX50" s="426"/>
      <c r="SIY50" s="426"/>
      <c r="SIZ50" s="426"/>
      <c r="SJA50" s="426"/>
      <c r="SJB50" s="426"/>
      <c r="SJC50" s="426"/>
      <c r="SJD50" s="426"/>
      <c r="SJE50" s="426"/>
      <c r="SJF50" s="426"/>
      <c r="SJG50" s="426"/>
      <c r="SJH50" s="426"/>
      <c r="SJI50" s="426"/>
      <c r="SJJ50" s="426"/>
      <c r="SJK50" s="426"/>
      <c r="SJL50" s="426"/>
      <c r="SJM50" s="426"/>
      <c r="SJN50" s="426"/>
      <c r="SJO50" s="426"/>
      <c r="SJP50" s="426"/>
      <c r="SJQ50" s="426"/>
      <c r="SJR50" s="426"/>
      <c r="SJS50" s="426"/>
      <c r="SJT50" s="426"/>
      <c r="SJU50" s="426"/>
      <c r="SJV50" s="426"/>
      <c r="SJW50" s="426"/>
      <c r="SJX50" s="426"/>
      <c r="SJY50" s="426"/>
      <c r="SJZ50" s="426"/>
      <c r="SKA50" s="426"/>
      <c r="SKB50" s="426"/>
      <c r="SKC50" s="426"/>
      <c r="SKD50" s="426"/>
      <c r="SKE50" s="426"/>
      <c r="SKF50" s="426"/>
      <c r="SKG50" s="426"/>
      <c r="SKH50" s="426"/>
      <c r="SKI50" s="426"/>
      <c r="SKJ50" s="426"/>
      <c r="SKK50" s="426"/>
      <c r="SKL50" s="426"/>
      <c r="SKM50" s="426"/>
      <c r="SKN50" s="426"/>
      <c r="SKO50" s="426"/>
      <c r="SKP50" s="426"/>
      <c r="SKQ50" s="426"/>
      <c r="SKR50" s="426"/>
      <c r="SKS50" s="426"/>
      <c r="SKT50" s="426"/>
      <c r="SKU50" s="426"/>
      <c r="SKV50" s="426"/>
      <c r="SKW50" s="426"/>
      <c r="SKX50" s="426"/>
      <c r="SKY50" s="426"/>
      <c r="SKZ50" s="426"/>
      <c r="SLA50" s="426"/>
      <c r="SLB50" s="426"/>
      <c r="SLC50" s="426"/>
      <c r="SLD50" s="426"/>
      <c r="SLE50" s="426"/>
      <c r="SLF50" s="426"/>
      <c r="SLG50" s="426"/>
      <c r="SLH50" s="426"/>
      <c r="SLI50" s="426"/>
      <c r="SLJ50" s="426"/>
      <c r="SLK50" s="426"/>
      <c r="SLL50" s="426"/>
      <c r="SLM50" s="426"/>
      <c r="SLN50" s="426"/>
      <c r="SLO50" s="426"/>
      <c r="SLP50" s="426"/>
      <c r="SLQ50" s="426"/>
      <c r="SLR50" s="426"/>
      <c r="SLS50" s="426"/>
      <c r="SLT50" s="426"/>
      <c r="SLU50" s="426"/>
      <c r="SLV50" s="426"/>
      <c r="SLW50" s="426"/>
      <c r="SLX50" s="426"/>
      <c r="SLY50" s="426"/>
      <c r="SLZ50" s="426"/>
      <c r="SMA50" s="426"/>
      <c r="SMB50" s="426"/>
      <c r="SMC50" s="426"/>
      <c r="SMD50" s="426"/>
      <c r="SME50" s="426"/>
      <c r="SMF50" s="426"/>
      <c r="SMG50" s="426"/>
      <c r="SMH50" s="426"/>
      <c r="SMI50" s="426"/>
      <c r="SMJ50" s="426"/>
      <c r="SMK50" s="426"/>
      <c r="SML50" s="426"/>
      <c r="SMM50" s="426"/>
      <c r="SMN50" s="426"/>
      <c r="SMO50" s="426"/>
      <c r="SMP50" s="426"/>
      <c r="SMQ50" s="426"/>
      <c r="SMR50" s="426"/>
      <c r="SMS50" s="426"/>
      <c r="SMT50" s="426"/>
      <c r="SMU50" s="426"/>
      <c r="SMV50" s="426"/>
      <c r="SMW50" s="426"/>
      <c r="SMX50" s="426"/>
      <c r="SMY50" s="426"/>
      <c r="SMZ50" s="426"/>
      <c r="SNA50" s="426"/>
      <c r="SNB50" s="426"/>
      <c r="SNC50" s="426"/>
      <c r="SND50" s="426"/>
      <c r="SNE50" s="426"/>
      <c r="SNF50" s="426"/>
      <c r="SNG50" s="426"/>
      <c r="SNH50" s="426"/>
      <c r="SNI50" s="426"/>
      <c r="SNJ50" s="426"/>
      <c r="SNK50" s="426"/>
      <c r="SNL50" s="426"/>
      <c r="SNM50" s="426"/>
      <c r="SNN50" s="426"/>
      <c r="SNO50" s="426"/>
      <c r="SNP50" s="426"/>
      <c r="SNQ50" s="426"/>
      <c r="SNR50" s="426"/>
      <c r="SNS50" s="426"/>
      <c r="SNT50" s="426"/>
      <c r="SNU50" s="426"/>
      <c r="SNV50" s="426"/>
      <c r="SNW50" s="426"/>
      <c r="SNX50" s="426"/>
      <c r="SNY50" s="426"/>
      <c r="SNZ50" s="426"/>
      <c r="SOA50" s="426"/>
      <c r="SOB50" s="426"/>
      <c r="SOC50" s="426"/>
      <c r="SOD50" s="426"/>
      <c r="SOE50" s="426"/>
      <c r="SOF50" s="426"/>
      <c r="SOG50" s="426"/>
      <c r="SOH50" s="426"/>
      <c r="SOI50" s="426"/>
      <c r="SOJ50" s="426"/>
      <c r="SOK50" s="426"/>
      <c r="SOL50" s="426"/>
      <c r="SOM50" s="426"/>
      <c r="SON50" s="426"/>
      <c r="SOO50" s="426"/>
      <c r="SOP50" s="426"/>
      <c r="SOQ50" s="426"/>
      <c r="SOR50" s="426"/>
      <c r="SOS50" s="426"/>
      <c r="SOT50" s="426"/>
      <c r="SOU50" s="426"/>
      <c r="SOV50" s="426"/>
      <c r="SOW50" s="426"/>
      <c r="SOX50" s="426"/>
      <c r="SOY50" s="426"/>
      <c r="SOZ50" s="426"/>
      <c r="SPA50" s="426"/>
      <c r="SPB50" s="426"/>
      <c r="SPC50" s="426"/>
      <c r="SPD50" s="426"/>
      <c r="SPE50" s="426"/>
      <c r="SPF50" s="426"/>
      <c r="SPG50" s="426"/>
      <c r="SPH50" s="426"/>
      <c r="SPI50" s="426"/>
      <c r="SPJ50" s="426"/>
      <c r="SPK50" s="426"/>
      <c r="SPL50" s="426"/>
      <c r="SPM50" s="426"/>
      <c r="SPN50" s="426"/>
      <c r="SPO50" s="426"/>
      <c r="SPP50" s="426"/>
      <c r="SPQ50" s="426"/>
      <c r="SPR50" s="426"/>
      <c r="SPS50" s="426"/>
      <c r="SPT50" s="426"/>
      <c r="SPU50" s="426"/>
      <c r="SPV50" s="426"/>
      <c r="SPW50" s="426"/>
      <c r="SPX50" s="426"/>
      <c r="SPY50" s="426"/>
      <c r="SPZ50" s="426"/>
      <c r="SQA50" s="426"/>
      <c r="SQB50" s="426"/>
      <c r="SQC50" s="426"/>
      <c r="SQD50" s="426"/>
      <c r="SQE50" s="426"/>
      <c r="SQF50" s="426"/>
      <c r="SQG50" s="426"/>
      <c r="SQH50" s="426"/>
      <c r="SQI50" s="426"/>
      <c r="SQJ50" s="426"/>
      <c r="SQK50" s="426"/>
      <c r="SQL50" s="426"/>
      <c r="SQM50" s="426"/>
      <c r="SQN50" s="426"/>
      <c r="SQO50" s="426"/>
      <c r="SQP50" s="426"/>
      <c r="SQQ50" s="426"/>
      <c r="SQR50" s="426"/>
      <c r="SQS50" s="426"/>
      <c r="SQT50" s="426"/>
      <c r="SQU50" s="426"/>
      <c r="SQV50" s="426"/>
      <c r="SQW50" s="426"/>
      <c r="SQX50" s="426"/>
      <c r="SQY50" s="426"/>
      <c r="SQZ50" s="426"/>
      <c r="SRA50" s="426"/>
      <c r="SRB50" s="426"/>
      <c r="SRC50" s="426"/>
      <c r="SRD50" s="426"/>
      <c r="SRE50" s="426"/>
      <c r="SRF50" s="426"/>
      <c r="SRG50" s="426"/>
      <c r="SRH50" s="426"/>
      <c r="SRI50" s="426"/>
      <c r="SRJ50" s="426"/>
      <c r="SRK50" s="426"/>
      <c r="SRL50" s="426"/>
      <c r="SRM50" s="426"/>
      <c r="SRN50" s="426"/>
      <c r="SRO50" s="426"/>
      <c r="SRP50" s="426"/>
      <c r="SRQ50" s="426"/>
      <c r="SRR50" s="426"/>
      <c r="SRS50" s="426"/>
      <c r="SRT50" s="426"/>
      <c r="SRU50" s="426"/>
      <c r="SRV50" s="426"/>
      <c r="SRW50" s="426"/>
      <c r="SRX50" s="426"/>
      <c r="SRY50" s="426"/>
      <c r="SRZ50" s="426"/>
      <c r="SSA50" s="426"/>
      <c r="SSB50" s="426"/>
      <c r="SSC50" s="426"/>
      <c r="SSD50" s="426"/>
      <c r="SSE50" s="426"/>
      <c r="SSF50" s="426"/>
      <c r="SSG50" s="426"/>
      <c r="SSH50" s="426"/>
      <c r="SSI50" s="426"/>
      <c r="SSJ50" s="426"/>
      <c r="SSK50" s="426"/>
      <c r="SSL50" s="426"/>
      <c r="SSM50" s="426"/>
      <c r="SSN50" s="426"/>
      <c r="SSO50" s="426"/>
      <c r="SSP50" s="426"/>
      <c r="SSQ50" s="426"/>
      <c r="SSR50" s="426"/>
      <c r="SSS50" s="426"/>
      <c r="SST50" s="426"/>
      <c r="SSU50" s="426"/>
      <c r="SSV50" s="426"/>
      <c r="SSW50" s="426"/>
      <c r="SSX50" s="426"/>
      <c r="SSY50" s="426"/>
      <c r="SSZ50" s="426"/>
      <c r="STA50" s="426"/>
      <c r="STB50" s="426"/>
      <c r="STC50" s="426"/>
      <c r="STD50" s="426"/>
      <c r="STE50" s="426"/>
      <c r="STF50" s="426"/>
      <c r="STG50" s="426"/>
      <c r="STH50" s="426"/>
      <c r="STI50" s="426"/>
      <c r="STJ50" s="426"/>
      <c r="STK50" s="426"/>
      <c r="STL50" s="426"/>
      <c r="STM50" s="426"/>
      <c r="STN50" s="426"/>
      <c r="STO50" s="426"/>
      <c r="STP50" s="426"/>
      <c r="STQ50" s="426"/>
      <c r="STR50" s="426"/>
      <c r="STS50" s="426"/>
      <c r="STT50" s="426"/>
      <c r="STU50" s="426"/>
      <c r="STV50" s="426"/>
      <c r="STW50" s="426"/>
      <c r="STX50" s="426"/>
      <c r="STY50" s="426"/>
      <c r="STZ50" s="426"/>
      <c r="SUA50" s="426"/>
      <c r="SUB50" s="426"/>
      <c r="SUC50" s="426"/>
      <c r="SUD50" s="426"/>
      <c r="SUE50" s="426"/>
      <c r="SUF50" s="426"/>
      <c r="SUG50" s="426"/>
      <c r="SUH50" s="426"/>
      <c r="SUI50" s="426"/>
      <c r="SUJ50" s="426"/>
      <c r="SUK50" s="426"/>
      <c r="SUL50" s="426"/>
      <c r="SUM50" s="426"/>
      <c r="SUN50" s="426"/>
      <c r="SUO50" s="426"/>
      <c r="SUP50" s="426"/>
      <c r="SUQ50" s="426"/>
      <c r="SUR50" s="426"/>
      <c r="SUS50" s="426"/>
      <c r="SUT50" s="426"/>
      <c r="SUU50" s="426"/>
      <c r="SUV50" s="426"/>
      <c r="SUW50" s="426"/>
      <c r="SUX50" s="426"/>
      <c r="SUY50" s="426"/>
      <c r="SUZ50" s="426"/>
      <c r="SVA50" s="426"/>
      <c r="SVB50" s="426"/>
      <c r="SVC50" s="426"/>
      <c r="SVD50" s="426"/>
      <c r="SVE50" s="426"/>
      <c r="SVF50" s="426"/>
      <c r="SVG50" s="426"/>
      <c r="SVH50" s="426"/>
      <c r="SVI50" s="426"/>
      <c r="SVJ50" s="426"/>
      <c r="SVK50" s="426"/>
      <c r="SVL50" s="426"/>
      <c r="SVM50" s="426"/>
      <c r="SVN50" s="426"/>
      <c r="SVO50" s="426"/>
      <c r="SVP50" s="426"/>
      <c r="SVQ50" s="426"/>
      <c r="SVR50" s="426"/>
      <c r="SVS50" s="426"/>
      <c r="SVT50" s="426"/>
      <c r="SVU50" s="426"/>
      <c r="SVV50" s="426"/>
      <c r="SVW50" s="426"/>
      <c r="SVX50" s="426"/>
      <c r="SVY50" s="426"/>
      <c r="SVZ50" s="426"/>
      <c r="SWA50" s="426"/>
      <c r="SWB50" s="426"/>
      <c r="SWC50" s="426"/>
      <c r="SWD50" s="426"/>
      <c r="SWE50" s="426"/>
      <c r="SWF50" s="426"/>
      <c r="SWG50" s="426"/>
      <c r="SWH50" s="426"/>
      <c r="SWI50" s="426"/>
      <c r="SWJ50" s="426"/>
      <c r="SWK50" s="426"/>
      <c r="SWL50" s="426"/>
      <c r="SWM50" s="426"/>
      <c r="SWN50" s="426"/>
      <c r="SWO50" s="426"/>
      <c r="SWP50" s="426"/>
      <c r="SWQ50" s="426"/>
      <c r="SWR50" s="426"/>
      <c r="SWS50" s="426"/>
      <c r="SWT50" s="426"/>
      <c r="SWU50" s="426"/>
      <c r="SWV50" s="426"/>
      <c r="SWW50" s="426"/>
      <c r="SWX50" s="426"/>
      <c r="SWY50" s="426"/>
      <c r="SWZ50" s="426"/>
      <c r="SXA50" s="426"/>
      <c r="SXB50" s="426"/>
      <c r="SXC50" s="426"/>
      <c r="SXD50" s="426"/>
      <c r="SXE50" s="426"/>
      <c r="SXF50" s="426"/>
      <c r="SXG50" s="426"/>
      <c r="SXH50" s="426"/>
      <c r="SXI50" s="426"/>
      <c r="SXJ50" s="426"/>
      <c r="SXK50" s="426"/>
      <c r="SXL50" s="426"/>
      <c r="SXM50" s="426"/>
      <c r="SXN50" s="426"/>
      <c r="SXO50" s="426"/>
      <c r="SXP50" s="426"/>
      <c r="SXQ50" s="426"/>
      <c r="SXR50" s="426"/>
      <c r="SXS50" s="426"/>
      <c r="SXT50" s="426"/>
      <c r="SXU50" s="426"/>
      <c r="SXV50" s="426"/>
      <c r="SXW50" s="426"/>
      <c r="SXX50" s="426"/>
      <c r="SXY50" s="426"/>
      <c r="SXZ50" s="426"/>
      <c r="SYA50" s="426"/>
      <c r="SYB50" s="426"/>
      <c r="SYC50" s="426"/>
      <c r="SYD50" s="426"/>
      <c r="SYE50" s="426"/>
      <c r="SYF50" s="426"/>
      <c r="SYG50" s="426"/>
      <c r="SYH50" s="426"/>
      <c r="SYI50" s="426"/>
      <c r="SYJ50" s="426"/>
      <c r="SYK50" s="426"/>
      <c r="SYL50" s="426"/>
      <c r="SYM50" s="426"/>
      <c r="SYN50" s="426"/>
      <c r="SYO50" s="426"/>
      <c r="SYP50" s="426"/>
      <c r="SYQ50" s="426"/>
      <c r="SYR50" s="426"/>
      <c r="SYS50" s="426"/>
      <c r="SYT50" s="426"/>
      <c r="SYU50" s="426"/>
      <c r="SYV50" s="426"/>
      <c r="SYW50" s="426"/>
      <c r="SYX50" s="426"/>
      <c r="SYY50" s="426"/>
      <c r="SYZ50" s="426"/>
      <c r="SZA50" s="426"/>
      <c r="SZB50" s="426"/>
      <c r="SZC50" s="426"/>
      <c r="SZD50" s="426"/>
      <c r="SZE50" s="426"/>
      <c r="SZF50" s="426"/>
      <c r="SZG50" s="426"/>
      <c r="SZH50" s="426"/>
      <c r="SZI50" s="426"/>
      <c r="SZJ50" s="426"/>
      <c r="SZK50" s="426"/>
      <c r="SZL50" s="426"/>
      <c r="SZM50" s="426"/>
      <c r="SZN50" s="426"/>
      <c r="SZO50" s="426"/>
      <c r="SZP50" s="426"/>
      <c r="SZQ50" s="426"/>
      <c r="SZR50" s="426"/>
      <c r="SZS50" s="426"/>
      <c r="SZT50" s="426"/>
      <c r="SZU50" s="426"/>
      <c r="SZV50" s="426"/>
      <c r="SZW50" s="426"/>
      <c r="SZX50" s="426"/>
      <c r="SZY50" s="426"/>
      <c r="SZZ50" s="426"/>
      <c r="TAA50" s="426"/>
      <c r="TAB50" s="426"/>
      <c r="TAC50" s="426"/>
      <c r="TAD50" s="426"/>
      <c r="TAE50" s="426"/>
      <c r="TAF50" s="426"/>
      <c r="TAG50" s="426"/>
      <c r="TAH50" s="426"/>
      <c r="TAI50" s="426"/>
      <c r="TAJ50" s="426"/>
      <c r="TAK50" s="426"/>
      <c r="TAL50" s="426"/>
      <c r="TAM50" s="426"/>
      <c r="TAN50" s="426"/>
      <c r="TAO50" s="426"/>
      <c r="TAP50" s="426"/>
      <c r="TAQ50" s="426"/>
      <c r="TAR50" s="426"/>
      <c r="TAS50" s="426"/>
      <c r="TAT50" s="426"/>
      <c r="TAU50" s="426"/>
      <c r="TAV50" s="426"/>
      <c r="TAW50" s="426"/>
      <c r="TAX50" s="426"/>
      <c r="TAY50" s="426"/>
      <c r="TAZ50" s="426"/>
      <c r="TBA50" s="426"/>
      <c r="TBB50" s="426"/>
      <c r="TBC50" s="426"/>
      <c r="TBD50" s="426"/>
      <c r="TBE50" s="426"/>
      <c r="TBF50" s="426"/>
      <c r="TBG50" s="426"/>
      <c r="TBH50" s="426"/>
      <c r="TBI50" s="426"/>
      <c r="TBJ50" s="426"/>
      <c r="TBK50" s="426"/>
      <c r="TBL50" s="426"/>
      <c r="TBM50" s="426"/>
      <c r="TBN50" s="426"/>
      <c r="TBO50" s="426"/>
      <c r="TBP50" s="426"/>
      <c r="TBQ50" s="426"/>
      <c r="TBR50" s="426"/>
      <c r="TBS50" s="426"/>
      <c r="TBT50" s="426"/>
      <c r="TBU50" s="426"/>
      <c r="TBV50" s="426"/>
      <c r="TBW50" s="426"/>
      <c r="TBX50" s="426"/>
      <c r="TBY50" s="426"/>
      <c r="TBZ50" s="426"/>
      <c r="TCA50" s="426"/>
      <c r="TCB50" s="426"/>
      <c r="TCC50" s="426"/>
      <c r="TCD50" s="426"/>
      <c r="TCE50" s="426"/>
      <c r="TCF50" s="426"/>
      <c r="TCG50" s="426"/>
      <c r="TCH50" s="426"/>
      <c r="TCI50" s="426"/>
      <c r="TCJ50" s="426"/>
      <c r="TCK50" s="426"/>
      <c r="TCL50" s="426"/>
      <c r="TCM50" s="426"/>
      <c r="TCN50" s="426"/>
      <c r="TCO50" s="426"/>
      <c r="TCP50" s="426"/>
      <c r="TCQ50" s="426"/>
      <c r="TCR50" s="426"/>
      <c r="TCS50" s="426"/>
      <c r="TCT50" s="426"/>
      <c r="TCU50" s="426"/>
      <c r="TCV50" s="426"/>
      <c r="TCW50" s="426"/>
      <c r="TCX50" s="426"/>
      <c r="TCY50" s="426"/>
      <c r="TCZ50" s="426"/>
      <c r="TDA50" s="426"/>
      <c r="TDB50" s="426"/>
      <c r="TDC50" s="426"/>
      <c r="TDD50" s="426"/>
      <c r="TDE50" s="426"/>
      <c r="TDF50" s="426"/>
      <c r="TDG50" s="426"/>
      <c r="TDH50" s="426"/>
      <c r="TDI50" s="426"/>
      <c r="TDJ50" s="426"/>
      <c r="TDK50" s="426"/>
      <c r="TDL50" s="426"/>
      <c r="TDM50" s="426"/>
      <c r="TDN50" s="426"/>
      <c r="TDO50" s="426"/>
      <c r="TDP50" s="426"/>
      <c r="TDQ50" s="426"/>
      <c r="TDR50" s="426"/>
      <c r="TDS50" s="426"/>
      <c r="TDT50" s="426"/>
      <c r="TDU50" s="426"/>
      <c r="TDV50" s="426"/>
      <c r="TDW50" s="426"/>
      <c r="TDX50" s="426"/>
      <c r="TDY50" s="426"/>
      <c r="TDZ50" s="426"/>
      <c r="TEA50" s="426"/>
      <c r="TEB50" s="426"/>
      <c r="TEC50" s="426"/>
      <c r="TED50" s="426"/>
      <c r="TEE50" s="426"/>
      <c r="TEF50" s="426"/>
      <c r="TEG50" s="426"/>
      <c r="TEH50" s="426"/>
      <c r="TEI50" s="426"/>
      <c r="TEJ50" s="426"/>
      <c r="TEK50" s="426"/>
      <c r="TEL50" s="426"/>
      <c r="TEM50" s="426"/>
      <c r="TEN50" s="426"/>
      <c r="TEO50" s="426"/>
      <c r="TEP50" s="426"/>
      <c r="TEQ50" s="426"/>
      <c r="TER50" s="426"/>
      <c r="TES50" s="426"/>
      <c r="TET50" s="426"/>
      <c r="TEU50" s="426"/>
      <c r="TEV50" s="426"/>
      <c r="TEW50" s="426"/>
      <c r="TEX50" s="426"/>
      <c r="TEY50" s="426"/>
      <c r="TEZ50" s="426"/>
      <c r="TFA50" s="426"/>
      <c r="TFB50" s="426"/>
      <c r="TFC50" s="426"/>
      <c r="TFD50" s="426"/>
      <c r="TFE50" s="426"/>
      <c r="TFF50" s="426"/>
      <c r="TFG50" s="426"/>
      <c r="TFH50" s="426"/>
      <c r="TFI50" s="426"/>
      <c r="TFJ50" s="426"/>
      <c r="TFK50" s="426"/>
      <c r="TFL50" s="426"/>
      <c r="TFM50" s="426"/>
      <c r="TFN50" s="426"/>
      <c r="TFO50" s="426"/>
      <c r="TFP50" s="426"/>
      <c r="TFQ50" s="426"/>
      <c r="TFR50" s="426"/>
      <c r="TFS50" s="426"/>
      <c r="TFT50" s="426"/>
      <c r="TFU50" s="426"/>
      <c r="TFV50" s="426"/>
      <c r="TFW50" s="426"/>
      <c r="TFX50" s="426"/>
      <c r="TFY50" s="426"/>
      <c r="TFZ50" s="426"/>
      <c r="TGA50" s="426"/>
      <c r="TGB50" s="426"/>
      <c r="TGC50" s="426"/>
      <c r="TGD50" s="426"/>
      <c r="TGE50" s="426"/>
      <c r="TGF50" s="426"/>
      <c r="TGG50" s="426"/>
      <c r="TGH50" s="426"/>
      <c r="TGI50" s="426"/>
      <c r="TGJ50" s="426"/>
      <c r="TGK50" s="426"/>
      <c r="TGL50" s="426"/>
      <c r="TGM50" s="426"/>
      <c r="TGN50" s="426"/>
      <c r="TGO50" s="426"/>
      <c r="TGP50" s="426"/>
      <c r="TGQ50" s="426"/>
      <c r="TGR50" s="426"/>
      <c r="TGS50" s="426"/>
      <c r="TGT50" s="426"/>
      <c r="TGU50" s="426"/>
      <c r="TGV50" s="426"/>
      <c r="TGW50" s="426"/>
      <c r="TGX50" s="426"/>
      <c r="TGY50" s="426"/>
      <c r="TGZ50" s="426"/>
      <c r="THA50" s="426"/>
      <c r="THB50" s="426"/>
      <c r="THC50" s="426"/>
      <c r="THD50" s="426"/>
      <c r="THE50" s="426"/>
      <c r="THF50" s="426"/>
      <c r="THG50" s="426"/>
      <c r="THH50" s="426"/>
      <c r="THI50" s="426"/>
      <c r="THJ50" s="426"/>
      <c r="THK50" s="426"/>
      <c r="THL50" s="426"/>
      <c r="THM50" s="426"/>
      <c r="THN50" s="426"/>
      <c r="THO50" s="426"/>
      <c r="THP50" s="426"/>
      <c r="THQ50" s="426"/>
      <c r="THR50" s="426"/>
      <c r="THS50" s="426"/>
      <c r="THT50" s="426"/>
      <c r="THU50" s="426"/>
      <c r="THV50" s="426"/>
      <c r="THW50" s="426"/>
      <c r="THX50" s="426"/>
      <c r="THY50" s="426"/>
      <c r="THZ50" s="426"/>
      <c r="TIA50" s="426"/>
      <c r="TIB50" s="426"/>
      <c r="TIC50" s="426"/>
      <c r="TID50" s="426"/>
      <c r="TIE50" s="426"/>
      <c r="TIF50" s="426"/>
      <c r="TIG50" s="426"/>
      <c r="TIH50" s="426"/>
      <c r="TII50" s="426"/>
      <c r="TIJ50" s="426"/>
      <c r="TIK50" s="426"/>
      <c r="TIL50" s="426"/>
      <c r="TIM50" s="426"/>
      <c r="TIN50" s="426"/>
      <c r="TIO50" s="426"/>
      <c r="TIP50" s="426"/>
      <c r="TIQ50" s="426"/>
      <c r="TIR50" s="426"/>
      <c r="TIS50" s="426"/>
      <c r="TIT50" s="426"/>
      <c r="TIU50" s="426"/>
      <c r="TIV50" s="426"/>
      <c r="TIW50" s="426"/>
      <c r="TIX50" s="426"/>
      <c r="TIY50" s="426"/>
      <c r="TIZ50" s="426"/>
      <c r="TJA50" s="426"/>
      <c r="TJB50" s="426"/>
      <c r="TJC50" s="426"/>
      <c r="TJD50" s="426"/>
      <c r="TJE50" s="426"/>
      <c r="TJF50" s="426"/>
      <c r="TJG50" s="426"/>
      <c r="TJH50" s="426"/>
      <c r="TJI50" s="426"/>
      <c r="TJJ50" s="426"/>
      <c r="TJK50" s="426"/>
      <c r="TJL50" s="426"/>
      <c r="TJM50" s="426"/>
      <c r="TJN50" s="426"/>
      <c r="TJO50" s="426"/>
      <c r="TJP50" s="426"/>
      <c r="TJQ50" s="426"/>
      <c r="TJR50" s="426"/>
      <c r="TJS50" s="426"/>
      <c r="TJT50" s="426"/>
      <c r="TJU50" s="426"/>
      <c r="TJV50" s="426"/>
      <c r="TJW50" s="426"/>
      <c r="TJX50" s="426"/>
      <c r="TJY50" s="426"/>
      <c r="TJZ50" s="426"/>
      <c r="TKA50" s="426"/>
      <c r="TKB50" s="426"/>
      <c r="TKC50" s="426"/>
      <c r="TKD50" s="426"/>
      <c r="TKE50" s="426"/>
      <c r="TKF50" s="426"/>
      <c r="TKG50" s="426"/>
      <c r="TKH50" s="426"/>
      <c r="TKI50" s="426"/>
      <c r="TKJ50" s="426"/>
      <c r="TKK50" s="426"/>
      <c r="TKL50" s="426"/>
      <c r="TKM50" s="426"/>
      <c r="TKN50" s="426"/>
      <c r="TKO50" s="426"/>
      <c r="TKP50" s="426"/>
      <c r="TKQ50" s="426"/>
      <c r="TKR50" s="426"/>
      <c r="TKS50" s="426"/>
      <c r="TKT50" s="426"/>
      <c r="TKU50" s="426"/>
      <c r="TKV50" s="426"/>
      <c r="TKW50" s="426"/>
      <c r="TKX50" s="426"/>
      <c r="TKY50" s="426"/>
      <c r="TKZ50" s="426"/>
      <c r="TLA50" s="426"/>
      <c r="TLB50" s="426"/>
      <c r="TLC50" s="426"/>
      <c r="TLD50" s="426"/>
      <c r="TLE50" s="426"/>
      <c r="TLF50" s="426"/>
      <c r="TLG50" s="426"/>
      <c r="TLH50" s="426"/>
      <c r="TLI50" s="426"/>
      <c r="TLJ50" s="426"/>
      <c r="TLK50" s="426"/>
      <c r="TLL50" s="426"/>
      <c r="TLM50" s="426"/>
      <c r="TLN50" s="426"/>
      <c r="TLO50" s="426"/>
      <c r="TLP50" s="426"/>
      <c r="TLQ50" s="426"/>
      <c r="TLR50" s="426"/>
      <c r="TLS50" s="426"/>
      <c r="TLT50" s="426"/>
      <c r="TLU50" s="426"/>
      <c r="TLV50" s="426"/>
      <c r="TLW50" s="426"/>
      <c r="TLX50" s="426"/>
      <c r="TLY50" s="426"/>
      <c r="TLZ50" s="426"/>
      <c r="TMA50" s="426"/>
      <c r="TMB50" s="426"/>
      <c r="TMC50" s="426"/>
      <c r="TMD50" s="426"/>
      <c r="TME50" s="426"/>
      <c r="TMF50" s="426"/>
      <c r="TMG50" s="426"/>
      <c r="TMH50" s="426"/>
      <c r="TMI50" s="426"/>
      <c r="TMJ50" s="426"/>
      <c r="TMK50" s="426"/>
      <c r="TML50" s="426"/>
      <c r="TMM50" s="426"/>
      <c r="TMN50" s="426"/>
      <c r="TMO50" s="426"/>
      <c r="TMP50" s="426"/>
      <c r="TMQ50" s="426"/>
      <c r="TMR50" s="426"/>
      <c r="TMS50" s="426"/>
      <c r="TMT50" s="426"/>
      <c r="TMU50" s="426"/>
      <c r="TMV50" s="426"/>
      <c r="TMW50" s="426"/>
      <c r="TMX50" s="426"/>
      <c r="TMY50" s="426"/>
      <c r="TMZ50" s="426"/>
      <c r="TNA50" s="426"/>
      <c r="TNB50" s="426"/>
      <c r="TNC50" s="426"/>
      <c r="TND50" s="426"/>
      <c r="TNE50" s="426"/>
      <c r="TNF50" s="426"/>
      <c r="TNG50" s="426"/>
      <c r="TNH50" s="426"/>
      <c r="TNI50" s="426"/>
      <c r="TNJ50" s="426"/>
      <c r="TNK50" s="426"/>
      <c r="TNL50" s="426"/>
      <c r="TNM50" s="426"/>
      <c r="TNN50" s="426"/>
      <c r="TNO50" s="426"/>
      <c r="TNP50" s="426"/>
      <c r="TNQ50" s="426"/>
      <c r="TNR50" s="426"/>
      <c r="TNS50" s="426"/>
      <c r="TNT50" s="426"/>
      <c r="TNU50" s="426"/>
      <c r="TNV50" s="426"/>
      <c r="TNW50" s="426"/>
      <c r="TNX50" s="426"/>
      <c r="TNY50" s="426"/>
      <c r="TNZ50" s="426"/>
      <c r="TOA50" s="426"/>
      <c r="TOB50" s="426"/>
      <c r="TOC50" s="426"/>
      <c r="TOD50" s="426"/>
      <c r="TOE50" s="426"/>
      <c r="TOF50" s="426"/>
      <c r="TOG50" s="426"/>
      <c r="TOH50" s="426"/>
      <c r="TOI50" s="426"/>
      <c r="TOJ50" s="426"/>
      <c r="TOK50" s="426"/>
      <c r="TOL50" s="426"/>
      <c r="TOM50" s="426"/>
      <c r="TON50" s="426"/>
      <c r="TOO50" s="426"/>
      <c r="TOP50" s="426"/>
      <c r="TOQ50" s="426"/>
      <c r="TOR50" s="426"/>
      <c r="TOS50" s="426"/>
      <c r="TOT50" s="426"/>
      <c r="TOU50" s="426"/>
      <c r="TOV50" s="426"/>
      <c r="TOW50" s="426"/>
      <c r="TOX50" s="426"/>
      <c r="TOY50" s="426"/>
      <c r="TOZ50" s="426"/>
      <c r="TPA50" s="426"/>
      <c r="TPB50" s="426"/>
      <c r="TPC50" s="426"/>
      <c r="TPD50" s="426"/>
      <c r="TPE50" s="426"/>
      <c r="TPF50" s="426"/>
      <c r="TPG50" s="426"/>
      <c r="TPH50" s="426"/>
      <c r="TPI50" s="426"/>
      <c r="TPJ50" s="426"/>
      <c r="TPK50" s="426"/>
      <c r="TPL50" s="426"/>
      <c r="TPM50" s="426"/>
      <c r="TPN50" s="426"/>
      <c r="TPO50" s="426"/>
      <c r="TPP50" s="426"/>
      <c r="TPQ50" s="426"/>
      <c r="TPR50" s="426"/>
      <c r="TPS50" s="426"/>
      <c r="TPT50" s="426"/>
      <c r="TPU50" s="426"/>
      <c r="TPV50" s="426"/>
      <c r="TPW50" s="426"/>
      <c r="TPX50" s="426"/>
      <c r="TPY50" s="426"/>
      <c r="TPZ50" s="426"/>
      <c r="TQA50" s="426"/>
      <c r="TQB50" s="426"/>
      <c r="TQC50" s="426"/>
      <c r="TQD50" s="426"/>
      <c r="TQE50" s="426"/>
      <c r="TQF50" s="426"/>
      <c r="TQG50" s="426"/>
      <c r="TQH50" s="426"/>
      <c r="TQI50" s="426"/>
      <c r="TQJ50" s="426"/>
      <c r="TQK50" s="426"/>
      <c r="TQL50" s="426"/>
      <c r="TQM50" s="426"/>
      <c r="TQN50" s="426"/>
      <c r="TQO50" s="426"/>
      <c r="TQP50" s="426"/>
      <c r="TQQ50" s="426"/>
      <c r="TQR50" s="426"/>
      <c r="TQS50" s="426"/>
      <c r="TQT50" s="426"/>
      <c r="TQU50" s="426"/>
      <c r="TQV50" s="426"/>
      <c r="TQW50" s="426"/>
      <c r="TQX50" s="426"/>
      <c r="TQY50" s="426"/>
      <c r="TQZ50" s="426"/>
      <c r="TRA50" s="426"/>
      <c r="TRB50" s="426"/>
      <c r="TRC50" s="426"/>
      <c r="TRD50" s="426"/>
      <c r="TRE50" s="426"/>
      <c r="TRF50" s="426"/>
      <c r="TRG50" s="426"/>
      <c r="TRH50" s="426"/>
      <c r="TRI50" s="426"/>
      <c r="TRJ50" s="426"/>
      <c r="TRK50" s="426"/>
      <c r="TRL50" s="426"/>
      <c r="TRM50" s="426"/>
      <c r="TRN50" s="426"/>
      <c r="TRO50" s="426"/>
      <c r="TRP50" s="426"/>
      <c r="TRQ50" s="426"/>
      <c r="TRR50" s="426"/>
      <c r="TRS50" s="426"/>
      <c r="TRT50" s="426"/>
      <c r="TRU50" s="426"/>
      <c r="TRV50" s="426"/>
      <c r="TRW50" s="426"/>
      <c r="TRX50" s="426"/>
      <c r="TRY50" s="426"/>
      <c r="TRZ50" s="426"/>
      <c r="TSA50" s="426"/>
      <c r="TSB50" s="426"/>
      <c r="TSC50" s="426"/>
      <c r="TSD50" s="426"/>
      <c r="TSE50" s="426"/>
      <c r="TSF50" s="426"/>
      <c r="TSG50" s="426"/>
      <c r="TSH50" s="426"/>
      <c r="TSI50" s="426"/>
      <c r="TSJ50" s="426"/>
      <c r="TSK50" s="426"/>
      <c r="TSL50" s="426"/>
      <c r="TSM50" s="426"/>
      <c r="TSN50" s="426"/>
      <c r="TSO50" s="426"/>
      <c r="TSP50" s="426"/>
      <c r="TSQ50" s="426"/>
      <c r="TSR50" s="426"/>
      <c r="TSS50" s="426"/>
      <c r="TST50" s="426"/>
      <c r="TSU50" s="426"/>
      <c r="TSV50" s="426"/>
      <c r="TSW50" s="426"/>
      <c r="TSX50" s="426"/>
      <c r="TSY50" s="426"/>
      <c r="TSZ50" s="426"/>
      <c r="TTA50" s="426"/>
      <c r="TTB50" s="426"/>
      <c r="TTC50" s="426"/>
      <c r="TTD50" s="426"/>
      <c r="TTE50" s="426"/>
      <c r="TTF50" s="426"/>
      <c r="TTG50" s="426"/>
      <c r="TTH50" s="426"/>
      <c r="TTI50" s="426"/>
      <c r="TTJ50" s="426"/>
      <c r="TTK50" s="426"/>
      <c r="TTL50" s="426"/>
      <c r="TTM50" s="426"/>
      <c r="TTN50" s="426"/>
      <c r="TTO50" s="426"/>
      <c r="TTP50" s="426"/>
      <c r="TTQ50" s="426"/>
      <c r="TTR50" s="426"/>
      <c r="TTS50" s="426"/>
      <c r="TTT50" s="426"/>
      <c r="TTU50" s="426"/>
      <c r="TTV50" s="426"/>
      <c r="TTW50" s="426"/>
      <c r="TTX50" s="426"/>
      <c r="TTY50" s="426"/>
      <c r="TTZ50" s="426"/>
      <c r="TUA50" s="426"/>
      <c r="TUB50" s="426"/>
      <c r="TUC50" s="426"/>
      <c r="TUD50" s="426"/>
      <c r="TUE50" s="426"/>
      <c r="TUF50" s="426"/>
      <c r="TUG50" s="426"/>
      <c r="TUH50" s="426"/>
      <c r="TUI50" s="426"/>
      <c r="TUJ50" s="426"/>
      <c r="TUK50" s="426"/>
      <c r="TUL50" s="426"/>
      <c r="TUM50" s="426"/>
      <c r="TUN50" s="426"/>
      <c r="TUO50" s="426"/>
      <c r="TUP50" s="426"/>
      <c r="TUQ50" s="426"/>
      <c r="TUR50" s="426"/>
      <c r="TUS50" s="426"/>
      <c r="TUT50" s="426"/>
      <c r="TUU50" s="426"/>
      <c r="TUV50" s="426"/>
      <c r="TUW50" s="426"/>
      <c r="TUX50" s="426"/>
      <c r="TUY50" s="426"/>
      <c r="TUZ50" s="426"/>
      <c r="TVA50" s="426"/>
      <c r="TVB50" s="426"/>
      <c r="TVC50" s="426"/>
      <c r="TVD50" s="426"/>
      <c r="TVE50" s="426"/>
      <c r="TVF50" s="426"/>
      <c r="TVG50" s="426"/>
      <c r="TVH50" s="426"/>
      <c r="TVI50" s="426"/>
      <c r="TVJ50" s="426"/>
      <c r="TVK50" s="426"/>
      <c r="TVL50" s="426"/>
      <c r="TVM50" s="426"/>
      <c r="TVN50" s="426"/>
      <c r="TVO50" s="426"/>
      <c r="TVP50" s="426"/>
      <c r="TVQ50" s="426"/>
      <c r="TVR50" s="426"/>
      <c r="TVS50" s="426"/>
      <c r="TVT50" s="426"/>
      <c r="TVU50" s="426"/>
      <c r="TVV50" s="426"/>
      <c r="TVW50" s="426"/>
      <c r="TVX50" s="426"/>
      <c r="TVY50" s="426"/>
      <c r="TVZ50" s="426"/>
      <c r="TWA50" s="426"/>
      <c r="TWB50" s="426"/>
      <c r="TWC50" s="426"/>
      <c r="TWD50" s="426"/>
      <c r="TWE50" s="426"/>
      <c r="TWF50" s="426"/>
      <c r="TWG50" s="426"/>
      <c r="TWH50" s="426"/>
      <c r="TWI50" s="426"/>
      <c r="TWJ50" s="426"/>
      <c r="TWK50" s="426"/>
      <c r="TWL50" s="426"/>
      <c r="TWM50" s="426"/>
      <c r="TWN50" s="426"/>
      <c r="TWO50" s="426"/>
      <c r="TWP50" s="426"/>
      <c r="TWQ50" s="426"/>
      <c r="TWR50" s="426"/>
      <c r="TWS50" s="426"/>
      <c r="TWT50" s="426"/>
      <c r="TWU50" s="426"/>
      <c r="TWV50" s="426"/>
      <c r="TWW50" s="426"/>
      <c r="TWX50" s="426"/>
      <c r="TWY50" s="426"/>
      <c r="TWZ50" s="426"/>
      <c r="TXA50" s="426"/>
      <c r="TXB50" s="426"/>
      <c r="TXC50" s="426"/>
      <c r="TXD50" s="426"/>
      <c r="TXE50" s="426"/>
      <c r="TXF50" s="426"/>
      <c r="TXG50" s="426"/>
      <c r="TXH50" s="426"/>
      <c r="TXI50" s="426"/>
      <c r="TXJ50" s="426"/>
      <c r="TXK50" s="426"/>
      <c r="TXL50" s="426"/>
      <c r="TXM50" s="426"/>
      <c r="TXN50" s="426"/>
      <c r="TXO50" s="426"/>
      <c r="TXP50" s="426"/>
      <c r="TXQ50" s="426"/>
      <c r="TXR50" s="426"/>
      <c r="TXS50" s="426"/>
      <c r="TXT50" s="426"/>
      <c r="TXU50" s="426"/>
      <c r="TXV50" s="426"/>
      <c r="TXW50" s="426"/>
      <c r="TXX50" s="426"/>
      <c r="TXY50" s="426"/>
      <c r="TXZ50" s="426"/>
      <c r="TYA50" s="426"/>
      <c r="TYB50" s="426"/>
      <c r="TYC50" s="426"/>
      <c r="TYD50" s="426"/>
      <c r="TYE50" s="426"/>
      <c r="TYF50" s="426"/>
      <c r="TYG50" s="426"/>
      <c r="TYH50" s="426"/>
      <c r="TYI50" s="426"/>
      <c r="TYJ50" s="426"/>
      <c r="TYK50" s="426"/>
      <c r="TYL50" s="426"/>
      <c r="TYM50" s="426"/>
      <c r="TYN50" s="426"/>
      <c r="TYO50" s="426"/>
      <c r="TYP50" s="426"/>
      <c r="TYQ50" s="426"/>
      <c r="TYR50" s="426"/>
      <c r="TYS50" s="426"/>
      <c r="TYT50" s="426"/>
      <c r="TYU50" s="426"/>
      <c r="TYV50" s="426"/>
      <c r="TYW50" s="426"/>
      <c r="TYX50" s="426"/>
      <c r="TYY50" s="426"/>
      <c r="TYZ50" s="426"/>
      <c r="TZA50" s="426"/>
      <c r="TZB50" s="426"/>
      <c r="TZC50" s="426"/>
      <c r="TZD50" s="426"/>
      <c r="TZE50" s="426"/>
      <c r="TZF50" s="426"/>
      <c r="TZG50" s="426"/>
      <c r="TZH50" s="426"/>
      <c r="TZI50" s="426"/>
      <c r="TZJ50" s="426"/>
      <c r="TZK50" s="426"/>
      <c r="TZL50" s="426"/>
      <c r="TZM50" s="426"/>
      <c r="TZN50" s="426"/>
      <c r="TZO50" s="426"/>
      <c r="TZP50" s="426"/>
      <c r="TZQ50" s="426"/>
      <c r="TZR50" s="426"/>
      <c r="TZS50" s="426"/>
      <c r="TZT50" s="426"/>
      <c r="TZU50" s="426"/>
      <c r="TZV50" s="426"/>
      <c r="TZW50" s="426"/>
      <c r="TZX50" s="426"/>
      <c r="TZY50" s="426"/>
      <c r="TZZ50" s="426"/>
      <c r="UAA50" s="426"/>
      <c r="UAB50" s="426"/>
      <c r="UAC50" s="426"/>
      <c r="UAD50" s="426"/>
      <c r="UAE50" s="426"/>
      <c r="UAF50" s="426"/>
      <c r="UAG50" s="426"/>
      <c r="UAH50" s="426"/>
      <c r="UAI50" s="426"/>
      <c r="UAJ50" s="426"/>
      <c r="UAK50" s="426"/>
      <c r="UAL50" s="426"/>
      <c r="UAM50" s="426"/>
      <c r="UAN50" s="426"/>
      <c r="UAO50" s="426"/>
      <c r="UAP50" s="426"/>
      <c r="UAQ50" s="426"/>
      <c r="UAR50" s="426"/>
      <c r="UAS50" s="426"/>
      <c r="UAT50" s="426"/>
      <c r="UAU50" s="426"/>
      <c r="UAV50" s="426"/>
      <c r="UAW50" s="426"/>
      <c r="UAX50" s="426"/>
      <c r="UAY50" s="426"/>
      <c r="UAZ50" s="426"/>
      <c r="UBA50" s="426"/>
      <c r="UBB50" s="426"/>
      <c r="UBC50" s="426"/>
      <c r="UBD50" s="426"/>
      <c r="UBE50" s="426"/>
      <c r="UBF50" s="426"/>
      <c r="UBG50" s="426"/>
      <c r="UBH50" s="426"/>
      <c r="UBI50" s="426"/>
      <c r="UBJ50" s="426"/>
      <c r="UBK50" s="426"/>
      <c r="UBL50" s="426"/>
      <c r="UBM50" s="426"/>
      <c r="UBN50" s="426"/>
      <c r="UBO50" s="426"/>
      <c r="UBP50" s="426"/>
      <c r="UBQ50" s="426"/>
      <c r="UBR50" s="426"/>
      <c r="UBS50" s="426"/>
      <c r="UBT50" s="426"/>
      <c r="UBU50" s="426"/>
      <c r="UBV50" s="426"/>
      <c r="UBW50" s="426"/>
      <c r="UBX50" s="426"/>
      <c r="UBY50" s="426"/>
      <c r="UBZ50" s="426"/>
      <c r="UCA50" s="426"/>
      <c r="UCB50" s="426"/>
      <c r="UCC50" s="426"/>
      <c r="UCD50" s="426"/>
      <c r="UCE50" s="426"/>
      <c r="UCF50" s="426"/>
      <c r="UCG50" s="426"/>
      <c r="UCH50" s="426"/>
      <c r="UCI50" s="426"/>
      <c r="UCJ50" s="426"/>
      <c r="UCK50" s="426"/>
      <c r="UCL50" s="426"/>
      <c r="UCM50" s="426"/>
      <c r="UCN50" s="426"/>
      <c r="UCO50" s="426"/>
      <c r="UCP50" s="426"/>
      <c r="UCQ50" s="426"/>
      <c r="UCR50" s="426"/>
      <c r="UCS50" s="426"/>
      <c r="UCT50" s="426"/>
      <c r="UCU50" s="426"/>
      <c r="UCV50" s="426"/>
      <c r="UCW50" s="426"/>
      <c r="UCX50" s="426"/>
      <c r="UCY50" s="426"/>
      <c r="UCZ50" s="426"/>
      <c r="UDA50" s="426"/>
      <c r="UDB50" s="426"/>
      <c r="UDC50" s="426"/>
      <c r="UDD50" s="426"/>
      <c r="UDE50" s="426"/>
      <c r="UDF50" s="426"/>
      <c r="UDG50" s="426"/>
      <c r="UDH50" s="426"/>
      <c r="UDI50" s="426"/>
      <c r="UDJ50" s="426"/>
      <c r="UDK50" s="426"/>
      <c r="UDL50" s="426"/>
      <c r="UDM50" s="426"/>
      <c r="UDN50" s="426"/>
      <c r="UDO50" s="426"/>
      <c r="UDP50" s="426"/>
      <c r="UDQ50" s="426"/>
      <c r="UDR50" s="426"/>
      <c r="UDS50" s="426"/>
      <c r="UDT50" s="426"/>
      <c r="UDU50" s="426"/>
      <c r="UDV50" s="426"/>
      <c r="UDW50" s="426"/>
      <c r="UDX50" s="426"/>
      <c r="UDY50" s="426"/>
      <c r="UDZ50" s="426"/>
      <c r="UEA50" s="426"/>
      <c r="UEB50" s="426"/>
      <c r="UEC50" s="426"/>
      <c r="UED50" s="426"/>
      <c r="UEE50" s="426"/>
      <c r="UEF50" s="426"/>
      <c r="UEG50" s="426"/>
      <c r="UEH50" s="426"/>
      <c r="UEI50" s="426"/>
      <c r="UEJ50" s="426"/>
      <c r="UEK50" s="426"/>
      <c r="UEL50" s="426"/>
      <c r="UEM50" s="426"/>
      <c r="UEN50" s="426"/>
      <c r="UEO50" s="426"/>
      <c r="UEP50" s="426"/>
      <c r="UEQ50" s="426"/>
      <c r="UER50" s="426"/>
      <c r="UES50" s="426"/>
      <c r="UET50" s="426"/>
      <c r="UEU50" s="426"/>
      <c r="UEV50" s="426"/>
      <c r="UEW50" s="426"/>
      <c r="UEX50" s="426"/>
      <c r="UEY50" s="426"/>
      <c r="UEZ50" s="426"/>
      <c r="UFA50" s="426"/>
      <c r="UFB50" s="426"/>
      <c r="UFC50" s="426"/>
      <c r="UFD50" s="426"/>
      <c r="UFE50" s="426"/>
      <c r="UFF50" s="426"/>
      <c r="UFG50" s="426"/>
      <c r="UFH50" s="426"/>
      <c r="UFI50" s="426"/>
      <c r="UFJ50" s="426"/>
      <c r="UFK50" s="426"/>
      <c r="UFL50" s="426"/>
      <c r="UFM50" s="426"/>
      <c r="UFN50" s="426"/>
      <c r="UFO50" s="426"/>
      <c r="UFP50" s="426"/>
      <c r="UFQ50" s="426"/>
      <c r="UFR50" s="426"/>
      <c r="UFS50" s="426"/>
      <c r="UFT50" s="426"/>
      <c r="UFU50" s="426"/>
      <c r="UFV50" s="426"/>
      <c r="UFW50" s="426"/>
      <c r="UFX50" s="426"/>
      <c r="UFY50" s="426"/>
      <c r="UFZ50" s="426"/>
      <c r="UGA50" s="426"/>
      <c r="UGB50" s="426"/>
      <c r="UGC50" s="426"/>
      <c r="UGD50" s="426"/>
      <c r="UGE50" s="426"/>
      <c r="UGF50" s="426"/>
      <c r="UGG50" s="426"/>
      <c r="UGH50" s="426"/>
      <c r="UGI50" s="426"/>
      <c r="UGJ50" s="426"/>
      <c r="UGK50" s="426"/>
      <c r="UGL50" s="426"/>
      <c r="UGM50" s="426"/>
      <c r="UGN50" s="426"/>
      <c r="UGO50" s="426"/>
      <c r="UGP50" s="426"/>
      <c r="UGQ50" s="426"/>
      <c r="UGR50" s="426"/>
      <c r="UGS50" s="426"/>
      <c r="UGT50" s="426"/>
      <c r="UGU50" s="426"/>
      <c r="UGV50" s="426"/>
      <c r="UGW50" s="426"/>
      <c r="UGX50" s="426"/>
      <c r="UGY50" s="426"/>
      <c r="UGZ50" s="426"/>
      <c r="UHA50" s="426"/>
      <c r="UHB50" s="426"/>
      <c r="UHC50" s="426"/>
      <c r="UHD50" s="426"/>
      <c r="UHE50" s="426"/>
      <c r="UHF50" s="426"/>
      <c r="UHG50" s="426"/>
      <c r="UHH50" s="426"/>
      <c r="UHI50" s="426"/>
      <c r="UHJ50" s="426"/>
      <c r="UHK50" s="426"/>
      <c r="UHL50" s="426"/>
      <c r="UHM50" s="426"/>
      <c r="UHN50" s="426"/>
      <c r="UHO50" s="426"/>
      <c r="UHP50" s="426"/>
      <c r="UHQ50" s="426"/>
      <c r="UHR50" s="426"/>
      <c r="UHS50" s="426"/>
      <c r="UHT50" s="426"/>
      <c r="UHU50" s="426"/>
      <c r="UHV50" s="426"/>
      <c r="UHW50" s="426"/>
      <c r="UHX50" s="426"/>
      <c r="UHY50" s="426"/>
      <c r="UHZ50" s="426"/>
      <c r="UIA50" s="426"/>
      <c r="UIB50" s="426"/>
      <c r="UIC50" s="426"/>
      <c r="UID50" s="426"/>
      <c r="UIE50" s="426"/>
      <c r="UIF50" s="426"/>
      <c r="UIG50" s="426"/>
      <c r="UIH50" s="426"/>
      <c r="UII50" s="426"/>
      <c r="UIJ50" s="426"/>
      <c r="UIK50" s="426"/>
      <c r="UIL50" s="426"/>
      <c r="UIM50" s="426"/>
      <c r="UIN50" s="426"/>
      <c r="UIO50" s="426"/>
      <c r="UIP50" s="426"/>
      <c r="UIQ50" s="426"/>
      <c r="UIR50" s="426"/>
      <c r="UIS50" s="426"/>
      <c r="UIT50" s="426"/>
      <c r="UIU50" s="426"/>
      <c r="UIV50" s="426"/>
      <c r="UIW50" s="426"/>
      <c r="UIX50" s="426"/>
      <c r="UIY50" s="426"/>
      <c r="UIZ50" s="426"/>
      <c r="UJA50" s="426"/>
      <c r="UJB50" s="426"/>
      <c r="UJC50" s="426"/>
      <c r="UJD50" s="426"/>
      <c r="UJE50" s="426"/>
      <c r="UJF50" s="426"/>
      <c r="UJG50" s="426"/>
      <c r="UJH50" s="426"/>
      <c r="UJI50" s="426"/>
      <c r="UJJ50" s="426"/>
      <c r="UJK50" s="426"/>
      <c r="UJL50" s="426"/>
      <c r="UJM50" s="426"/>
      <c r="UJN50" s="426"/>
      <c r="UJO50" s="426"/>
      <c r="UJP50" s="426"/>
      <c r="UJQ50" s="426"/>
      <c r="UJR50" s="426"/>
      <c r="UJS50" s="426"/>
      <c r="UJT50" s="426"/>
      <c r="UJU50" s="426"/>
      <c r="UJV50" s="426"/>
      <c r="UJW50" s="426"/>
      <c r="UJX50" s="426"/>
      <c r="UJY50" s="426"/>
      <c r="UJZ50" s="426"/>
      <c r="UKA50" s="426"/>
      <c r="UKB50" s="426"/>
      <c r="UKC50" s="426"/>
      <c r="UKD50" s="426"/>
      <c r="UKE50" s="426"/>
      <c r="UKF50" s="426"/>
      <c r="UKG50" s="426"/>
      <c r="UKH50" s="426"/>
      <c r="UKI50" s="426"/>
      <c r="UKJ50" s="426"/>
      <c r="UKK50" s="426"/>
      <c r="UKL50" s="426"/>
      <c r="UKM50" s="426"/>
      <c r="UKN50" s="426"/>
      <c r="UKO50" s="426"/>
      <c r="UKP50" s="426"/>
      <c r="UKQ50" s="426"/>
      <c r="UKR50" s="426"/>
      <c r="UKS50" s="426"/>
      <c r="UKT50" s="426"/>
      <c r="UKU50" s="426"/>
      <c r="UKV50" s="426"/>
      <c r="UKW50" s="426"/>
      <c r="UKX50" s="426"/>
      <c r="UKY50" s="426"/>
      <c r="UKZ50" s="426"/>
      <c r="ULA50" s="426"/>
      <c r="ULB50" s="426"/>
      <c r="ULC50" s="426"/>
      <c r="ULD50" s="426"/>
      <c r="ULE50" s="426"/>
      <c r="ULF50" s="426"/>
      <c r="ULG50" s="426"/>
      <c r="ULH50" s="426"/>
      <c r="ULI50" s="426"/>
      <c r="ULJ50" s="426"/>
      <c r="ULK50" s="426"/>
      <c r="ULL50" s="426"/>
      <c r="ULM50" s="426"/>
      <c r="ULN50" s="426"/>
      <c r="ULO50" s="426"/>
      <c r="ULP50" s="426"/>
      <c r="ULQ50" s="426"/>
      <c r="ULR50" s="426"/>
      <c r="ULS50" s="426"/>
      <c r="ULT50" s="426"/>
      <c r="ULU50" s="426"/>
      <c r="ULV50" s="426"/>
      <c r="ULW50" s="426"/>
      <c r="ULX50" s="426"/>
      <c r="ULY50" s="426"/>
      <c r="ULZ50" s="426"/>
      <c r="UMA50" s="426"/>
      <c r="UMB50" s="426"/>
      <c r="UMC50" s="426"/>
      <c r="UMD50" s="426"/>
      <c r="UME50" s="426"/>
      <c r="UMF50" s="426"/>
      <c r="UMG50" s="426"/>
      <c r="UMH50" s="426"/>
      <c r="UMI50" s="426"/>
      <c r="UMJ50" s="426"/>
      <c r="UMK50" s="426"/>
      <c r="UML50" s="426"/>
      <c r="UMM50" s="426"/>
      <c r="UMN50" s="426"/>
      <c r="UMO50" s="426"/>
      <c r="UMP50" s="426"/>
      <c r="UMQ50" s="426"/>
      <c r="UMR50" s="426"/>
      <c r="UMS50" s="426"/>
      <c r="UMT50" s="426"/>
      <c r="UMU50" s="426"/>
      <c r="UMV50" s="426"/>
      <c r="UMW50" s="426"/>
      <c r="UMX50" s="426"/>
      <c r="UMY50" s="426"/>
      <c r="UMZ50" s="426"/>
      <c r="UNA50" s="426"/>
      <c r="UNB50" s="426"/>
      <c r="UNC50" s="426"/>
      <c r="UND50" s="426"/>
      <c r="UNE50" s="426"/>
      <c r="UNF50" s="426"/>
      <c r="UNG50" s="426"/>
      <c r="UNH50" s="426"/>
      <c r="UNI50" s="426"/>
      <c r="UNJ50" s="426"/>
      <c r="UNK50" s="426"/>
      <c r="UNL50" s="426"/>
      <c r="UNM50" s="426"/>
      <c r="UNN50" s="426"/>
      <c r="UNO50" s="426"/>
      <c r="UNP50" s="426"/>
      <c r="UNQ50" s="426"/>
      <c r="UNR50" s="426"/>
      <c r="UNS50" s="426"/>
      <c r="UNT50" s="426"/>
      <c r="UNU50" s="426"/>
      <c r="UNV50" s="426"/>
      <c r="UNW50" s="426"/>
      <c r="UNX50" s="426"/>
      <c r="UNY50" s="426"/>
      <c r="UNZ50" s="426"/>
      <c r="UOA50" s="426"/>
      <c r="UOB50" s="426"/>
      <c r="UOC50" s="426"/>
      <c r="UOD50" s="426"/>
      <c r="UOE50" s="426"/>
      <c r="UOF50" s="426"/>
      <c r="UOG50" s="426"/>
      <c r="UOH50" s="426"/>
      <c r="UOI50" s="426"/>
      <c r="UOJ50" s="426"/>
      <c r="UOK50" s="426"/>
      <c r="UOL50" s="426"/>
      <c r="UOM50" s="426"/>
      <c r="UON50" s="426"/>
      <c r="UOO50" s="426"/>
      <c r="UOP50" s="426"/>
      <c r="UOQ50" s="426"/>
      <c r="UOR50" s="426"/>
      <c r="UOS50" s="426"/>
      <c r="UOT50" s="426"/>
      <c r="UOU50" s="426"/>
      <c r="UOV50" s="426"/>
      <c r="UOW50" s="426"/>
      <c r="UOX50" s="426"/>
      <c r="UOY50" s="426"/>
      <c r="UOZ50" s="426"/>
      <c r="UPA50" s="426"/>
      <c r="UPB50" s="426"/>
      <c r="UPC50" s="426"/>
      <c r="UPD50" s="426"/>
      <c r="UPE50" s="426"/>
      <c r="UPF50" s="426"/>
      <c r="UPG50" s="426"/>
      <c r="UPH50" s="426"/>
      <c r="UPI50" s="426"/>
      <c r="UPJ50" s="426"/>
      <c r="UPK50" s="426"/>
      <c r="UPL50" s="426"/>
      <c r="UPM50" s="426"/>
      <c r="UPN50" s="426"/>
      <c r="UPO50" s="426"/>
      <c r="UPP50" s="426"/>
      <c r="UPQ50" s="426"/>
      <c r="UPR50" s="426"/>
      <c r="UPS50" s="426"/>
      <c r="UPT50" s="426"/>
      <c r="UPU50" s="426"/>
      <c r="UPV50" s="426"/>
      <c r="UPW50" s="426"/>
      <c r="UPX50" s="426"/>
      <c r="UPY50" s="426"/>
      <c r="UPZ50" s="426"/>
      <c r="UQA50" s="426"/>
      <c r="UQB50" s="426"/>
      <c r="UQC50" s="426"/>
      <c r="UQD50" s="426"/>
      <c r="UQE50" s="426"/>
      <c r="UQF50" s="426"/>
      <c r="UQG50" s="426"/>
      <c r="UQH50" s="426"/>
      <c r="UQI50" s="426"/>
      <c r="UQJ50" s="426"/>
      <c r="UQK50" s="426"/>
      <c r="UQL50" s="426"/>
      <c r="UQM50" s="426"/>
      <c r="UQN50" s="426"/>
      <c r="UQO50" s="426"/>
      <c r="UQP50" s="426"/>
      <c r="UQQ50" s="426"/>
      <c r="UQR50" s="426"/>
      <c r="UQS50" s="426"/>
      <c r="UQT50" s="426"/>
      <c r="UQU50" s="426"/>
      <c r="UQV50" s="426"/>
      <c r="UQW50" s="426"/>
      <c r="UQX50" s="426"/>
      <c r="UQY50" s="426"/>
      <c r="UQZ50" s="426"/>
      <c r="URA50" s="426"/>
      <c r="URB50" s="426"/>
      <c r="URC50" s="426"/>
      <c r="URD50" s="426"/>
      <c r="URE50" s="426"/>
      <c r="URF50" s="426"/>
      <c r="URG50" s="426"/>
      <c r="URH50" s="426"/>
      <c r="URI50" s="426"/>
      <c r="URJ50" s="426"/>
      <c r="URK50" s="426"/>
      <c r="URL50" s="426"/>
      <c r="URM50" s="426"/>
      <c r="URN50" s="426"/>
      <c r="URO50" s="426"/>
      <c r="URP50" s="426"/>
      <c r="URQ50" s="426"/>
      <c r="URR50" s="426"/>
      <c r="URS50" s="426"/>
      <c r="URT50" s="426"/>
      <c r="URU50" s="426"/>
      <c r="URV50" s="426"/>
      <c r="URW50" s="426"/>
      <c r="URX50" s="426"/>
      <c r="URY50" s="426"/>
      <c r="URZ50" s="426"/>
      <c r="USA50" s="426"/>
      <c r="USB50" s="426"/>
      <c r="USC50" s="426"/>
      <c r="USD50" s="426"/>
      <c r="USE50" s="426"/>
      <c r="USF50" s="426"/>
      <c r="USG50" s="426"/>
      <c r="USH50" s="426"/>
      <c r="USI50" s="426"/>
      <c r="USJ50" s="426"/>
      <c r="USK50" s="426"/>
      <c r="USL50" s="426"/>
      <c r="USM50" s="426"/>
      <c r="USN50" s="426"/>
      <c r="USO50" s="426"/>
      <c r="USP50" s="426"/>
      <c r="USQ50" s="426"/>
      <c r="USR50" s="426"/>
      <c r="USS50" s="426"/>
      <c r="UST50" s="426"/>
      <c r="USU50" s="426"/>
      <c r="USV50" s="426"/>
      <c r="USW50" s="426"/>
      <c r="USX50" s="426"/>
      <c r="USY50" s="426"/>
      <c r="USZ50" s="426"/>
      <c r="UTA50" s="426"/>
      <c r="UTB50" s="426"/>
      <c r="UTC50" s="426"/>
      <c r="UTD50" s="426"/>
      <c r="UTE50" s="426"/>
      <c r="UTF50" s="426"/>
      <c r="UTG50" s="426"/>
      <c r="UTH50" s="426"/>
      <c r="UTI50" s="426"/>
      <c r="UTJ50" s="426"/>
      <c r="UTK50" s="426"/>
      <c r="UTL50" s="426"/>
      <c r="UTM50" s="426"/>
      <c r="UTN50" s="426"/>
      <c r="UTO50" s="426"/>
      <c r="UTP50" s="426"/>
      <c r="UTQ50" s="426"/>
      <c r="UTR50" s="426"/>
      <c r="UTS50" s="426"/>
      <c r="UTT50" s="426"/>
      <c r="UTU50" s="426"/>
      <c r="UTV50" s="426"/>
      <c r="UTW50" s="426"/>
      <c r="UTX50" s="426"/>
      <c r="UTY50" s="426"/>
      <c r="UTZ50" s="426"/>
      <c r="UUA50" s="426"/>
      <c r="UUB50" s="426"/>
      <c r="UUC50" s="426"/>
      <c r="UUD50" s="426"/>
      <c r="UUE50" s="426"/>
      <c r="UUF50" s="426"/>
      <c r="UUG50" s="426"/>
      <c r="UUH50" s="426"/>
      <c r="UUI50" s="426"/>
      <c r="UUJ50" s="426"/>
      <c r="UUK50" s="426"/>
      <c r="UUL50" s="426"/>
      <c r="UUM50" s="426"/>
      <c r="UUN50" s="426"/>
      <c r="UUO50" s="426"/>
      <c r="UUP50" s="426"/>
      <c r="UUQ50" s="426"/>
      <c r="UUR50" s="426"/>
      <c r="UUS50" s="426"/>
      <c r="UUT50" s="426"/>
      <c r="UUU50" s="426"/>
      <c r="UUV50" s="426"/>
      <c r="UUW50" s="426"/>
      <c r="UUX50" s="426"/>
      <c r="UUY50" s="426"/>
      <c r="UUZ50" s="426"/>
      <c r="UVA50" s="426"/>
      <c r="UVB50" s="426"/>
      <c r="UVC50" s="426"/>
      <c r="UVD50" s="426"/>
      <c r="UVE50" s="426"/>
      <c r="UVF50" s="426"/>
      <c r="UVG50" s="426"/>
      <c r="UVH50" s="426"/>
      <c r="UVI50" s="426"/>
      <c r="UVJ50" s="426"/>
      <c r="UVK50" s="426"/>
      <c r="UVL50" s="426"/>
      <c r="UVM50" s="426"/>
      <c r="UVN50" s="426"/>
      <c r="UVO50" s="426"/>
      <c r="UVP50" s="426"/>
      <c r="UVQ50" s="426"/>
      <c r="UVR50" s="426"/>
      <c r="UVS50" s="426"/>
      <c r="UVT50" s="426"/>
      <c r="UVU50" s="426"/>
      <c r="UVV50" s="426"/>
      <c r="UVW50" s="426"/>
      <c r="UVX50" s="426"/>
      <c r="UVY50" s="426"/>
      <c r="UVZ50" s="426"/>
      <c r="UWA50" s="426"/>
      <c r="UWB50" s="426"/>
      <c r="UWC50" s="426"/>
      <c r="UWD50" s="426"/>
      <c r="UWE50" s="426"/>
      <c r="UWF50" s="426"/>
      <c r="UWG50" s="426"/>
      <c r="UWH50" s="426"/>
      <c r="UWI50" s="426"/>
      <c r="UWJ50" s="426"/>
      <c r="UWK50" s="426"/>
      <c r="UWL50" s="426"/>
      <c r="UWM50" s="426"/>
      <c r="UWN50" s="426"/>
      <c r="UWO50" s="426"/>
      <c r="UWP50" s="426"/>
      <c r="UWQ50" s="426"/>
      <c r="UWR50" s="426"/>
      <c r="UWS50" s="426"/>
      <c r="UWT50" s="426"/>
      <c r="UWU50" s="426"/>
      <c r="UWV50" s="426"/>
      <c r="UWW50" s="426"/>
      <c r="UWX50" s="426"/>
      <c r="UWY50" s="426"/>
      <c r="UWZ50" s="426"/>
      <c r="UXA50" s="426"/>
      <c r="UXB50" s="426"/>
      <c r="UXC50" s="426"/>
      <c r="UXD50" s="426"/>
      <c r="UXE50" s="426"/>
      <c r="UXF50" s="426"/>
      <c r="UXG50" s="426"/>
      <c r="UXH50" s="426"/>
      <c r="UXI50" s="426"/>
      <c r="UXJ50" s="426"/>
      <c r="UXK50" s="426"/>
      <c r="UXL50" s="426"/>
      <c r="UXM50" s="426"/>
      <c r="UXN50" s="426"/>
      <c r="UXO50" s="426"/>
      <c r="UXP50" s="426"/>
      <c r="UXQ50" s="426"/>
      <c r="UXR50" s="426"/>
      <c r="UXS50" s="426"/>
      <c r="UXT50" s="426"/>
      <c r="UXU50" s="426"/>
      <c r="UXV50" s="426"/>
      <c r="UXW50" s="426"/>
      <c r="UXX50" s="426"/>
      <c r="UXY50" s="426"/>
      <c r="UXZ50" s="426"/>
      <c r="UYA50" s="426"/>
      <c r="UYB50" s="426"/>
      <c r="UYC50" s="426"/>
      <c r="UYD50" s="426"/>
      <c r="UYE50" s="426"/>
      <c r="UYF50" s="426"/>
      <c r="UYG50" s="426"/>
      <c r="UYH50" s="426"/>
      <c r="UYI50" s="426"/>
      <c r="UYJ50" s="426"/>
      <c r="UYK50" s="426"/>
      <c r="UYL50" s="426"/>
      <c r="UYM50" s="426"/>
      <c r="UYN50" s="426"/>
      <c r="UYO50" s="426"/>
      <c r="UYP50" s="426"/>
      <c r="UYQ50" s="426"/>
      <c r="UYR50" s="426"/>
      <c r="UYS50" s="426"/>
      <c r="UYT50" s="426"/>
      <c r="UYU50" s="426"/>
      <c r="UYV50" s="426"/>
      <c r="UYW50" s="426"/>
      <c r="UYX50" s="426"/>
      <c r="UYY50" s="426"/>
      <c r="UYZ50" s="426"/>
      <c r="UZA50" s="426"/>
      <c r="UZB50" s="426"/>
      <c r="UZC50" s="426"/>
      <c r="UZD50" s="426"/>
      <c r="UZE50" s="426"/>
      <c r="UZF50" s="426"/>
      <c r="UZG50" s="426"/>
      <c r="UZH50" s="426"/>
      <c r="UZI50" s="426"/>
      <c r="UZJ50" s="426"/>
      <c r="UZK50" s="426"/>
      <c r="UZL50" s="426"/>
      <c r="UZM50" s="426"/>
      <c r="UZN50" s="426"/>
      <c r="UZO50" s="426"/>
      <c r="UZP50" s="426"/>
      <c r="UZQ50" s="426"/>
      <c r="UZR50" s="426"/>
      <c r="UZS50" s="426"/>
      <c r="UZT50" s="426"/>
      <c r="UZU50" s="426"/>
      <c r="UZV50" s="426"/>
      <c r="UZW50" s="426"/>
      <c r="UZX50" s="426"/>
      <c r="UZY50" s="426"/>
      <c r="UZZ50" s="426"/>
      <c r="VAA50" s="426"/>
      <c r="VAB50" s="426"/>
      <c r="VAC50" s="426"/>
      <c r="VAD50" s="426"/>
      <c r="VAE50" s="426"/>
      <c r="VAF50" s="426"/>
      <c r="VAG50" s="426"/>
      <c r="VAH50" s="426"/>
      <c r="VAI50" s="426"/>
      <c r="VAJ50" s="426"/>
      <c r="VAK50" s="426"/>
      <c r="VAL50" s="426"/>
      <c r="VAM50" s="426"/>
      <c r="VAN50" s="426"/>
      <c r="VAO50" s="426"/>
      <c r="VAP50" s="426"/>
      <c r="VAQ50" s="426"/>
      <c r="VAR50" s="426"/>
      <c r="VAS50" s="426"/>
      <c r="VAT50" s="426"/>
      <c r="VAU50" s="426"/>
      <c r="VAV50" s="426"/>
      <c r="VAW50" s="426"/>
      <c r="VAX50" s="426"/>
      <c r="VAY50" s="426"/>
      <c r="VAZ50" s="426"/>
      <c r="VBA50" s="426"/>
      <c r="VBB50" s="426"/>
      <c r="VBC50" s="426"/>
      <c r="VBD50" s="426"/>
      <c r="VBE50" s="426"/>
      <c r="VBF50" s="426"/>
      <c r="VBG50" s="426"/>
      <c r="VBH50" s="426"/>
      <c r="VBI50" s="426"/>
      <c r="VBJ50" s="426"/>
      <c r="VBK50" s="426"/>
      <c r="VBL50" s="426"/>
      <c r="VBM50" s="426"/>
      <c r="VBN50" s="426"/>
      <c r="VBO50" s="426"/>
      <c r="VBP50" s="426"/>
      <c r="VBQ50" s="426"/>
      <c r="VBR50" s="426"/>
      <c r="VBS50" s="426"/>
      <c r="VBT50" s="426"/>
      <c r="VBU50" s="426"/>
      <c r="VBV50" s="426"/>
      <c r="VBW50" s="426"/>
      <c r="VBX50" s="426"/>
      <c r="VBY50" s="426"/>
      <c r="VBZ50" s="426"/>
      <c r="VCA50" s="426"/>
      <c r="VCB50" s="426"/>
      <c r="VCC50" s="426"/>
      <c r="VCD50" s="426"/>
      <c r="VCE50" s="426"/>
      <c r="VCF50" s="426"/>
      <c r="VCG50" s="426"/>
      <c r="VCH50" s="426"/>
      <c r="VCI50" s="426"/>
      <c r="VCJ50" s="426"/>
      <c r="VCK50" s="426"/>
      <c r="VCL50" s="426"/>
      <c r="VCM50" s="426"/>
      <c r="VCN50" s="426"/>
      <c r="VCO50" s="426"/>
      <c r="VCP50" s="426"/>
      <c r="VCQ50" s="426"/>
      <c r="VCR50" s="426"/>
      <c r="VCS50" s="426"/>
      <c r="VCT50" s="426"/>
      <c r="VCU50" s="426"/>
      <c r="VCV50" s="426"/>
      <c r="VCW50" s="426"/>
      <c r="VCX50" s="426"/>
      <c r="VCY50" s="426"/>
      <c r="VCZ50" s="426"/>
      <c r="VDA50" s="426"/>
      <c r="VDB50" s="426"/>
      <c r="VDC50" s="426"/>
      <c r="VDD50" s="426"/>
      <c r="VDE50" s="426"/>
      <c r="VDF50" s="426"/>
      <c r="VDG50" s="426"/>
      <c r="VDH50" s="426"/>
      <c r="VDI50" s="426"/>
      <c r="VDJ50" s="426"/>
      <c r="VDK50" s="426"/>
      <c r="VDL50" s="426"/>
      <c r="VDM50" s="426"/>
      <c r="VDN50" s="426"/>
      <c r="VDO50" s="426"/>
      <c r="VDP50" s="426"/>
      <c r="VDQ50" s="426"/>
      <c r="VDR50" s="426"/>
      <c r="VDS50" s="426"/>
      <c r="VDT50" s="426"/>
      <c r="VDU50" s="426"/>
      <c r="VDV50" s="426"/>
      <c r="VDW50" s="426"/>
      <c r="VDX50" s="426"/>
      <c r="VDY50" s="426"/>
      <c r="VDZ50" s="426"/>
      <c r="VEA50" s="426"/>
      <c r="VEB50" s="426"/>
      <c r="VEC50" s="426"/>
      <c r="VED50" s="426"/>
      <c r="VEE50" s="426"/>
      <c r="VEF50" s="426"/>
      <c r="VEG50" s="426"/>
      <c r="VEH50" s="426"/>
      <c r="VEI50" s="426"/>
      <c r="VEJ50" s="426"/>
      <c r="VEK50" s="426"/>
      <c r="VEL50" s="426"/>
      <c r="VEM50" s="426"/>
      <c r="VEN50" s="426"/>
      <c r="VEO50" s="426"/>
      <c r="VEP50" s="426"/>
      <c r="VEQ50" s="426"/>
      <c r="VER50" s="426"/>
      <c r="VES50" s="426"/>
      <c r="VET50" s="426"/>
      <c r="VEU50" s="426"/>
      <c r="VEV50" s="426"/>
      <c r="VEW50" s="426"/>
      <c r="VEX50" s="426"/>
      <c r="VEY50" s="426"/>
      <c r="VEZ50" s="426"/>
      <c r="VFA50" s="426"/>
      <c r="VFB50" s="426"/>
      <c r="VFC50" s="426"/>
      <c r="VFD50" s="426"/>
      <c r="VFE50" s="426"/>
      <c r="VFF50" s="426"/>
      <c r="VFG50" s="426"/>
      <c r="VFH50" s="426"/>
      <c r="VFI50" s="426"/>
      <c r="VFJ50" s="426"/>
      <c r="VFK50" s="426"/>
      <c r="VFL50" s="426"/>
      <c r="VFM50" s="426"/>
      <c r="VFN50" s="426"/>
      <c r="VFO50" s="426"/>
      <c r="VFP50" s="426"/>
      <c r="VFQ50" s="426"/>
      <c r="VFR50" s="426"/>
      <c r="VFS50" s="426"/>
      <c r="VFT50" s="426"/>
      <c r="VFU50" s="426"/>
      <c r="VFV50" s="426"/>
      <c r="VFW50" s="426"/>
      <c r="VFX50" s="426"/>
      <c r="VFY50" s="426"/>
      <c r="VFZ50" s="426"/>
      <c r="VGA50" s="426"/>
      <c r="VGB50" s="426"/>
      <c r="VGC50" s="426"/>
      <c r="VGD50" s="426"/>
      <c r="VGE50" s="426"/>
      <c r="VGF50" s="426"/>
      <c r="VGG50" s="426"/>
      <c r="VGH50" s="426"/>
      <c r="VGI50" s="426"/>
      <c r="VGJ50" s="426"/>
      <c r="VGK50" s="426"/>
      <c r="VGL50" s="426"/>
      <c r="VGM50" s="426"/>
      <c r="VGN50" s="426"/>
      <c r="VGO50" s="426"/>
      <c r="VGP50" s="426"/>
      <c r="VGQ50" s="426"/>
      <c r="VGR50" s="426"/>
      <c r="VGS50" s="426"/>
      <c r="VGT50" s="426"/>
      <c r="VGU50" s="426"/>
      <c r="VGV50" s="426"/>
      <c r="VGW50" s="426"/>
      <c r="VGX50" s="426"/>
      <c r="VGY50" s="426"/>
      <c r="VGZ50" s="426"/>
      <c r="VHA50" s="426"/>
      <c r="VHB50" s="426"/>
      <c r="VHC50" s="426"/>
      <c r="VHD50" s="426"/>
      <c r="VHE50" s="426"/>
      <c r="VHF50" s="426"/>
      <c r="VHG50" s="426"/>
      <c r="VHH50" s="426"/>
      <c r="VHI50" s="426"/>
      <c r="VHJ50" s="426"/>
      <c r="VHK50" s="426"/>
      <c r="VHL50" s="426"/>
      <c r="VHM50" s="426"/>
      <c r="VHN50" s="426"/>
      <c r="VHO50" s="426"/>
      <c r="VHP50" s="426"/>
      <c r="VHQ50" s="426"/>
      <c r="VHR50" s="426"/>
      <c r="VHS50" s="426"/>
      <c r="VHT50" s="426"/>
      <c r="VHU50" s="426"/>
      <c r="VHV50" s="426"/>
      <c r="VHW50" s="426"/>
      <c r="VHX50" s="426"/>
      <c r="VHY50" s="426"/>
      <c r="VHZ50" s="426"/>
      <c r="VIA50" s="426"/>
      <c r="VIB50" s="426"/>
      <c r="VIC50" s="426"/>
      <c r="VID50" s="426"/>
      <c r="VIE50" s="426"/>
      <c r="VIF50" s="426"/>
      <c r="VIG50" s="426"/>
      <c r="VIH50" s="426"/>
      <c r="VII50" s="426"/>
      <c r="VIJ50" s="426"/>
      <c r="VIK50" s="426"/>
      <c r="VIL50" s="426"/>
      <c r="VIM50" s="426"/>
      <c r="VIN50" s="426"/>
      <c r="VIO50" s="426"/>
      <c r="VIP50" s="426"/>
      <c r="VIQ50" s="426"/>
      <c r="VIR50" s="426"/>
      <c r="VIS50" s="426"/>
      <c r="VIT50" s="426"/>
      <c r="VIU50" s="426"/>
      <c r="VIV50" s="426"/>
      <c r="VIW50" s="426"/>
      <c r="VIX50" s="426"/>
      <c r="VIY50" s="426"/>
      <c r="VIZ50" s="426"/>
      <c r="VJA50" s="426"/>
      <c r="VJB50" s="426"/>
      <c r="VJC50" s="426"/>
      <c r="VJD50" s="426"/>
      <c r="VJE50" s="426"/>
      <c r="VJF50" s="426"/>
      <c r="VJG50" s="426"/>
      <c r="VJH50" s="426"/>
      <c r="VJI50" s="426"/>
      <c r="VJJ50" s="426"/>
      <c r="VJK50" s="426"/>
      <c r="VJL50" s="426"/>
      <c r="VJM50" s="426"/>
      <c r="VJN50" s="426"/>
      <c r="VJO50" s="426"/>
      <c r="VJP50" s="426"/>
      <c r="VJQ50" s="426"/>
      <c r="VJR50" s="426"/>
      <c r="VJS50" s="426"/>
      <c r="VJT50" s="426"/>
      <c r="VJU50" s="426"/>
      <c r="VJV50" s="426"/>
      <c r="VJW50" s="426"/>
      <c r="VJX50" s="426"/>
      <c r="VJY50" s="426"/>
      <c r="VJZ50" s="426"/>
      <c r="VKA50" s="426"/>
      <c r="VKB50" s="426"/>
      <c r="VKC50" s="426"/>
      <c r="VKD50" s="426"/>
      <c r="VKE50" s="426"/>
      <c r="VKF50" s="426"/>
      <c r="VKG50" s="426"/>
      <c r="VKH50" s="426"/>
      <c r="VKI50" s="426"/>
      <c r="VKJ50" s="426"/>
      <c r="VKK50" s="426"/>
      <c r="VKL50" s="426"/>
      <c r="VKM50" s="426"/>
      <c r="VKN50" s="426"/>
      <c r="VKO50" s="426"/>
      <c r="VKP50" s="426"/>
      <c r="VKQ50" s="426"/>
      <c r="VKR50" s="426"/>
      <c r="VKS50" s="426"/>
      <c r="VKT50" s="426"/>
      <c r="VKU50" s="426"/>
      <c r="VKV50" s="426"/>
      <c r="VKW50" s="426"/>
      <c r="VKX50" s="426"/>
      <c r="VKY50" s="426"/>
      <c r="VKZ50" s="426"/>
      <c r="VLA50" s="426"/>
      <c r="VLB50" s="426"/>
      <c r="VLC50" s="426"/>
      <c r="VLD50" s="426"/>
      <c r="VLE50" s="426"/>
      <c r="VLF50" s="426"/>
      <c r="VLG50" s="426"/>
      <c r="VLH50" s="426"/>
      <c r="VLI50" s="426"/>
      <c r="VLJ50" s="426"/>
      <c r="VLK50" s="426"/>
      <c r="VLL50" s="426"/>
      <c r="VLM50" s="426"/>
      <c r="VLN50" s="426"/>
      <c r="VLO50" s="426"/>
      <c r="VLP50" s="426"/>
      <c r="VLQ50" s="426"/>
      <c r="VLR50" s="426"/>
      <c r="VLS50" s="426"/>
      <c r="VLT50" s="426"/>
      <c r="VLU50" s="426"/>
      <c r="VLV50" s="426"/>
      <c r="VLW50" s="426"/>
      <c r="VLX50" s="426"/>
      <c r="VLY50" s="426"/>
      <c r="VLZ50" s="426"/>
      <c r="VMA50" s="426"/>
      <c r="VMB50" s="426"/>
      <c r="VMC50" s="426"/>
      <c r="VMD50" s="426"/>
      <c r="VME50" s="426"/>
      <c r="VMF50" s="426"/>
      <c r="VMG50" s="426"/>
      <c r="VMH50" s="426"/>
      <c r="VMI50" s="426"/>
      <c r="VMJ50" s="426"/>
      <c r="VMK50" s="426"/>
      <c r="VML50" s="426"/>
      <c r="VMM50" s="426"/>
      <c r="VMN50" s="426"/>
      <c r="VMO50" s="426"/>
      <c r="VMP50" s="426"/>
      <c r="VMQ50" s="426"/>
      <c r="VMR50" s="426"/>
      <c r="VMS50" s="426"/>
      <c r="VMT50" s="426"/>
      <c r="VMU50" s="426"/>
      <c r="VMV50" s="426"/>
      <c r="VMW50" s="426"/>
      <c r="VMX50" s="426"/>
      <c r="VMY50" s="426"/>
      <c r="VMZ50" s="426"/>
      <c r="VNA50" s="426"/>
      <c r="VNB50" s="426"/>
      <c r="VNC50" s="426"/>
      <c r="VND50" s="426"/>
      <c r="VNE50" s="426"/>
      <c r="VNF50" s="426"/>
      <c r="VNG50" s="426"/>
      <c r="VNH50" s="426"/>
      <c r="VNI50" s="426"/>
      <c r="VNJ50" s="426"/>
      <c r="VNK50" s="426"/>
      <c r="VNL50" s="426"/>
      <c r="VNM50" s="426"/>
      <c r="VNN50" s="426"/>
      <c r="VNO50" s="426"/>
      <c r="VNP50" s="426"/>
      <c r="VNQ50" s="426"/>
      <c r="VNR50" s="426"/>
      <c r="VNS50" s="426"/>
      <c r="VNT50" s="426"/>
      <c r="VNU50" s="426"/>
      <c r="VNV50" s="426"/>
      <c r="VNW50" s="426"/>
      <c r="VNX50" s="426"/>
      <c r="VNY50" s="426"/>
      <c r="VNZ50" s="426"/>
      <c r="VOA50" s="426"/>
      <c r="VOB50" s="426"/>
      <c r="VOC50" s="426"/>
      <c r="VOD50" s="426"/>
      <c r="VOE50" s="426"/>
      <c r="VOF50" s="426"/>
      <c r="VOG50" s="426"/>
      <c r="VOH50" s="426"/>
      <c r="VOI50" s="426"/>
      <c r="VOJ50" s="426"/>
      <c r="VOK50" s="426"/>
      <c r="VOL50" s="426"/>
      <c r="VOM50" s="426"/>
      <c r="VON50" s="426"/>
      <c r="VOO50" s="426"/>
      <c r="VOP50" s="426"/>
      <c r="VOQ50" s="426"/>
      <c r="VOR50" s="426"/>
      <c r="VOS50" s="426"/>
      <c r="VOT50" s="426"/>
      <c r="VOU50" s="426"/>
      <c r="VOV50" s="426"/>
      <c r="VOW50" s="426"/>
      <c r="VOX50" s="426"/>
      <c r="VOY50" s="426"/>
      <c r="VOZ50" s="426"/>
      <c r="VPA50" s="426"/>
      <c r="VPB50" s="426"/>
      <c r="VPC50" s="426"/>
      <c r="VPD50" s="426"/>
      <c r="VPE50" s="426"/>
      <c r="VPF50" s="426"/>
      <c r="VPG50" s="426"/>
      <c r="VPH50" s="426"/>
      <c r="VPI50" s="426"/>
      <c r="VPJ50" s="426"/>
      <c r="VPK50" s="426"/>
      <c r="VPL50" s="426"/>
      <c r="VPM50" s="426"/>
      <c r="VPN50" s="426"/>
      <c r="VPO50" s="426"/>
      <c r="VPP50" s="426"/>
      <c r="VPQ50" s="426"/>
      <c r="VPR50" s="426"/>
      <c r="VPS50" s="426"/>
      <c r="VPT50" s="426"/>
      <c r="VPU50" s="426"/>
      <c r="VPV50" s="426"/>
      <c r="VPW50" s="426"/>
      <c r="VPX50" s="426"/>
      <c r="VPY50" s="426"/>
      <c r="VPZ50" s="426"/>
      <c r="VQA50" s="426"/>
      <c r="VQB50" s="426"/>
      <c r="VQC50" s="426"/>
      <c r="VQD50" s="426"/>
      <c r="VQE50" s="426"/>
      <c r="VQF50" s="426"/>
      <c r="VQG50" s="426"/>
      <c r="VQH50" s="426"/>
      <c r="VQI50" s="426"/>
      <c r="VQJ50" s="426"/>
      <c r="VQK50" s="426"/>
      <c r="VQL50" s="426"/>
      <c r="VQM50" s="426"/>
      <c r="VQN50" s="426"/>
      <c r="VQO50" s="426"/>
      <c r="VQP50" s="426"/>
      <c r="VQQ50" s="426"/>
      <c r="VQR50" s="426"/>
      <c r="VQS50" s="426"/>
      <c r="VQT50" s="426"/>
      <c r="VQU50" s="426"/>
      <c r="VQV50" s="426"/>
      <c r="VQW50" s="426"/>
      <c r="VQX50" s="426"/>
      <c r="VQY50" s="426"/>
      <c r="VQZ50" s="426"/>
      <c r="VRA50" s="426"/>
      <c r="VRB50" s="426"/>
      <c r="VRC50" s="426"/>
      <c r="VRD50" s="426"/>
      <c r="VRE50" s="426"/>
      <c r="VRF50" s="426"/>
      <c r="VRG50" s="426"/>
      <c r="VRH50" s="426"/>
      <c r="VRI50" s="426"/>
      <c r="VRJ50" s="426"/>
      <c r="VRK50" s="426"/>
      <c r="VRL50" s="426"/>
      <c r="VRM50" s="426"/>
      <c r="VRN50" s="426"/>
      <c r="VRO50" s="426"/>
      <c r="VRP50" s="426"/>
      <c r="VRQ50" s="426"/>
      <c r="VRR50" s="426"/>
      <c r="VRS50" s="426"/>
      <c r="VRT50" s="426"/>
      <c r="VRU50" s="426"/>
      <c r="VRV50" s="426"/>
      <c r="VRW50" s="426"/>
      <c r="VRX50" s="426"/>
      <c r="VRY50" s="426"/>
      <c r="VRZ50" s="426"/>
      <c r="VSA50" s="426"/>
      <c r="VSB50" s="426"/>
      <c r="VSC50" s="426"/>
      <c r="VSD50" s="426"/>
      <c r="VSE50" s="426"/>
      <c r="VSF50" s="426"/>
      <c r="VSG50" s="426"/>
      <c r="VSH50" s="426"/>
      <c r="VSI50" s="426"/>
      <c r="VSJ50" s="426"/>
      <c r="VSK50" s="426"/>
      <c r="VSL50" s="426"/>
      <c r="VSM50" s="426"/>
      <c r="VSN50" s="426"/>
      <c r="VSO50" s="426"/>
      <c r="VSP50" s="426"/>
      <c r="VSQ50" s="426"/>
      <c r="VSR50" s="426"/>
      <c r="VSS50" s="426"/>
      <c r="VST50" s="426"/>
      <c r="VSU50" s="426"/>
      <c r="VSV50" s="426"/>
      <c r="VSW50" s="426"/>
      <c r="VSX50" s="426"/>
      <c r="VSY50" s="426"/>
      <c r="VSZ50" s="426"/>
      <c r="VTA50" s="426"/>
      <c r="VTB50" s="426"/>
      <c r="VTC50" s="426"/>
      <c r="VTD50" s="426"/>
      <c r="VTE50" s="426"/>
      <c r="VTF50" s="426"/>
      <c r="VTG50" s="426"/>
      <c r="VTH50" s="426"/>
      <c r="VTI50" s="426"/>
      <c r="VTJ50" s="426"/>
      <c r="VTK50" s="426"/>
      <c r="VTL50" s="426"/>
      <c r="VTM50" s="426"/>
      <c r="VTN50" s="426"/>
      <c r="VTO50" s="426"/>
      <c r="VTP50" s="426"/>
      <c r="VTQ50" s="426"/>
      <c r="VTR50" s="426"/>
      <c r="VTS50" s="426"/>
      <c r="VTT50" s="426"/>
      <c r="VTU50" s="426"/>
      <c r="VTV50" s="426"/>
      <c r="VTW50" s="426"/>
      <c r="VTX50" s="426"/>
      <c r="VTY50" s="426"/>
      <c r="VTZ50" s="426"/>
      <c r="VUA50" s="426"/>
      <c r="VUB50" s="426"/>
      <c r="VUC50" s="426"/>
      <c r="VUD50" s="426"/>
      <c r="VUE50" s="426"/>
      <c r="VUF50" s="426"/>
      <c r="VUG50" s="426"/>
      <c r="VUH50" s="426"/>
      <c r="VUI50" s="426"/>
      <c r="VUJ50" s="426"/>
      <c r="VUK50" s="426"/>
      <c r="VUL50" s="426"/>
      <c r="VUM50" s="426"/>
      <c r="VUN50" s="426"/>
      <c r="VUO50" s="426"/>
      <c r="VUP50" s="426"/>
      <c r="VUQ50" s="426"/>
      <c r="VUR50" s="426"/>
      <c r="VUS50" s="426"/>
      <c r="VUT50" s="426"/>
      <c r="VUU50" s="426"/>
      <c r="VUV50" s="426"/>
      <c r="VUW50" s="426"/>
      <c r="VUX50" s="426"/>
      <c r="VUY50" s="426"/>
      <c r="VUZ50" s="426"/>
      <c r="VVA50" s="426"/>
      <c r="VVB50" s="426"/>
      <c r="VVC50" s="426"/>
      <c r="VVD50" s="426"/>
      <c r="VVE50" s="426"/>
      <c r="VVF50" s="426"/>
      <c r="VVG50" s="426"/>
      <c r="VVH50" s="426"/>
      <c r="VVI50" s="426"/>
      <c r="VVJ50" s="426"/>
      <c r="VVK50" s="426"/>
      <c r="VVL50" s="426"/>
      <c r="VVM50" s="426"/>
      <c r="VVN50" s="426"/>
      <c r="VVO50" s="426"/>
      <c r="VVP50" s="426"/>
      <c r="VVQ50" s="426"/>
      <c r="VVR50" s="426"/>
      <c r="VVS50" s="426"/>
      <c r="VVT50" s="426"/>
      <c r="VVU50" s="426"/>
      <c r="VVV50" s="426"/>
      <c r="VVW50" s="426"/>
      <c r="VVX50" s="426"/>
      <c r="VVY50" s="426"/>
      <c r="VVZ50" s="426"/>
      <c r="VWA50" s="426"/>
      <c r="VWB50" s="426"/>
      <c r="VWC50" s="426"/>
      <c r="VWD50" s="426"/>
      <c r="VWE50" s="426"/>
      <c r="VWF50" s="426"/>
      <c r="VWG50" s="426"/>
      <c r="VWH50" s="426"/>
      <c r="VWI50" s="426"/>
      <c r="VWJ50" s="426"/>
      <c r="VWK50" s="426"/>
      <c r="VWL50" s="426"/>
      <c r="VWM50" s="426"/>
      <c r="VWN50" s="426"/>
      <c r="VWO50" s="426"/>
      <c r="VWP50" s="426"/>
      <c r="VWQ50" s="426"/>
      <c r="VWR50" s="426"/>
      <c r="VWS50" s="426"/>
      <c r="VWT50" s="426"/>
      <c r="VWU50" s="426"/>
      <c r="VWV50" s="426"/>
      <c r="VWW50" s="426"/>
      <c r="VWX50" s="426"/>
      <c r="VWY50" s="426"/>
      <c r="VWZ50" s="426"/>
      <c r="VXA50" s="426"/>
      <c r="VXB50" s="426"/>
      <c r="VXC50" s="426"/>
      <c r="VXD50" s="426"/>
      <c r="VXE50" s="426"/>
      <c r="VXF50" s="426"/>
      <c r="VXG50" s="426"/>
      <c r="VXH50" s="426"/>
      <c r="VXI50" s="426"/>
      <c r="VXJ50" s="426"/>
      <c r="VXK50" s="426"/>
      <c r="VXL50" s="426"/>
      <c r="VXM50" s="426"/>
      <c r="VXN50" s="426"/>
      <c r="VXO50" s="426"/>
      <c r="VXP50" s="426"/>
      <c r="VXQ50" s="426"/>
      <c r="VXR50" s="426"/>
      <c r="VXS50" s="426"/>
      <c r="VXT50" s="426"/>
      <c r="VXU50" s="426"/>
      <c r="VXV50" s="426"/>
      <c r="VXW50" s="426"/>
      <c r="VXX50" s="426"/>
      <c r="VXY50" s="426"/>
      <c r="VXZ50" s="426"/>
      <c r="VYA50" s="426"/>
      <c r="VYB50" s="426"/>
      <c r="VYC50" s="426"/>
      <c r="VYD50" s="426"/>
      <c r="VYE50" s="426"/>
      <c r="VYF50" s="426"/>
      <c r="VYG50" s="426"/>
      <c r="VYH50" s="426"/>
      <c r="VYI50" s="426"/>
      <c r="VYJ50" s="426"/>
      <c r="VYK50" s="426"/>
      <c r="VYL50" s="426"/>
      <c r="VYM50" s="426"/>
      <c r="VYN50" s="426"/>
      <c r="VYO50" s="426"/>
      <c r="VYP50" s="426"/>
      <c r="VYQ50" s="426"/>
      <c r="VYR50" s="426"/>
      <c r="VYS50" s="426"/>
      <c r="VYT50" s="426"/>
      <c r="VYU50" s="426"/>
      <c r="VYV50" s="426"/>
      <c r="VYW50" s="426"/>
      <c r="VYX50" s="426"/>
      <c r="VYY50" s="426"/>
      <c r="VYZ50" s="426"/>
      <c r="VZA50" s="426"/>
      <c r="VZB50" s="426"/>
      <c r="VZC50" s="426"/>
      <c r="VZD50" s="426"/>
      <c r="VZE50" s="426"/>
      <c r="VZF50" s="426"/>
      <c r="VZG50" s="426"/>
      <c r="VZH50" s="426"/>
      <c r="VZI50" s="426"/>
      <c r="VZJ50" s="426"/>
      <c r="VZK50" s="426"/>
      <c r="VZL50" s="426"/>
      <c r="VZM50" s="426"/>
      <c r="VZN50" s="426"/>
      <c r="VZO50" s="426"/>
      <c r="VZP50" s="426"/>
      <c r="VZQ50" s="426"/>
      <c r="VZR50" s="426"/>
      <c r="VZS50" s="426"/>
      <c r="VZT50" s="426"/>
      <c r="VZU50" s="426"/>
      <c r="VZV50" s="426"/>
      <c r="VZW50" s="426"/>
      <c r="VZX50" s="426"/>
      <c r="VZY50" s="426"/>
      <c r="VZZ50" s="426"/>
      <c r="WAA50" s="426"/>
      <c r="WAB50" s="426"/>
      <c r="WAC50" s="426"/>
      <c r="WAD50" s="426"/>
      <c r="WAE50" s="426"/>
      <c r="WAF50" s="426"/>
      <c r="WAG50" s="426"/>
      <c r="WAH50" s="426"/>
      <c r="WAI50" s="426"/>
      <c r="WAJ50" s="426"/>
      <c r="WAK50" s="426"/>
      <c r="WAL50" s="426"/>
      <c r="WAM50" s="426"/>
      <c r="WAN50" s="426"/>
      <c r="WAO50" s="426"/>
      <c r="WAP50" s="426"/>
      <c r="WAQ50" s="426"/>
      <c r="WAR50" s="426"/>
      <c r="WAS50" s="426"/>
      <c r="WAT50" s="426"/>
      <c r="WAU50" s="426"/>
      <c r="WAV50" s="426"/>
      <c r="WAW50" s="426"/>
      <c r="WAX50" s="426"/>
      <c r="WAY50" s="426"/>
      <c r="WAZ50" s="426"/>
      <c r="WBA50" s="426"/>
      <c r="WBB50" s="426"/>
      <c r="WBC50" s="426"/>
      <c r="WBD50" s="426"/>
      <c r="WBE50" s="426"/>
      <c r="WBF50" s="426"/>
      <c r="WBG50" s="426"/>
      <c r="WBH50" s="426"/>
      <c r="WBI50" s="426"/>
      <c r="WBJ50" s="426"/>
      <c r="WBK50" s="426"/>
      <c r="WBL50" s="426"/>
      <c r="WBM50" s="426"/>
      <c r="WBN50" s="426"/>
      <c r="WBO50" s="426"/>
      <c r="WBP50" s="426"/>
      <c r="WBQ50" s="426"/>
      <c r="WBR50" s="426"/>
      <c r="WBS50" s="426"/>
      <c r="WBT50" s="426"/>
      <c r="WBU50" s="426"/>
      <c r="WBV50" s="426"/>
      <c r="WBW50" s="426"/>
      <c r="WBX50" s="426"/>
      <c r="WBY50" s="426"/>
      <c r="WBZ50" s="426"/>
      <c r="WCA50" s="426"/>
      <c r="WCB50" s="426"/>
      <c r="WCC50" s="426"/>
      <c r="WCD50" s="426"/>
      <c r="WCE50" s="426"/>
      <c r="WCF50" s="426"/>
      <c r="WCG50" s="426"/>
      <c r="WCH50" s="426"/>
      <c r="WCI50" s="426"/>
      <c r="WCJ50" s="426"/>
      <c r="WCK50" s="426"/>
      <c r="WCL50" s="426"/>
      <c r="WCM50" s="426"/>
      <c r="WCN50" s="426"/>
      <c r="WCO50" s="426"/>
      <c r="WCP50" s="426"/>
      <c r="WCQ50" s="426"/>
      <c r="WCR50" s="426"/>
      <c r="WCS50" s="426"/>
      <c r="WCT50" s="426"/>
      <c r="WCU50" s="426"/>
      <c r="WCV50" s="426"/>
      <c r="WCW50" s="426"/>
      <c r="WCX50" s="426"/>
      <c r="WCY50" s="426"/>
      <c r="WCZ50" s="426"/>
      <c r="WDA50" s="426"/>
      <c r="WDB50" s="426"/>
      <c r="WDC50" s="426"/>
      <c r="WDD50" s="426"/>
      <c r="WDE50" s="426"/>
      <c r="WDF50" s="426"/>
      <c r="WDG50" s="426"/>
      <c r="WDH50" s="426"/>
      <c r="WDI50" s="426"/>
      <c r="WDJ50" s="426"/>
      <c r="WDK50" s="426"/>
      <c r="WDL50" s="426"/>
      <c r="WDM50" s="426"/>
      <c r="WDN50" s="426"/>
      <c r="WDO50" s="426"/>
      <c r="WDP50" s="426"/>
      <c r="WDQ50" s="426"/>
      <c r="WDR50" s="426"/>
      <c r="WDS50" s="426"/>
      <c r="WDT50" s="426"/>
      <c r="WDU50" s="426"/>
      <c r="WDV50" s="426"/>
      <c r="WDW50" s="426"/>
      <c r="WDX50" s="426"/>
      <c r="WDY50" s="426"/>
      <c r="WDZ50" s="426"/>
      <c r="WEA50" s="426"/>
      <c r="WEB50" s="426"/>
      <c r="WEC50" s="426"/>
      <c r="WED50" s="426"/>
      <c r="WEE50" s="426"/>
      <c r="WEF50" s="426"/>
      <c r="WEG50" s="426"/>
      <c r="WEH50" s="426"/>
      <c r="WEI50" s="426"/>
      <c r="WEJ50" s="426"/>
      <c r="WEK50" s="426"/>
      <c r="WEL50" s="426"/>
      <c r="WEM50" s="426"/>
      <c r="WEN50" s="426"/>
      <c r="WEO50" s="426"/>
      <c r="WEP50" s="426"/>
      <c r="WEQ50" s="426"/>
      <c r="WER50" s="426"/>
      <c r="WES50" s="426"/>
      <c r="WET50" s="426"/>
      <c r="WEU50" s="426"/>
      <c r="WEV50" s="426"/>
      <c r="WEW50" s="426"/>
      <c r="WEX50" s="426"/>
      <c r="WEY50" s="426"/>
      <c r="WEZ50" s="426"/>
      <c r="WFA50" s="426"/>
      <c r="WFB50" s="426"/>
      <c r="WFC50" s="426"/>
      <c r="WFD50" s="426"/>
      <c r="WFE50" s="426"/>
      <c r="WFF50" s="426"/>
      <c r="WFG50" s="426"/>
      <c r="WFH50" s="426"/>
      <c r="WFI50" s="426"/>
      <c r="WFJ50" s="426"/>
      <c r="WFK50" s="426"/>
      <c r="WFL50" s="426"/>
      <c r="WFM50" s="426"/>
      <c r="WFN50" s="426"/>
      <c r="WFO50" s="426"/>
      <c r="WFP50" s="426"/>
      <c r="WFQ50" s="426"/>
      <c r="WFR50" s="426"/>
      <c r="WFS50" s="426"/>
      <c r="WFT50" s="426"/>
      <c r="WFU50" s="426"/>
      <c r="WFV50" s="426"/>
      <c r="WFW50" s="426"/>
      <c r="WFX50" s="426"/>
      <c r="WFY50" s="426"/>
      <c r="WFZ50" s="426"/>
      <c r="WGA50" s="426"/>
      <c r="WGB50" s="426"/>
      <c r="WGC50" s="426"/>
      <c r="WGD50" s="426"/>
      <c r="WGE50" s="426"/>
      <c r="WGF50" s="426"/>
      <c r="WGG50" s="426"/>
      <c r="WGH50" s="426"/>
      <c r="WGI50" s="426"/>
      <c r="WGJ50" s="426"/>
      <c r="WGK50" s="426"/>
      <c r="WGL50" s="426"/>
      <c r="WGM50" s="426"/>
      <c r="WGN50" s="426"/>
      <c r="WGO50" s="426"/>
      <c r="WGP50" s="426"/>
      <c r="WGQ50" s="426"/>
      <c r="WGR50" s="426"/>
      <c r="WGS50" s="426"/>
      <c r="WGT50" s="426"/>
      <c r="WGU50" s="426"/>
      <c r="WGV50" s="426"/>
      <c r="WGW50" s="426"/>
      <c r="WGX50" s="426"/>
      <c r="WGY50" s="426"/>
      <c r="WGZ50" s="426"/>
      <c r="WHA50" s="426"/>
      <c r="WHB50" s="426"/>
      <c r="WHC50" s="426"/>
      <c r="WHD50" s="426"/>
      <c r="WHE50" s="426"/>
      <c r="WHF50" s="426"/>
      <c r="WHG50" s="426"/>
      <c r="WHH50" s="426"/>
      <c r="WHI50" s="426"/>
      <c r="WHJ50" s="426"/>
      <c r="WHK50" s="426"/>
      <c r="WHL50" s="426"/>
      <c r="WHM50" s="426"/>
      <c r="WHN50" s="426"/>
      <c r="WHO50" s="426"/>
      <c r="WHP50" s="426"/>
      <c r="WHQ50" s="426"/>
      <c r="WHR50" s="426"/>
      <c r="WHS50" s="426"/>
      <c r="WHT50" s="426"/>
      <c r="WHU50" s="426"/>
      <c r="WHV50" s="426"/>
      <c r="WHW50" s="426"/>
      <c r="WHX50" s="426"/>
      <c r="WHY50" s="426"/>
      <c r="WHZ50" s="426"/>
      <c r="WIA50" s="426"/>
      <c r="WIB50" s="426"/>
      <c r="WIC50" s="426"/>
      <c r="WID50" s="426"/>
      <c r="WIE50" s="426"/>
      <c r="WIF50" s="426"/>
      <c r="WIG50" s="426"/>
      <c r="WIH50" s="426"/>
      <c r="WII50" s="426"/>
      <c r="WIJ50" s="426"/>
      <c r="WIK50" s="426"/>
      <c r="WIL50" s="426"/>
      <c r="WIM50" s="426"/>
      <c r="WIN50" s="426"/>
      <c r="WIO50" s="426"/>
      <c r="WIP50" s="426"/>
      <c r="WIQ50" s="426"/>
      <c r="WIR50" s="426"/>
      <c r="WIS50" s="426"/>
      <c r="WIT50" s="426"/>
      <c r="WIU50" s="426"/>
      <c r="WIV50" s="426"/>
      <c r="WIW50" s="426"/>
      <c r="WIX50" s="426"/>
      <c r="WIY50" s="426"/>
      <c r="WIZ50" s="426"/>
      <c r="WJA50" s="426"/>
      <c r="WJB50" s="426"/>
      <c r="WJC50" s="426"/>
      <c r="WJD50" s="426"/>
      <c r="WJE50" s="426"/>
      <c r="WJF50" s="426"/>
      <c r="WJG50" s="426"/>
      <c r="WJH50" s="426"/>
      <c r="WJI50" s="426"/>
      <c r="WJJ50" s="426"/>
      <c r="WJK50" s="426"/>
      <c r="WJL50" s="426"/>
      <c r="WJM50" s="426"/>
      <c r="WJN50" s="426"/>
      <c r="WJO50" s="426"/>
      <c r="WJP50" s="426"/>
      <c r="WJQ50" s="426"/>
      <c r="WJR50" s="426"/>
      <c r="WJS50" s="426"/>
      <c r="WJT50" s="426"/>
      <c r="WJU50" s="426"/>
      <c r="WJV50" s="426"/>
      <c r="WJW50" s="426"/>
      <c r="WJX50" s="426"/>
      <c r="WJY50" s="426"/>
      <c r="WJZ50" s="426"/>
      <c r="WKA50" s="426"/>
      <c r="WKB50" s="426"/>
      <c r="WKC50" s="426"/>
      <c r="WKD50" s="426"/>
      <c r="WKE50" s="426"/>
      <c r="WKF50" s="426"/>
      <c r="WKG50" s="426"/>
      <c r="WKH50" s="426"/>
      <c r="WKI50" s="426"/>
      <c r="WKJ50" s="426"/>
      <c r="WKK50" s="426"/>
      <c r="WKL50" s="426"/>
      <c r="WKM50" s="426"/>
      <c r="WKN50" s="426"/>
      <c r="WKO50" s="426"/>
      <c r="WKP50" s="426"/>
      <c r="WKQ50" s="426"/>
      <c r="WKR50" s="426"/>
      <c r="WKS50" s="426"/>
      <c r="WKT50" s="426"/>
      <c r="WKU50" s="426"/>
      <c r="WKV50" s="426"/>
      <c r="WKW50" s="426"/>
      <c r="WKX50" s="426"/>
      <c r="WKY50" s="426"/>
      <c r="WKZ50" s="426"/>
      <c r="WLA50" s="426"/>
      <c r="WLB50" s="426"/>
      <c r="WLC50" s="426"/>
      <c r="WLD50" s="426"/>
      <c r="WLE50" s="426"/>
      <c r="WLF50" s="426"/>
      <c r="WLG50" s="426"/>
      <c r="WLH50" s="426"/>
      <c r="WLI50" s="426"/>
      <c r="WLJ50" s="426"/>
      <c r="WLK50" s="426"/>
      <c r="WLL50" s="426"/>
      <c r="WLM50" s="426"/>
      <c r="WLN50" s="426"/>
      <c r="WLO50" s="426"/>
      <c r="WLP50" s="426"/>
      <c r="WLQ50" s="426"/>
      <c r="WLR50" s="426"/>
      <c r="WLS50" s="426"/>
      <c r="WLT50" s="426"/>
      <c r="WLU50" s="426"/>
      <c r="WLV50" s="426"/>
      <c r="WLW50" s="426"/>
      <c r="WLX50" s="426"/>
      <c r="WLY50" s="426"/>
      <c r="WLZ50" s="426"/>
      <c r="WMA50" s="426"/>
      <c r="WMB50" s="426"/>
      <c r="WMC50" s="426"/>
      <c r="WMD50" s="426"/>
      <c r="WME50" s="426"/>
      <c r="WMF50" s="426"/>
      <c r="WMG50" s="426"/>
      <c r="WMH50" s="426"/>
      <c r="WMI50" s="426"/>
      <c r="WMJ50" s="426"/>
      <c r="WMK50" s="426"/>
      <c r="WML50" s="426"/>
      <c r="WMM50" s="426"/>
      <c r="WMN50" s="426"/>
      <c r="WMO50" s="426"/>
      <c r="WMP50" s="426"/>
      <c r="WMQ50" s="426"/>
      <c r="WMR50" s="426"/>
      <c r="WMS50" s="426"/>
      <c r="WMT50" s="426"/>
      <c r="WMU50" s="426"/>
      <c r="WMV50" s="426"/>
      <c r="WMW50" s="426"/>
      <c r="WMX50" s="426"/>
      <c r="WMY50" s="426"/>
      <c r="WMZ50" s="426"/>
      <c r="WNA50" s="426"/>
      <c r="WNB50" s="426"/>
      <c r="WNC50" s="426"/>
      <c r="WND50" s="426"/>
      <c r="WNE50" s="426"/>
      <c r="WNF50" s="426"/>
      <c r="WNG50" s="426"/>
      <c r="WNH50" s="426"/>
      <c r="WNI50" s="426"/>
      <c r="WNJ50" s="426"/>
      <c r="WNK50" s="426"/>
      <c r="WNL50" s="426"/>
      <c r="WNM50" s="426"/>
      <c r="WNN50" s="426"/>
      <c r="WNO50" s="426"/>
      <c r="WNP50" s="426"/>
      <c r="WNQ50" s="426"/>
      <c r="WNR50" s="426"/>
      <c r="WNS50" s="426"/>
      <c r="WNT50" s="426"/>
      <c r="WNU50" s="426"/>
      <c r="WNV50" s="426"/>
      <c r="WNW50" s="426"/>
      <c r="WNX50" s="426"/>
      <c r="WNY50" s="426"/>
      <c r="WNZ50" s="426"/>
      <c r="WOA50" s="426"/>
      <c r="WOB50" s="426"/>
      <c r="WOC50" s="426"/>
      <c r="WOD50" s="426"/>
      <c r="WOE50" s="426"/>
      <c r="WOF50" s="426"/>
      <c r="WOG50" s="426"/>
      <c r="WOH50" s="426"/>
      <c r="WOI50" s="426"/>
      <c r="WOJ50" s="426"/>
      <c r="WOK50" s="426"/>
      <c r="WOL50" s="426"/>
      <c r="WOM50" s="426"/>
      <c r="WON50" s="426"/>
      <c r="WOO50" s="426"/>
      <c r="WOP50" s="426"/>
      <c r="WOQ50" s="426"/>
      <c r="WOR50" s="426"/>
      <c r="WOS50" s="426"/>
      <c r="WOT50" s="426"/>
      <c r="WOU50" s="426"/>
      <c r="WOV50" s="426"/>
      <c r="WOW50" s="426"/>
      <c r="WOX50" s="426"/>
      <c r="WOY50" s="426"/>
      <c r="WOZ50" s="426"/>
      <c r="WPA50" s="426"/>
      <c r="WPB50" s="426"/>
      <c r="WPC50" s="426"/>
      <c r="WPD50" s="426"/>
      <c r="WPE50" s="426"/>
      <c r="WPF50" s="426"/>
      <c r="WPG50" s="426"/>
      <c r="WPH50" s="426"/>
      <c r="WPI50" s="426"/>
      <c r="WPJ50" s="426"/>
      <c r="WPK50" s="426"/>
      <c r="WPL50" s="426"/>
      <c r="WPM50" s="426"/>
      <c r="WPN50" s="426"/>
      <c r="WPO50" s="426"/>
      <c r="WPP50" s="426"/>
      <c r="WPQ50" s="426"/>
      <c r="WPR50" s="426"/>
      <c r="WPS50" s="426"/>
      <c r="WPT50" s="426"/>
      <c r="WPU50" s="426"/>
      <c r="WPV50" s="426"/>
      <c r="WPW50" s="426"/>
      <c r="WPX50" s="426"/>
      <c r="WPY50" s="426"/>
      <c r="WPZ50" s="426"/>
      <c r="WQA50" s="426"/>
      <c r="WQB50" s="426"/>
      <c r="WQC50" s="426"/>
      <c r="WQD50" s="426"/>
      <c r="WQE50" s="426"/>
      <c r="WQF50" s="426"/>
      <c r="WQG50" s="426"/>
      <c r="WQH50" s="426"/>
      <c r="WQI50" s="426"/>
      <c r="WQJ50" s="426"/>
      <c r="WQK50" s="426"/>
      <c r="WQL50" s="426"/>
      <c r="WQM50" s="426"/>
      <c r="WQN50" s="426"/>
      <c r="WQO50" s="426"/>
      <c r="WQP50" s="426"/>
      <c r="WQQ50" s="426"/>
      <c r="WQR50" s="426"/>
      <c r="WQS50" s="426"/>
      <c r="WQT50" s="426"/>
      <c r="WQU50" s="426"/>
      <c r="WQV50" s="426"/>
      <c r="WQW50" s="426"/>
      <c r="WQX50" s="426"/>
      <c r="WQY50" s="426"/>
      <c r="WQZ50" s="426"/>
      <c r="WRA50" s="426"/>
      <c r="WRB50" s="426"/>
      <c r="WRC50" s="426"/>
      <c r="WRD50" s="426"/>
      <c r="WRE50" s="426"/>
      <c r="WRF50" s="426"/>
      <c r="WRG50" s="426"/>
      <c r="WRH50" s="426"/>
      <c r="WRI50" s="426"/>
      <c r="WRJ50" s="426"/>
      <c r="WRK50" s="426"/>
      <c r="WRL50" s="426"/>
      <c r="WRM50" s="426"/>
      <c r="WRN50" s="426"/>
      <c r="WRO50" s="426"/>
      <c r="WRP50" s="426"/>
      <c r="WRQ50" s="426"/>
      <c r="WRR50" s="426"/>
      <c r="WRS50" s="426"/>
      <c r="WRT50" s="426"/>
      <c r="WRU50" s="426"/>
      <c r="WRV50" s="426"/>
      <c r="WRW50" s="426"/>
      <c r="WRX50" s="426"/>
      <c r="WRY50" s="426"/>
      <c r="WRZ50" s="426"/>
      <c r="WSA50" s="426"/>
      <c r="WSB50" s="426"/>
      <c r="WSC50" s="426"/>
      <c r="WSD50" s="426"/>
      <c r="WSE50" s="426"/>
      <c r="WSF50" s="426"/>
      <c r="WSG50" s="426"/>
      <c r="WSH50" s="426"/>
      <c r="WSI50" s="426"/>
      <c r="WSJ50" s="426"/>
      <c r="WSK50" s="426"/>
      <c r="WSL50" s="426"/>
      <c r="WSM50" s="426"/>
      <c r="WSN50" s="426"/>
      <c r="WSO50" s="426"/>
      <c r="WSP50" s="426"/>
      <c r="WSQ50" s="426"/>
      <c r="WSR50" s="426"/>
      <c r="WSS50" s="426"/>
      <c r="WST50" s="426"/>
      <c r="WSU50" s="426"/>
      <c r="WSV50" s="426"/>
      <c r="WSW50" s="426"/>
      <c r="WSX50" s="426"/>
      <c r="WSY50" s="426"/>
      <c r="WSZ50" s="426"/>
      <c r="WTA50" s="426"/>
      <c r="WTB50" s="426"/>
      <c r="WTC50" s="426"/>
      <c r="WTD50" s="426"/>
      <c r="WTE50" s="426"/>
      <c r="WTF50" s="426"/>
      <c r="WTG50" s="426"/>
      <c r="WTH50" s="426"/>
      <c r="WTI50" s="426"/>
      <c r="WTJ50" s="426"/>
      <c r="WTK50" s="426"/>
      <c r="WTL50" s="426"/>
      <c r="WTM50" s="426"/>
      <c r="WTN50" s="426"/>
      <c r="WTO50" s="426"/>
      <c r="WTP50" s="426"/>
      <c r="WTQ50" s="426"/>
      <c r="WTR50" s="426"/>
      <c r="WTS50" s="426"/>
      <c r="WTT50" s="426"/>
      <c r="WTU50" s="426"/>
      <c r="WTV50" s="426"/>
      <c r="WTW50" s="426"/>
      <c r="WTX50" s="426"/>
      <c r="WTY50" s="426"/>
      <c r="WTZ50" s="426"/>
      <c r="WUA50" s="426"/>
      <c r="WUB50" s="426"/>
      <c r="WUC50" s="426"/>
      <c r="WUD50" s="426"/>
      <c r="WUE50" s="426"/>
      <c r="WUF50" s="426"/>
      <c r="WUG50" s="426"/>
      <c r="WUH50" s="426"/>
      <c r="WUI50" s="426"/>
      <c r="WUJ50" s="426"/>
      <c r="WUK50" s="426"/>
      <c r="WUL50" s="426"/>
      <c r="WUM50" s="426"/>
      <c r="WUN50" s="426"/>
      <c r="WUO50" s="426"/>
      <c r="WUP50" s="426"/>
      <c r="WUQ50" s="426"/>
      <c r="WUR50" s="426"/>
      <c r="WUS50" s="426"/>
      <c r="WUT50" s="426"/>
      <c r="WUU50" s="426"/>
      <c r="WUV50" s="426"/>
      <c r="WUW50" s="426"/>
      <c r="WUX50" s="426"/>
      <c r="WUY50" s="426"/>
      <c r="WUZ50" s="426"/>
      <c r="WVA50" s="426"/>
      <c r="WVB50" s="426"/>
      <c r="WVC50" s="426"/>
      <c r="WVD50" s="426"/>
      <c r="WVE50" s="426"/>
      <c r="WVF50" s="426"/>
      <c r="WVG50" s="426"/>
      <c r="WVH50" s="426"/>
      <c r="WVI50" s="426"/>
      <c r="WVJ50" s="426"/>
      <c r="WVK50" s="426"/>
      <c r="WVL50" s="426"/>
      <c r="WVM50" s="426"/>
      <c r="WVN50" s="426"/>
      <c r="WVO50" s="426"/>
      <c r="WVP50" s="426"/>
      <c r="WVQ50" s="426"/>
      <c r="WVR50" s="426"/>
      <c r="WVS50" s="426"/>
      <c r="WVT50" s="426"/>
      <c r="WVU50" s="426"/>
      <c r="WVV50" s="426"/>
      <c r="WVW50" s="426"/>
      <c r="WVX50" s="426"/>
      <c r="WVY50" s="426"/>
      <c r="WVZ50" s="426"/>
      <c r="WWA50" s="426"/>
      <c r="WWB50" s="426"/>
      <c r="WWC50" s="426"/>
      <c r="WWD50" s="426"/>
      <c r="WWE50" s="426"/>
      <c r="WWF50" s="426"/>
      <c r="WWG50" s="426"/>
      <c r="WWH50" s="426"/>
      <c r="WWI50" s="426"/>
      <c r="WWJ50" s="426"/>
      <c r="WWK50" s="426"/>
      <c r="WWL50" s="426"/>
      <c r="WWM50" s="426"/>
      <c r="WWN50" s="426"/>
      <c r="WWO50" s="426"/>
      <c r="WWP50" s="426"/>
      <c r="WWQ50" s="426"/>
      <c r="WWR50" s="426"/>
      <c r="WWS50" s="426"/>
      <c r="WWT50" s="426"/>
      <c r="WWU50" s="426"/>
      <c r="WWV50" s="426"/>
      <c r="WWW50" s="426"/>
      <c r="WWX50" s="426"/>
      <c r="WWY50" s="426"/>
      <c r="WWZ50" s="426"/>
      <c r="WXA50" s="426"/>
      <c r="WXB50" s="426"/>
      <c r="WXC50" s="426"/>
      <c r="WXD50" s="426"/>
      <c r="WXE50" s="426"/>
      <c r="WXF50" s="426"/>
      <c r="WXG50" s="426"/>
      <c r="WXH50" s="426"/>
      <c r="WXI50" s="426"/>
      <c r="WXJ50" s="426"/>
      <c r="WXK50" s="426"/>
      <c r="WXL50" s="426"/>
      <c r="WXM50" s="426"/>
      <c r="WXN50" s="426"/>
      <c r="WXO50" s="426"/>
      <c r="WXP50" s="426"/>
      <c r="WXQ50" s="426"/>
      <c r="WXR50" s="426"/>
      <c r="WXS50" s="426"/>
      <c r="WXT50" s="426"/>
      <c r="WXU50" s="426"/>
      <c r="WXV50" s="426"/>
      <c r="WXW50" s="426"/>
      <c r="WXX50" s="426"/>
      <c r="WXY50" s="426"/>
      <c r="WXZ50" s="426"/>
      <c r="WYA50" s="426"/>
      <c r="WYB50" s="426"/>
      <c r="WYC50" s="426"/>
      <c r="WYD50" s="426"/>
      <c r="WYE50" s="426"/>
      <c r="WYF50" s="426"/>
      <c r="WYG50" s="426"/>
      <c r="WYH50" s="426"/>
      <c r="WYI50" s="426"/>
      <c r="WYJ50" s="426"/>
      <c r="WYK50" s="426"/>
      <c r="WYL50" s="426"/>
      <c r="WYM50" s="426"/>
      <c r="WYN50" s="426"/>
      <c r="WYO50" s="426"/>
      <c r="WYP50" s="426"/>
      <c r="WYQ50" s="426"/>
      <c r="WYR50" s="426"/>
      <c r="WYS50" s="426"/>
      <c r="WYT50" s="426"/>
      <c r="WYU50" s="426"/>
      <c r="WYV50" s="426"/>
      <c r="WYW50" s="426"/>
      <c r="WYX50" s="426"/>
      <c r="WYY50" s="426"/>
      <c r="WYZ50" s="426"/>
      <c r="WZA50" s="426"/>
      <c r="WZB50" s="426"/>
      <c r="WZC50" s="426"/>
      <c r="WZD50" s="426"/>
      <c r="WZE50" s="426"/>
      <c r="WZF50" s="426"/>
      <c r="WZG50" s="426"/>
      <c r="WZH50" s="426"/>
      <c r="WZI50" s="426"/>
      <c r="WZJ50" s="426"/>
      <c r="WZK50" s="426"/>
      <c r="WZL50" s="426"/>
      <c r="WZM50" s="426"/>
      <c r="WZN50" s="426"/>
      <c r="WZO50" s="426"/>
      <c r="WZP50" s="426"/>
      <c r="WZQ50" s="426"/>
      <c r="WZR50" s="426"/>
      <c r="WZS50" s="426"/>
      <c r="WZT50" s="426"/>
      <c r="WZU50" s="426"/>
      <c r="WZV50" s="426"/>
      <c r="WZW50" s="426"/>
      <c r="WZX50" s="426"/>
      <c r="WZY50" s="426"/>
      <c r="WZZ50" s="426"/>
      <c r="XAA50" s="426"/>
      <c r="XAB50" s="426"/>
      <c r="XAC50" s="426"/>
      <c r="XAD50" s="426"/>
      <c r="XAE50" s="426"/>
      <c r="XAF50" s="426"/>
      <c r="XAG50" s="426"/>
      <c r="XAH50" s="426"/>
      <c r="XAI50" s="426"/>
      <c r="XAJ50" s="426"/>
      <c r="XAK50" s="426"/>
      <c r="XAL50" s="426"/>
      <c r="XAM50" s="426"/>
      <c r="XAN50" s="426"/>
      <c r="XAO50" s="426"/>
      <c r="XAP50" s="426"/>
      <c r="XAQ50" s="426"/>
      <c r="XAR50" s="426"/>
      <c r="XAS50" s="426"/>
      <c r="XAT50" s="426"/>
      <c r="XAU50" s="426"/>
      <c r="XAV50" s="426"/>
      <c r="XAW50" s="426"/>
      <c r="XAX50" s="426"/>
      <c r="XAY50" s="426"/>
      <c r="XAZ50" s="426"/>
      <c r="XBA50" s="426"/>
      <c r="XBB50" s="426"/>
      <c r="XBC50" s="426"/>
      <c r="XBD50" s="426"/>
      <c r="XBE50" s="426"/>
      <c r="XBF50" s="426"/>
      <c r="XBG50" s="426"/>
      <c r="XBH50" s="426"/>
      <c r="XBI50" s="426"/>
      <c r="XBJ50" s="426"/>
      <c r="XBK50" s="426"/>
      <c r="XBL50" s="426"/>
      <c r="XBM50" s="426"/>
      <c r="XBN50" s="426"/>
      <c r="XBO50" s="426"/>
      <c r="XBP50" s="426"/>
      <c r="XBQ50" s="426"/>
      <c r="XBR50" s="426"/>
      <c r="XBS50" s="426"/>
      <c r="XBT50" s="426"/>
      <c r="XBU50" s="426"/>
      <c r="XBV50" s="426"/>
      <c r="XBW50" s="426"/>
      <c r="XBX50" s="426"/>
      <c r="XBY50" s="426"/>
      <c r="XBZ50" s="426"/>
      <c r="XCA50" s="426"/>
      <c r="XCB50" s="426"/>
      <c r="XCC50" s="426"/>
      <c r="XCD50" s="426"/>
      <c r="XCE50" s="426"/>
      <c r="XCF50" s="426"/>
      <c r="XCG50" s="426"/>
      <c r="XCH50" s="426"/>
      <c r="XCI50" s="426"/>
      <c r="XCJ50" s="426"/>
      <c r="XCK50" s="426"/>
      <c r="XCL50" s="426"/>
      <c r="XCM50" s="426"/>
      <c r="XCN50" s="426"/>
      <c r="XCO50" s="426"/>
      <c r="XCP50" s="426"/>
      <c r="XCQ50" s="426"/>
      <c r="XCR50" s="426"/>
      <c r="XCS50" s="426"/>
      <c r="XCT50" s="426"/>
      <c r="XCU50" s="426"/>
      <c r="XCV50" s="426"/>
      <c r="XCW50" s="426"/>
      <c r="XCX50" s="426"/>
      <c r="XCY50" s="426"/>
      <c r="XCZ50" s="426"/>
      <c r="XDA50" s="426"/>
      <c r="XDB50" s="426"/>
      <c r="XDC50" s="426"/>
      <c r="XDD50" s="426"/>
      <c r="XDE50" s="426"/>
      <c r="XDF50" s="426"/>
      <c r="XDG50" s="426"/>
      <c r="XDH50" s="426"/>
      <c r="XDI50" s="426"/>
      <c r="XDJ50" s="426"/>
      <c r="XDK50" s="426"/>
      <c r="XDL50" s="426"/>
      <c r="XDM50" s="426"/>
      <c r="XDN50" s="426"/>
      <c r="XDO50" s="426"/>
      <c r="XDP50" s="426"/>
      <c r="XDQ50" s="426"/>
      <c r="XDR50" s="426"/>
      <c r="XDS50" s="426"/>
      <c r="XDT50" s="426"/>
      <c r="XDU50" s="426"/>
      <c r="XDV50" s="426"/>
      <c r="XDW50" s="426"/>
      <c r="XDX50" s="426"/>
      <c r="XDY50" s="426"/>
      <c r="XDZ50" s="426"/>
      <c r="XEA50" s="426"/>
      <c r="XEB50" s="426"/>
      <c r="XEC50" s="426"/>
      <c r="XED50" s="426"/>
      <c r="XEE50" s="426"/>
      <c r="XEF50" s="426"/>
      <c r="XEG50" s="426"/>
      <c r="XEH50" s="426"/>
      <c r="XEI50" s="426"/>
      <c r="XEJ50" s="426"/>
      <c r="XEK50" s="426"/>
      <c r="XEL50" s="426"/>
      <c r="XEM50" s="426"/>
      <c r="XEN50" s="426"/>
      <c r="XEO50" s="426"/>
      <c r="XEP50" s="426"/>
      <c r="XEQ50" s="426"/>
      <c r="XER50" s="426"/>
      <c r="XES50" s="426"/>
      <c r="XET50" s="426"/>
      <c r="XEU50" s="426"/>
      <c r="XEV50" s="426"/>
      <c r="XEW50" s="426"/>
      <c r="XEX50" s="426"/>
      <c r="XEY50" s="426"/>
      <c r="XEZ50" s="426"/>
      <c r="XFA50" s="426"/>
      <c r="XFB50" s="426"/>
      <c r="XFC50" s="426"/>
      <c r="XFD50" s="426"/>
    </row>
    <row r="51" spans="1:16384">
      <c r="A51" s="315"/>
    </row>
    <row r="52" spans="1:16384">
      <c r="A52" s="315"/>
    </row>
  </sheetData>
  <mergeCells count="8225">
    <mergeCell ref="A15:E15"/>
    <mergeCell ref="A16:E16"/>
    <mergeCell ref="A17:A20"/>
    <mergeCell ref="A21:E21"/>
    <mergeCell ref="A22:E22"/>
    <mergeCell ref="A23:E23"/>
    <mergeCell ref="C9:D9"/>
    <mergeCell ref="A10:D10"/>
    <mergeCell ref="A11:E11"/>
    <mergeCell ref="A12:E12"/>
    <mergeCell ref="A13:E13"/>
    <mergeCell ref="A14:E14"/>
    <mergeCell ref="A3:E3"/>
    <mergeCell ref="A4:E4"/>
    <mergeCell ref="A5:D5"/>
    <mergeCell ref="C6:D6"/>
    <mergeCell ref="C7:D7"/>
    <mergeCell ref="C8:D8"/>
    <mergeCell ref="A42:A44"/>
    <mergeCell ref="A47:D47"/>
    <mergeCell ref="A48:D48"/>
    <mergeCell ref="A49:D49"/>
    <mergeCell ref="E49:H49"/>
    <mergeCell ref="I49:L49"/>
    <mergeCell ref="A34:D34"/>
    <mergeCell ref="A35:A37"/>
    <mergeCell ref="A38:D38"/>
    <mergeCell ref="A39:D39"/>
    <mergeCell ref="A40:D40"/>
    <mergeCell ref="A41:D41"/>
    <mergeCell ref="A24:E24"/>
    <mergeCell ref="A25:A30"/>
    <mergeCell ref="B25:B26"/>
    <mergeCell ref="E25:E26"/>
    <mergeCell ref="A32:E32"/>
    <mergeCell ref="A33:D33"/>
    <mergeCell ref="BI49:BL49"/>
    <mergeCell ref="BM49:BP49"/>
    <mergeCell ref="BQ49:BT49"/>
    <mergeCell ref="BU49:BX49"/>
    <mergeCell ref="BY49:CB49"/>
    <mergeCell ref="CC49:CF49"/>
    <mergeCell ref="AK49:AN49"/>
    <mergeCell ref="AO49:AR49"/>
    <mergeCell ref="AS49:AV49"/>
    <mergeCell ref="AW49:AZ49"/>
    <mergeCell ref="BA49:BD49"/>
    <mergeCell ref="BE49:BH49"/>
    <mergeCell ref="M49:P49"/>
    <mergeCell ref="Q49:T49"/>
    <mergeCell ref="U49:X49"/>
    <mergeCell ref="Y49:AB49"/>
    <mergeCell ref="AC49:AF49"/>
    <mergeCell ref="AG49:AJ49"/>
    <mergeCell ref="EC49:EF49"/>
    <mergeCell ref="EG49:EJ49"/>
    <mergeCell ref="EK49:EN49"/>
    <mergeCell ref="EO49:ER49"/>
    <mergeCell ref="ES49:EV49"/>
    <mergeCell ref="EW49:EZ49"/>
    <mergeCell ref="DE49:DH49"/>
    <mergeCell ref="DI49:DL49"/>
    <mergeCell ref="DM49:DP49"/>
    <mergeCell ref="DQ49:DT49"/>
    <mergeCell ref="DU49:DX49"/>
    <mergeCell ref="DY49:EB49"/>
    <mergeCell ref="CG49:CJ49"/>
    <mergeCell ref="CK49:CN49"/>
    <mergeCell ref="CO49:CR49"/>
    <mergeCell ref="CS49:CV49"/>
    <mergeCell ref="CW49:CZ49"/>
    <mergeCell ref="DA49:DD49"/>
    <mergeCell ref="GW49:GZ49"/>
    <mergeCell ref="HA49:HD49"/>
    <mergeCell ref="HE49:HH49"/>
    <mergeCell ref="HI49:HL49"/>
    <mergeCell ref="HM49:HP49"/>
    <mergeCell ref="HQ49:HT49"/>
    <mergeCell ref="FY49:GB49"/>
    <mergeCell ref="GC49:GF49"/>
    <mergeCell ref="GG49:GJ49"/>
    <mergeCell ref="GK49:GN49"/>
    <mergeCell ref="GO49:GR49"/>
    <mergeCell ref="GS49:GV49"/>
    <mergeCell ref="FA49:FD49"/>
    <mergeCell ref="FE49:FH49"/>
    <mergeCell ref="FI49:FL49"/>
    <mergeCell ref="FM49:FP49"/>
    <mergeCell ref="FQ49:FT49"/>
    <mergeCell ref="FU49:FX49"/>
    <mergeCell ref="JQ49:JT49"/>
    <mergeCell ref="JU49:JX49"/>
    <mergeCell ref="JY49:KB49"/>
    <mergeCell ref="KC49:KF49"/>
    <mergeCell ref="KG49:KJ49"/>
    <mergeCell ref="KK49:KN49"/>
    <mergeCell ref="IS49:IV49"/>
    <mergeCell ref="IW49:IZ49"/>
    <mergeCell ref="JA49:JD49"/>
    <mergeCell ref="JE49:JH49"/>
    <mergeCell ref="JI49:JL49"/>
    <mergeCell ref="JM49:JP49"/>
    <mergeCell ref="HU49:HX49"/>
    <mergeCell ref="HY49:IB49"/>
    <mergeCell ref="IC49:IF49"/>
    <mergeCell ref="IG49:IJ49"/>
    <mergeCell ref="IK49:IN49"/>
    <mergeCell ref="IO49:IR49"/>
    <mergeCell ref="MK49:MN49"/>
    <mergeCell ref="MO49:MR49"/>
    <mergeCell ref="MS49:MV49"/>
    <mergeCell ref="MW49:MZ49"/>
    <mergeCell ref="NA49:ND49"/>
    <mergeCell ref="NE49:NH49"/>
    <mergeCell ref="LM49:LP49"/>
    <mergeCell ref="LQ49:LT49"/>
    <mergeCell ref="LU49:LX49"/>
    <mergeCell ref="LY49:MB49"/>
    <mergeCell ref="MC49:MF49"/>
    <mergeCell ref="MG49:MJ49"/>
    <mergeCell ref="KO49:KR49"/>
    <mergeCell ref="KS49:KV49"/>
    <mergeCell ref="KW49:KZ49"/>
    <mergeCell ref="LA49:LD49"/>
    <mergeCell ref="LE49:LH49"/>
    <mergeCell ref="LI49:LL49"/>
    <mergeCell ref="PE49:PH49"/>
    <mergeCell ref="PI49:PL49"/>
    <mergeCell ref="PM49:PP49"/>
    <mergeCell ref="PQ49:PT49"/>
    <mergeCell ref="PU49:PX49"/>
    <mergeCell ref="PY49:QB49"/>
    <mergeCell ref="OG49:OJ49"/>
    <mergeCell ref="OK49:ON49"/>
    <mergeCell ref="OO49:OR49"/>
    <mergeCell ref="OS49:OV49"/>
    <mergeCell ref="OW49:OZ49"/>
    <mergeCell ref="PA49:PD49"/>
    <mergeCell ref="NI49:NL49"/>
    <mergeCell ref="NM49:NP49"/>
    <mergeCell ref="NQ49:NT49"/>
    <mergeCell ref="NU49:NX49"/>
    <mergeCell ref="NY49:OB49"/>
    <mergeCell ref="OC49:OF49"/>
    <mergeCell ref="RY49:SB49"/>
    <mergeCell ref="SC49:SF49"/>
    <mergeCell ref="SG49:SJ49"/>
    <mergeCell ref="SK49:SN49"/>
    <mergeCell ref="SO49:SR49"/>
    <mergeCell ref="SS49:SV49"/>
    <mergeCell ref="RA49:RD49"/>
    <mergeCell ref="RE49:RH49"/>
    <mergeCell ref="RI49:RL49"/>
    <mergeCell ref="RM49:RP49"/>
    <mergeCell ref="RQ49:RT49"/>
    <mergeCell ref="RU49:RX49"/>
    <mergeCell ref="QC49:QF49"/>
    <mergeCell ref="QG49:QJ49"/>
    <mergeCell ref="QK49:QN49"/>
    <mergeCell ref="QO49:QR49"/>
    <mergeCell ref="QS49:QV49"/>
    <mergeCell ref="QW49:QZ49"/>
    <mergeCell ref="US49:UV49"/>
    <mergeCell ref="UW49:UZ49"/>
    <mergeCell ref="VA49:VD49"/>
    <mergeCell ref="VE49:VH49"/>
    <mergeCell ref="VI49:VL49"/>
    <mergeCell ref="VM49:VP49"/>
    <mergeCell ref="TU49:TX49"/>
    <mergeCell ref="TY49:UB49"/>
    <mergeCell ref="UC49:UF49"/>
    <mergeCell ref="UG49:UJ49"/>
    <mergeCell ref="UK49:UN49"/>
    <mergeCell ref="UO49:UR49"/>
    <mergeCell ref="SW49:SZ49"/>
    <mergeCell ref="TA49:TD49"/>
    <mergeCell ref="TE49:TH49"/>
    <mergeCell ref="TI49:TL49"/>
    <mergeCell ref="TM49:TP49"/>
    <mergeCell ref="TQ49:TT49"/>
    <mergeCell ref="XM49:XP49"/>
    <mergeCell ref="XQ49:XT49"/>
    <mergeCell ref="XU49:XX49"/>
    <mergeCell ref="XY49:YB49"/>
    <mergeCell ref="YC49:YF49"/>
    <mergeCell ref="YG49:YJ49"/>
    <mergeCell ref="WO49:WR49"/>
    <mergeCell ref="WS49:WV49"/>
    <mergeCell ref="WW49:WZ49"/>
    <mergeCell ref="XA49:XD49"/>
    <mergeCell ref="XE49:XH49"/>
    <mergeCell ref="XI49:XL49"/>
    <mergeCell ref="VQ49:VT49"/>
    <mergeCell ref="VU49:VX49"/>
    <mergeCell ref="VY49:WB49"/>
    <mergeCell ref="WC49:WF49"/>
    <mergeCell ref="WG49:WJ49"/>
    <mergeCell ref="WK49:WN49"/>
    <mergeCell ref="AAG49:AAJ49"/>
    <mergeCell ref="AAK49:AAN49"/>
    <mergeCell ref="AAO49:AAR49"/>
    <mergeCell ref="AAS49:AAV49"/>
    <mergeCell ref="AAW49:AAZ49"/>
    <mergeCell ref="ABA49:ABD49"/>
    <mergeCell ref="ZI49:ZL49"/>
    <mergeCell ref="ZM49:ZP49"/>
    <mergeCell ref="ZQ49:ZT49"/>
    <mergeCell ref="ZU49:ZX49"/>
    <mergeCell ref="ZY49:AAB49"/>
    <mergeCell ref="AAC49:AAF49"/>
    <mergeCell ref="YK49:YN49"/>
    <mergeCell ref="YO49:YR49"/>
    <mergeCell ref="YS49:YV49"/>
    <mergeCell ref="YW49:YZ49"/>
    <mergeCell ref="ZA49:ZD49"/>
    <mergeCell ref="ZE49:ZH49"/>
    <mergeCell ref="ADA49:ADD49"/>
    <mergeCell ref="ADE49:ADH49"/>
    <mergeCell ref="ADI49:ADL49"/>
    <mergeCell ref="ADM49:ADP49"/>
    <mergeCell ref="ADQ49:ADT49"/>
    <mergeCell ref="ADU49:ADX49"/>
    <mergeCell ref="ACC49:ACF49"/>
    <mergeCell ref="ACG49:ACJ49"/>
    <mergeCell ref="ACK49:ACN49"/>
    <mergeCell ref="ACO49:ACR49"/>
    <mergeCell ref="ACS49:ACV49"/>
    <mergeCell ref="ACW49:ACZ49"/>
    <mergeCell ref="ABE49:ABH49"/>
    <mergeCell ref="ABI49:ABL49"/>
    <mergeCell ref="ABM49:ABP49"/>
    <mergeCell ref="ABQ49:ABT49"/>
    <mergeCell ref="ABU49:ABX49"/>
    <mergeCell ref="ABY49:ACB49"/>
    <mergeCell ref="AFU49:AFX49"/>
    <mergeCell ref="AFY49:AGB49"/>
    <mergeCell ref="AGC49:AGF49"/>
    <mergeCell ref="AGG49:AGJ49"/>
    <mergeCell ref="AGK49:AGN49"/>
    <mergeCell ref="AGO49:AGR49"/>
    <mergeCell ref="AEW49:AEZ49"/>
    <mergeCell ref="AFA49:AFD49"/>
    <mergeCell ref="AFE49:AFH49"/>
    <mergeCell ref="AFI49:AFL49"/>
    <mergeCell ref="AFM49:AFP49"/>
    <mergeCell ref="AFQ49:AFT49"/>
    <mergeCell ref="ADY49:AEB49"/>
    <mergeCell ref="AEC49:AEF49"/>
    <mergeCell ref="AEG49:AEJ49"/>
    <mergeCell ref="AEK49:AEN49"/>
    <mergeCell ref="AEO49:AER49"/>
    <mergeCell ref="AES49:AEV49"/>
    <mergeCell ref="AIO49:AIR49"/>
    <mergeCell ref="AIS49:AIV49"/>
    <mergeCell ref="AIW49:AIZ49"/>
    <mergeCell ref="AJA49:AJD49"/>
    <mergeCell ref="AJE49:AJH49"/>
    <mergeCell ref="AJI49:AJL49"/>
    <mergeCell ref="AHQ49:AHT49"/>
    <mergeCell ref="AHU49:AHX49"/>
    <mergeCell ref="AHY49:AIB49"/>
    <mergeCell ref="AIC49:AIF49"/>
    <mergeCell ref="AIG49:AIJ49"/>
    <mergeCell ref="AIK49:AIN49"/>
    <mergeCell ref="AGS49:AGV49"/>
    <mergeCell ref="AGW49:AGZ49"/>
    <mergeCell ref="AHA49:AHD49"/>
    <mergeCell ref="AHE49:AHH49"/>
    <mergeCell ref="AHI49:AHL49"/>
    <mergeCell ref="AHM49:AHP49"/>
    <mergeCell ref="ALI49:ALL49"/>
    <mergeCell ref="ALM49:ALP49"/>
    <mergeCell ref="ALQ49:ALT49"/>
    <mergeCell ref="ALU49:ALX49"/>
    <mergeCell ref="ALY49:AMB49"/>
    <mergeCell ref="AMC49:AMF49"/>
    <mergeCell ref="AKK49:AKN49"/>
    <mergeCell ref="AKO49:AKR49"/>
    <mergeCell ref="AKS49:AKV49"/>
    <mergeCell ref="AKW49:AKZ49"/>
    <mergeCell ref="ALA49:ALD49"/>
    <mergeCell ref="ALE49:ALH49"/>
    <mergeCell ref="AJM49:AJP49"/>
    <mergeCell ref="AJQ49:AJT49"/>
    <mergeCell ref="AJU49:AJX49"/>
    <mergeCell ref="AJY49:AKB49"/>
    <mergeCell ref="AKC49:AKF49"/>
    <mergeCell ref="AKG49:AKJ49"/>
    <mergeCell ref="AOC49:AOF49"/>
    <mergeCell ref="AOG49:AOJ49"/>
    <mergeCell ref="AOK49:AON49"/>
    <mergeCell ref="AOO49:AOR49"/>
    <mergeCell ref="AOS49:AOV49"/>
    <mergeCell ref="AOW49:AOZ49"/>
    <mergeCell ref="ANE49:ANH49"/>
    <mergeCell ref="ANI49:ANL49"/>
    <mergeCell ref="ANM49:ANP49"/>
    <mergeCell ref="ANQ49:ANT49"/>
    <mergeCell ref="ANU49:ANX49"/>
    <mergeCell ref="ANY49:AOB49"/>
    <mergeCell ref="AMG49:AMJ49"/>
    <mergeCell ref="AMK49:AMN49"/>
    <mergeCell ref="AMO49:AMR49"/>
    <mergeCell ref="AMS49:AMV49"/>
    <mergeCell ref="AMW49:AMZ49"/>
    <mergeCell ref="ANA49:AND49"/>
    <mergeCell ref="AQW49:AQZ49"/>
    <mergeCell ref="ARA49:ARD49"/>
    <mergeCell ref="ARE49:ARH49"/>
    <mergeCell ref="ARI49:ARL49"/>
    <mergeCell ref="ARM49:ARP49"/>
    <mergeCell ref="ARQ49:ART49"/>
    <mergeCell ref="APY49:AQB49"/>
    <mergeCell ref="AQC49:AQF49"/>
    <mergeCell ref="AQG49:AQJ49"/>
    <mergeCell ref="AQK49:AQN49"/>
    <mergeCell ref="AQO49:AQR49"/>
    <mergeCell ref="AQS49:AQV49"/>
    <mergeCell ref="APA49:APD49"/>
    <mergeCell ref="APE49:APH49"/>
    <mergeCell ref="API49:APL49"/>
    <mergeCell ref="APM49:APP49"/>
    <mergeCell ref="APQ49:APT49"/>
    <mergeCell ref="APU49:APX49"/>
    <mergeCell ref="ATQ49:ATT49"/>
    <mergeCell ref="ATU49:ATX49"/>
    <mergeCell ref="ATY49:AUB49"/>
    <mergeCell ref="AUC49:AUF49"/>
    <mergeCell ref="AUG49:AUJ49"/>
    <mergeCell ref="AUK49:AUN49"/>
    <mergeCell ref="ASS49:ASV49"/>
    <mergeCell ref="ASW49:ASZ49"/>
    <mergeCell ref="ATA49:ATD49"/>
    <mergeCell ref="ATE49:ATH49"/>
    <mergeCell ref="ATI49:ATL49"/>
    <mergeCell ref="ATM49:ATP49"/>
    <mergeCell ref="ARU49:ARX49"/>
    <mergeCell ref="ARY49:ASB49"/>
    <mergeCell ref="ASC49:ASF49"/>
    <mergeCell ref="ASG49:ASJ49"/>
    <mergeCell ref="ASK49:ASN49"/>
    <mergeCell ref="ASO49:ASR49"/>
    <mergeCell ref="AWK49:AWN49"/>
    <mergeCell ref="AWO49:AWR49"/>
    <mergeCell ref="AWS49:AWV49"/>
    <mergeCell ref="AWW49:AWZ49"/>
    <mergeCell ref="AXA49:AXD49"/>
    <mergeCell ref="AXE49:AXH49"/>
    <mergeCell ref="AVM49:AVP49"/>
    <mergeCell ref="AVQ49:AVT49"/>
    <mergeCell ref="AVU49:AVX49"/>
    <mergeCell ref="AVY49:AWB49"/>
    <mergeCell ref="AWC49:AWF49"/>
    <mergeCell ref="AWG49:AWJ49"/>
    <mergeCell ref="AUO49:AUR49"/>
    <mergeCell ref="AUS49:AUV49"/>
    <mergeCell ref="AUW49:AUZ49"/>
    <mergeCell ref="AVA49:AVD49"/>
    <mergeCell ref="AVE49:AVH49"/>
    <mergeCell ref="AVI49:AVL49"/>
    <mergeCell ref="AZE49:AZH49"/>
    <mergeCell ref="AZI49:AZL49"/>
    <mergeCell ref="AZM49:AZP49"/>
    <mergeCell ref="AZQ49:AZT49"/>
    <mergeCell ref="AZU49:AZX49"/>
    <mergeCell ref="AZY49:BAB49"/>
    <mergeCell ref="AYG49:AYJ49"/>
    <mergeCell ref="AYK49:AYN49"/>
    <mergeCell ref="AYO49:AYR49"/>
    <mergeCell ref="AYS49:AYV49"/>
    <mergeCell ref="AYW49:AYZ49"/>
    <mergeCell ref="AZA49:AZD49"/>
    <mergeCell ref="AXI49:AXL49"/>
    <mergeCell ref="AXM49:AXP49"/>
    <mergeCell ref="AXQ49:AXT49"/>
    <mergeCell ref="AXU49:AXX49"/>
    <mergeCell ref="AXY49:AYB49"/>
    <mergeCell ref="AYC49:AYF49"/>
    <mergeCell ref="BBY49:BCB49"/>
    <mergeCell ref="BCC49:BCF49"/>
    <mergeCell ref="BCG49:BCJ49"/>
    <mergeCell ref="BCK49:BCN49"/>
    <mergeCell ref="BCO49:BCR49"/>
    <mergeCell ref="BCS49:BCV49"/>
    <mergeCell ref="BBA49:BBD49"/>
    <mergeCell ref="BBE49:BBH49"/>
    <mergeCell ref="BBI49:BBL49"/>
    <mergeCell ref="BBM49:BBP49"/>
    <mergeCell ref="BBQ49:BBT49"/>
    <mergeCell ref="BBU49:BBX49"/>
    <mergeCell ref="BAC49:BAF49"/>
    <mergeCell ref="BAG49:BAJ49"/>
    <mergeCell ref="BAK49:BAN49"/>
    <mergeCell ref="BAO49:BAR49"/>
    <mergeCell ref="BAS49:BAV49"/>
    <mergeCell ref="BAW49:BAZ49"/>
    <mergeCell ref="BES49:BEV49"/>
    <mergeCell ref="BEW49:BEZ49"/>
    <mergeCell ref="BFA49:BFD49"/>
    <mergeCell ref="BFE49:BFH49"/>
    <mergeCell ref="BFI49:BFL49"/>
    <mergeCell ref="BFM49:BFP49"/>
    <mergeCell ref="BDU49:BDX49"/>
    <mergeCell ref="BDY49:BEB49"/>
    <mergeCell ref="BEC49:BEF49"/>
    <mergeCell ref="BEG49:BEJ49"/>
    <mergeCell ref="BEK49:BEN49"/>
    <mergeCell ref="BEO49:BER49"/>
    <mergeCell ref="BCW49:BCZ49"/>
    <mergeCell ref="BDA49:BDD49"/>
    <mergeCell ref="BDE49:BDH49"/>
    <mergeCell ref="BDI49:BDL49"/>
    <mergeCell ref="BDM49:BDP49"/>
    <mergeCell ref="BDQ49:BDT49"/>
    <mergeCell ref="BHM49:BHP49"/>
    <mergeCell ref="BHQ49:BHT49"/>
    <mergeCell ref="BHU49:BHX49"/>
    <mergeCell ref="BHY49:BIB49"/>
    <mergeCell ref="BIC49:BIF49"/>
    <mergeCell ref="BIG49:BIJ49"/>
    <mergeCell ref="BGO49:BGR49"/>
    <mergeCell ref="BGS49:BGV49"/>
    <mergeCell ref="BGW49:BGZ49"/>
    <mergeCell ref="BHA49:BHD49"/>
    <mergeCell ref="BHE49:BHH49"/>
    <mergeCell ref="BHI49:BHL49"/>
    <mergeCell ref="BFQ49:BFT49"/>
    <mergeCell ref="BFU49:BFX49"/>
    <mergeCell ref="BFY49:BGB49"/>
    <mergeCell ref="BGC49:BGF49"/>
    <mergeCell ref="BGG49:BGJ49"/>
    <mergeCell ref="BGK49:BGN49"/>
    <mergeCell ref="BKG49:BKJ49"/>
    <mergeCell ref="BKK49:BKN49"/>
    <mergeCell ref="BKO49:BKR49"/>
    <mergeCell ref="BKS49:BKV49"/>
    <mergeCell ref="BKW49:BKZ49"/>
    <mergeCell ref="BLA49:BLD49"/>
    <mergeCell ref="BJI49:BJL49"/>
    <mergeCell ref="BJM49:BJP49"/>
    <mergeCell ref="BJQ49:BJT49"/>
    <mergeCell ref="BJU49:BJX49"/>
    <mergeCell ref="BJY49:BKB49"/>
    <mergeCell ref="BKC49:BKF49"/>
    <mergeCell ref="BIK49:BIN49"/>
    <mergeCell ref="BIO49:BIR49"/>
    <mergeCell ref="BIS49:BIV49"/>
    <mergeCell ref="BIW49:BIZ49"/>
    <mergeCell ref="BJA49:BJD49"/>
    <mergeCell ref="BJE49:BJH49"/>
    <mergeCell ref="BNA49:BND49"/>
    <mergeCell ref="BNE49:BNH49"/>
    <mergeCell ref="BNI49:BNL49"/>
    <mergeCell ref="BNM49:BNP49"/>
    <mergeCell ref="BNQ49:BNT49"/>
    <mergeCell ref="BNU49:BNX49"/>
    <mergeCell ref="BMC49:BMF49"/>
    <mergeCell ref="BMG49:BMJ49"/>
    <mergeCell ref="BMK49:BMN49"/>
    <mergeCell ref="BMO49:BMR49"/>
    <mergeCell ref="BMS49:BMV49"/>
    <mergeCell ref="BMW49:BMZ49"/>
    <mergeCell ref="BLE49:BLH49"/>
    <mergeCell ref="BLI49:BLL49"/>
    <mergeCell ref="BLM49:BLP49"/>
    <mergeCell ref="BLQ49:BLT49"/>
    <mergeCell ref="BLU49:BLX49"/>
    <mergeCell ref="BLY49:BMB49"/>
    <mergeCell ref="BPU49:BPX49"/>
    <mergeCell ref="BPY49:BQB49"/>
    <mergeCell ref="BQC49:BQF49"/>
    <mergeCell ref="BQG49:BQJ49"/>
    <mergeCell ref="BQK49:BQN49"/>
    <mergeCell ref="BQO49:BQR49"/>
    <mergeCell ref="BOW49:BOZ49"/>
    <mergeCell ref="BPA49:BPD49"/>
    <mergeCell ref="BPE49:BPH49"/>
    <mergeCell ref="BPI49:BPL49"/>
    <mergeCell ref="BPM49:BPP49"/>
    <mergeCell ref="BPQ49:BPT49"/>
    <mergeCell ref="BNY49:BOB49"/>
    <mergeCell ref="BOC49:BOF49"/>
    <mergeCell ref="BOG49:BOJ49"/>
    <mergeCell ref="BOK49:BON49"/>
    <mergeCell ref="BOO49:BOR49"/>
    <mergeCell ref="BOS49:BOV49"/>
    <mergeCell ref="BSO49:BSR49"/>
    <mergeCell ref="BSS49:BSV49"/>
    <mergeCell ref="BSW49:BSZ49"/>
    <mergeCell ref="BTA49:BTD49"/>
    <mergeCell ref="BTE49:BTH49"/>
    <mergeCell ref="BTI49:BTL49"/>
    <mergeCell ref="BRQ49:BRT49"/>
    <mergeCell ref="BRU49:BRX49"/>
    <mergeCell ref="BRY49:BSB49"/>
    <mergeCell ref="BSC49:BSF49"/>
    <mergeCell ref="BSG49:BSJ49"/>
    <mergeCell ref="BSK49:BSN49"/>
    <mergeCell ref="BQS49:BQV49"/>
    <mergeCell ref="BQW49:BQZ49"/>
    <mergeCell ref="BRA49:BRD49"/>
    <mergeCell ref="BRE49:BRH49"/>
    <mergeCell ref="BRI49:BRL49"/>
    <mergeCell ref="BRM49:BRP49"/>
    <mergeCell ref="BVI49:BVL49"/>
    <mergeCell ref="BVM49:BVP49"/>
    <mergeCell ref="BVQ49:BVT49"/>
    <mergeCell ref="BVU49:BVX49"/>
    <mergeCell ref="BVY49:BWB49"/>
    <mergeCell ref="BWC49:BWF49"/>
    <mergeCell ref="BUK49:BUN49"/>
    <mergeCell ref="BUO49:BUR49"/>
    <mergeCell ref="BUS49:BUV49"/>
    <mergeCell ref="BUW49:BUZ49"/>
    <mergeCell ref="BVA49:BVD49"/>
    <mergeCell ref="BVE49:BVH49"/>
    <mergeCell ref="BTM49:BTP49"/>
    <mergeCell ref="BTQ49:BTT49"/>
    <mergeCell ref="BTU49:BTX49"/>
    <mergeCell ref="BTY49:BUB49"/>
    <mergeCell ref="BUC49:BUF49"/>
    <mergeCell ref="BUG49:BUJ49"/>
    <mergeCell ref="BYC49:BYF49"/>
    <mergeCell ref="BYG49:BYJ49"/>
    <mergeCell ref="BYK49:BYN49"/>
    <mergeCell ref="BYO49:BYR49"/>
    <mergeCell ref="BYS49:BYV49"/>
    <mergeCell ref="BYW49:BYZ49"/>
    <mergeCell ref="BXE49:BXH49"/>
    <mergeCell ref="BXI49:BXL49"/>
    <mergeCell ref="BXM49:BXP49"/>
    <mergeCell ref="BXQ49:BXT49"/>
    <mergeCell ref="BXU49:BXX49"/>
    <mergeCell ref="BXY49:BYB49"/>
    <mergeCell ref="BWG49:BWJ49"/>
    <mergeCell ref="BWK49:BWN49"/>
    <mergeCell ref="BWO49:BWR49"/>
    <mergeCell ref="BWS49:BWV49"/>
    <mergeCell ref="BWW49:BWZ49"/>
    <mergeCell ref="BXA49:BXD49"/>
    <mergeCell ref="CAW49:CAZ49"/>
    <mergeCell ref="CBA49:CBD49"/>
    <mergeCell ref="CBE49:CBH49"/>
    <mergeCell ref="CBI49:CBL49"/>
    <mergeCell ref="CBM49:CBP49"/>
    <mergeCell ref="CBQ49:CBT49"/>
    <mergeCell ref="BZY49:CAB49"/>
    <mergeCell ref="CAC49:CAF49"/>
    <mergeCell ref="CAG49:CAJ49"/>
    <mergeCell ref="CAK49:CAN49"/>
    <mergeCell ref="CAO49:CAR49"/>
    <mergeCell ref="CAS49:CAV49"/>
    <mergeCell ref="BZA49:BZD49"/>
    <mergeCell ref="BZE49:BZH49"/>
    <mergeCell ref="BZI49:BZL49"/>
    <mergeCell ref="BZM49:BZP49"/>
    <mergeCell ref="BZQ49:BZT49"/>
    <mergeCell ref="BZU49:BZX49"/>
    <mergeCell ref="CDQ49:CDT49"/>
    <mergeCell ref="CDU49:CDX49"/>
    <mergeCell ref="CDY49:CEB49"/>
    <mergeCell ref="CEC49:CEF49"/>
    <mergeCell ref="CEG49:CEJ49"/>
    <mergeCell ref="CEK49:CEN49"/>
    <mergeCell ref="CCS49:CCV49"/>
    <mergeCell ref="CCW49:CCZ49"/>
    <mergeCell ref="CDA49:CDD49"/>
    <mergeCell ref="CDE49:CDH49"/>
    <mergeCell ref="CDI49:CDL49"/>
    <mergeCell ref="CDM49:CDP49"/>
    <mergeCell ref="CBU49:CBX49"/>
    <mergeCell ref="CBY49:CCB49"/>
    <mergeCell ref="CCC49:CCF49"/>
    <mergeCell ref="CCG49:CCJ49"/>
    <mergeCell ref="CCK49:CCN49"/>
    <mergeCell ref="CCO49:CCR49"/>
    <mergeCell ref="CGK49:CGN49"/>
    <mergeCell ref="CGO49:CGR49"/>
    <mergeCell ref="CGS49:CGV49"/>
    <mergeCell ref="CGW49:CGZ49"/>
    <mergeCell ref="CHA49:CHD49"/>
    <mergeCell ref="CHE49:CHH49"/>
    <mergeCell ref="CFM49:CFP49"/>
    <mergeCell ref="CFQ49:CFT49"/>
    <mergeCell ref="CFU49:CFX49"/>
    <mergeCell ref="CFY49:CGB49"/>
    <mergeCell ref="CGC49:CGF49"/>
    <mergeCell ref="CGG49:CGJ49"/>
    <mergeCell ref="CEO49:CER49"/>
    <mergeCell ref="CES49:CEV49"/>
    <mergeCell ref="CEW49:CEZ49"/>
    <mergeCell ref="CFA49:CFD49"/>
    <mergeCell ref="CFE49:CFH49"/>
    <mergeCell ref="CFI49:CFL49"/>
    <mergeCell ref="CJE49:CJH49"/>
    <mergeCell ref="CJI49:CJL49"/>
    <mergeCell ref="CJM49:CJP49"/>
    <mergeCell ref="CJQ49:CJT49"/>
    <mergeCell ref="CJU49:CJX49"/>
    <mergeCell ref="CJY49:CKB49"/>
    <mergeCell ref="CIG49:CIJ49"/>
    <mergeCell ref="CIK49:CIN49"/>
    <mergeCell ref="CIO49:CIR49"/>
    <mergeCell ref="CIS49:CIV49"/>
    <mergeCell ref="CIW49:CIZ49"/>
    <mergeCell ref="CJA49:CJD49"/>
    <mergeCell ref="CHI49:CHL49"/>
    <mergeCell ref="CHM49:CHP49"/>
    <mergeCell ref="CHQ49:CHT49"/>
    <mergeCell ref="CHU49:CHX49"/>
    <mergeCell ref="CHY49:CIB49"/>
    <mergeCell ref="CIC49:CIF49"/>
    <mergeCell ref="CLY49:CMB49"/>
    <mergeCell ref="CMC49:CMF49"/>
    <mergeCell ref="CMG49:CMJ49"/>
    <mergeCell ref="CMK49:CMN49"/>
    <mergeCell ref="CMO49:CMR49"/>
    <mergeCell ref="CMS49:CMV49"/>
    <mergeCell ref="CLA49:CLD49"/>
    <mergeCell ref="CLE49:CLH49"/>
    <mergeCell ref="CLI49:CLL49"/>
    <mergeCell ref="CLM49:CLP49"/>
    <mergeCell ref="CLQ49:CLT49"/>
    <mergeCell ref="CLU49:CLX49"/>
    <mergeCell ref="CKC49:CKF49"/>
    <mergeCell ref="CKG49:CKJ49"/>
    <mergeCell ref="CKK49:CKN49"/>
    <mergeCell ref="CKO49:CKR49"/>
    <mergeCell ref="CKS49:CKV49"/>
    <mergeCell ref="CKW49:CKZ49"/>
    <mergeCell ref="COS49:COV49"/>
    <mergeCell ref="COW49:COZ49"/>
    <mergeCell ref="CPA49:CPD49"/>
    <mergeCell ref="CPE49:CPH49"/>
    <mergeCell ref="CPI49:CPL49"/>
    <mergeCell ref="CPM49:CPP49"/>
    <mergeCell ref="CNU49:CNX49"/>
    <mergeCell ref="CNY49:COB49"/>
    <mergeCell ref="COC49:COF49"/>
    <mergeCell ref="COG49:COJ49"/>
    <mergeCell ref="COK49:CON49"/>
    <mergeCell ref="COO49:COR49"/>
    <mergeCell ref="CMW49:CMZ49"/>
    <mergeCell ref="CNA49:CND49"/>
    <mergeCell ref="CNE49:CNH49"/>
    <mergeCell ref="CNI49:CNL49"/>
    <mergeCell ref="CNM49:CNP49"/>
    <mergeCell ref="CNQ49:CNT49"/>
    <mergeCell ref="CRM49:CRP49"/>
    <mergeCell ref="CRQ49:CRT49"/>
    <mergeCell ref="CRU49:CRX49"/>
    <mergeCell ref="CRY49:CSB49"/>
    <mergeCell ref="CSC49:CSF49"/>
    <mergeCell ref="CSG49:CSJ49"/>
    <mergeCell ref="CQO49:CQR49"/>
    <mergeCell ref="CQS49:CQV49"/>
    <mergeCell ref="CQW49:CQZ49"/>
    <mergeCell ref="CRA49:CRD49"/>
    <mergeCell ref="CRE49:CRH49"/>
    <mergeCell ref="CRI49:CRL49"/>
    <mergeCell ref="CPQ49:CPT49"/>
    <mergeCell ref="CPU49:CPX49"/>
    <mergeCell ref="CPY49:CQB49"/>
    <mergeCell ref="CQC49:CQF49"/>
    <mergeCell ref="CQG49:CQJ49"/>
    <mergeCell ref="CQK49:CQN49"/>
    <mergeCell ref="CUG49:CUJ49"/>
    <mergeCell ref="CUK49:CUN49"/>
    <mergeCell ref="CUO49:CUR49"/>
    <mergeCell ref="CUS49:CUV49"/>
    <mergeCell ref="CUW49:CUZ49"/>
    <mergeCell ref="CVA49:CVD49"/>
    <mergeCell ref="CTI49:CTL49"/>
    <mergeCell ref="CTM49:CTP49"/>
    <mergeCell ref="CTQ49:CTT49"/>
    <mergeCell ref="CTU49:CTX49"/>
    <mergeCell ref="CTY49:CUB49"/>
    <mergeCell ref="CUC49:CUF49"/>
    <mergeCell ref="CSK49:CSN49"/>
    <mergeCell ref="CSO49:CSR49"/>
    <mergeCell ref="CSS49:CSV49"/>
    <mergeCell ref="CSW49:CSZ49"/>
    <mergeCell ref="CTA49:CTD49"/>
    <mergeCell ref="CTE49:CTH49"/>
    <mergeCell ref="CXA49:CXD49"/>
    <mergeCell ref="CXE49:CXH49"/>
    <mergeCell ref="CXI49:CXL49"/>
    <mergeCell ref="CXM49:CXP49"/>
    <mergeCell ref="CXQ49:CXT49"/>
    <mergeCell ref="CXU49:CXX49"/>
    <mergeCell ref="CWC49:CWF49"/>
    <mergeCell ref="CWG49:CWJ49"/>
    <mergeCell ref="CWK49:CWN49"/>
    <mergeCell ref="CWO49:CWR49"/>
    <mergeCell ref="CWS49:CWV49"/>
    <mergeCell ref="CWW49:CWZ49"/>
    <mergeCell ref="CVE49:CVH49"/>
    <mergeCell ref="CVI49:CVL49"/>
    <mergeCell ref="CVM49:CVP49"/>
    <mergeCell ref="CVQ49:CVT49"/>
    <mergeCell ref="CVU49:CVX49"/>
    <mergeCell ref="CVY49:CWB49"/>
    <mergeCell ref="CZU49:CZX49"/>
    <mergeCell ref="CZY49:DAB49"/>
    <mergeCell ref="DAC49:DAF49"/>
    <mergeCell ref="DAG49:DAJ49"/>
    <mergeCell ref="DAK49:DAN49"/>
    <mergeCell ref="DAO49:DAR49"/>
    <mergeCell ref="CYW49:CYZ49"/>
    <mergeCell ref="CZA49:CZD49"/>
    <mergeCell ref="CZE49:CZH49"/>
    <mergeCell ref="CZI49:CZL49"/>
    <mergeCell ref="CZM49:CZP49"/>
    <mergeCell ref="CZQ49:CZT49"/>
    <mergeCell ref="CXY49:CYB49"/>
    <mergeCell ref="CYC49:CYF49"/>
    <mergeCell ref="CYG49:CYJ49"/>
    <mergeCell ref="CYK49:CYN49"/>
    <mergeCell ref="CYO49:CYR49"/>
    <mergeCell ref="CYS49:CYV49"/>
    <mergeCell ref="DCO49:DCR49"/>
    <mergeCell ref="DCS49:DCV49"/>
    <mergeCell ref="DCW49:DCZ49"/>
    <mergeCell ref="DDA49:DDD49"/>
    <mergeCell ref="DDE49:DDH49"/>
    <mergeCell ref="DDI49:DDL49"/>
    <mergeCell ref="DBQ49:DBT49"/>
    <mergeCell ref="DBU49:DBX49"/>
    <mergeCell ref="DBY49:DCB49"/>
    <mergeCell ref="DCC49:DCF49"/>
    <mergeCell ref="DCG49:DCJ49"/>
    <mergeCell ref="DCK49:DCN49"/>
    <mergeCell ref="DAS49:DAV49"/>
    <mergeCell ref="DAW49:DAZ49"/>
    <mergeCell ref="DBA49:DBD49"/>
    <mergeCell ref="DBE49:DBH49"/>
    <mergeCell ref="DBI49:DBL49"/>
    <mergeCell ref="DBM49:DBP49"/>
    <mergeCell ref="DFI49:DFL49"/>
    <mergeCell ref="DFM49:DFP49"/>
    <mergeCell ref="DFQ49:DFT49"/>
    <mergeCell ref="DFU49:DFX49"/>
    <mergeCell ref="DFY49:DGB49"/>
    <mergeCell ref="DGC49:DGF49"/>
    <mergeCell ref="DEK49:DEN49"/>
    <mergeCell ref="DEO49:DER49"/>
    <mergeCell ref="DES49:DEV49"/>
    <mergeCell ref="DEW49:DEZ49"/>
    <mergeCell ref="DFA49:DFD49"/>
    <mergeCell ref="DFE49:DFH49"/>
    <mergeCell ref="DDM49:DDP49"/>
    <mergeCell ref="DDQ49:DDT49"/>
    <mergeCell ref="DDU49:DDX49"/>
    <mergeCell ref="DDY49:DEB49"/>
    <mergeCell ref="DEC49:DEF49"/>
    <mergeCell ref="DEG49:DEJ49"/>
    <mergeCell ref="DIC49:DIF49"/>
    <mergeCell ref="DIG49:DIJ49"/>
    <mergeCell ref="DIK49:DIN49"/>
    <mergeCell ref="DIO49:DIR49"/>
    <mergeCell ref="DIS49:DIV49"/>
    <mergeCell ref="DIW49:DIZ49"/>
    <mergeCell ref="DHE49:DHH49"/>
    <mergeCell ref="DHI49:DHL49"/>
    <mergeCell ref="DHM49:DHP49"/>
    <mergeCell ref="DHQ49:DHT49"/>
    <mergeCell ref="DHU49:DHX49"/>
    <mergeCell ref="DHY49:DIB49"/>
    <mergeCell ref="DGG49:DGJ49"/>
    <mergeCell ref="DGK49:DGN49"/>
    <mergeCell ref="DGO49:DGR49"/>
    <mergeCell ref="DGS49:DGV49"/>
    <mergeCell ref="DGW49:DGZ49"/>
    <mergeCell ref="DHA49:DHD49"/>
    <mergeCell ref="DKW49:DKZ49"/>
    <mergeCell ref="DLA49:DLD49"/>
    <mergeCell ref="DLE49:DLH49"/>
    <mergeCell ref="DLI49:DLL49"/>
    <mergeCell ref="DLM49:DLP49"/>
    <mergeCell ref="DLQ49:DLT49"/>
    <mergeCell ref="DJY49:DKB49"/>
    <mergeCell ref="DKC49:DKF49"/>
    <mergeCell ref="DKG49:DKJ49"/>
    <mergeCell ref="DKK49:DKN49"/>
    <mergeCell ref="DKO49:DKR49"/>
    <mergeCell ref="DKS49:DKV49"/>
    <mergeCell ref="DJA49:DJD49"/>
    <mergeCell ref="DJE49:DJH49"/>
    <mergeCell ref="DJI49:DJL49"/>
    <mergeCell ref="DJM49:DJP49"/>
    <mergeCell ref="DJQ49:DJT49"/>
    <mergeCell ref="DJU49:DJX49"/>
    <mergeCell ref="DNQ49:DNT49"/>
    <mergeCell ref="DNU49:DNX49"/>
    <mergeCell ref="DNY49:DOB49"/>
    <mergeCell ref="DOC49:DOF49"/>
    <mergeCell ref="DOG49:DOJ49"/>
    <mergeCell ref="DOK49:DON49"/>
    <mergeCell ref="DMS49:DMV49"/>
    <mergeCell ref="DMW49:DMZ49"/>
    <mergeCell ref="DNA49:DND49"/>
    <mergeCell ref="DNE49:DNH49"/>
    <mergeCell ref="DNI49:DNL49"/>
    <mergeCell ref="DNM49:DNP49"/>
    <mergeCell ref="DLU49:DLX49"/>
    <mergeCell ref="DLY49:DMB49"/>
    <mergeCell ref="DMC49:DMF49"/>
    <mergeCell ref="DMG49:DMJ49"/>
    <mergeCell ref="DMK49:DMN49"/>
    <mergeCell ref="DMO49:DMR49"/>
    <mergeCell ref="DQK49:DQN49"/>
    <mergeCell ref="DQO49:DQR49"/>
    <mergeCell ref="DQS49:DQV49"/>
    <mergeCell ref="DQW49:DQZ49"/>
    <mergeCell ref="DRA49:DRD49"/>
    <mergeCell ref="DRE49:DRH49"/>
    <mergeCell ref="DPM49:DPP49"/>
    <mergeCell ref="DPQ49:DPT49"/>
    <mergeCell ref="DPU49:DPX49"/>
    <mergeCell ref="DPY49:DQB49"/>
    <mergeCell ref="DQC49:DQF49"/>
    <mergeCell ref="DQG49:DQJ49"/>
    <mergeCell ref="DOO49:DOR49"/>
    <mergeCell ref="DOS49:DOV49"/>
    <mergeCell ref="DOW49:DOZ49"/>
    <mergeCell ref="DPA49:DPD49"/>
    <mergeCell ref="DPE49:DPH49"/>
    <mergeCell ref="DPI49:DPL49"/>
    <mergeCell ref="DTE49:DTH49"/>
    <mergeCell ref="DTI49:DTL49"/>
    <mergeCell ref="DTM49:DTP49"/>
    <mergeCell ref="DTQ49:DTT49"/>
    <mergeCell ref="DTU49:DTX49"/>
    <mergeCell ref="DTY49:DUB49"/>
    <mergeCell ref="DSG49:DSJ49"/>
    <mergeCell ref="DSK49:DSN49"/>
    <mergeCell ref="DSO49:DSR49"/>
    <mergeCell ref="DSS49:DSV49"/>
    <mergeCell ref="DSW49:DSZ49"/>
    <mergeCell ref="DTA49:DTD49"/>
    <mergeCell ref="DRI49:DRL49"/>
    <mergeCell ref="DRM49:DRP49"/>
    <mergeCell ref="DRQ49:DRT49"/>
    <mergeCell ref="DRU49:DRX49"/>
    <mergeCell ref="DRY49:DSB49"/>
    <mergeCell ref="DSC49:DSF49"/>
    <mergeCell ref="DVY49:DWB49"/>
    <mergeCell ref="DWC49:DWF49"/>
    <mergeCell ref="DWG49:DWJ49"/>
    <mergeCell ref="DWK49:DWN49"/>
    <mergeCell ref="DWO49:DWR49"/>
    <mergeCell ref="DWS49:DWV49"/>
    <mergeCell ref="DVA49:DVD49"/>
    <mergeCell ref="DVE49:DVH49"/>
    <mergeCell ref="DVI49:DVL49"/>
    <mergeCell ref="DVM49:DVP49"/>
    <mergeCell ref="DVQ49:DVT49"/>
    <mergeCell ref="DVU49:DVX49"/>
    <mergeCell ref="DUC49:DUF49"/>
    <mergeCell ref="DUG49:DUJ49"/>
    <mergeCell ref="DUK49:DUN49"/>
    <mergeCell ref="DUO49:DUR49"/>
    <mergeCell ref="DUS49:DUV49"/>
    <mergeCell ref="DUW49:DUZ49"/>
    <mergeCell ref="DYS49:DYV49"/>
    <mergeCell ref="DYW49:DYZ49"/>
    <mergeCell ref="DZA49:DZD49"/>
    <mergeCell ref="DZE49:DZH49"/>
    <mergeCell ref="DZI49:DZL49"/>
    <mergeCell ref="DZM49:DZP49"/>
    <mergeCell ref="DXU49:DXX49"/>
    <mergeCell ref="DXY49:DYB49"/>
    <mergeCell ref="DYC49:DYF49"/>
    <mergeCell ref="DYG49:DYJ49"/>
    <mergeCell ref="DYK49:DYN49"/>
    <mergeCell ref="DYO49:DYR49"/>
    <mergeCell ref="DWW49:DWZ49"/>
    <mergeCell ref="DXA49:DXD49"/>
    <mergeCell ref="DXE49:DXH49"/>
    <mergeCell ref="DXI49:DXL49"/>
    <mergeCell ref="DXM49:DXP49"/>
    <mergeCell ref="DXQ49:DXT49"/>
    <mergeCell ref="EBM49:EBP49"/>
    <mergeCell ref="EBQ49:EBT49"/>
    <mergeCell ref="EBU49:EBX49"/>
    <mergeCell ref="EBY49:ECB49"/>
    <mergeCell ref="ECC49:ECF49"/>
    <mergeCell ref="ECG49:ECJ49"/>
    <mergeCell ref="EAO49:EAR49"/>
    <mergeCell ref="EAS49:EAV49"/>
    <mergeCell ref="EAW49:EAZ49"/>
    <mergeCell ref="EBA49:EBD49"/>
    <mergeCell ref="EBE49:EBH49"/>
    <mergeCell ref="EBI49:EBL49"/>
    <mergeCell ref="DZQ49:DZT49"/>
    <mergeCell ref="DZU49:DZX49"/>
    <mergeCell ref="DZY49:EAB49"/>
    <mergeCell ref="EAC49:EAF49"/>
    <mergeCell ref="EAG49:EAJ49"/>
    <mergeCell ref="EAK49:EAN49"/>
    <mergeCell ref="EEG49:EEJ49"/>
    <mergeCell ref="EEK49:EEN49"/>
    <mergeCell ref="EEO49:EER49"/>
    <mergeCell ref="EES49:EEV49"/>
    <mergeCell ref="EEW49:EEZ49"/>
    <mergeCell ref="EFA49:EFD49"/>
    <mergeCell ref="EDI49:EDL49"/>
    <mergeCell ref="EDM49:EDP49"/>
    <mergeCell ref="EDQ49:EDT49"/>
    <mergeCell ref="EDU49:EDX49"/>
    <mergeCell ref="EDY49:EEB49"/>
    <mergeCell ref="EEC49:EEF49"/>
    <mergeCell ref="ECK49:ECN49"/>
    <mergeCell ref="ECO49:ECR49"/>
    <mergeCell ref="ECS49:ECV49"/>
    <mergeCell ref="ECW49:ECZ49"/>
    <mergeCell ref="EDA49:EDD49"/>
    <mergeCell ref="EDE49:EDH49"/>
    <mergeCell ref="EHA49:EHD49"/>
    <mergeCell ref="EHE49:EHH49"/>
    <mergeCell ref="EHI49:EHL49"/>
    <mergeCell ref="EHM49:EHP49"/>
    <mergeCell ref="EHQ49:EHT49"/>
    <mergeCell ref="EHU49:EHX49"/>
    <mergeCell ref="EGC49:EGF49"/>
    <mergeCell ref="EGG49:EGJ49"/>
    <mergeCell ref="EGK49:EGN49"/>
    <mergeCell ref="EGO49:EGR49"/>
    <mergeCell ref="EGS49:EGV49"/>
    <mergeCell ref="EGW49:EGZ49"/>
    <mergeCell ref="EFE49:EFH49"/>
    <mergeCell ref="EFI49:EFL49"/>
    <mergeCell ref="EFM49:EFP49"/>
    <mergeCell ref="EFQ49:EFT49"/>
    <mergeCell ref="EFU49:EFX49"/>
    <mergeCell ref="EFY49:EGB49"/>
    <mergeCell ref="EJU49:EJX49"/>
    <mergeCell ref="EJY49:EKB49"/>
    <mergeCell ref="EKC49:EKF49"/>
    <mergeCell ref="EKG49:EKJ49"/>
    <mergeCell ref="EKK49:EKN49"/>
    <mergeCell ref="EKO49:EKR49"/>
    <mergeCell ref="EIW49:EIZ49"/>
    <mergeCell ref="EJA49:EJD49"/>
    <mergeCell ref="EJE49:EJH49"/>
    <mergeCell ref="EJI49:EJL49"/>
    <mergeCell ref="EJM49:EJP49"/>
    <mergeCell ref="EJQ49:EJT49"/>
    <mergeCell ref="EHY49:EIB49"/>
    <mergeCell ref="EIC49:EIF49"/>
    <mergeCell ref="EIG49:EIJ49"/>
    <mergeCell ref="EIK49:EIN49"/>
    <mergeCell ref="EIO49:EIR49"/>
    <mergeCell ref="EIS49:EIV49"/>
    <mergeCell ref="EMO49:EMR49"/>
    <mergeCell ref="EMS49:EMV49"/>
    <mergeCell ref="EMW49:EMZ49"/>
    <mergeCell ref="ENA49:END49"/>
    <mergeCell ref="ENE49:ENH49"/>
    <mergeCell ref="ENI49:ENL49"/>
    <mergeCell ref="ELQ49:ELT49"/>
    <mergeCell ref="ELU49:ELX49"/>
    <mergeCell ref="ELY49:EMB49"/>
    <mergeCell ref="EMC49:EMF49"/>
    <mergeCell ref="EMG49:EMJ49"/>
    <mergeCell ref="EMK49:EMN49"/>
    <mergeCell ref="EKS49:EKV49"/>
    <mergeCell ref="EKW49:EKZ49"/>
    <mergeCell ref="ELA49:ELD49"/>
    <mergeCell ref="ELE49:ELH49"/>
    <mergeCell ref="ELI49:ELL49"/>
    <mergeCell ref="ELM49:ELP49"/>
    <mergeCell ref="EPI49:EPL49"/>
    <mergeCell ref="EPM49:EPP49"/>
    <mergeCell ref="EPQ49:EPT49"/>
    <mergeCell ref="EPU49:EPX49"/>
    <mergeCell ref="EPY49:EQB49"/>
    <mergeCell ref="EQC49:EQF49"/>
    <mergeCell ref="EOK49:EON49"/>
    <mergeCell ref="EOO49:EOR49"/>
    <mergeCell ref="EOS49:EOV49"/>
    <mergeCell ref="EOW49:EOZ49"/>
    <mergeCell ref="EPA49:EPD49"/>
    <mergeCell ref="EPE49:EPH49"/>
    <mergeCell ref="ENM49:ENP49"/>
    <mergeCell ref="ENQ49:ENT49"/>
    <mergeCell ref="ENU49:ENX49"/>
    <mergeCell ref="ENY49:EOB49"/>
    <mergeCell ref="EOC49:EOF49"/>
    <mergeCell ref="EOG49:EOJ49"/>
    <mergeCell ref="ESC49:ESF49"/>
    <mergeCell ref="ESG49:ESJ49"/>
    <mergeCell ref="ESK49:ESN49"/>
    <mergeCell ref="ESO49:ESR49"/>
    <mergeCell ref="ESS49:ESV49"/>
    <mergeCell ref="ESW49:ESZ49"/>
    <mergeCell ref="ERE49:ERH49"/>
    <mergeCell ref="ERI49:ERL49"/>
    <mergeCell ref="ERM49:ERP49"/>
    <mergeCell ref="ERQ49:ERT49"/>
    <mergeCell ref="ERU49:ERX49"/>
    <mergeCell ref="ERY49:ESB49"/>
    <mergeCell ref="EQG49:EQJ49"/>
    <mergeCell ref="EQK49:EQN49"/>
    <mergeCell ref="EQO49:EQR49"/>
    <mergeCell ref="EQS49:EQV49"/>
    <mergeCell ref="EQW49:EQZ49"/>
    <mergeCell ref="ERA49:ERD49"/>
    <mergeCell ref="EUW49:EUZ49"/>
    <mergeCell ref="EVA49:EVD49"/>
    <mergeCell ref="EVE49:EVH49"/>
    <mergeCell ref="EVI49:EVL49"/>
    <mergeCell ref="EVM49:EVP49"/>
    <mergeCell ref="EVQ49:EVT49"/>
    <mergeCell ref="ETY49:EUB49"/>
    <mergeCell ref="EUC49:EUF49"/>
    <mergeCell ref="EUG49:EUJ49"/>
    <mergeCell ref="EUK49:EUN49"/>
    <mergeCell ref="EUO49:EUR49"/>
    <mergeCell ref="EUS49:EUV49"/>
    <mergeCell ref="ETA49:ETD49"/>
    <mergeCell ref="ETE49:ETH49"/>
    <mergeCell ref="ETI49:ETL49"/>
    <mergeCell ref="ETM49:ETP49"/>
    <mergeCell ref="ETQ49:ETT49"/>
    <mergeCell ref="ETU49:ETX49"/>
    <mergeCell ref="EXQ49:EXT49"/>
    <mergeCell ref="EXU49:EXX49"/>
    <mergeCell ref="EXY49:EYB49"/>
    <mergeCell ref="EYC49:EYF49"/>
    <mergeCell ref="EYG49:EYJ49"/>
    <mergeCell ref="EYK49:EYN49"/>
    <mergeCell ref="EWS49:EWV49"/>
    <mergeCell ref="EWW49:EWZ49"/>
    <mergeCell ref="EXA49:EXD49"/>
    <mergeCell ref="EXE49:EXH49"/>
    <mergeCell ref="EXI49:EXL49"/>
    <mergeCell ref="EXM49:EXP49"/>
    <mergeCell ref="EVU49:EVX49"/>
    <mergeCell ref="EVY49:EWB49"/>
    <mergeCell ref="EWC49:EWF49"/>
    <mergeCell ref="EWG49:EWJ49"/>
    <mergeCell ref="EWK49:EWN49"/>
    <mergeCell ref="EWO49:EWR49"/>
    <mergeCell ref="FAK49:FAN49"/>
    <mergeCell ref="FAO49:FAR49"/>
    <mergeCell ref="FAS49:FAV49"/>
    <mergeCell ref="FAW49:FAZ49"/>
    <mergeCell ref="FBA49:FBD49"/>
    <mergeCell ref="FBE49:FBH49"/>
    <mergeCell ref="EZM49:EZP49"/>
    <mergeCell ref="EZQ49:EZT49"/>
    <mergeCell ref="EZU49:EZX49"/>
    <mergeCell ref="EZY49:FAB49"/>
    <mergeCell ref="FAC49:FAF49"/>
    <mergeCell ref="FAG49:FAJ49"/>
    <mergeCell ref="EYO49:EYR49"/>
    <mergeCell ref="EYS49:EYV49"/>
    <mergeCell ref="EYW49:EYZ49"/>
    <mergeCell ref="EZA49:EZD49"/>
    <mergeCell ref="EZE49:EZH49"/>
    <mergeCell ref="EZI49:EZL49"/>
    <mergeCell ref="FDE49:FDH49"/>
    <mergeCell ref="FDI49:FDL49"/>
    <mergeCell ref="FDM49:FDP49"/>
    <mergeCell ref="FDQ49:FDT49"/>
    <mergeCell ref="FDU49:FDX49"/>
    <mergeCell ref="FDY49:FEB49"/>
    <mergeCell ref="FCG49:FCJ49"/>
    <mergeCell ref="FCK49:FCN49"/>
    <mergeCell ref="FCO49:FCR49"/>
    <mergeCell ref="FCS49:FCV49"/>
    <mergeCell ref="FCW49:FCZ49"/>
    <mergeCell ref="FDA49:FDD49"/>
    <mergeCell ref="FBI49:FBL49"/>
    <mergeCell ref="FBM49:FBP49"/>
    <mergeCell ref="FBQ49:FBT49"/>
    <mergeCell ref="FBU49:FBX49"/>
    <mergeCell ref="FBY49:FCB49"/>
    <mergeCell ref="FCC49:FCF49"/>
    <mergeCell ref="FFY49:FGB49"/>
    <mergeCell ref="FGC49:FGF49"/>
    <mergeCell ref="FGG49:FGJ49"/>
    <mergeCell ref="FGK49:FGN49"/>
    <mergeCell ref="FGO49:FGR49"/>
    <mergeCell ref="FGS49:FGV49"/>
    <mergeCell ref="FFA49:FFD49"/>
    <mergeCell ref="FFE49:FFH49"/>
    <mergeCell ref="FFI49:FFL49"/>
    <mergeCell ref="FFM49:FFP49"/>
    <mergeCell ref="FFQ49:FFT49"/>
    <mergeCell ref="FFU49:FFX49"/>
    <mergeCell ref="FEC49:FEF49"/>
    <mergeCell ref="FEG49:FEJ49"/>
    <mergeCell ref="FEK49:FEN49"/>
    <mergeCell ref="FEO49:FER49"/>
    <mergeCell ref="FES49:FEV49"/>
    <mergeCell ref="FEW49:FEZ49"/>
    <mergeCell ref="FIS49:FIV49"/>
    <mergeCell ref="FIW49:FIZ49"/>
    <mergeCell ref="FJA49:FJD49"/>
    <mergeCell ref="FJE49:FJH49"/>
    <mergeCell ref="FJI49:FJL49"/>
    <mergeCell ref="FJM49:FJP49"/>
    <mergeCell ref="FHU49:FHX49"/>
    <mergeCell ref="FHY49:FIB49"/>
    <mergeCell ref="FIC49:FIF49"/>
    <mergeCell ref="FIG49:FIJ49"/>
    <mergeCell ref="FIK49:FIN49"/>
    <mergeCell ref="FIO49:FIR49"/>
    <mergeCell ref="FGW49:FGZ49"/>
    <mergeCell ref="FHA49:FHD49"/>
    <mergeCell ref="FHE49:FHH49"/>
    <mergeCell ref="FHI49:FHL49"/>
    <mergeCell ref="FHM49:FHP49"/>
    <mergeCell ref="FHQ49:FHT49"/>
    <mergeCell ref="FLM49:FLP49"/>
    <mergeCell ref="FLQ49:FLT49"/>
    <mergeCell ref="FLU49:FLX49"/>
    <mergeCell ref="FLY49:FMB49"/>
    <mergeCell ref="FMC49:FMF49"/>
    <mergeCell ref="FMG49:FMJ49"/>
    <mergeCell ref="FKO49:FKR49"/>
    <mergeCell ref="FKS49:FKV49"/>
    <mergeCell ref="FKW49:FKZ49"/>
    <mergeCell ref="FLA49:FLD49"/>
    <mergeCell ref="FLE49:FLH49"/>
    <mergeCell ref="FLI49:FLL49"/>
    <mergeCell ref="FJQ49:FJT49"/>
    <mergeCell ref="FJU49:FJX49"/>
    <mergeCell ref="FJY49:FKB49"/>
    <mergeCell ref="FKC49:FKF49"/>
    <mergeCell ref="FKG49:FKJ49"/>
    <mergeCell ref="FKK49:FKN49"/>
    <mergeCell ref="FOG49:FOJ49"/>
    <mergeCell ref="FOK49:FON49"/>
    <mergeCell ref="FOO49:FOR49"/>
    <mergeCell ref="FOS49:FOV49"/>
    <mergeCell ref="FOW49:FOZ49"/>
    <mergeCell ref="FPA49:FPD49"/>
    <mergeCell ref="FNI49:FNL49"/>
    <mergeCell ref="FNM49:FNP49"/>
    <mergeCell ref="FNQ49:FNT49"/>
    <mergeCell ref="FNU49:FNX49"/>
    <mergeCell ref="FNY49:FOB49"/>
    <mergeCell ref="FOC49:FOF49"/>
    <mergeCell ref="FMK49:FMN49"/>
    <mergeCell ref="FMO49:FMR49"/>
    <mergeCell ref="FMS49:FMV49"/>
    <mergeCell ref="FMW49:FMZ49"/>
    <mergeCell ref="FNA49:FND49"/>
    <mergeCell ref="FNE49:FNH49"/>
    <mergeCell ref="FRA49:FRD49"/>
    <mergeCell ref="FRE49:FRH49"/>
    <mergeCell ref="FRI49:FRL49"/>
    <mergeCell ref="FRM49:FRP49"/>
    <mergeCell ref="FRQ49:FRT49"/>
    <mergeCell ref="FRU49:FRX49"/>
    <mergeCell ref="FQC49:FQF49"/>
    <mergeCell ref="FQG49:FQJ49"/>
    <mergeCell ref="FQK49:FQN49"/>
    <mergeCell ref="FQO49:FQR49"/>
    <mergeCell ref="FQS49:FQV49"/>
    <mergeCell ref="FQW49:FQZ49"/>
    <mergeCell ref="FPE49:FPH49"/>
    <mergeCell ref="FPI49:FPL49"/>
    <mergeCell ref="FPM49:FPP49"/>
    <mergeCell ref="FPQ49:FPT49"/>
    <mergeCell ref="FPU49:FPX49"/>
    <mergeCell ref="FPY49:FQB49"/>
    <mergeCell ref="FTU49:FTX49"/>
    <mergeCell ref="FTY49:FUB49"/>
    <mergeCell ref="FUC49:FUF49"/>
    <mergeCell ref="FUG49:FUJ49"/>
    <mergeCell ref="FUK49:FUN49"/>
    <mergeCell ref="FUO49:FUR49"/>
    <mergeCell ref="FSW49:FSZ49"/>
    <mergeCell ref="FTA49:FTD49"/>
    <mergeCell ref="FTE49:FTH49"/>
    <mergeCell ref="FTI49:FTL49"/>
    <mergeCell ref="FTM49:FTP49"/>
    <mergeCell ref="FTQ49:FTT49"/>
    <mergeCell ref="FRY49:FSB49"/>
    <mergeCell ref="FSC49:FSF49"/>
    <mergeCell ref="FSG49:FSJ49"/>
    <mergeCell ref="FSK49:FSN49"/>
    <mergeCell ref="FSO49:FSR49"/>
    <mergeCell ref="FSS49:FSV49"/>
    <mergeCell ref="FWO49:FWR49"/>
    <mergeCell ref="FWS49:FWV49"/>
    <mergeCell ref="FWW49:FWZ49"/>
    <mergeCell ref="FXA49:FXD49"/>
    <mergeCell ref="FXE49:FXH49"/>
    <mergeCell ref="FXI49:FXL49"/>
    <mergeCell ref="FVQ49:FVT49"/>
    <mergeCell ref="FVU49:FVX49"/>
    <mergeCell ref="FVY49:FWB49"/>
    <mergeCell ref="FWC49:FWF49"/>
    <mergeCell ref="FWG49:FWJ49"/>
    <mergeCell ref="FWK49:FWN49"/>
    <mergeCell ref="FUS49:FUV49"/>
    <mergeCell ref="FUW49:FUZ49"/>
    <mergeCell ref="FVA49:FVD49"/>
    <mergeCell ref="FVE49:FVH49"/>
    <mergeCell ref="FVI49:FVL49"/>
    <mergeCell ref="FVM49:FVP49"/>
    <mergeCell ref="FZI49:FZL49"/>
    <mergeCell ref="FZM49:FZP49"/>
    <mergeCell ref="FZQ49:FZT49"/>
    <mergeCell ref="FZU49:FZX49"/>
    <mergeCell ref="FZY49:GAB49"/>
    <mergeCell ref="GAC49:GAF49"/>
    <mergeCell ref="FYK49:FYN49"/>
    <mergeCell ref="FYO49:FYR49"/>
    <mergeCell ref="FYS49:FYV49"/>
    <mergeCell ref="FYW49:FYZ49"/>
    <mergeCell ref="FZA49:FZD49"/>
    <mergeCell ref="FZE49:FZH49"/>
    <mergeCell ref="FXM49:FXP49"/>
    <mergeCell ref="FXQ49:FXT49"/>
    <mergeCell ref="FXU49:FXX49"/>
    <mergeCell ref="FXY49:FYB49"/>
    <mergeCell ref="FYC49:FYF49"/>
    <mergeCell ref="FYG49:FYJ49"/>
    <mergeCell ref="GCC49:GCF49"/>
    <mergeCell ref="GCG49:GCJ49"/>
    <mergeCell ref="GCK49:GCN49"/>
    <mergeCell ref="GCO49:GCR49"/>
    <mergeCell ref="GCS49:GCV49"/>
    <mergeCell ref="GCW49:GCZ49"/>
    <mergeCell ref="GBE49:GBH49"/>
    <mergeCell ref="GBI49:GBL49"/>
    <mergeCell ref="GBM49:GBP49"/>
    <mergeCell ref="GBQ49:GBT49"/>
    <mergeCell ref="GBU49:GBX49"/>
    <mergeCell ref="GBY49:GCB49"/>
    <mergeCell ref="GAG49:GAJ49"/>
    <mergeCell ref="GAK49:GAN49"/>
    <mergeCell ref="GAO49:GAR49"/>
    <mergeCell ref="GAS49:GAV49"/>
    <mergeCell ref="GAW49:GAZ49"/>
    <mergeCell ref="GBA49:GBD49"/>
    <mergeCell ref="GEW49:GEZ49"/>
    <mergeCell ref="GFA49:GFD49"/>
    <mergeCell ref="GFE49:GFH49"/>
    <mergeCell ref="GFI49:GFL49"/>
    <mergeCell ref="GFM49:GFP49"/>
    <mergeCell ref="GFQ49:GFT49"/>
    <mergeCell ref="GDY49:GEB49"/>
    <mergeCell ref="GEC49:GEF49"/>
    <mergeCell ref="GEG49:GEJ49"/>
    <mergeCell ref="GEK49:GEN49"/>
    <mergeCell ref="GEO49:GER49"/>
    <mergeCell ref="GES49:GEV49"/>
    <mergeCell ref="GDA49:GDD49"/>
    <mergeCell ref="GDE49:GDH49"/>
    <mergeCell ref="GDI49:GDL49"/>
    <mergeCell ref="GDM49:GDP49"/>
    <mergeCell ref="GDQ49:GDT49"/>
    <mergeCell ref="GDU49:GDX49"/>
    <mergeCell ref="GHQ49:GHT49"/>
    <mergeCell ref="GHU49:GHX49"/>
    <mergeCell ref="GHY49:GIB49"/>
    <mergeCell ref="GIC49:GIF49"/>
    <mergeCell ref="GIG49:GIJ49"/>
    <mergeCell ref="GIK49:GIN49"/>
    <mergeCell ref="GGS49:GGV49"/>
    <mergeCell ref="GGW49:GGZ49"/>
    <mergeCell ref="GHA49:GHD49"/>
    <mergeCell ref="GHE49:GHH49"/>
    <mergeCell ref="GHI49:GHL49"/>
    <mergeCell ref="GHM49:GHP49"/>
    <mergeCell ref="GFU49:GFX49"/>
    <mergeCell ref="GFY49:GGB49"/>
    <mergeCell ref="GGC49:GGF49"/>
    <mergeCell ref="GGG49:GGJ49"/>
    <mergeCell ref="GGK49:GGN49"/>
    <mergeCell ref="GGO49:GGR49"/>
    <mergeCell ref="GKK49:GKN49"/>
    <mergeCell ref="GKO49:GKR49"/>
    <mergeCell ref="GKS49:GKV49"/>
    <mergeCell ref="GKW49:GKZ49"/>
    <mergeCell ref="GLA49:GLD49"/>
    <mergeCell ref="GLE49:GLH49"/>
    <mergeCell ref="GJM49:GJP49"/>
    <mergeCell ref="GJQ49:GJT49"/>
    <mergeCell ref="GJU49:GJX49"/>
    <mergeCell ref="GJY49:GKB49"/>
    <mergeCell ref="GKC49:GKF49"/>
    <mergeCell ref="GKG49:GKJ49"/>
    <mergeCell ref="GIO49:GIR49"/>
    <mergeCell ref="GIS49:GIV49"/>
    <mergeCell ref="GIW49:GIZ49"/>
    <mergeCell ref="GJA49:GJD49"/>
    <mergeCell ref="GJE49:GJH49"/>
    <mergeCell ref="GJI49:GJL49"/>
    <mergeCell ref="GNE49:GNH49"/>
    <mergeCell ref="GNI49:GNL49"/>
    <mergeCell ref="GNM49:GNP49"/>
    <mergeCell ref="GNQ49:GNT49"/>
    <mergeCell ref="GNU49:GNX49"/>
    <mergeCell ref="GNY49:GOB49"/>
    <mergeCell ref="GMG49:GMJ49"/>
    <mergeCell ref="GMK49:GMN49"/>
    <mergeCell ref="GMO49:GMR49"/>
    <mergeCell ref="GMS49:GMV49"/>
    <mergeCell ref="GMW49:GMZ49"/>
    <mergeCell ref="GNA49:GND49"/>
    <mergeCell ref="GLI49:GLL49"/>
    <mergeCell ref="GLM49:GLP49"/>
    <mergeCell ref="GLQ49:GLT49"/>
    <mergeCell ref="GLU49:GLX49"/>
    <mergeCell ref="GLY49:GMB49"/>
    <mergeCell ref="GMC49:GMF49"/>
    <mergeCell ref="GPY49:GQB49"/>
    <mergeCell ref="GQC49:GQF49"/>
    <mergeCell ref="GQG49:GQJ49"/>
    <mergeCell ref="GQK49:GQN49"/>
    <mergeCell ref="GQO49:GQR49"/>
    <mergeCell ref="GQS49:GQV49"/>
    <mergeCell ref="GPA49:GPD49"/>
    <mergeCell ref="GPE49:GPH49"/>
    <mergeCell ref="GPI49:GPL49"/>
    <mergeCell ref="GPM49:GPP49"/>
    <mergeCell ref="GPQ49:GPT49"/>
    <mergeCell ref="GPU49:GPX49"/>
    <mergeCell ref="GOC49:GOF49"/>
    <mergeCell ref="GOG49:GOJ49"/>
    <mergeCell ref="GOK49:GON49"/>
    <mergeCell ref="GOO49:GOR49"/>
    <mergeCell ref="GOS49:GOV49"/>
    <mergeCell ref="GOW49:GOZ49"/>
    <mergeCell ref="GSS49:GSV49"/>
    <mergeCell ref="GSW49:GSZ49"/>
    <mergeCell ref="GTA49:GTD49"/>
    <mergeCell ref="GTE49:GTH49"/>
    <mergeCell ref="GTI49:GTL49"/>
    <mergeCell ref="GTM49:GTP49"/>
    <mergeCell ref="GRU49:GRX49"/>
    <mergeCell ref="GRY49:GSB49"/>
    <mergeCell ref="GSC49:GSF49"/>
    <mergeCell ref="GSG49:GSJ49"/>
    <mergeCell ref="GSK49:GSN49"/>
    <mergeCell ref="GSO49:GSR49"/>
    <mergeCell ref="GQW49:GQZ49"/>
    <mergeCell ref="GRA49:GRD49"/>
    <mergeCell ref="GRE49:GRH49"/>
    <mergeCell ref="GRI49:GRL49"/>
    <mergeCell ref="GRM49:GRP49"/>
    <mergeCell ref="GRQ49:GRT49"/>
    <mergeCell ref="GVM49:GVP49"/>
    <mergeCell ref="GVQ49:GVT49"/>
    <mergeCell ref="GVU49:GVX49"/>
    <mergeCell ref="GVY49:GWB49"/>
    <mergeCell ref="GWC49:GWF49"/>
    <mergeCell ref="GWG49:GWJ49"/>
    <mergeCell ref="GUO49:GUR49"/>
    <mergeCell ref="GUS49:GUV49"/>
    <mergeCell ref="GUW49:GUZ49"/>
    <mergeCell ref="GVA49:GVD49"/>
    <mergeCell ref="GVE49:GVH49"/>
    <mergeCell ref="GVI49:GVL49"/>
    <mergeCell ref="GTQ49:GTT49"/>
    <mergeCell ref="GTU49:GTX49"/>
    <mergeCell ref="GTY49:GUB49"/>
    <mergeCell ref="GUC49:GUF49"/>
    <mergeCell ref="GUG49:GUJ49"/>
    <mergeCell ref="GUK49:GUN49"/>
    <mergeCell ref="GYG49:GYJ49"/>
    <mergeCell ref="GYK49:GYN49"/>
    <mergeCell ref="GYO49:GYR49"/>
    <mergeCell ref="GYS49:GYV49"/>
    <mergeCell ref="GYW49:GYZ49"/>
    <mergeCell ref="GZA49:GZD49"/>
    <mergeCell ref="GXI49:GXL49"/>
    <mergeCell ref="GXM49:GXP49"/>
    <mergeCell ref="GXQ49:GXT49"/>
    <mergeCell ref="GXU49:GXX49"/>
    <mergeCell ref="GXY49:GYB49"/>
    <mergeCell ref="GYC49:GYF49"/>
    <mergeCell ref="GWK49:GWN49"/>
    <mergeCell ref="GWO49:GWR49"/>
    <mergeCell ref="GWS49:GWV49"/>
    <mergeCell ref="GWW49:GWZ49"/>
    <mergeCell ref="GXA49:GXD49"/>
    <mergeCell ref="GXE49:GXH49"/>
    <mergeCell ref="HBA49:HBD49"/>
    <mergeCell ref="HBE49:HBH49"/>
    <mergeCell ref="HBI49:HBL49"/>
    <mergeCell ref="HBM49:HBP49"/>
    <mergeCell ref="HBQ49:HBT49"/>
    <mergeCell ref="HBU49:HBX49"/>
    <mergeCell ref="HAC49:HAF49"/>
    <mergeCell ref="HAG49:HAJ49"/>
    <mergeCell ref="HAK49:HAN49"/>
    <mergeCell ref="HAO49:HAR49"/>
    <mergeCell ref="HAS49:HAV49"/>
    <mergeCell ref="HAW49:HAZ49"/>
    <mergeCell ref="GZE49:GZH49"/>
    <mergeCell ref="GZI49:GZL49"/>
    <mergeCell ref="GZM49:GZP49"/>
    <mergeCell ref="GZQ49:GZT49"/>
    <mergeCell ref="GZU49:GZX49"/>
    <mergeCell ref="GZY49:HAB49"/>
    <mergeCell ref="HDU49:HDX49"/>
    <mergeCell ref="HDY49:HEB49"/>
    <mergeCell ref="HEC49:HEF49"/>
    <mergeCell ref="HEG49:HEJ49"/>
    <mergeCell ref="HEK49:HEN49"/>
    <mergeCell ref="HEO49:HER49"/>
    <mergeCell ref="HCW49:HCZ49"/>
    <mergeCell ref="HDA49:HDD49"/>
    <mergeCell ref="HDE49:HDH49"/>
    <mergeCell ref="HDI49:HDL49"/>
    <mergeCell ref="HDM49:HDP49"/>
    <mergeCell ref="HDQ49:HDT49"/>
    <mergeCell ref="HBY49:HCB49"/>
    <mergeCell ref="HCC49:HCF49"/>
    <mergeCell ref="HCG49:HCJ49"/>
    <mergeCell ref="HCK49:HCN49"/>
    <mergeCell ref="HCO49:HCR49"/>
    <mergeCell ref="HCS49:HCV49"/>
    <mergeCell ref="HGO49:HGR49"/>
    <mergeCell ref="HGS49:HGV49"/>
    <mergeCell ref="HGW49:HGZ49"/>
    <mergeCell ref="HHA49:HHD49"/>
    <mergeCell ref="HHE49:HHH49"/>
    <mergeCell ref="HHI49:HHL49"/>
    <mergeCell ref="HFQ49:HFT49"/>
    <mergeCell ref="HFU49:HFX49"/>
    <mergeCell ref="HFY49:HGB49"/>
    <mergeCell ref="HGC49:HGF49"/>
    <mergeCell ref="HGG49:HGJ49"/>
    <mergeCell ref="HGK49:HGN49"/>
    <mergeCell ref="HES49:HEV49"/>
    <mergeCell ref="HEW49:HEZ49"/>
    <mergeCell ref="HFA49:HFD49"/>
    <mergeCell ref="HFE49:HFH49"/>
    <mergeCell ref="HFI49:HFL49"/>
    <mergeCell ref="HFM49:HFP49"/>
    <mergeCell ref="HJI49:HJL49"/>
    <mergeCell ref="HJM49:HJP49"/>
    <mergeCell ref="HJQ49:HJT49"/>
    <mergeCell ref="HJU49:HJX49"/>
    <mergeCell ref="HJY49:HKB49"/>
    <mergeCell ref="HKC49:HKF49"/>
    <mergeCell ref="HIK49:HIN49"/>
    <mergeCell ref="HIO49:HIR49"/>
    <mergeCell ref="HIS49:HIV49"/>
    <mergeCell ref="HIW49:HIZ49"/>
    <mergeCell ref="HJA49:HJD49"/>
    <mergeCell ref="HJE49:HJH49"/>
    <mergeCell ref="HHM49:HHP49"/>
    <mergeCell ref="HHQ49:HHT49"/>
    <mergeCell ref="HHU49:HHX49"/>
    <mergeCell ref="HHY49:HIB49"/>
    <mergeCell ref="HIC49:HIF49"/>
    <mergeCell ref="HIG49:HIJ49"/>
    <mergeCell ref="HMC49:HMF49"/>
    <mergeCell ref="HMG49:HMJ49"/>
    <mergeCell ref="HMK49:HMN49"/>
    <mergeCell ref="HMO49:HMR49"/>
    <mergeCell ref="HMS49:HMV49"/>
    <mergeCell ref="HMW49:HMZ49"/>
    <mergeCell ref="HLE49:HLH49"/>
    <mergeCell ref="HLI49:HLL49"/>
    <mergeCell ref="HLM49:HLP49"/>
    <mergeCell ref="HLQ49:HLT49"/>
    <mergeCell ref="HLU49:HLX49"/>
    <mergeCell ref="HLY49:HMB49"/>
    <mergeCell ref="HKG49:HKJ49"/>
    <mergeCell ref="HKK49:HKN49"/>
    <mergeCell ref="HKO49:HKR49"/>
    <mergeCell ref="HKS49:HKV49"/>
    <mergeCell ref="HKW49:HKZ49"/>
    <mergeCell ref="HLA49:HLD49"/>
    <mergeCell ref="HOW49:HOZ49"/>
    <mergeCell ref="HPA49:HPD49"/>
    <mergeCell ref="HPE49:HPH49"/>
    <mergeCell ref="HPI49:HPL49"/>
    <mergeCell ref="HPM49:HPP49"/>
    <mergeCell ref="HPQ49:HPT49"/>
    <mergeCell ref="HNY49:HOB49"/>
    <mergeCell ref="HOC49:HOF49"/>
    <mergeCell ref="HOG49:HOJ49"/>
    <mergeCell ref="HOK49:HON49"/>
    <mergeCell ref="HOO49:HOR49"/>
    <mergeCell ref="HOS49:HOV49"/>
    <mergeCell ref="HNA49:HND49"/>
    <mergeCell ref="HNE49:HNH49"/>
    <mergeCell ref="HNI49:HNL49"/>
    <mergeCell ref="HNM49:HNP49"/>
    <mergeCell ref="HNQ49:HNT49"/>
    <mergeCell ref="HNU49:HNX49"/>
    <mergeCell ref="HRQ49:HRT49"/>
    <mergeCell ref="HRU49:HRX49"/>
    <mergeCell ref="HRY49:HSB49"/>
    <mergeCell ref="HSC49:HSF49"/>
    <mergeCell ref="HSG49:HSJ49"/>
    <mergeCell ref="HSK49:HSN49"/>
    <mergeCell ref="HQS49:HQV49"/>
    <mergeCell ref="HQW49:HQZ49"/>
    <mergeCell ref="HRA49:HRD49"/>
    <mergeCell ref="HRE49:HRH49"/>
    <mergeCell ref="HRI49:HRL49"/>
    <mergeCell ref="HRM49:HRP49"/>
    <mergeCell ref="HPU49:HPX49"/>
    <mergeCell ref="HPY49:HQB49"/>
    <mergeCell ref="HQC49:HQF49"/>
    <mergeCell ref="HQG49:HQJ49"/>
    <mergeCell ref="HQK49:HQN49"/>
    <mergeCell ref="HQO49:HQR49"/>
    <mergeCell ref="HUK49:HUN49"/>
    <mergeCell ref="HUO49:HUR49"/>
    <mergeCell ref="HUS49:HUV49"/>
    <mergeCell ref="HUW49:HUZ49"/>
    <mergeCell ref="HVA49:HVD49"/>
    <mergeCell ref="HVE49:HVH49"/>
    <mergeCell ref="HTM49:HTP49"/>
    <mergeCell ref="HTQ49:HTT49"/>
    <mergeCell ref="HTU49:HTX49"/>
    <mergeCell ref="HTY49:HUB49"/>
    <mergeCell ref="HUC49:HUF49"/>
    <mergeCell ref="HUG49:HUJ49"/>
    <mergeCell ref="HSO49:HSR49"/>
    <mergeCell ref="HSS49:HSV49"/>
    <mergeCell ref="HSW49:HSZ49"/>
    <mergeCell ref="HTA49:HTD49"/>
    <mergeCell ref="HTE49:HTH49"/>
    <mergeCell ref="HTI49:HTL49"/>
    <mergeCell ref="HXE49:HXH49"/>
    <mergeCell ref="HXI49:HXL49"/>
    <mergeCell ref="HXM49:HXP49"/>
    <mergeCell ref="HXQ49:HXT49"/>
    <mergeCell ref="HXU49:HXX49"/>
    <mergeCell ref="HXY49:HYB49"/>
    <mergeCell ref="HWG49:HWJ49"/>
    <mergeCell ref="HWK49:HWN49"/>
    <mergeCell ref="HWO49:HWR49"/>
    <mergeCell ref="HWS49:HWV49"/>
    <mergeCell ref="HWW49:HWZ49"/>
    <mergeCell ref="HXA49:HXD49"/>
    <mergeCell ref="HVI49:HVL49"/>
    <mergeCell ref="HVM49:HVP49"/>
    <mergeCell ref="HVQ49:HVT49"/>
    <mergeCell ref="HVU49:HVX49"/>
    <mergeCell ref="HVY49:HWB49"/>
    <mergeCell ref="HWC49:HWF49"/>
    <mergeCell ref="HZY49:IAB49"/>
    <mergeCell ref="IAC49:IAF49"/>
    <mergeCell ref="IAG49:IAJ49"/>
    <mergeCell ref="IAK49:IAN49"/>
    <mergeCell ref="IAO49:IAR49"/>
    <mergeCell ref="IAS49:IAV49"/>
    <mergeCell ref="HZA49:HZD49"/>
    <mergeCell ref="HZE49:HZH49"/>
    <mergeCell ref="HZI49:HZL49"/>
    <mergeCell ref="HZM49:HZP49"/>
    <mergeCell ref="HZQ49:HZT49"/>
    <mergeCell ref="HZU49:HZX49"/>
    <mergeCell ref="HYC49:HYF49"/>
    <mergeCell ref="HYG49:HYJ49"/>
    <mergeCell ref="HYK49:HYN49"/>
    <mergeCell ref="HYO49:HYR49"/>
    <mergeCell ref="HYS49:HYV49"/>
    <mergeCell ref="HYW49:HYZ49"/>
    <mergeCell ref="ICS49:ICV49"/>
    <mergeCell ref="ICW49:ICZ49"/>
    <mergeCell ref="IDA49:IDD49"/>
    <mergeCell ref="IDE49:IDH49"/>
    <mergeCell ref="IDI49:IDL49"/>
    <mergeCell ref="IDM49:IDP49"/>
    <mergeCell ref="IBU49:IBX49"/>
    <mergeCell ref="IBY49:ICB49"/>
    <mergeCell ref="ICC49:ICF49"/>
    <mergeCell ref="ICG49:ICJ49"/>
    <mergeCell ref="ICK49:ICN49"/>
    <mergeCell ref="ICO49:ICR49"/>
    <mergeCell ref="IAW49:IAZ49"/>
    <mergeCell ref="IBA49:IBD49"/>
    <mergeCell ref="IBE49:IBH49"/>
    <mergeCell ref="IBI49:IBL49"/>
    <mergeCell ref="IBM49:IBP49"/>
    <mergeCell ref="IBQ49:IBT49"/>
    <mergeCell ref="IFM49:IFP49"/>
    <mergeCell ref="IFQ49:IFT49"/>
    <mergeCell ref="IFU49:IFX49"/>
    <mergeCell ref="IFY49:IGB49"/>
    <mergeCell ref="IGC49:IGF49"/>
    <mergeCell ref="IGG49:IGJ49"/>
    <mergeCell ref="IEO49:IER49"/>
    <mergeCell ref="IES49:IEV49"/>
    <mergeCell ref="IEW49:IEZ49"/>
    <mergeCell ref="IFA49:IFD49"/>
    <mergeCell ref="IFE49:IFH49"/>
    <mergeCell ref="IFI49:IFL49"/>
    <mergeCell ref="IDQ49:IDT49"/>
    <mergeCell ref="IDU49:IDX49"/>
    <mergeCell ref="IDY49:IEB49"/>
    <mergeCell ref="IEC49:IEF49"/>
    <mergeCell ref="IEG49:IEJ49"/>
    <mergeCell ref="IEK49:IEN49"/>
    <mergeCell ref="IIG49:IIJ49"/>
    <mergeCell ref="IIK49:IIN49"/>
    <mergeCell ref="IIO49:IIR49"/>
    <mergeCell ref="IIS49:IIV49"/>
    <mergeCell ref="IIW49:IIZ49"/>
    <mergeCell ref="IJA49:IJD49"/>
    <mergeCell ref="IHI49:IHL49"/>
    <mergeCell ref="IHM49:IHP49"/>
    <mergeCell ref="IHQ49:IHT49"/>
    <mergeCell ref="IHU49:IHX49"/>
    <mergeCell ref="IHY49:IIB49"/>
    <mergeCell ref="IIC49:IIF49"/>
    <mergeCell ref="IGK49:IGN49"/>
    <mergeCell ref="IGO49:IGR49"/>
    <mergeCell ref="IGS49:IGV49"/>
    <mergeCell ref="IGW49:IGZ49"/>
    <mergeCell ref="IHA49:IHD49"/>
    <mergeCell ref="IHE49:IHH49"/>
    <mergeCell ref="ILA49:ILD49"/>
    <mergeCell ref="ILE49:ILH49"/>
    <mergeCell ref="ILI49:ILL49"/>
    <mergeCell ref="ILM49:ILP49"/>
    <mergeCell ref="ILQ49:ILT49"/>
    <mergeCell ref="ILU49:ILX49"/>
    <mergeCell ref="IKC49:IKF49"/>
    <mergeCell ref="IKG49:IKJ49"/>
    <mergeCell ref="IKK49:IKN49"/>
    <mergeCell ref="IKO49:IKR49"/>
    <mergeCell ref="IKS49:IKV49"/>
    <mergeCell ref="IKW49:IKZ49"/>
    <mergeCell ref="IJE49:IJH49"/>
    <mergeCell ref="IJI49:IJL49"/>
    <mergeCell ref="IJM49:IJP49"/>
    <mergeCell ref="IJQ49:IJT49"/>
    <mergeCell ref="IJU49:IJX49"/>
    <mergeCell ref="IJY49:IKB49"/>
    <mergeCell ref="INU49:INX49"/>
    <mergeCell ref="INY49:IOB49"/>
    <mergeCell ref="IOC49:IOF49"/>
    <mergeCell ref="IOG49:IOJ49"/>
    <mergeCell ref="IOK49:ION49"/>
    <mergeCell ref="IOO49:IOR49"/>
    <mergeCell ref="IMW49:IMZ49"/>
    <mergeCell ref="INA49:IND49"/>
    <mergeCell ref="INE49:INH49"/>
    <mergeCell ref="INI49:INL49"/>
    <mergeCell ref="INM49:INP49"/>
    <mergeCell ref="INQ49:INT49"/>
    <mergeCell ref="ILY49:IMB49"/>
    <mergeCell ref="IMC49:IMF49"/>
    <mergeCell ref="IMG49:IMJ49"/>
    <mergeCell ref="IMK49:IMN49"/>
    <mergeCell ref="IMO49:IMR49"/>
    <mergeCell ref="IMS49:IMV49"/>
    <mergeCell ref="IQO49:IQR49"/>
    <mergeCell ref="IQS49:IQV49"/>
    <mergeCell ref="IQW49:IQZ49"/>
    <mergeCell ref="IRA49:IRD49"/>
    <mergeCell ref="IRE49:IRH49"/>
    <mergeCell ref="IRI49:IRL49"/>
    <mergeCell ref="IPQ49:IPT49"/>
    <mergeCell ref="IPU49:IPX49"/>
    <mergeCell ref="IPY49:IQB49"/>
    <mergeCell ref="IQC49:IQF49"/>
    <mergeCell ref="IQG49:IQJ49"/>
    <mergeCell ref="IQK49:IQN49"/>
    <mergeCell ref="IOS49:IOV49"/>
    <mergeCell ref="IOW49:IOZ49"/>
    <mergeCell ref="IPA49:IPD49"/>
    <mergeCell ref="IPE49:IPH49"/>
    <mergeCell ref="IPI49:IPL49"/>
    <mergeCell ref="IPM49:IPP49"/>
    <mergeCell ref="ITI49:ITL49"/>
    <mergeCell ref="ITM49:ITP49"/>
    <mergeCell ref="ITQ49:ITT49"/>
    <mergeCell ref="ITU49:ITX49"/>
    <mergeCell ref="ITY49:IUB49"/>
    <mergeCell ref="IUC49:IUF49"/>
    <mergeCell ref="ISK49:ISN49"/>
    <mergeCell ref="ISO49:ISR49"/>
    <mergeCell ref="ISS49:ISV49"/>
    <mergeCell ref="ISW49:ISZ49"/>
    <mergeCell ref="ITA49:ITD49"/>
    <mergeCell ref="ITE49:ITH49"/>
    <mergeCell ref="IRM49:IRP49"/>
    <mergeCell ref="IRQ49:IRT49"/>
    <mergeCell ref="IRU49:IRX49"/>
    <mergeCell ref="IRY49:ISB49"/>
    <mergeCell ref="ISC49:ISF49"/>
    <mergeCell ref="ISG49:ISJ49"/>
    <mergeCell ref="IWC49:IWF49"/>
    <mergeCell ref="IWG49:IWJ49"/>
    <mergeCell ref="IWK49:IWN49"/>
    <mergeCell ref="IWO49:IWR49"/>
    <mergeCell ref="IWS49:IWV49"/>
    <mergeCell ref="IWW49:IWZ49"/>
    <mergeCell ref="IVE49:IVH49"/>
    <mergeCell ref="IVI49:IVL49"/>
    <mergeCell ref="IVM49:IVP49"/>
    <mergeCell ref="IVQ49:IVT49"/>
    <mergeCell ref="IVU49:IVX49"/>
    <mergeCell ref="IVY49:IWB49"/>
    <mergeCell ref="IUG49:IUJ49"/>
    <mergeCell ref="IUK49:IUN49"/>
    <mergeCell ref="IUO49:IUR49"/>
    <mergeCell ref="IUS49:IUV49"/>
    <mergeCell ref="IUW49:IUZ49"/>
    <mergeCell ref="IVA49:IVD49"/>
    <mergeCell ref="IYW49:IYZ49"/>
    <mergeCell ref="IZA49:IZD49"/>
    <mergeCell ref="IZE49:IZH49"/>
    <mergeCell ref="IZI49:IZL49"/>
    <mergeCell ref="IZM49:IZP49"/>
    <mergeCell ref="IZQ49:IZT49"/>
    <mergeCell ref="IXY49:IYB49"/>
    <mergeCell ref="IYC49:IYF49"/>
    <mergeCell ref="IYG49:IYJ49"/>
    <mergeCell ref="IYK49:IYN49"/>
    <mergeCell ref="IYO49:IYR49"/>
    <mergeCell ref="IYS49:IYV49"/>
    <mergeCell ref="IXA49:IXD49"/>
    <mergeCell ref="IXE49:IXH49"/>
    <mergeCell ref="IXI49:IXL49"/>
    <mergeCell ref="IXM49:IXP49"/>
    <mergeCell ref="IXQ49:IXT49"/>
    <mergeCell ref="IXU49:IXX49"/>
    <mergeCell ref="JBQ49:JBT49"/>
    <mergeCell ref="JBU49:JBX49"/>
    <mergeCell ref="JBY49:JCB49"/>
    <mergeCell ref="JCC49:JCF49"/>
    <mergeCell ref="JCG49:JCJ49"/>
    <mergeCell ref="JCK49:JCN49"/>
    <mergeCell ref="JAS49:JAV49"/>
    <mergeCell ref="JAW49:JAZ49"/>
    <mergeCell ref="JBA49:JBD49"/>
    <mergeCell ref="JBE49:JBH49"/>
    <mergeCell ref="JBI49:JBL49"/>
    <mergeCell ref="JBM49:JBP49"/>
    <mergeCell ref="IZU49:IZX49"/>
    <mergeCell ref="IZY49:JAB49"/>
    <mergeCell ref="JAC49:JAF49"/>
    <mergeCell ref="JAG49:JAJ49"/>
    <mergeCell ref="JAK49:JAN49"/>
    <mergeCell ref="JAO49:JAR49"/>
    <mergeCell ref="JEK49:JEN49"/>
    <mergeCell ref="JEO49:JER49"/>
    <mergeCell ref="JES49:JEV49"/>
    <mergeCell ref="JEW49:JEZ49"/>
    <mergeCell ref="JFA49:JFD49"/>
    <mergeCell ref="JFE49:JFH49"/>
    <mergeCell ref="JDM49:JDP49"/>
    <mergeCell ref="JDQ49:JDT49"/>
    <mergeCell ref="JDU49:JDX49"/>
    <mergeCell ref="JDY49:JEB49"/>
    <mergeCell ref="JEC49:JEF49"/>
    <mergeCell ref="JEG49:JEJ49"/>
    <mergeCell ref="JCO49:JCR49"/>
    <mergeCell ref="JCS49:JCV49"/>
    <mergeCell ref="JCW49:JCZ49"/>
    <mergeCell ref="JDA49:JDD49"/>
    <mergeCell ref="JDE49:JDH49"/>
    <mergeCell ref="JDI49:JDL49"/>
    <mergeCell ref="JHE49:JHH49"/>
    <mergeCell ref="JHI49:JHL49"/>
    <mergeCell ref="JHM49:JHP49"/>
    <mergeCell ref="JHQ49:JHT49"/>
    <mergeCell ref="JHU49:JHX49"/>
    <mergeCell ref="JHY49:JIB49"/>
    <mergeCell ref="JGG49:JGJ49"/>
    <mergeCell ref="JGK49:JGN49"/>
    <mergeCell ref="JGO49:JGR49"/>
    <mergeCell ref="JGS49:JGV49"/>
    <mergeCell ref="JGW49:JGZ49"/>
    <mergeCell ref="JHA49:JHD49"/>
    <mergeCell ref="JFI49:JFL49"/>
    <mergeCell ref="JFM49:JFP49"/>
    <mergeCell ref="JFQ49:JFT49"/>
    <mergeCell ref="JFU49:JFX49"/>
    <mergeCell ref="JFY49:JGB49"/>
    <mergeCell ref="JGC49:JGF49"/>
    <mergeCell ref="JJY49:JKB49"/>
    <mergeCell ref="JKC49:JKF49"/>
    <mergeCell ref="JKG49:JKJ49"/>
    <mergeCell ref="JKK49:JKN49"/>
    <mergeCell ref="JKO49:JKR49"/>
    <mergeCell ref="JKS49:JKV49"/>
    <mergeCell ref="JJA49:JJD49"/>
    <mergeCell ref="JJE49:JJH49"/>
    <mergeCell ref="JJI49:JJL49"/>
    <mergeCell ref="JJM49:JJP49"/>
    <mergeCell ref="JJQ49:JJT49"/>
    <mergeCell ref="JJU49:JJX49"/>
    <mergeCell ref="JIC49:JIF49"/>
    <mergeCell ref="JIG49:JIJ49"/>
    <mergeCell ref="JIK49:JIN49"/>
    <mergeCell ref="JIO49:JIR49"/>
    <mergeCell ref="JIS49:JIV49"/>
    <mergeCell ref="JIW49:JIZ49"/>
    <mergeCell ref="JMS49:JMV49"/>
    <mergeCell ref="JMW49:JMZ49"/>
    <mergeCell ref="JNA49:JND49"/>
    <mergeCell ref="JNE49:JNH49"/>
    <mergeCell ref="JNI49:JNL49"/>
    <mergeCell ref="JNM49:JNP49"/>
    <mergeCell ref="JLU49:JLX49"/>
    <mergeCell ref="JLY49:JMB49"/>
    <mergeCell ref="JMC49:JMF49"/>
    <mergeCell ref="JMG49:JMJ49"/>
    <mergeCell ref="JMK49:JMN49"/>
    <mergeCell ref="JMO49:JMR49"/>
    <mergeCell ref="JKW49:JKZ49"/>
    <mergeCell ref="JLA49:JLD49"/>
    <mergeCell ref="JLE49:JLH49"/>
    <mergeCell ref="JLI49:JLL49"/>
    <mergeCell ref="JLM49:JLP49"/>
    <mergeCell ref="JLQ49:JLT49"/>
    <mergeCell ref="JPM49:JPP49"/>
    <mergeCell ref="JPQ49:JPT49"/>
    <mergeCell ref="JPU49:JPX49"/>
    <mergeCell ref="JPY49:JQB49"/>
    <mergeCell ref="JQC49:JQF49"/>
    <mergeCell ref="JQG49:JQJ49"/>
    <mergeCell ref="JOO49:JOR49"/>
    <mergeCell ref="JOS49:JOV49"/>
    <mergeCell ref="JOW49:JOZ49"/>
    <mergeCell ref="JPA49:JPD49"/>
    <mergeCell ref="JPE49:JPH49"/>
    <mergeCell ref="JPI49:JPL49"/>
    <mergeCell ref="JNQ49:JNT49"/>
    <mergeCell ref="JNU49:JNX49"/>
    <mergeCell ref="JNY49:JOB49"/>
    <mergeCell ref="JOC49:JOF49"/>
    <mergeCell ref="JOG49:JOJ49"/>
    <mergeCell ref="JOK49:JON49"/>
    <mergeCell ref="JSG49:JSJ49"/>
    <mergeCell ref="JSK49:JSN49"/>
    <mergeCell ref="JSO49:JSR49"/>
    <mergeCell ref="JSS49:JSV49"/>
    <mergeCell ref="JSW49:JSZ49"/>
    <mergeCell ref="JTA49:JTD49"/>
    <mergeCell ref="JRI49:JRL49"/>
    <mergeCell ref="JRM49:JRP49"/>
    <mergeCell ref="JRQ49:JRT49"/>
    <mergeCell ref="JRU49:JRX49"/>
    <mergeCell ref="JRY49:JSB49"/>
    <mergeCell ref="JSC49:JSF49"/>
    <mergeCell ref="JQK49:JQN49"/>
    <mergeCell ref="JQO49:JQR49"/>
    <mergeCell ref="JQS49:JQV49"/>
    <mergeCell ref="JQW49:JQZ49"/>
    <mergeCell ref="JRA49:JRD49"/>
    <mergeCell ref="JRE49:JRH49"/>
    <mergeCell ref="JVA49:JVD49"/>
    <mergeCell ref="JVE49:JVH49"/>
    <mergeCell ref="JVI49:JVL49"/>
    <mergeCell ref="JVM49:JVP49"/>
    <mergeCell ref="JVQ49:JVT49"/>
    <mergeCell ref="JVU49:JVX49"/>
    <mergeCell ref="JUC49:JUF49"/>
    <mergeCell ref="JUG49:JUJ49"/>
    <mergeCell ref="JUK49:JUN49"/>
    <mergeCell ref="JUO49:JUR49"/>
    <mergeCell ref="JUS49:JUV49"/>
    <mergeCell ref="JUW49:JUZ49"/>
    <mergeCell ref="JTE49:JTH49"/>
    <mergeCell ref="JTI49:JTL49"/>
    <mergeCell ref="JTM49:JTP49"/>
    <mergeCell ref="JTQ49:JTT49"/>
    <mergeCell ref="JTU49:JTX49"/>
    <mergeCell ref="JTY49:JUB49"/>
    <mergeCell ref="JXU49:JXX49"/>
    <mergeCell ref="JXY49:JYB49"/>
    <mergeCell ref="JYC49:JYF49"/>
    <mergeCell ref="JYG49:JYJ49"/>
    <mergeCell ref="JYK49:JYN49"/>
    <mergeCell ref="JYO49:JYR49"/>
    <mergeCell ref="JWW49:JWZ49"/>
    <mergeCell ref="JXA49:JXD49"/>
    <mergeCell ref="JXE49:JXH49"/>
    <mergeCell ref="JXI49:JXL49"/>
    <mergeCell ref="JXM49:JXP49"/>
    <mergeCell ref="JXQ49:JXT49"/>
    <mergeCell ref="JVY49:JWB49"/>
    <mergeCell ref="JWC49:JWF49"/>
    <mergeCell ref="JWG49:JWJ49"/>
    <mergeCell ref="JWK49:JWN49"/>
    <mergeCell ref="JWO49:JWR49"/>
    <mergeCell ref="JWS49:JWV49"/>
    <mergeCell ref="KAO49:KAR49"/>
    <mergeCell ref="KAS49:KAV49"/>
    <mergeCell ref="KAW49:KAZ49"/>
    <mergeCell ref="KBA49:KBD49"/>
    <mergeCell ref="KBE49:KBH49"/>
    <mergeCell ref="KBI49:KBL49"/>
    <mergeCell ref="JZQ49:JZT49"/>
    <mergeCell ref="JZU49:JZX49"/>
    <mergeCell ref="JZY49:KAB49"/>
    <mergeCell ref="KAC49:KAF49"/>
    <mergeCell ref="KAG49:KAJ49"/>
    <mergeCell ref="KAK49:KAN49"/>
    <mergeCell ref="JYS49:JYV49"/>
    <mergeCell ref="JYW49:JYZ49"/>
    <mergeCell ref="JZA49:JZD49"/>
    <mergeCell ref="JZE49:JZH49"/>
    <mergeCell ref="JZI49:JZL49"/>
    <mergeCell ref="JZM49:JZP49"/>
    <mergeCell ref="KDI49:KDL49"/>
    <mergeCell ref="KDM49:KDP49"/>
    <mergeCell ref="KDQ49:KDT49"/>
    <mergeCell ref="KDU49:KDX49"/>
    <mergeCell ref="KDY49:KEB49"/>
    <mergeCell ref="KEC49:KEF49"/>
    <mergeCell ref="KCK49:KCN49"/>
    <mergeCell ref="KCO49:KCR49"/>
    <mergeCell ref="KCS49:KCV49"/>
    <mergeCell ref="KCW49:KCZ49"/>
    <mergeCell ref="KDA49:KDD49"/>
    <mergeCell ref="KDE49:KDH49"/>
    <mergeCell ref="KBM49:KBP49"/>
    <mergeCell ref="KBQ49:KBT49"/>
    <mergeCell ref="KBU49:KBX49"/>
    <mergeCell ref="KBY49:KCB49"/>
    <mergeCell ref="KCC49:KCF49"/>
    <mergeCell ref="KCG49:KCJ49"/>
    <mergeCell ref="KGC49:KGF49"/>
    <mergeCell ref="KGG49:KGJ49"/>
    <mergeCell ref="KGK49:KGN49"/>
    <mergeCell ref="KGO49:KGR49"/>
    <mergeCell ref="KGS49:KGV49"/>
    <mergeCell ref="KGW49:KGZ49"/>
    <mergeCell ref="KFE49:KFH49"/>
    <mergeCell ref="KFI49:KFL49"/>
    <mergeCell ref="KFM49:KFP49"/>
    <mergeCell ref="KFQ49:KFT49"/>
    <mergeCell ref="KFU49:KFX49"/>
    <mergeCell ref="KFY49:KGB49"/>
    <mergeCell ref="KEG49:KEJ49"/>
    <mergeCell ref="KEK49:KEN49"/>
    <mergeCell ref="KEO49:KER49"/>
    <mergeCell ref="KES49:KEV49"/>
    <mergeCell ref="KEW49:KEZ49"/>
    <mergeCell ref="KFA49:KFD49"/>
    <mergeCell ref="KIW49:KIZ49"/>
    <mergeCell ref="KJA49:KJD49"/>
    <mergeCell ref="KJE49:KJH49"/>
    <mergeCell ref="KJI49:KJL49"/>
    <mergeCell ref="KJM49:KJP49"/>
    <mergeCell ref="KJQ49:KJT49"/>
    <mergeCell ref="KHY49:KIB49"/>
    <mergeCell ref="KIC49:KIF49"/>
    <mergeCell ref="KIG49:KIJ49"/>
    <mergeCell ref="KIK49:KIN49"/>
    <mergeCell ref="KIO49:KIR49"/>
    <mergeCell ref="KIS49:KIV49"/>
    <mergeCell ref="KHA49:KHD49"/>
    <mergeCell ref="KHE49:KHH49"/>
    <mergeCell ref="KHI49:KHL49"/>
    <mergeCell ref="KHM49:KHP49"/>
    <mergeCell ref="KHQ49:KHT49"/>
    <mergeCell ref="KHU49:KHX49"/>
    <mergeCell ref="KLQ49:KLT49"/>
    <mergeCell ref="KLU49:KLX49"/>
    <mergeCell ref="KLY49:KMB49"/>
    <mergeCell ref="KMC49:KMF49"/>
    <mergeCell ref="KMG49:KMJ49"/>
    <mergeCell ref="KMK49:KMN49"/>
    <mergeCell ref="KKS49:KKV49"/>
    <mergeCell ref="KKW49:KKZ49"/>
    <mergeCell ref="KLA49:KLD49"/>
    <mergeCell ref="KLE49:KLH49"/>
    <mergeCell ref="KLI49:KLL49"/>
    <mergeCell ref="KLM49:KLP49"/>
    <mergeCell ref="KJU49:KJX49"/>
    <mergeCell ref="KJY49:KKB49"/>
    <mergeCell ref="KKC49:KKF49"/>
    <mergeCell ref="KKG49:KKJ49"/>
    <mergeCell ref="KKK49:KKN49"/>
    <mergeCell ref="KKO49:KKR49"/>
    <mergeCell ref="KOK49:KON49"/>
    <mergeCell ref="KOO49:KOR49"/>
    <mergeCell ref="KOS49:KOV49"/>
    <mergeCell ref="KOW49:KOZ49"/>
    <mergeCell ref="KPA49:KPD49"/>
    <mergeCell ref="KPE49:KPH49"/>
    <mergeCell ref="KNM49:KNP49"/>
    <mergeCell ref="KNQ49:KNT49"/>
    <mergeCell ref="KNU49:KNX49"/>
    <mergeCell ref="KNY49:KOB49"/>
    <mergeCell ref="KOC49:KOF49"/>
    <mergeCell ref="KOG49:KOJ49"/>
    <mergeCell ref="KMO49:KMR49"/>
    <mergeCell ref="KMS49:KMV49"/>
    <mergeCell ref="KMW49:KMZ49"/>
    <mergeCell ref="KNA49:KND49"/>
    <mergeCell ref="KNE49:KNH49"/>
    <mergeCell ref="KNI49:KNL49"/>
    <mergeCell ref="KRE49:KRH49"/>
    <mergeCell ref="KRI49:KRL49"/>
    <mergeCell ref="KRM49:KRP49"/>
    <mergeCell ref="KRQ49:KRT49"/>
    <mergeCell ref="KRU49:KRX49"/>
    <mergeCell ref="KRY49:KSB49"/>
    <mergeCell ref="KQG49:KQJ49"/>
    <mergeCell ref="KQK49:KQN49"/>
    <mergeCell ref="KQO49:KQR49"/>
    <mergeCell ref="KQS49:KQV49"/>
    <mergeCell ref="KQW49:KQZ49"/>
    <mergeCell ref="KRA49:KRD49"/>
    <mergeCell ref="KPI49:KPL49"/>
    <mergeCell ref="KPM49:KPP49"/>
    <mergeCell ref="KPQ49:KPT49"/>
    <mergeCell ref="KPU49:KPX49"/>
    <mergeCell ref="KPY49:KQB49"/>
    <mergeCell ref="KQC49:KQF49"/>
    <mergeCell ref="KTY49:KUB49"/>
    <mergeCell ref="KUC49:KUF49"/>
    <mergeCell ref="KUG49:KUJ49"/>
    <mergeCell ref="KUK49:KUN49"/>
    <mergeCell ref="KUO49:KUR49"/>
    <mergeCell ref="KUS49:KUV49"/>
    <mergeCell ref="KTA49:KTD49"/>
    <mergeCell ref="KTE49:KTH49"/>
    <mergeCell ref="KTI49:KTL49"/>
    <mergeCell ref="KTM49:KTP49"/>
    <mergeCell ref="KTQ49:KTT49"/>
    <mergeCell ref="KTU49:KTX49"/>
    <mergeCell ref="KSC49:KSF49"/>
    <mergeCell ref="KSG49:KSJ49"/>
    <mergeCell ref="KSK49:KSN49"/>
    <mergeCell ref="KSO49:KSR49"/>
    <mergeCell ref="KSS49:KSV49"/>
    <mergeCell ref="KSW49:KSZ49"/>
    <mergeCell ref="KWS49:KWV49"/>
    <mergeCell ref="KWW49:KWZ49"/>
    <mergeCell ref="KXA49:KXD49"/>
    <mergeCell ref="KXE49:KXH49"/>
    <mergeCell ref="KXI49:KXL49"/>
    <mergeCell ref="KXM49:KXP49"/>
    <mergeCell ref="KVU49:KVX49"/>
    <mergeCell ref="KVY49:KWB49"/>
    <mergeCell ref="KWC49:KWF49"/>
    <mergeCell ref="KWG49:KWJ49"/>
    <mergeCell ref="KWK49:KWN49"/>
    <mergeCell ref="KWO49:KWR49"/>
    <mergeCell ref="KUW49:KUZ49"/>
    <mergeCell ref="KVA49:KVD49"/>
    <mergeCell ref="KVE49:KVH49"/>
    <mergeCell ref="KVI49:KVL49"/>
    <mergeCell ref="KVM49:KVP49"/>
    <mergeCell ref="KVQ49:KVT49"/>
    <mergeCell ref="KZM49:KZP49"/>
    <mergeCell ref="KZQ49:KZT49"/>
    <mergeCell ref="KZU49:KZX49"/>
    <mergeCell ref="KZY49:LAB49"/>
    <mergeCell ref="LAC49:LAF49"/>
    <mergeCell ref="LAG49:LAJ49"/>
    <mergeCell ref="KYO49:KYR49"/>
    <mergeCell ref="KYS49:KYV49"/>
    <mergeCell ref="KYW49:KYZ49"/>
    <mergeCell ref="KZA49:KZD49"/>
    <mergeCell ref="KZE49:KZH49"/>
    <mergeCell ref="KZI49:KZL49"/>
    <mergeCell ref="KXQ49:KXT49"/>
    <mergeCell ref="KXU49:KXX49"/>
    <mergeCell ref="KXY49:KYB49"/>
    <mergeCell ref="KYC49:KYF49"/>
    <mergeCell ref="KYG49:KYJ49"/>
    <mergeCell ref="KYK49:KYN49"/>
    <mergeCell ref="LCG49:LCJ49"/>
    <mergeCell ref="LCK49:LCN49"/>
    <mergeCell ref="LCO49:LCR49"/>
    <mergeCell ref="LCS49:LCV49"/>
    <mergeCell ref="LCW49:LCZ49"/>
    <mergeCell ref="LDA49:LDD49"/>
    <mergeCell ref="LBI49:LBL49"/>
    <mergeCell ref="LBM49:LBP49"/>
    <mergeCell ref="LBQ49:LBT49"/>
    <mergeCell ref="LBU49:LBX49"/>
    <mergeCell ref="LBY49:LCB49"/>
    <mergeCell ref="LCC49:LCF49"/>
    <mergeCell ref="LAK49:LAN49"/>
    <mergeCell ref="LAO49:LAR49"/>
    <mergeCell ref="LAS49:LAV49"/>
    <mergeCell ref="LAW49:LAZ49"/>
    <mergeCell ref="LBA49:LBD49"/>
    <mergeCell ref="LBE49:LBH49"/>
    <mergeCell ref="LFA49:LFD49"/>
    <mergeCell ref="LFE49:LFH49"/>
    <mergeCell ref="LFI49:LFL49"/>
    <mergeCell ref="LFM49:LFP49"/>
    <mergeCell ref="LFQ49:LFT49"/>
    <mergeCell ref="LFU49:LFX49"/>
    <mergeCell ref="LEC49:LEF49"/>
    <mergeCell ref="LEG49:LEJ49"/>
    <mergeCell ref="LEK49:LEN49"/>
    <mergeCell ref="LEO49:LER49"/>
    <mergeCell ref="LES49:LEV49"/>
    <mergeCell ref="LEW49:LEZ49"/>
    <mergeCell ref="LDE49:LDH49"/>
    <mergeCell ref="LDI49:LDL49"/>
    <mergeCell ref="LDM49:LDP49"/>
    <mergeCell ref="LDQ49:LDT49"/>
    <mergeCell ref="LDU49:LDX49"/>
    <mergeCell ref="LDY49:LEB49"/>
    <mergeCell ref="LHU49:LHX49"/>
    <mergeCell ref="LHY49:LIB49"/>
    <mergeCell ref="LIC49:LIF49"/>
    <mergeCell ref="LIG49:LIJ49"/>
    <mergeCell ref="LIK49:LIN49"/>
    <mergeCell ref="LIO49:LIR49"/>
    <mergeCell ref="LGW49:LGZ49"/>
    <mergeCell ref="LHA49:LHD49"/>
    <mergeCell ref="LHE49:LHH49"/>
    <mergeCell ref="LHI49:LHL49"/>
    <mergeCell ref="LHM49:LHP49"/>
    <mergeCell ref="LHQ49:LHT49"/>
    <mergeCell ref="LFY49:LGB49"/>
    <mergeCell ref="LGC49:LGF49"/>
    <mergeCell ref="LGG49:LGJ49"/>
    <mergeCell ref="LGK49:LGN49"/>
    <mergeCell ref="LGO49:LGR49"/>
    <mergeCell ref="LGS49:LGV49"/>
    <mergeCell ref="LKO49:LKR49"/>
    <mergeCell ref="LKS49:LKV49"/>
    <mergeCell ref="LKW49:LKZ49"/>
    <mergeCell ref="LLA49:LLD49"/>
    <mergeCell ref="LLE49:LLH49"/>
    <mergeCell ref="LLI49:LLL49"/>
    <mergeCell ref="LJQ49:LJT49"/>
    <mergeCell ref="LJU49:LJX49"/>
    <mergeCell ref="LJY49:LKB49"/>
    <mergeCell ref="LKC49:LKF49"/>
    <mergeCell ref="LKG49:LKJ49"/>
    <mergeCell ref="LKK49:LKN49"/>
    <mergeCell ref="LIS49:LIV49"/>
    <mergeCell ref="LIW49:LIZ49"/>
    <mergeCell ref="LJA49:LJD49"/>
    <mergeCell ref="LJE49:LJH49"/>
    <mergeCell ref="LJI49:LJL49"/>
    <mergeCell ref="LJM49:LJP49"/>
    <mergeCell ref="LNI49:LNL49"/>
    <mergeCell ref="LNM49:LNP49"/>
    <mergeCell ref="LNQ49:LNT49"/>
    <mergeCell ref="LNU49:LNX49"/>
    <mergeCell ref="LNY49:LOB49"/>
    <mergeCell ref="LOC49:LOF49"/>
    <mergeCell ref="LMK49:LMN49"/>
    <mergeCell ref="LMO49:LMR49"/>
    <mergeCell ref="LMS49:LMV49"/>
    <mergeCell ref="LMW49:LMZ49"/>
    <mergeCell ref="LNA49:LND49"/>
    <mergeCell ref="LNE49:LNH49"/>
    <mergeCell ref="LLM49:LLP49"/>
    <mergeCell ref="LLQ49:LLT49"/>
    <mergeCell ref="LLU49:LLX49"/>
    <mergeCell ref="LLY49:LMB49"/>
    <mergeCell ref="LMC49:LMF49"/>
    <mergeCell ref="LMG49:LMJ49"/>
    <mergeCell ref="LQC49:LQF49"/>
    <mergeCell ref="LQG49:LQJ49"/>
    <mergeCell ref="LQK49:LQN49"/>
    <mergeCell ref="LQO49:LQR49"/>
    <mergeCell ref="LQS49:LQV49"/>
    <mergeCell ref="LQW49:LQZ49"/>
    <mergeCell ref="LPE49:LPH49"/>
    <mergeCell ref="LPI49:LPL49"/>
    <mergeCell ref="LPM49:LPP49"/>
    <mergeCell ref="LPQ49:LPT49"/>
    <mergeCell ref="LPU49:LPX49"/>
    <mergeCell ref="LPY49:LQB49"/>
    <mergeCell ref="LOG49:LOJ49"/>
    <mergeCell ref="LOK49:LON49"/>
    <mergeCell ref="LOO49:LOR49"/>
    <mergeCell ref="LOS49:LOV49"/>
    <mergeCell ref="LOW49:LOZ49"/>
    <mergeCell ref="LPA49:LPD49"/>
    <mergeCell ref="LSW49:LSZ49"/>
    <mergeCell ref="LTA49:LTD49"/>
    <mergeCell ref="LTE49:LTH49"/>
    <mergeCell ref="LTI49:LTL49"/>
    <mergeCell ref="LTM49:LTP49"/>
    <mergeCell ref="LTQ49:LTT49"/>
    <mergeCell ref="LRY49:LSB49"/>
    <mergeCell ref="LSC49:LSF49"/>
    <mergeCell ref="LSG49:LSJ49"/>
    <mergeCell ref="LSK49:LSN49"/>
    <mergeCell ref="LSO49:LSR49"/>
    <mergeCell ref="LSS49:LSV49"/>
    <mergeCell ref="LRA49:LRD49"/>
    <mergeCell ref="LRE49:LRH49"/>
    <mergeCell ref="LRI49:LRL49"/>
    <mergeCell ref="LRM49:LRP49"/>
    <mergeCell ref="LRQ49:LRT49"/>
    <mergeCell ref="LRU49:LRX49"/>
    <mergeCell ref="LVQ49:LVT49"/>
    <mergeCell ref="LVU49:LVX49"/>
    <mergeCell ref="LVY49:LWB49"/>
    <mergeCell ref="LWC49:LWF49"/>
    <mergeCell ref="LWG49:LWJ49"/>
    <mergeCell ref="LWK49:LWN49"/>
    <mergeCell ref="LUS49:LUV49"/>
    <mergeCell ref="LUW49:LUZ49"/>
    <mergeCell ref="LVA49:LVD49"/>
    <mergeCell ref="LVE49:LVH49"/>
    <mergeCell ref="LVI49:LVL49"/>
    <mergeCell ref="LVM49:LVP49"/>
    <mergeCell ref="LTU49:LTX49"/>
    <mergeCell ref="LTY49:LUB49"/>
    <mergeCell ref="LUC49:LUF49"/>
    <mergeCell ref="LUG49:LUJ49"/>
    <mergeCell ref="LUK49:LUN49"/>
    <mergeCell ref="LUO49:LUR49"/>
    <mergeCell ref="LYK49:LYN49"/>
    <mergeCell ref="LYO49:LYR49"/>
    <mergeCell ref="LYS49:LYV49"/>
    <mergeCell ref="LYW49:LYZ49"/>
    <mergeCell ref="LZA49:LZD49"/>
    <mergeCell ref="LZE49:LZH49"/>
    <mergeCell ref="LXM49:LXP49"/>
    <mergeCell ref="LXQ49:LXT49"/>
    <mergeCell ref="LXU49:LXX49"/>
    <mergeCell ref="LXY49:LYB49"/>
    <mergeCell ref="LYC49:LYF49"/>
    <mergeCell ref="LYG49:LYJ49"/>
    <mergeCell ref="LWO49:LWR49"/>
    <mergeCell ref="LWS49:LWV49"/>
    <mergeCell ref="LWW49:LWZ49"/>
    <mergeCell ref="LXA49:LXD49"/>
    <mergeCell ref="LXE49:LXH49"/>
    <mergeCell ref="LXI49:LXL49"/>
    <mergeCell ref="MBE49:MBH49"/>
    <mergeCell ref="MBI49:MBL49"/>
    <mergeCell ref="MBM49:MBP49"/>
    <mergeCell ref="MBQ49:MBT49"/>
    <mergeCell ref="MBU49:MBX49"/>
    <mergeCell ref="MBY49:MCB49"/>
    <mergeCell ref="MAG49:MAJ49"/>
    <mergeCell ref="MAK49:MAN49"/>
    <mergeCell ref="MAO49:MAR49"/>
    <mergeCell ref="MAS49:MAV49"/>
    <mergeCell ref="MAW49:MAZ49"/>
    <mergeCell ref="MBA49:MBD49"/>
    <mergeCell ref="LZI49:LZL49"/>
    <mergeCell ref="LZM49:LZP49"/>
    <mergeCell ref="LZQ49:LZT49"/>
    <mergeCell ref="LZU49:LZX49"/>
    <mergeCell ref="LZY49:MAB49"/>
    <mergeCell ref="MAC49:MAF49"/>
    <mergeCell ref="MDY49:MEB49"/>
    <mergeCell ref="MEC49:MEF49"/>
    <mergeCell ref="MEG49:MEJ49"/>
    <mergeCell ref="MEK49:MEN49"/>
    <mergeCell ref="MEO49:MER49"/>
    <mergeCell ref="MES49:MEV49"/>
    <mergeCell ref="MDA49:MDD49"/>
    <mergeCell ref="MDE49:MDH49"/>
    <mergeCell ref="MDI49:MDL49"/>
    <mergeCell ref="MDM49:MDP49"/>
    <mergeCell ref="MDQ49:MDT49"/>
    <mergeCell ref="MDU49:MDX49"/>
    <mergeCell ref="MCC49:MCF49"/>
    <mergeCell ref="MCG49:MCJ49"/>
    <mergeCell ref="MCK49:MCN49"/>
    <mergeCell ref="MCO49:MCR49"/>
    <mergeCell ref="MCS49:MCV49"/>
    <mergeCell ref="MCW49:MCZ49"/>
    <mergeCell ref="MGS49:MGV49"/>
    <mergeCell ref="MGW49:MGZ49"/>
    <mergeCell ref="MHA49:MHD49"/>
    <mergeCell ref="MHE49:MHH49"/>
    <mergeCell ref="MHI49:MHL49"/>
    <mergeCell ref="MHM49:MHP49"/>
    <mergeCell ref="MFU49:MFX49"/>
    <mergeCell ref="MFY49:MGB49"/>
    <mergeCell ref="MGC49:MGF49"/>
    <mergeCell ref="MGG49:MGJ49"/>
    <mergeCell ref="MGK49:MGN49"/>
    <mergeCell ref="MGO49:MGR49"/>
    <mergeCell ref="MEW49:MEZ49"/>
    <mergeCell ref="MFA49:MFD49"/>
    <mergeCell ref="MFE49:MFH49"/>
    <mergeCell ref="MFI49:MFL49"/>
    <mergeCell ref="MFM49:MFP49"/>
    <mergeCell ref="MFQ49:MFT49"/>
    <mergeCell ref="MJM49:MJP49"/>
    <mergeCell ref="MJQ49:MJT49"/>
    <mergeCell ref="MJU49:MJX49"/>
    <mergeCell ref="MJY49:MKB49"/>
    <mergeCell ref="MKC49:MKF49"/>
    <mergeCell ref="MKG49:MKJ49"/>
    <mergeCell ref="MIO49:MIR49"/>
    <mergeCell ref="MIS49:MIV49"/>
    <mergeCell ref="MIW49:MIZ49"/>
    <mergeCell ref="MJA49:MJD49"/>
    <mergeCell ref="MJE49:MJH49"/>
    <mergeCell ref="MJI49:MJL49"/>
    <mergeCell ref="MHQ49:MHT49"/>
    <mergeCell ref="MHU49:MHX49"/>
    <mergeCell ref="MHY49:MIB49"/>
    <mergeCell ref="MIC49:MIF49"/>
    <mergeCell ref="MIG49:MIJ49"/>
    <mergeCell ref="MIK49:MIN49"/>
    <mergeCell ref="MMG49:MMJ49"/>
    <mergeCell ref="MMK49:MMN49"/>
    <mergeCell ref="MMO49:MMR49"/>
    <mergeCell ref="MMS49:MMV49"/>
    <mergeCell ref="MMW49:MMZ49"/>
    <mergeCell ref="MNA49:MND49"/>
    <mergeCell ref="MLI49:MLL49"/>
    <mergeCell ref="MLM49:MLP49"/>
    <mergeCell ref="MLQ49:MLT49"/>
    <mergeCell ref="MLU49:MLX49"/>
    <mergeCell ref="MLY49:MMB49"/>
    <mergeCell ref="MMC49:MMF49"/>
    <mergeCell ref="MKK49:MKN49"/>
    <mergeCell ref="MKO49:MKR49"/>
    <mergeCell ref="MKS49:MKV49"/>
    <mergeCell ref="MKW49:MKZ49"/>
    <mergeCell ref="MLA49:MLD49"/>
    <mergeCell ref="MLE49:MLH49"/>
    <mergeCell ref="MPA49:MPD49"/>
    <mergeCell ref="MPE49:MPH49"/>
    <mergeCell ref="MPI49:MPL49"/>
    <mergeCell ref="MPM49:MPP49"/>
    <mergeCell ref="MPQ49:MPT49"/>
    <mergeCell ref="MPU49:MPX49"/>
    <mergeCell ref="MOC49:MOF49"/>
    <mergeCell ref="MOG49:MOJ49"/>
    <mergeCell ref="MOK49:MON49"/>
    <mergeCell ref="MOO49:MOR49"/>
    <mergeCell ref="MOS49:MOV49"/>
    <mergeCell ref="MOW49:MOZ49"/>
    <mergeCell ref="MNE49:MNH49"/>
    <mergeCell ref="MNI49:MNL49"/>
    <mergeCell ref="MNM49:MNP49"/>
    <mergeCell ref="MNQ49:MNT49"/>
    <mergeCell ref="MNU49:MNX49"/>
    <mergeCell ref="MNY49:MOB49"/>
    <mergeCell ref="MRU49:MRX49"/>
    <mergeCell ref="MRY49:MSB49"/>
    <mergeCell ref="MSC49:MSF49"/>
    <mergeCell ref="MSG49:MSJ49"/>
    <mergeCell ref="MSK49:MSN49"/>
    <mergeCell ref="MSO49:MSR49"/>
    <mergeCell ref="MQW49:MQZ49"/>
    <mergeCell ref="MRA49:MRD49"/>
    <mergeCell ref="MRE49:MRH49"/>
    <mergeCell ref="MRI49:MRL49"/>
    <mergeCell ref="MRM49:MRP49"/>
    <mergeCell ref="MRQ49:MRT49"/>
    <mergeCell ref="MPY49:MQB49"/>
    <mergeCell ref="MQC49:MQF49"/>
    <mergeCell ref="MQG49:MQJ49"/>
    <mergeCell ref="MQK49:MQN49"/>
    <mergeCell ref="MQO49:MQR49"/>
    <mergeCell ref="MQS49:MQV49"/>
    <mergeCell ref="MUO49:MUR49"/>
    <mergeCell ref="MUS49:MUV49"/>
    <mergeCell ref="MUW49:MUZ49"/>
    <mergeCell ref="MVA49:MVD49"/>
    <mergeCell ref="MVE49:MVH49"/>
    <mergeCell ref="MVI49:MVL49"/>
    <mergeCell ref="MTQ49:MTT49"/>
    <mergeCell ref="MTU49:MTX49"/>
    <mergeCell ref="MTY49:MUB49"/>
    <mergeCell ref="MUC49:MUF49"/>
    <mergeCell ref="MUG49:MUJ49"/>
    <mergeCell ref="MUK49:MUN49"/>
    <mergeCell ref="MSS49:MSV49"/>
    <mergeCell ref="MSW49:MSZ49"/>
    <mergeCell ref="MTA49:MTD49"/>
    <mergeCell ref="MTE49:MTH49"/>
    <mergeCell ref="MTI49:MTL49"/>
    <mergeCell ref="MTM49:MTP49"/>
    <mergeCell ref="MXI49:MXL49"/>
    <mergeCell ref="MXM49:MXP49"/>
    <mergeCell ref="MXQ49:MXT49"/>
    <mergeCell ref="MXU49:MXX49"/>
    <mergeCell ref="MXY49:MYB49"/>
    <mergeCell ref="MYC49:MYF49"/>
    <mergeCell ref="MWK49:MWN49"/>
    <mergeCell ref="MWO49:MWR49"/>
    <mergeCell ref="MWS49:MWV49"/>
    <mergeCell ref="MWW49:MWZ49"/>
    <mergeCell ref="MXA49:MXD49"/>
    <mergeCell ref="MXE49:MXH49"/>
    <mergeCell ref="MVM49:MVP49"/>
    <mergeCell ref="MVQ49:MVT49"/>
    <mergeCell ref="MVU49:MVX49"/>
    <mergeCell ref="MVY49:MWB49"/>
    <mergeCell ref="MWC49:MWF49"/>
    <mergeCell ref="MWG49:MWJ49"/>
    <mergeCell ref="NAC49:NAF49"/>
    <mergeCell ref="NAG49:NAJ49"/>
    <mergeCell ref="NAK49:NAN49"/>
    <mergeCell ref="NAO49:NAR49"/>
    <mergeCell ref="NAS49:NAV49"/>
    <mergeCell ref="NAW49:NAZ49"/>
    <mergeCell ref="MZE49:MZH49"/>
    <mergeCell ref="MZI49:MZL49"/>
    <mergeCell ref="MZM49:MZP49"/>
    <mergeCell ref="MZQ49:MZT49"/>
    <mergeCell ref="MZU49:MZX49"/>
    <mergeCell ref="MZY49:NAB49"/>
    <mergeCell ref="MYG49:MYJ49"/>
    <mergeCell ref="MYK49:MYN49"/>
    <mergeCell ref="MYO49:MYR49"/>
    <mergeCell ref="MYS49:MYV49"/>
    <mergeCell ref="MYW49:MYZ49"/>
    <mergeCell ref="MZA49:MZD49"/>
    <mergeCell ref="NCW49:NCZ49"/>
    <mergeCell ref="NDA49:NDD49"/>
    <mergeCell ref="NDE49:NDH49"/>
    <mergeCell ref="NDI49:NDL49"/>
    <mergeCell ref="NDM49:NDP49"/>
    <mergeCell ref="NDQ49:NDT49"/>
    <mergeCell ref="NBY49:NCB49"/>
    <mergeCell ref="NCC49:NCF49"/>
    <mergeCell ref="NCG49:NCJ49"/>
    <mergeCell ref="NCK49:NCN49"/>
    <mergeCell ref="NCO49:NCR49"/>
    <mergeCell ref="NCS49:NCV49"/>
    <mergeCell ref="NBA49:NBD49"/>
    <mergeCell ref="NBE49:NBH49"/>
    <mergeCell ref="NBI49:NBL49"/>
    <mergeCell ref="NBM49:NBP49"/>
    <mergeCell ref="NBQ49:NBT49"/>
    <mergeCell ref="NBU49:NBX49"/>
    <mergeCell ref="NFQ49:NFT49"/>
    <mergeCell ref="NFU49:NFX49"/>
    <mergeCell ref="NFY49:NGB49"/>
    <mergeCell ref="NGC49:NGF49"/>
    <mergeCell ref="NGG49:NGJ49"/>
    <mergeCell ref="NGK49:NGN49"/>
    <mergeCell ref="NES49:NEV49"/>
    <mergeCell ref="NEW49:NEZ49"/>
    <mergeCell ref="NFA49:NFD49"/>
    <mergeCell ref="NFE49:NFH49"/>
    <mergeCell ref="NFI49:NFL49"/>
    <mergeCell ref="NFM49:NFP49"/>
    <mergeCell ref="NDU49:NDX49"/>
    <mergeCell ref="NDY49:NEB49"/>
    <mergeCell ref="NEC49:NEF49"/>
    <mergeCell ref="NEG49:NEJ49"/>
    <mergeCell ref="NEK49:NEN49"/>
    <mergeCell ref="NEO49:NER49"/>
    <mergeCell ref="NIK49:NIN49"/>
    <mergeCell ref="NIO49:NIR49"/>
    <mergeCell ref="NIS49:NIV49"/>
    <mergeCell ref="NIW49:NIZ49"/>
    <mergeCell ref="NJA49:NJD49"/>
    <mergeCell ref="NJE49:NJH49"/>
    <mergeCell ref="NHM49:NHP49"/>
    <mergeCell ref="NHQ49:NHT49"/>
    <mergeCell ref="NHU49:NHX49"/>
    <mergeCell ref="NHY49:NIB49"/>
    <mergeCell ref="NIC49:NIF49"/>
    <mergeCell ref="NIG49:NIJ49"/>
    <mergeCell ref="NGO49:NGR49"/>
    <mergeCell ref="NGS49:NGV49"/>
    <mergeCell ref="NGW49:NGZ49"/>
    <mergeCell ref="NHA49:NHD49"/>
    <mergeCell ref="NHE49:NHH49"/>
    <mergeCell ref="NHI49:NHL49"/>
    <mergeCell ref="NLE49:NLH49"/>
    <mergeCell ref="NLI49:NLL49"/>
    <mergeCell ref="NLM49:NLP49"/>
    <mergeCell ref="NLQ49:NLT49"/>
    <mergeCell ref="NLU49:NLX49"/>
    <mergeCell ref="NLY49:NMB49"/>
    <mergeCell ref="NKG49:NKJ49"/>
    <mergeCell ref="NKK49:NKN49"/>
    <mergeCell ref="NKO49:NKR49"/>
    <mergeCell ref="NKS49:NKV49"/>
    <mergeCell ref="NKW49:NKZ49"/>
    <mergeCell ref="NLA49:NLD49"/>
    <mergeCell ref="NJI49:NJL49"/>
    <mergeCell ref="NJM49:NJP49"/>
    <mergeCell ref="NJQ49:NJT49"/>
    <mergeCell ref="NJU49:NJX49"/>
    <mergeCell ref="NJY49:NKB49"/>
    <mergeCell ref="NKC49:NKF49"/>
    <mergeCell ref="NNY49:NOB49"/>
    <mergeCell ref="NOC49:NOF49"/>
    <mergeCell ref="NOG49:NOJ49"/>
    <mergeCell ref="NOK49:NON49"/>
    <mergeCell ref="NOO49:NOR49"/>
    <mergeCell ref="NOS49:NOV49"/>
    <mergeCell ref="NNA49:NND49"/>
    <mergeCell ref="NNE49:NNH49"/>
    <mergeCell ref="NNI49:NNL49"/>
    <mergeCell ref="NNM49:NNP49"/>
    <mergeCell ref="NNQ49:NNT49"/>
    <mergeCell ref="NNU49:NNX49"/>
    <mergeCell ref="NMC49:NMF49"/>
    <mergeCell ref="NMG49:NMJ49"/>
    <mergeCell ref="NMK49:NMN49"/>
    <mergeCell ref="NMO49:NMR49"/>
    <mergeCell ref="NMS49:NMV49"/>
    <mergeCell ref="NMW49:NMZ49"/>
    <mergeCell ref="NQS49:NQV49"/>
    <mergeCell ref="NQW49:NQZ49"/>
    <mergeCell ref="NRA49:NRD49"/>
    <mergeCell ref="NRE49:NRH49"/>
    <mergeCell ref="NRI49:NRL49"/>
    <mergeCell ref="NRM49:NRP49"/>
    <mergeCell ref="NPU49:NPX49"/>
    <mergeCell ref="NPY49:NQB49"/>
    <mergeCell ref="NQC49:NQF49"/>
    <mergeCell ref="NQG49:NQJ49"/>
    <mergeCell ref="NQK49:NQN49"/>
    <mergeCell ref="NQO49:NQR49"/>
    <mergeCell ref="NOW49:NOZ49"/>
    <mergeCell ref="NPA49:NPD49"/>
    <mergeCell ref="NPE49:NPH49"/>
    <mergeCell ref="NPI49:NPL49"/>
    <mergeCell ref="NPM49:NPP49"/>
    <mergeCell ref="NPQ49:NPT49"/>
    <mergeCell ref="NTM49:NTP49"/>
    <mergeCell ref="NTQ49:NTT49"/>
    <mergeCell ref="NTU49:NTX49"/>
    <mergeCell ref="NTY49:NUB49"/>
    <mergeCell ref="NUC49:NUF49"/>
    <mergeCell ref="NUG49:NUJ49"/>
    <mergeCell ref="NSO49:NSR49"/>
    <mergeCell ref="NSS49:NSV49"/>
    <mergeCell ref="NSW49:NSZ49"/>
    <mergeCell ref="NTA49:NTD49"/>
    <mergeCell ref="NTE49:NTH49"/>
    <mergeCell ref="NTI49:NTL49"/>
    <mergeCell ref="NRQ49:NRT49"/>
    <mergeCell ref="NRU49:NRX49"/>
    <mergeCell ref="NRY49:NSB49"/>
    <mergeCell ref="NSC49:NSF49"/>
    <mergeCell ref="NSG49:NSJ49"/>
    <mergeCell ref="NSK49:NSN49"/>
    <mergeCell ref="NWG49:NWJ49"/>
    <mergeCell ref="NWK49:NWN49"/>
    <mergeCell ref="NWO49:NWR49"/>
    <mergeCell ref="NWS49:NWV49"/>
    <mergeCell ref="NWW49:NWZ49"/>
    <mergeCell ref="NXA49:NXD49"/>
    <mergeCell ref="NVI49:NVL49"/>
    <mergeCell ref="NVM49:NVP49"/>
    <mergeCell ref="NVQ49:NVT49"/>
    <mergeCell ref="NVU49:NVX49"/>
    <mergeCell ref="NVY49:NWB49"/>
    <mergeCell ref="NWC49:NWF49"/>
    <mergeCell ref="NUK49:NUN49"/>
    <mergeCell ref="NUO49:NUR49"/>
    <mergeCell ref="NUS49:NUV49"/>
    <mergeCell ref="NUW49:NUZ49"/>
    <mergeCell ref="NVA49:NVD49"/>
    <mergeCell ref="NVE49:NVH49"/>
    <mergeCell ref="NZA49:NZD49"/>
    <mergeCell ref="NZE49:NZH49"/>
    <mergeCell ref="NZI49:NZL49"/>
    <mergeCell ref="NZM49:NZP49"/>
    <mergeCell ref="NZQ49:NZT49"/>
    <mergeCell ref="NZU49:NZX49"/>
    <mergeCell ref="NYC49:NYF49"/>
    <mergeCell ref="NYG49:NYJ49"/>
    <mergeCell ref="NYK49:NYN49"/>
    <mergeCell ref="NYO49:NYR49"/>
    <mergeCell ref="NYS49:NYV49"/>
    <mergeCell ref="NYW49:NYZ49"/>
    <mergeCell ref="NXE49:NXH49"/>
    <mergeCell ref="NXI49:NXL49"/>
    <mergeCell ref="NXM49:NXP49"/>
    <mergeCell ref="NXQ49:NXT49"/>
    <mergeCell ref="NXU49:NXX49"/>
    <mergeCell ref="NXY49:NYB49"/>
    <mergeCell ref="OBU49:OBX49"/>
    <mergeCell ref="OBY49:OCB49"/>
    <mergeCell ref="OCC49:OCF49"/>
    <mergeCell ref="OCG49:OCJ49"/>
    <mergeCell ref="OCK49:OCN49"/>
    <mergeCell ref="OCO49:OCR49"/>
    <mergeCell ref="OAW49:OAZ49"/>
    <mergeCell ref="OBA49:OBD49"/>
    <mergeCell ref="OBE49:OBH49"/>
    <mergeCell ref="OBI49:OBL49"/>
    <mergeCell ref="OBM49:OBP49"/>
    <mergeCell ref="OBQ49:OBT49"/>
    <mergeCell ref="NZY49:OAB49"/>
    <mergeCell ref="OAC49:OAF49"/>
    <mergeCell ref="OAG49:OAJ49"/>
    <mergeCell ref="OAK49:OAN49"/>
    <mergeCell ref="OAO49:OAR49"/>
    <mergeCell ref="OAS49:OAV49"/>
    <mergeCell ref="OEO49:OER49"/>
    <mergeCell ref="OES49:OEV49"/>
    <mergeCell ref="OEW49:OEZ49"/>
    <mergeCell ref="OFA49:OFD49"/>
    <mergeCell ref="OFE49:OFH49"/>
    <mergeCell ref="OFI49:OFL49"/>
    <mergeCell ref="ODQ49:ODT49"/>
    <mergeCell ref="ODU49:ODX49"/>
    <mergeCell ref="ODY49:OEB49"/>
    <mergeCell ref="OEC49:OEF49"/>
    <mergeCell ref="OEG49:OEJ49"/>
    <mergeCell ref="OEK49:OEN49"/>
    <mergeCell ref="OCS49:OCV49"/>
    <mergeCell ref="OCW49:OCZ49"/>
    <mergeCell ref="ODA49:ODD49"/>
    <mergeCell ref="ODE49:ODH49"/>
    <mergeCell ref="ODI49:ODL49"/>
    <mergeCell ref="ODM49:ODP49"/>
    <mergeCell ref="OHI49:OHL49"/>
    <mergeCell ref="OHM49:OHP49"/>
    <mergeCell ref="OHQ49:OHT49"/>
    <mergeCell ref="OHU49:OHX49"/>
    <mergeCell ref="OHY49:OIB49"/>
    <mergeCell ref="OIC49:OIF49"/>
    <mergeCell ref="OGK49:OGN49"/>
    <mergeCell ref="OGO49:OGR49"/>
    <mergeCell ref="OGS49:OGV49"/>
    <mergeCell ref="OGW49:OGZ49"/>
    <mergeCell ref="OHA49:OHD49"/>
    <mergeCell ref="OHE49:OHH49"/>
    <mergeCell ref="OFM49:OFP49"/>
    <mergeCell ref="OFQ49:OFT49"/>
    <mergeCell ref="OFU49:OFX49"/>
    <mergeCell ref="OFY49:OGB49"/>
    <mergeCell ref="OGC49:OGF49"/>
    <mergeCell ref="OGG49:OGJ49"/>
    <mergeCell ref="OKC49:OKF49"/>
    <mergeCell ref="OKG49:OKJ49"/>
    <mergeCell ref="OKK49:OKN49"/>
    <mergeCell ref="OKO49:OKR49"/>
    <mergeCell ref="OKS49:OKV49"/>
    <mergeCell ref="OKW49:OKZ49"/>
    <mergeCell ref="OJE49:OJH49"/>
    <mergeCell ref="OJI49:OJL49"/>
    <mergeCell ref="OJM49:OJP49"/>
    <mergeCell ref="OJQ49:OJT49"/>
    <mergeCell ref="OJU49:OJX49"/>
    <mergeCell ref="OJY49:OKB49"/>
    <mergeCell ref="OIG49:OIJ49"/>
    <mergeCell ref="OIK49:OIN49"/>
    <mergeCell ref="OIO49:OIR49"/>
    <mergeCell ref="OIS49:OIV49"/>
    <mergeCell ref="OIW49:OIZ49"/>
    <mergeCell ref="OJA49:OJD49"/>
    <mergeCell ref="OMW49:OMZ49"/>
    <mergeCell ref="ONA49:OND49"/>
    <mergeCell ref="ONE49:ONH49"/>
    <mergeCell ref="ONI49:ONL49"/>
    <mergeCell ref="ONM49:ONP49"/>
    <mergeCell ref="ONQ49:ONT49"/>
    <mergeCell ref="OLY49:OMB49"/>
    <mergeCell ref="OMC49:OMF49"/>
    <mergeCell ref="OMG49:OMJ49"/>
    <mergeCell ref="OMK49:OMN49"/>
    <mergeCell ref="OMO49:OMR49"/>
    <mergeCell ref="OMS49:OMV49"/>
    <mergeCell ref="OLA49:OLD49"/>
    <mergeCell ref="OLE49:OLH49"/>
    <mergeCell ref="OLI49:OLL49"/>
    <mergeCell ref="OLM49:OLP49"/>
    <mergeCell ref="OLQ49:OLT49"/>
    <mergeCell ref="OLU49:OLX49"/>
    <mergeCell ref="OPQ49:OPT49"/>
    <mergeCell ref="OPU49:OPX49"/>
    <mergeCell ref="OPY49:OQB49"/>
    <mergeCell ref="OQC49:OQF49"/>
    <mergeCell ref="OQG49:OQJ49"/>
    <mergeCell ref="OQK49:OQN49"/>
    <mergeCell ref="OOS49:OOV49"/>
    <mergeCell ref="OOW49:OOZ49"/>
    <mergeCell ref="OPA49:OPD49"/>
    <mergeCell ref="OPE49:OPH49"/>
    <mergeCell ref="OPI49:OPL49"/>
    <mergeCell ref="OPM49:OPP49"/>
    <mergeCell ref="ONU49:ONX49"/>
    <mergeCell ref="ONY49:OOB49"/>
    <mergeCell ref="OOC49:OOF49"/>
    <mergeCell ref="OOG49:OOJ49"/>
    <mergeCell ref="OOK49:OON49"/>
    <mergeCell ref="OOO49:OOR49"/>
    <mergeCell ref="OSK49:OSN49"/>
    <mergeCell ref="OSO49:OSR49"/>
    <mergeCell ref="OSS49:OSV49"/>
    <mergeCell ref="OSW49:OSZ49"/>
    <mergeCell ref="OTA49:OTD49"/>
    <mergeCell ref="OTE49:OTH49"/>
    <mergeCell ref="ORM49:ORP49"/>
    <mergeCell ref="ORQ49:ORT49"/>
    <mergeCell ref="ORU49:ORX49"/>
    <mergeCell ref="ORY49:OSB49"/>
    <mergeCell ref="OSC49:OSF49"/>
    <mergeCell ref="OSG49:OSJ49"/>
    <mergeCell ref="OQO49:OQR49"/>
    <mergeCell ref="OQS49:OQV49"/>
    <mergeCell ref="OQW49:OQZ49"/>
    <mergeCell ref="ORA49:ORD49"/>
    <mergeCell ref="ORE49:ORH49"/>
    <mergeCell ref="ORI49:ORL49"/>
    <mergeCell ref="OVE49:OVH49"/>
    <mergeCell ref="OVI49:OVL49"/>
    <mergeCell ref="OVM49:OVP49"/>
    <mergeCell ref="OVQ49:OVT49"/>
    <mergeCell ref="OVU49:OVX49"/>
    <mergeCell ref="OVY49:OWB49"/>
    <mergeCell ref="OUG49:OUJ49"/>
    <mergeCell ref="OUK49:OUN49"/>
    <mergeCell ref="OUO49:OUR49"/>
    <mergeCell ref="OUS49:OUV49"/>
    <mergeCell ref="OUW49:OUZ49"/>
    <mergeCell ref="OVA49:OVD49"/>
    <mergeCell ref="OTI49:OTL49"/>
    <mergeCell ref="OTM49:OTP49"/>
    <mergeCell ref="OTQ49:OTT49"/>
    <mergeCell ref="OTU49:OTX49"/>
    <mergeCell ref="OTY49:OUB49"/>
    <mergeCell ref="OUC49:OUF49"/>
    <mergeCell ref="OXY49:OYB49"/>
    <mergeCell ref="OYC49:OYF49"/>
    <mergeCell ref="OYG49:OYJ49"/>
    <mergeCell ref="OYK49:OYN49"/>
    <mergeCell ref="OYO49:OYR49"/>
    <mergeCell ref="OYS49:OYV49"/>
    <mergeCell ref="OXA49:OXD49"/>
    <mergeCell ref="OXE49:OXH49"/>
    <mergeCell ref="OXI49:OXL49"/>
    <mergeCell ref="OXM49:OXP49"/>
    <mergeCell ref="OXQ49:OXT49"/>
    <mergeCell ref="OXU49:OXX49"/>
    <mergeCell ref="OWC49:OWF49"/>
    <mergeCell ref="OWG49:OWJ49"/>
    <mergeCell ref="OWK49:OWN49"/>
    <mergeCell ref="OWO49:OWR49"/>
    <mergeCell ref="OWS49:OWV49"/>
    <mergeCell ref="OWW49:OWZ49"/>
    <mergeCell ref="PAS49:PAV49"/>
    <mergeCell ref="PAW49:PAZ49"/>
    <mergeCell ref="PBA49:PBD49"/>
    <mergeCell ref="PBE49:PBH49"/>
    <mergeCell ref="PBI49:PBL49"/>
    <mergeCell ref="PBM49:PBP49"/>
    <mergeCell ref="OZU49:OZX49"/>
    <mergeCell ref="OZY49:PAB49"/>
    <mergeCell ref="PAC49:PAF49"/>
    <mergeCell ref="PAG49:PAJ49"/>
    <mergeCell ref="PAK49:PAN49"/>
    <mergeCell ref="PAO49:PAR49"/>
    <mergeCell ref="OYW49:OYZ49"/>
    <mergeCell ref="OZA49:OZD49"/>
    <mergeCell ref="OZE49:OZH49"/>
    <mergeCell ref="OZI49:OZL49"/>
    <mergeCell ref="OZM49:OZP49"/>
    <mergeCell ref="OZQ49:OZT49"/>
    <mergeCell ref="PDM49:PDP49"/>
    <mergeCell ref="PDQ49:PDT49"/>
    <mergeCell ref="PDU49:PDX49"/>
    <mergeCell ref="PDY49:PEB49"/>
    <mergeCell ref="PEC49:PEF49"/>
    <mergeCell ref="PEG49:PEJ49"/>
    <mergeCell ref="PCO49:PCR49"/>
    <mergeCell ref="PCS49:PCV49"/>
    <mergeCell ref="PCW49:PCZ49"/>
    <mergeCell ref="PDA49:PDD49"/>
    <mergeCell ref="PDE49:PDH49"/>
    <mergeCell ref="PDI49:PDL49"/>
    <mergeCell ref="PBQ49:PBT49"/>
    <mergeCell ref="PBU49:PBX49"/>
    <mergeCell ref="PBY49:PCB49"/>
    <mergeCell ref="PCC49:PCF49"/>
    <mergeCell ref="PCG49:PCJ49"/>
    <mergeCell ref="PCK49:PCN49"/>
    <mergeCell ref="PGG49:PGJ49"/>
    <mergeCell ref="PGK49:PGN49"/>
    <mergeCell ref="PGO49:PGR49"/>
    <mergeCell ref="PGS49:PGV49"/>
    <mergeCell ref="PGW49:PGZ49"/>
    <mergeCell ref="PHA49:PHD49"/>
    <mergeCell ref="PFI49:PFL49"/>
    <mergeCell ref="PFM49:PFP49"/>
    <mergeCell ref="PFQ49:PFT49"/>
    <mergeCell ref="PFU49:PFX49"/>
    <mergeCell ref="PFY49:PGB49"/>
    <mergeCell ref="PGC49:PGF49"/>
    <mergeCell ref="PEK49:PEN49"/>
    <mergeCell ref="PEO49:PER49"/>
    <mergeCell ref="PES49:PEV49"/>
    <mergeCell ref="PEW49:PEZ49"/>
    <mergeCell ref="PFA49:PFD49"/>
    <mergeCell ref="PFE49:PFH49"/>
    <mergeCell ref="PJA49:PJD49"/>
    <mergeCell ref="PJE49:PJH49"/>
    <mergeCell ref="PJI49:PJL49"/>
    <mergeCell ref="PJM49:PJP49"/>
    <mergeCell ref="PJQ49:PJT49"/>
    <mergeCell ref="PJU49:PJX49"/>
    <mergeCell ref="PIC49:PIF49"/>
    <mergeCell ref="PIG49:PIJ49"/>
    <mergeCell ref="PIK49:PIN49"/>
    <mergeCell ref="PIO49:PIR49"/>
    <mergeCell ref="PIS49:PIV49"/>
    <mergeCell ref="PIW49:PIZ49"/>
    <mergeCell ref="PHE49:PHH49"/>
    <mergeCell ref="PHI49:PHL49"/>
    <mergeCell ref="PHM49:PHP49"/>
    <mergeCell ref="PHQ49:PHT49"/>
    <mergeCell ref="PHU49:PHX49"/>
    <mergeCell ref="PHY49:PIB49"/>
    <mergeCell ref="PLU49:PLX49"/>
    <mergeCell ref="PLY49:PMB49"/>
    <mergeCell ref="PMC49:PMF49"/>
    <mergeCell ref="PMG49:PMJ49"/>
    <mergeCell ref="PMK49:PMN49"/>
    <mergeCell ref="PMO49:PMR49"/>
    <mergeCell ref="PKW49:PKZ49"/>
    <mergeCell ref="PLA49:PLD49"/>
    <mergeCell ref="PLE49:PLH49"/>
    <mergeCell ref="PLI49:PLL49"/>
    <mergeCell ref="PLM49:PLP49"/>
    <mergeCell ref="PLQ49:PLT49"/>
    <mergeCell ref="PJY49:PKB49"/>
    <mergeCell ref="PKC49:PKF49"/>
    <mergeCell ref="PKG49:PKJ49"/>
    <mergeCell ref="PKK49:PKN49"/>
    <mergeCell ref="PKO49:PKR49"/>
    <mergeCell ref="PKS49:PKV49"/>
    <mergeCell ref="POO49:POR49"/>
    <mergeCell ref="POS49:POV49"/>
    <mergeCell ref="POW49:POZ49"/>
    <mergeCell ref="PPA49:PPD49"/>
    <mergeCell ref="PPE49:PPH49"/>
    <mergeCell ref="PPI49:PPL49"/>
    <mergeCell ref="PNQ49:PNT49"/>
    <mergeCell ref="PNU49:PNX49"/>
    <mergeCell ref="PNY49:POB49"/>
    <mergeCell ref="POC49:POF49"/>
    <mergeCell ref="POG49:POJ49"/>
    <mergeCell ref="POK49:PON49"/>
    <mergeCell ref="PMS49:PMV49"/>
    <mergeCell ref="PMW49:PMZ49"/>
    <mergeCell ref="PNA49:PND49"/>
    <mergeCell ref="PNE49:PNH49"/>
    <mergeCell ref="PNI49:PNL49"/>
    <mergeCell ref="PNM49:PNP49"/>
    <mergeCell ref="PRI49:PRL49"/>
    <mergeCell ref="PRM49:PRP49"/>
    <mergeCell ref="PRQ49:PRT49"/>
    <mergeCell ref="PRU49:PRX49"/>
    <mergeCell ref="PRY49:PSB49"/>
    <mergeCell ref="PSC49:PSF49"/>
    <mergeCell ref="PQK49:PQN49"/>
    <mergeCell ref="PQO49:PQR49"/>
    <mergeCell ref="PQS49:PQV49"/>
    <mergeCell ref="PQW49:PQZ49"/>
    <mergeCell ref="PRA49:PRD49"/>
    <mergeCell ref="PRE49:PRH49"/>
    <mergeCell ref="PPM49:PPP49"/>
    <mergeCell ref="PPQ49:PPT49"/>
    <mergeCell ref="PPU49:PPX49"/>
    <mergeCell ref="PPY49:PQB49"/>
    <mergeCell ref="PQC49:PQF49"/>
    <mergeCell ref="PQG49:PQJ49"/>
    <mergeCell ref="PUC49:PUF49"/>
    <mergeCell ref="PUG49:PUJ49"/>
    <mergeCell ref="PUK49:PUN49"/>
    <mergeCell ref="PUO49:PUR49"/>
    <mergeCell ref="PUS49:PUV49"/>
    <mergeCell ref="PUW49:PUZ49"/>
    <mergeCell ref="PTE49:PTH49"/>
    <mergeCell ref="PTI49:PTL49"/>
    <mergeCell ref="PTM49:PTP49"/>
    <mergeCell ref="PTQ49:PTT49"/>
    <mergeCell ref="PTU49:PTX49"/>
    <mergeCell ref="PTY49:PUB49"/>
    <mergeCell ref="PSG49:PSJ49"/>
    <mergeCell ref="PSK49:PSN49"/>
    <mergeCell ref="PSO49:PSR49"/>
    <mergeCell ref="PSS49:PSV49"/>
    <mergeCell ref="PSW49:PSZ49"/>
    <mergeCell ref="PTA49:PTD49"/>
    <mergeCell ref="PWW49:PWZ49"/>
    <mergeCell ref="PXA49:PXD49"/>
    <mergeCell ref="PXE49:PXH49"/>
    <mergeCell ref="PXI49:PXL49"/>
    <mergeCell ref="PXM49:PXP49"/>
    <mergeCell ref="PXQ49:PXT49"/>
    <mergeCell ref="PVY49:PWB49"/>
    <mergeCell ref="PWC49:PWF49"/>
    <mergeCell ref="PWG49:PWJ49"/>
    <mergeCell ref="PWK49:PWN49"/>
    <mergeCell ref="PWO49:PWR49"/>
    <mergeCell ref="PWS49:PWV49"/>
    <mergeCell ref="PVA49:PVD49"/>
    <mergeCell ref="PVE49:PVH49"/>
    <mergeCell ref="PVI49:PVL49"/>
    <mergeCell ref="PVM49:PVP49"/>
    <mergeCell ref="PVQ49:PVT49"/>
    <mergeCell ref="PVU49:PVX49"/>
    <mergeCell ref="PZQ49:PZT49"/>
    <mergeCell ref="PZU49:PZX49"/>
    <mergeCell ref="PZY49:QAB49"/>
    <mergeCell ref="QAC49:QAF49"/>
    <mergeCell ref="QAG49:QAJ49"/>
    <mergeCell ref="QAK49:QAN49"/>
    <mergeCell ref="PYS49:PYV49"/>
    <mergeCell ref="PYW49:PYZ49"/>
    <mergeCell ref="PZA49:PZD49"/>
    <mergeCell ref="PZE49:PZH49"/>
    <mergeCell ref="PZI49:PZL49"/>
    <mergeCell ref="PZM49:PZP49"/>
    <mergeCell ref="PXU49:PXX49"/>
    <mergeCell ref="PXY49:PYB49"/>
    <mergeCell ref="PYC49:PYF49"/>
    <mergeCell ref="PYG49:PYJ49"/>
    <mergeCell ref="PYK49:PYN49"/>
    <mergeCell ref="PYO49:PYR49"/>
    <mergeCell ref="QCK49:QCN49"/>
    <mergeCell ref="QCO49:QCR49"/>
    <mergeCell ref="QCS49:QCV49"/>
    <mergeCell ref="QCW49:QCZ49"/>
    <mergeCell ref="QDA49:QDD49"/>
    <mergeCell ref="QDE49:QDH49"/>
    <mergeCell ref="QBM49:QBP49"/>
    <mergeCell ref="QBQ49:QBT49"/>
    <mergeCell ref="QBU49:QBX49"/>
    <mergeCell ref="QBY49:QCB49"/>
    <mergeCell ref="QCC49:QCF49"/>
    <mergeCell ref="QCG49:QCJ49"/>
    <mergeCell ref="QAO49:QAR49"/>
    <mergeCell ref="QAS49:QAV49"/>
    <mergeCell ref="QAW49:QAZ49"/>
    <mergeCell ref="QBA49:QBD49"/>
    <mergeCell ref="QBE49:QBH49"/>
    <mergeCell ref="QBI49:QBL49"/>
    <mergeCell ref="QFE49:QFH49"/>
    <mergeCell ref="QFI49:QFL49"/>
    <mergeCell ref="QFM49:QFP49"/>
    <mergeCell ref="QFQ49:QFT49"/>
    <mergeCell ref="QFU49:QFX49"/>
    <mergeCell ref="QFY49:QGB49"/>
    <mergeCell ref="QEG49:QEJ49"/>
    <mergeCell ref="QEK49:QEN49"/>
    <mergeCell ref="QEO49:QER49"/>
    <mergeCell ref="QES49:QEV49"/>
    <mergeCell ref="QEW49:QEZ49"/>
    <mergeCell ref="QFA49:QFD49"/>
    <mergeCell ref="QDI49:QDL49"/>
    <mergeCell ref="QDM49:QDP49"/>
    <mergeCell ref="QDQ49:QDT49"/>
    <mergeCell ref="QDU49:QDX49"/>
    <mergeCell ref="QDY49:QEB49"/>
    <mergeCell ref="QEC49:QEF49"/>
    <mergeCell ref="QHY49:QIB49"/>
    <mergeCell ref="QIC49:QIF49"/>
    <mergeCell ref="QIG49:QIJ49"/>
    <mergeCell ref="QIK49:QIN49"/>
    <mergeCell ref="QIO49:QIR49"/>
    <mergeCell ref="QIS49:QIV49"/>
    <mergeCell ref="QHA49:QHD49"/>
    <mergeCell ref="QHE49:QHH49"/>
    <mergeCell ref="QHI49:QHL49"/>
    <mergeCell ref="QHM49:QHP49"/>
    <mergeCell ref="QHQ49:QHT49"/>
    <mergeCell ref="QHU49:QHX49"/>
    <mergeCell ref="QGC49:QGF49"/>
    <mergeCell ref="QGG49:QGJ49"/>
    <mergeCell ref="QGK49:QGN49"/>
    <mergeCell ref="QGO49:QGR49"/>
    <mergeCell ref="QGS49:QGV49"/>
    <mergeCell ref="QGW49:QGZ49"/>
    <mergeCell ref="QKS49:QKV49"/>
    <mergeCell ref="QKW49:QKZ49"/>
    <mergeCell ref="QLA49:QLD49"/>
    <mergeCell ref="QLE49:QLH49"/>
    <mergeCell ref="QLI49:QLL49"/>
    <mergeCell ref="QLM49:QLP49"/>
    <mergeCell ref="QJU49:QJX49"/>
    <mergeCell ref="QJY49:QKB49"/>
    <mergeCell ref="QKC49:QKF49"/>
    <mergeCell ref="QKG49:QKJ49"/>
    <mergeCell ref="QKK49:QKN49"/>
    <mergeCell ref="QKO49:QKR49"/>
    <mergeCell ref="QIW49:QIZ49"/>
    <mergeCell ref="QJA49:QJD49"/>
    <mergeCell ref="QJE49:QJH49"/>
    <mergeCell ref="QJI49:QJL49"/>
    <mergeCell ref="QJM49:QJP49"/>
    <mergeCell ref="QJQ49:QJT49"/>
    <mergeCell ref="QNM49:QNP49"/>
    <mergeCell ref="QNQ49:QNT49"/>
    <mergeCell ref="QNU49:QNX49"/>
    <mergeCell ref="QNY49:QOB49"/>
    <mergeCell ref="QOC49:QOF49"/>
    <mergeCell ref="QOG49:QOJ49"/>
    <mergeCell ref="QMO49:QMR49"/>
    <mergeCell ref="QMS49:QMV49"/>
    <mergeCell ref="QMW49:QMZ49"/>
    <mergeCell ref="QNA49:QND49"/>
    <mergeCell ref="QNE49:QNH49"/>
    <mergeCell ref="QNI49:QNL49"/>
    <mergeCell ref="QLQ49:QLT49"/>
    <mergeCell ref="QLU49:QLX49"/>
    <mergeCell ref="QLY49:QMB49"/>
    <mergeCell ref="QMC49:QMF49"/>
    <mergeCell ref="QMG49:QMJ49"/>
    <mergeCell ref="QMK49:QMN49"/>
    <mergeCell ref="QQG49:QQJ49"/>
    <mergeCell ref="QQK49:QQN49"/>
    <mergeCell ref="QQO49:QQR49"/>
    <mergeCell ref="QQS49:QQV49"/>
    <mergeCell ref="QQW49:QQZ49"/>
    <mergeCell ref="QRA49:QRD49"/>
    <mergeCell ref="QPI49:QPL49"/>
    <mergeCell ref="QPM49:QPP49"/>
    <mergeCell ref="QPQ49:QPT49"/>
    <mergeCell ref="QPU49:QPX49"/>
    <mergeCell ref="QPY49:QQB49"/>
    <mergeCell ref="QQC49:QQF49"/>
    <mergeCell ref="QOK49:QON49"/>
    <mergeCell ref="QOO49:QOR49"/>
    <mergeCell ref="QOS49:QOV49"/>
    <mergeCell ref="QOW49:QOZ49"/>
    <mergeCell ref="QPA49:QPD49"/>
    <mergeCell ref="QPE49:QPH49"/>
    <mergeCell ref="QTA49:QTD49"/>
    <mergeCell ref="QTE49:QTH49"/>
    <mergeCell ref="QTI49:QTL49"/>
    <mergeCell ref="QTM49:QTP49"/>
    <mergeCell ref="QTQ49:QTT49"/>
    <mergeCell ref="QTU49:QTX49"/>
    <mergeCell ref="QSC49:QSF49"/>
    <mergeCell ref="QSG49:QSJ49"/>
    <mergeCell ref="QSK49:QSN49"/>
    <mergeCell ref="QSO49:QSR49"/>
    <mergeCell ref="QSS49:QSV49"/>
    <mergeCell ref="QSW49:QSZ49"/>
    <mergeCell ref="QRE49:QRH49"/>
    <mergeCell ref="QRI49:QRL49"/>
    <mergeCell ref="QRM49:QRP49"/>
    <mergeCell ref="QRQ49:QRT49"/>
    <mergeCell ref="QRU49:QRX49"/>
    <mergeCell ref="QRY49:QSB49"/>
    <mergeCell ref="QVU49:QVX49"/>
    <mergeCell ref="QVY49:QWB49"/>
    <mergeCell ref="QWC49:QWF49"/>
    <mergeCell ref="QWG49:QWJ49"/>
    <mergeCell ref="QWK49:QWN49"/>
    <mergeCell ref="QWO49:QWR49"/>
    <mergeCell ref="QUW49:QUZ49"/>
    <mergeCell ref="QVA49:QVD49"/>
    <mergeCell ref="QVE49:QVH49"/>
    <mergeCell ref="QVI49:QVL49"/>
    <mergeCell ref="QVM49:QVP49"/>
    <mergeCell ref="QVQ49:QVT49"/>
    <mergeCell ref="QTY49:QUB49"/>
    <mergeCell ref="QUC49:QUF49"/>
    <mergeCell ref="QUG49:QUJ49"/>
    <mergeCell ref="QUK49:QUN49"/>
    <mergeCell ref="QUO49:QUR49"/>
    <mergeCell ref="QUS49:QUV49"/>
    <mergeCell ref="QYO49:QYR49"/>
    <mergeCell ref="QYS49:QYV49"/>
    <mergeCell ref="QYW49:QYZ49"/>
    <mergeCell ref="QZA49:QZD49"/>
    <mergeCell ref="QZE49:QZH49"/>
    <mergeCell ref="QZI49:QZL49"/>
    <mergeCell ref="QXQ49:QXT49"/>
    <mergeCell ref="QXU49:QXX49"/>
    <mergeCell ref="QXY49:QYB49"/>
    <mergeCell ref="QYC49:QYF49"/>
    <mergeCell ref="QYG49:QYJ49"/>
    <mergeCell ref="QYK49:QYN49"/>
    <mergeCell ref="QWS49:QWV49"/>
    <mergeCell ref="QWW49:QWZ49"/>
    <mergeCell ref="QXA49:QXD49"/>
    <mergeCell ref="QXE49:QXH49"/>
    <mergeCell ref="QXI49:QXL49"/>
    <mergeCell ref="QXM49:QXP49"/>
    <mergeCell ref="RBI49:RBL49"/>
    <mergeCell ref="RBM49:RBP49"/>
    <mergeCell ref="RBQ49:RBT49"/>
    <mergeCell ref="RBU49:RBX49"/>
    <mergeCell ref="RBY49:RCB49"/>
    <mergeCell ref="RCC49:RCF49"/>
    <mergeCell ref="RAK49:RAN49"/>
    <mergeCell ref="RAO49:RAR49"/>
    <mergeCell ref="RAS49:RAV49"/>
    <mergeCell ref="RAW49:RAZ49"/>
    <mergeCell ref="RBA49:RBD49"/>
    <mergeCell ref="RBE49:RBH49"/>
    <mergeCell ref="QZM49:QZP49"/>
    <mergeCell ref="QZQ49:QZT49"/>
    <mergeCell ref="QZU49:QZX49"/>
    <mergeCell ref="QZY49:RAB49"/>
    <mergeCell ref="RAC49:RAF49"/>
    <mergeCell ref="RAG49:RAJ49"/>
    <mergeCell ref="REC49:REF49"/>
    <mergeCell ref="REG49:REJ49"/>
    <mergeCell ref="REK49:REN49"/>
    <mergeCell ref="REO49:RER49"/>
    <mergeCell ref="RES49:REV49"/>
    <mergeCell ref="REW49:REZ49"/>
    <mergeCell ref="RDE49:RDH49"/>
    <mergeCell ref="RDI49:RDL49"/>
    <mergeCell ref="RDM49:RDP49"/>
    <mergeCell ref="RDQ49:RDT49"/>
    <mergeCell ref="RDU49:RDX49"/>
    <mergeCell ref="RDY49:REB49"/>
    <mergeCell ref="RCG49:RCJ49"/>
    <mergeCell ref="RCK49:RCN49"/>
    <mergeCell ref="RCO49:RCR49"/>
    <mergeCell ref="RCS49:RCV49"/>
    <mergeCell ref="RCW49:RCZ49"/>
    <mergeCell ref="RDA49:RDD49"/>
    <mergeCell ref="RGW49:RGZ49"/>
    <mergeCell ref="RHA49:RHD49"/>
    <mergeCell ref="RHE49:RHH49"/>
    <mergeCell ref="RHI49:RHL49"/>
    <mergeCell ref="RHM49:RHP49"/>
    <mergeCell ref="RHQ49:RHT49"/>
    <mergeCell ref="RFY49:RGB49"/>
    <mergeCell ref="RGC49:RGF49"/>
    <mergeCell ref="RGG49:RGJ49"/>
    <mergeCell ref="RGK49:RGN49"/>
    <mergeCell ref="RGO49:RGR49"/>
    <mergeCell ref="RGS49:RGV49"/>
    <mergeCell ref="RFA49:RFD49"/>
    <mergeCell ref="RFE49:RFH49"/>
    <mergeCell ref="RFI49:RFL49"/>
    <mergeCell ref="RFM49:RFP49"/>
    <mergeCell ref="RFQ49:RFT49"/>
    <mergeCell ref="RFU49:RFX49"/>
    <mergeCell ref="RJQ49:RJT49"/>
    <mergeCell ref="RJU49:RJX49"/>
    <mergeCell ref="RJY49:RKB49"/>
    <mergeCell ref="RKC49:RKF49"/>
    <mergeCell ref="RKG49:RKJ49"/>
    <mergeCell ref="RKK49:RKN49"/>
    <mergeCell ref="RIS49:RIV49"/>
    <mergeCell ref="RIW49:RIZ49"/>
    <mergeCell ref="RJA49:RJD49"/>
    <mergeCell ref="RJE49:RJH49"/>
    <mergeCell ref="RJI49:RJL49"/>
    <mergeCell ref="RJM49:RJP49"/>
    <mergeCell ref="RHU49:RHX49"/>
    <mergeCell ref="RHY49:RIB49"/>
    <mergeCell ref="RIC49:RIF49"/>
    <mergeCell ref="RIG49:RIJ49"/>
    <mergeCell ref="RIK49:RIN49"/>
    <mergeCell ref="RIO49:RIR49"/>
    <mergeCell ref="RMK49:RMN49"/>
    <mergeCell ref="RMO49:RMR49"/>
    <mergeCell ref="RMS49:RMV49"/>
    <mergeCell ref="RMW49:RMZ49"/>
    <mergeCell ref="RNA49:RND49"/>
    <mergeCell ref="RNE49:RNH49"/>
    <mergeCell ref="RLM49:RLP49"/>
    <mergeCell ref="RLQ49:RLT49"/>
    <mergeCell ref="RLU49:RLX49"/>
    <mergeCell ref="RLY49:RMB49"/>
    <mergeCell ref="RMC49:RMF49"/>
    <mergeCell ref="RMG49:RMJ49"/>
    <mergeCell ref="RKO49:RKR49"/>
    <mergeCell ref="RKS49:RKV49"/>
    <mergeCell ref="RKW49:RKZ49"/>
    <mergeCell ref="RLA49:RLD49"/>
    <mergeCell ref="RLE49:RLH49"/>
    <mergeCell ref="RLI49:RLL49"/>
    <mergeCell ref="RPE49:RPH49"/>
    <mergeCell ref="RPI49:RPL49"/>
    <mergeCell ref="RPM49:RPP49"/>
    <mergeCell ref="RPQ49:RPT49"/>
    <mergeCell ref="RPU49:RPX49"/>
    <mergeCell ref="RPY49:RQB49"/>
    <mergeCell ref="ROG49:ROJ49"/>
    <mergeCell ref="ROK49:RON49"/>
    <mergeCell ref="ROO49:ROR49"/>
    <mergeCell ref="ROS49:ROV49"/>
    <mergeCell ref="ROW49:ROZ49"/>
    <mergeCell ref="RPA49:RPD49"/>
    <mergeCell ref="RNI49:RNL49"/>
    <mergeCell ref="RNM49:RNP49"/>
    <mergeCell ref="RNQ49:RNT49"/>
    <mergeCell ref="RNU49:RNX49"/>
    <mergeCell ref="RNY49:ROB49"/>
    <mergeCell ref="ROC49:ROF49"/>
    <mergeCell ref="RRY49:RSB49"/>
    <mergeCell ref="RSC49:RSF49"/>
    <mergeCell ref="RSG49:RSJ49"/>
    <mergeCell ref="RSK49:RSN49"/>
    <mergeCell ref="RSO49:RSR49"/>
    <mergeCell ref="RSS49:RSV49"/>
    <mergeCell ref="RRA49:RRD49"/>
    <mergeCell ref="RRE49:RRH49"/>
    <mergeCell ref="RRI49:RRL49"/>
    <mergeCell ref="RRM49:RRP49"/>
    <mergeCell ref="RRQ49:RRT49"/>
    <mergeCell ref="RRU49:RRX49"/>
    <mergeCell ref="RQC49:RQF49"/>
    <mergeCell ref="RQG49:RQJ49"/>
    <mergeCell ref="RQK49:RQN49"/>
    <mergeCell ref="RQO49:RQR49"/>
    <mergeCell ref="RQS49:RQV49"/>
    <mergeCell ref="RQW49:RQZ49"/>
    <mergeCell ref="RUS49:RUV49"/>
    <mergeCell ref="RUW49:RUZ49"/>
    <mergeCell ref="RVA49:RVD49"/>
    <mergeCell ref="RVE49:RVH49"/>
    <mergeCell ref="RVI49:RVL49"/>
    <mergeCell ref="RVM49:RVP49"/>
    <mergeCell ref="RTU49:RTX49"/>
    <mergeCell ref="RTY49:RUB49"/>
    <mergeCell ref="RUC49:RUF49"/>
    <mergeCell ref="RUG49:RUJ49"/>
    <mergeCell ref="RUK49:RUN49"/>
    <mergeCell ref="RUO49:RUR49"/>
    <mergeCell ref="RSW49:RSZ49"/>
    <mergeCell ref="RTA49:RTD49"/>
    <mergeCell ref="RTE49:RTH49"/>
    <mergeCell ref="RTI49:RTL49"/>
    <mergeCell ref="RTM49:RTP49"/>
    <mergeCell ref="RTQ49:RTT49"/>
    <mergeCell ref="RXM49:RXP49"/>
    <mergeCell ref="RXQ49:RXT49"/>
    <mergeCell ref="RXU49:RXX49"/>
    <mergeCell ref="RXY49:RYB49"/>
    <mergeCell ref="RYC49:RYF49"/>
    <mergeCell ref="RYG49:RYJ49"/>
    <mergeCell ref="RWO49:RWR49"/>
    <mergeCell ref="RWS49:RWV49"/>
    <mergeCell ref="RWW49:RWZ49"/>
    <mergeCell ref="RXA49:RXD49"/>
    <mergeCell ref="RXE49:RXH49"/>
    <mergeCell ref="RXI49:RXL49"/>
    <mergeCell ref="RVQ49:RVT49"/>
    <mergeCell ref="RVU49:RVX49"/>
    <mergeCell ref="RVY49:RWB49"/>
    <mergeCell ref="RWC49:RWF49"/>
    <mergeCell ref="RWG49:RWJ49"/>
    <mergeCell ref="RWK49:RWN49"/>
    <mergeCell ref="SAG49:SAJ49"/>
    <mergeCell ref="SAK49:SAN49"/>
    <mergeCell ref="SAO49:SAR49"/>
    <mergeCell ref="SAS49:SAV49"/>
    <mergeCell ref="SAW49:SAZ49"/>
    <mergeCell ref="SBA49:SBD49"/>
    <mergeCell ref="RZI49:RZL49"/>
    <mergeCell ref="RZM49:RZP49"/>
    <mergeCell ref="RZQ49:RZT49"/>
    <mergeCell ref="RZU49:RZX49"/>
    <mergeCell ref="RZY49:SAB49"/>
    <mergeCell ref="SAC49:SAF49"/>
    <mergeCell ref="RYK49:RYN49"/>
    <mergeCell ref="RYO49:RYR49"/>
    <mergeCell ref="RYS49:RYV49"/>
    <mergeCell ref="RYW49:RYZ49"/>
    <mergeCell ref="RZA49:RZD49"/>
    <mergeCell ref="RZE49:RZH49"/>
    <mergeCell ref="SDA49:SDD49"/>
    <mergeCell ref="SDE49:SDH49"/>
    <mergeCell ref="SDI49:SDL49"/>
    <mergeCell ref="SDM49:SDP49"/>
    <mergeCell ref="SDQ49:SDT49"/>
    <mergeCell ref="SDU49:SDX49"/>
    <mergeCell ref="SCC49:SCF49"/>
    <mergeCell ref="SCG49:SCJ49"/>
    <mergeCell ref="SCK49:SCN49"/>
    <mergeCell ref="SCO49:SCR49"/>
    <mergeCell ref="SCS49:SCV49"/>
    <mergeCell ref="SCW49:SCZ49"/>
    <mergeCell ref="SBE49:SBH49"/>
    <mergeCell ref="SBI49:SBL49"/>
    <mergeCell ref="SBM49:SBP49"/>
    <mergeCell ref="SBQ49:SBT49"/>
    <mergeCell ref="SBU49:SBX49"/>
    <mergeCell ref="SBY49:SCB49"/>
    <mergeCell ref="SFU49:SFX49"/>
    <mergeCell ref="SFY49:SGB49"/>
    <mergeCell ref="SGC49:SGF49"/>
    <mergeCell ref="SGG49:SGJ49"/>
    <mergeCell ref="SGK49:SGN49"/>
    <mergeCell ref="SGO49:SGR49"/>
    <mergeCell ref="SEW49:SEZ49"/>
    <mergeCell ref="SFA49:SFD49"/>
    <mergeCell ref="SFE49:SFH49"/>
    <mergeCell ref="SFI49:SFL49"/>
    <mergeCell ref="SFM49:SFP49"/>
    <mergeCell ref="SFQ49:SFT49"/>
    <mergeCell ref="SDY49:SEB49"/>
    <mergeCell ref="SEC49:SEF49"/>
    <mergeCell ref="SEG49:SEJ49"/>
    <mergeCell ref="SEK49:SEN49"/>
    <mergeCell ref="SEO49:SER49"/>
    <mergeCell ref="SES49:SEV49"/>
    <mergeCell ref="SIO49:SIR49"/>
    <mergeCell ref="SIS49:SIV49"/>
    <mergeCell ref="SIW49:SIZ49"/>
    <mergeCell ref="SJA49:SJD49"/>
    <mergeCell ref="SJE49:SJH49"/>
    <mergeCell ref="SJI49:SJL49"/>
    <mergeCell ref="SHQ49:SHT49"/>
    <mergeCell ref="SHU49:SHX49"/>
    <mergeCell ref="SHY49:SIB49"/>
    <mergeCell ref="SIC49:SIF49"/>
    <mergeCell ref="SIG49:SIJ49"/>
    <mergeCell ref="SIK49:SIN49"/>
    <mergeCell ref="SGS49:SGV49"/>
    <mergeCell ref="SGW49:SGZ49"/>
    <mergeCell ref="SHA49:SHD49"/>
    <mergeCell ref="SHE49:SHH49"/>
    <mergeCell ref="SHI49:SHL49"/>
    <mergeCell ref="SHM49:SHP49"/>
    <mergeCell ref="SLI49:SLL49"/>
    <mergeCell ref="SLM49:SLP49"/>
    <mergeCell ref="SLQ49:SLT49"/>
    <mergeCell ref="SLU49:SLX49"/>
    <mergeCell ref="SLY49:SMB49"/>
    <mergeCell ref="SMC49:SMF49"/>
    <mergeCell ref="SKK49:SKN49"/>
    <mergeCell ref="SKO49:SKR49"/>
    <mergeCell ref="SKS49:SKV49"/>
    <mergeCell ref="SKW49:SKZ49"/>
    <mergeCell ref="SLA49:SLD49"/>
    <mergeCell ref="SLE49:SLH49"/>
    <mergeCell ref="SJM49:SJP49"/>
    <mergeCell ref="SJQ49:SJT49"/>
    <mergeCell ref="SJU49:SJX49"/>
    <mergeCell ref="SJY49:SKB49"/>
    <mergeCell ref="SKC49:SKF49"/>
    <mergeCell ref="SKG49:SKJ49"/>
    <mergeCell ref="SOC49:SOF49"/>
    <mergeCell ref="SOG49:SOJ49"/>
    <mergeCell ref="SOK49:SON49"/>
    <mergeCell ref="SOO49:SOR49"/>
    <mergeCell ref="SOS49:SOV49"/>
    <mergeCell ref="SOW49:SOZ49"/>
    <mergeCell ref="SNE49:SNH49"/>
    <mergeCell ref="SNI49:SNL49"/>
    <mergeCell ref="SNM49:SNP49"/>
    <mergeCell ref="SNQ49:SNT49"/>
    <mergeCell ref="SNU49:SNX49"/>
    <mergeCell ref="SNY49:SOB49"/>
    <mergeCell ref="SMG49:SMJ49"/>
    <mergeCell ref="SMK49:SMN49"/>
    <mergeCell ref="SMO49:SMR49"/>
    <mergeCell ref="SMS49:SMV49"/>
    <mergeCell ref="SMW49:SMZ49"/>
    <mergeCell ref="SNA49:SND49"/>
    <mergeCell ref="SQW49:SQZ49"/>
    <mergeCell ref="SRA49:SRD49"/>
    <mergeCell ref="SRE49:SRH49"/>
    <mergeCell ref="SRI49:SRL49"/>
    <mergeCell ref="SRM49:SRP49"/>
    <mergeCell ref="SRQ49:SRT49"/>
    <mergeCell ref="SPY49:SQB49"/>
    <mergeCell ref="SQC49:SQF49"/>
    <mergeCell ref="SQG49:SQJ49"/>
    <mergeCell ref="SQK49:SQN49"/>
    <mergeCell ref="SQO49:SQR49"/>
    <mergeCell ref="SQS49:SQV49"/>
    <mergeCell ref="SPA49:SPD49"/>
    <mergeCell ref="SPE49:SPH49"/>
    <mergeCell ref="SPI49:SPL49"/>
    <mergeCell ref="SPM49:SPP49"/>
    <mergeCell ref="SPQ49:SPT49"/>
    <mergeCell ref="SPU49:SPX49"/>
    <mergeCell ref="STQ49:STT49"/>
    <mergeCell ref="STU49:STX49"/>
    <mergeCell ref="STY49:SUB49"/>
    <mergeCell ref="SUC49:SUF49"/>
    <mergeCell ref="SUG49:SUJ49"/>
    <mergeCell ref="SUK49:SUN49"/>
    <mergeCell ref="SSS49:SSV49"/>
    <mergeCell ref="SSW49:SSZ49"/>
    <mergeCell ref="STA49:STD49"/>
    <mergeCell ref="STE49:STH49"/>
    <mergeCell ref="STI49:STL49"/>
    <mergeCell ref="STM49:STP49"/>
    <mergeCell ref="SRU49:SRX49"/>
    <mergeCell ref="SRY49:SSB49"/>
    <mergeCell ref="SSC49:SSF49"/>
    <mergeCell ref="SSG49:SSJ49"/>
    <mergeCell ref="SSK49:SSN49"/>
    <mergeCell ref="SSO49:SSR49"/>
    <mergeCell ref="SWK49:SWN49"/>
    <mergeCell ref="SWO49:SWR49"/>
    <mergeCell ref="SWS49:SWV49"/>
    <mergeCell ref="SWW49:SWZ49"/>
    <mergeCell ref="SXA49:SXD49"/>
    <mergeCell ref="SXE49:SXH49"/>
    <mergeCell ref="SVM49:SVP49"/>
    <mergeCell ref="SVQ49:SVT49"/>
    <mergeCell ref="SVU49:SVX49"/>
    <mergeCell ref="SVY49:SWB49"/>
    <mergeCell ref="SWC49:SWF49"/>
    <mergeCell ref="SWG49:SWJ49"/>
    <mergeCell ref="SUO49:SUR49"/>
    <mergeCell ref="SUS49:SUV49"/>
    <mergeCell ref="SUW49:SUZ49"/>
    <mergeCell ref="SVA49:SVD49"/>
    <mergeCell ref="SVE49:SVH49"/>
    <mergeCell ref="SVI49:SVL49"/>
    <mergeCell ref="SZE49:SZH49"/>
    <mergeCell ref="SZI49:SZL49"/>
    <mergeCell ref="SZM49:SZP49"/>
    <mergeCell ref="SZQ49:SZT49"/>
    <mergeCell ref="SZU49:SZX49"/>
    <mergeCell ref="SZY49:TAB49"/>
    <mergeCell ref="SYG49:SYJ49"/>
    <mergeCell ref="SYK49:SYN49"/>
    <mergeCell ref="SYO49:SYR49"/>
    <mergeCell ref="SYS49:SYV49"/>
    <mergeCell ref="SYW49:SYZ49"/>
    <mergeCell ref="SZA49:SZD49"/>
    <mergeCell ref="SXI49:SXL49"/>
    <mergeCell ref="SXM49:SXP49"/>
    <mergeCell ref="SXQ49:SXT49"/>
    <mergeCell ref="SXU49:SXX49"/>
    <mergeCell ref="SXY49:SYB49"/>
    <mergeCell ref="SYC49:SYF49"/>
    <mergeCell ref="TBY49:TCB49"/>
    <mergeCell ref="TCC49:TCF49"/>
    <mergeCell ref="TCG49:TCJ49"/>
    <mergeCell ref="TCK49:TCN49"/>
    <mergeCell ref="TCO49:TCR49"/>
    <mergeCell ref="TCS49:TCV49"/>
    <mergeCell ref="TBA49:TBD49"/>
    <mergeCell ref="TBE49:TBH49"/>
    <mergeCell ref="TBI49:TBL49"/>
    <mergeCell ref="TBM49:TBP49"/>
    <mergeCell ref="TBQ49:TBT49"/>
    <mergeCell ref="TBU49:TBX49"/>
    <mergeCell ref="TAC49:TAF49"/>
    <mergeCell ref="TAG49:TAJ49"/>
    <mergeCell ref="TAK49:TAN49"/>
    <mergeCell ref="TAO49:TAR49"/>
    <mergeCell ref="TAS49:TAV49"/>
    <mergeCell ref="TAW49:TAZ49"/>
    <mergeCell ref="TES49:TEV49"/>
    <mergeCell ref="TEW49:TEZ49"/>
    <mergeCell ref="TFA49:TFD49"/>
    <mergeCell ref="TFE49:TFH49"/>
    <mergeCell ref="TFI49:TFL49"/>
    <mergeCell ref="TFM49:TFP49"/>
    <mergeCell ref="TDU49:TDX49"/>
    <mergeCell ref="TDY49:TEB49"/>
    <mergeCell ref="TEC49:TEF49"/>
    <mergeCell ref="TEG49:TEJ49"/>
    <mergeCell ref="TEK49:TEN49"/>
    <mergeCell ref="TEO49:TER49"/>
    <mergeCell ref="TCW49:TCZ49"/>
    <mergeCell ref="TDA49:TDD49"/>
    <mergeCell ref="TDE49:TDH49"/>
    <mergeCell ref="TDI49:TDL49"/>
    <mergeCell ref="TDM49:TDP49"/>
    <mergeCell ref="TDQ49:TDT49"/>
    <mergeCell ref="THM49:THP49"/>
    <mergeCell ref="THQ49:THT49"/>
    <mergeCell ref="THU49:THX49"/>
    <mergeCell ref="THY49:TIB49"/>
    <mergeCell ref="TIC49:TIF49"/>
    <mergeCell ref="TIG49:TIJ49"/>
    <mergeCell ref="TGO49:TGR49"/>
    <mergeCell ref="TGS49:TGV49"/>
    <mergeCell ref="TGW49:TGZ49"/>
    <mergeCell ref="THA49:THD49"/>
    <mergeCell ref="THE49:THH49"/>
    <mergeCell ref="THI49:THL49"/>
    <mergeCell ref="TFQ49:TFT49"/>
    <mergeCell ref="TFU49:TFX49"/>
    <mergeCell ref="TFY49:TGB49"/>
    <mergeCell ref="TGC49:TGF49"/>
    <mergeCell ref="TGG49:TGJ49"/>
    <mergeCell ref="TGK49:TGN49"/>
    <mergeCell ref="TKG49:TKJ49"/>
    <mergeCell ref="TKK49:TKN49"/>
    <mergeCell ref="TKO49:TKR49"/>
    <mergeCell ref="TKS49:TKV49"/>
    <mergeCell ref="TKW49:TKZ49"/>
    <mergeCell ref="TLA49:TLD49"/>
    <mergeCell ref="TJI49:TJL49"/>
    <mergeCell ref="TJM49:TJP49"/>
    <mergeCell ref="TJQ49:TJT49"/>
    <mergeCell ref="TJU49:TJX49"/>
    <mergeCell ref="TJY49:TKB49"/>
    <mergeCell ref="TKC49:TKF49"/>
    <mergeCell ref="TIK49:TIN49"/>
    <mergeCell ref="TIO49:TIR49"/>
    <mergeCell ref="TIS49:TIV49"/>
    <mergeCell ref="TIW49:TIZ49"/>
    <mergeCell ref="TJA49:TJD49"/>
    <mergeCell ref="TJE49:TJH49"/>
    <mergeCell ref="TNA49:TND49"/>
    <mergeCell ref="TNE49:TNH49"/>
    <mergeCell ref="TNI49:TNL49"/>
    <mergeCell ref="TNM49:TNP49"/>
    <mergeCell ref="TNQ49:TNT49"/>
    <mergeCell ref="TNU49:TNX49"/>
    <mergeCell ref="TMC49:TMF49"/>
    <mergeCell ref="TMG49:TMJ49"/>
    <mergeCell ref="TMK49:TMN49"/>
    <mergeCell ref="TMO49:TMR49"/>
    <mergeCell ref="TMS49:TMV49"/>
    <mergeCell ref="TMW49:TMZ49"/>
    <mergeCell ref="TLE49:TLH49"/>
    <mergeCell ref="TLI49:TLL49"/>
    <mergeCell ref="TLM49:TLP49"/>
    <mergeCell ref="TLQ49:TLT49"/>
    <mergeCell ref="TLU49:TLX49"/>
    <mergeCell ref="TLY49:TMB49"/>
    <mergeCell ref="TPU49:TPX49"/>
    <mergeCell ref="TPY49:TQB49"/>
    <mergeCell ref="TQC49:TQF49"/>
    <mergeCell ref="TQG49:TQJ49"/>
    <mergeCell ref="TQK49:TQN49"/>
    <mergeCell ref="TQO49:TQR49"/>
    <mergeCell ref="TOW49:TOZ49"/>
    <mergeCell ref="TPA49:TPD49"/>
    <mergeCell ref="TPE49:TPH49"/>
    <mergeCell ref="TPI49:TPL49"/>
    <mergeCell ref="TPM49:TPP49"/>
    <mergeCell ref="TPQ49:TPT49"/>
    <mergeCell ref="TNY49:TOB49"/>
    <mergeCell ref="TOC49:TOF49"/>
    <mergeCell ref="TOG49:TOJ49"/>
    <mergeCell ref="TOK49:TON49"/>
    <mergeCell ref="TOO49:TOR49"/>
    <mergeCell ref="TOS49:TOV49"/>
    <mergeCell ref="TSO49:TSR49"/>
    <mergeCell ref="TSS49:TSV49"/>
    <mergeCell ref="TSW49:TSZ49"/>
    <mergeCell ref="TTA49:TTD49"/>
    <mergeCell ref="TTE49:TTH49"/>
    <mergeCell ref="TTI49:TTL49"/>
    <mergeCell ref="TRQ49:TRT49"/>
    <mergeCell ref="TRU49:TRX49"/>
    <mergeCell ref="TRY49:TSB49"/>
    <mergeCell ref="TSC49:TSF49"/>
    <mergeCell ref="TSG49:TSJ49"/>
    <mergeCell ref="TSK49:TSN49"/>
    <mergeCell ref="TQS49:TQV49"/>
    <mergeCell ref="TQW49:TQZ49"/>
    <mergeCell ref="TRA49:TRD49"/>
    <mergeCell ref="TRE49:TRH49"/>
    <mergeCell ref="TRI49:TRL49"/>
    <mergeCell ref="TRM49:TRP49"/>
    <mergeCell ref="TVI49:TVL49"/>
    <mergeCell ref="TVM49:TVP49"/>
    <mergeCell ref="TVQ49:TVT49"/>
    <mergeCell ref="TVU49:TVX49"/>
    <mergeCell ref="TVY49:TWB49"/>
    <mergeCell ref="TWC49:TWF49"/>
    <mergeCell ref="TUK49:TUN49"/>
    <mergeCell ref="TUO49:TUR49"/>
    <mergeCell ref="TUS49:TUV49"/>
    <mergeCell ref="TUW49:TUZ49"/>
    <mergeCell ref="TVA49:TVD49"/>
    <mergeCell ref="TVE49:TVH49"/>
    <mergeCell ref="TTM49:TTP49"/>
    <mergeCell ref="TTQ49:TTT49"/>
    <mergeCell ref="TTU49:TTX49"/>
    <mergeCell ref="TTY49:TUB49"/>
    <mergeCell ref="TUC49:TUF49"/>
    <mergeCell ref="TUG49:TUJ49"/>
    <mergeCell ref="TYC49:TYF49"/>
    <mergeCell ref="TYG49:TYJ49"/>
    <mergeCell ref="TYK49:TYN49"/>
    <mergeCell ref="TYO49:TYR49"/>
    <mergeCell ref="TYS49:TYV49"/>
    <mergeCell ref="TYW49:TYZ49"/>
    <mergeCell ref="TXE49:TXH49"/>
    <mergeCell ref="TXI49:TXL49"/>
    <mergeCell ref="TXM49:TXP49"/>
    <mergeCell ref="TXQ49:TXT49"/>
    <mergeCell ref="TXU49:TXX49"/>
    <mergeCell ref="TXY49:TYB49"/>
    <mergeCell ref="TWG49:TWJ49"/>
    <mergeCell ref="TWK49:TWN49"/>
    <mergeCell ref="TWO49:TWR49"/>
    <mergeCell ref="TWS49:TWV49"/>
    <mergeCell ref="TWW49:TWZ49"/>
    <mergeCell ref="TXA49:TXD49"/>
    <mergeCell ref="UAW49:UAZ49"/>
    <mergeCell ref="UBA49:UBD49"/>
    <mergeCell ref="UBE49:UBH49"/>
    <mergeCell ref="UBI49:UBL49"/>
    <mergeCell ref="UBM49:UBP49"/>
    <mergeCell ref="UBQ49:UBT49"/>
    <mergeCell ref="TZY49:UAB49"/>
    <mergeCell ref="UAC49:UAF49"/>
    <mergeCell ref="UAG49:UAJ49"/>
    <mergeCell ref="UAK49:UAN49"/>
    <mergeCell ref="UAO49:UAR49"/>
    <mergeCell ref="UAS49:UAV49"/>
    <mergeCell ref="TZA49:TZD49"/>
    <mergeCell ref="TZE49:TZH49"/>
    <mergeCell ref="TZI49:TZL49"/>
    <mergeCell ref="TZM49:TZP49"/>
    <mergeCell ref="TZQ49:TZT49"/>
    <mergeCell ref="TZU49:TZX49"/>
    <mergeCell ref="UDQ49:UDT49"/>
    <mergeCell ref="UDU49:UDX49"/>
    <mergeCell ref="UDY49:UEB49"/>
    <mergeCell ref="UEC49:UEF49"/>
    <mergeCell ref="UEG49:UEJ49"/>
    <mergeCell ref="UEK49:UEN49"/>
    <mergeCell ref="UCS49:UCV49"/>
    <mergeCell ref="UCW49:UCZ49"/>
    <mergeCell ref="UDA49:UDD49"/>
    <mergeCell ref="UDE49:UDH49"/>
    <mergeCell ref="UDI49:UDL49"/>
    <mergeCell ref="UDM49:UDP49"/>
    <mergeCell ref="UBU49:UBX49"/>
    <mergeCell ref="UBY49:UCB49"/>
    <mergeCell ref="UCC49:UCF49"/>
    <mergeCell ref="UCG49:UCJ49"/>
    <mergeCell ref="UCK49:UCN49"/>
    <mergeCell ref="UCO49:UCR49"/>
    <mergeCell ref="UGK49:UGN49"/>
    <mergeCell ref="UGO49:UGR49"/>
    <mergeCell ref="UGS49:UGV49"/>
    <mergeCell ref="UGW49:UGZ49"/>
    <mergeCell ref="UHA49:UHD49"/>
    <mergeCell ref="UHE49:UHH49"/>
    <mergeCell ref="UFM49:UFP49"/>
    <mergeCell ref="UFQ49:UFT49"/>
    <mergeCell ref="UFU49:UFX49"/>
    <mergeCell ref="UFY49:UGB49"/>
    <mergeCell ref="UGC49:UGF49"/>
    <mergeCell ref="UGG49:UGJ49"/>
    <mergeCell ref="UEO49:UER49"/>
    <mergeCell ref="UES49:UEV49"/>
    <mergeCell ref="UEW49:UEZ49"/>
    <mergeCell ref="UFA49:UFD49"/>
    <mergeCell ref="UFE49:UFH49"/>
    <mergeCell ref="UFI49:UFL49"/>
    <mergeCell ref="UJE49:UJH49"/>
    <mergeCell ref="UJI49:UJL49"/>
    <mergeCell ref="UJM49:UJP49"/>
    <mergeCell ref="UJQ49:UJT49"/>
    <mergeCell ref="UJU49:UJX49"/>
    <mergeCell ref="UJY49:UKB49"/>
    <mergeCell ref="UIG49:UIJ49"/>
    <mergeCell ref="UIK49:UIN49"/>
    <mergeCell ref="UIO49:UIR49"/>
    <mergeCell ref="UIS49:UIV49"/>
    <mergeCell ref="UIW49:UIZ49"/>
    <mergeCell ref="UJA49:UJD49"/>
    <mergeCell ref="UHI49:UHL49"/>
    <mergeCell ref="UHM49:UHP49"/>
    <mergeCell ref="UHQ49:UHT49"/>
    <mergeCell ref="UHU49:UHX49"/>
    <mergeCell ref="UHY49:UIB49"/>
    <mergeCell ref="UIC49:UIF49"/>
    <mergeCell ref="ULY49:UMB49"/>
    <mergeCell ref="UMC49:UMF49"/>
    <mergeCell ref="UMG49:UMJ49"/>
    <mergeCell ref="UMK49:UMN49"/>
    <mergeCell ref="UMO49:UMR49"/>
    <mergeCell ref="UMS49:UMV49"/>
    <mergeCell ref="ULA49:ULD49"/>
    <mergeCell ref="ULE49:ULH49"/>
    <mergeCell ref="ULI49:ULL49"/>
    <mergeCell ref="ULM49:ULP49"/>
    <mergeCell ref="ULQ49:ULT49"/>
    <mergeCell ref="ULU49:ULX49"/>
    <mergeCell ref="UKC49:UKF49"/>
    <mergeCell ref="UKG49:UKJ49"/>
    <mergeCell ref="UKK49:UKN49"/>
    <mergeCell ref="UKO49:UKR49"/>
    <mergeCell ref="UKS49:UKV49"/>
    <mergeCell ref="UKW49:UKZ49"/>
    <mergeCell ref="UOS49:UOV49"/>
    <mergeCell ref="UOW49:UOZ49"/>
    <mergeCell ref="UPA49:UPD49"/>
    <mergeCell ref="UPE49:UPH49"/>
    <mergeCell ref="UPI49:UPL49"/>
    <mergeCell ref="UPM49:UPP49"/>
    <mergeCell ref="UNU49:UNX49"/>
    <mergeCell ref="UNY49:UOB49"/>
    <mergeCell ref="UOC49:UOF49"/>
    <mergeCell ref="UOG49:UOJ49"/>
    <mergeCell ref="UOK49:UON49"/>
    <mergeCell ref="UOO49:UOR49"/>
    <mergeCell ref="UMW49:UMZ49"/>
    <mergeCell ref="UNA49:UND49"/>
    <mergeCell ref="UNE49:UNH49"/>
    <mergeCell ref="UNI49:UNL49"/>
    <mergeCell ref="UNM49:UNP49"/>
    <mergeCell ref="UNQ49:UNT49"/>
    <mergeCell ref="URM49:URP49"/>
    <mergeCell ref="URQ49:URT49"/>
    <mergeCell ref="URU49:URX49"/>
    <mergeCell ref="URY49:USB49"/>
    <mergeCell ref="USC49:USF49"/>
    <mergeCell ref="USG49:USJ49"/>
    <mergeCell ref="UQO49:UQR49"/>
    <mergeCell ref="UQS49:UQV49"/>
    <mergeCell ref="UQW49:UQZ49"/>
    <mergeCell ref="URA49:URD49"/>
    <mergeCell ref="URE49:URH49"/>
    <mergeCell ref="URI49:URL49"/>
    <mergeCell ref="UPQ49:UPT49"/>
    <mergeCell ref="UPU49:UPX49"/>
    <mergeCell ref="UPY49:UQB49"/>
    <mergeCell ref="UQC49:UQF49"/>
    <mergeCell ref="UQG49:UQJ49"/>
    <mergeCell ref="UQK49:UQN49"/>
    <mergeCell ref="UUG49:UUJ49"/>
    <mergeCell ref="UUK49:UUN49"/>
    <mergeCell ref="UUO49:UUR49"/>
    <mergeCell ref="UUS49:UUV49"/>
    <mergeCell ref="UUW49:UUZ49"/>
    <mergeCell ref="UVA49:UVD49"/>
    <mergeCell ref="UTI49:UTL49"/>
    <mergeCell ref="UTM49:UTP49"/>
    <mergeCell ref="UTQ49:UTT49"/>
    <mergeCell ref="UTU49:UTX49"/>
    <mergeCell ref="UTY49:UUB49"/>
    <mergeCell ref="UUC49:UUF49"/>
    <mergeCell ref="USK49:USN49"/>
    <mergeCell ref="USO49:USR49"/>
    <mergeCell ref="USS49:USV49"/>
    <mergeCell ref="USW49:USZ49"/>
    <mergeCell ref="UTA49:UTD49"/>
    <mergeCell ref="UTE49:UTH49"/>
    <mergeCell ref="UXA49:UXD49"/>
    <mergeCell ref="UXE49:UXH49"/>
    <mergeCell ref="UXI49:UXL49"/>
    <mergeCell ref="UXM49:UXP49"/>
    <mergeCell ref="UXQ49:UXT49"/>
    <mergeCell ref="UXU49:UXX49"/>
    <mergeCell ref="UWC49:UWF49"/>
    <mergeCell ref="UWG49:UWJ49"/>
    <mergeCell ref="UWK49:UWN49"/>
    <mergeCell ref="UWO49:UWR49"/>
    <mergeCell ref="UWS49:UWV49"/>
    <mergeCell ref="UWW49:UWZ49"/>
    <mergeCell ref="UVE49:UVH49"/>
    <mergeCell ref="UVI49:UVL49"/>
    <mergeCell ref="UVM49:UVP49"/>
    <mergeCell ref="UVQ49:UVT49"/>
    <mergeCell ref="UVU49:UVX49"/>
    <mergeCell ref="UVY49:UWB49"/>
    <mergeCell ref="UZU49:UZX49"/>
    <mergeCell ref="UZY49:VAB49"/>
    <mergeCell ref="VAC49:VAF49"/>
    <mergeCell ref="VAG49:VAJ49"/>
    <mergeCell ref="VAK49:VAN49"/>
    <mergeCell ref="VAO49:VAR49"/>
    <mergeCell ref="UYW49:UYZ49"/>
    <mergeCell ref="UZA49:UZD49"/>
    <mergeCell ref="UZE49:UZH49"/>
    <mergeCell ref="UZI49:UZL49"/>
    <mergeCell ref="UZM49:UZP49"/>
    <mergeCell ref="UZQ49:UZT49"/>
    <mergeCell ref="UXY49:UYB49"/>
    <mergeCell ref="UYC49:UYF49"/>
    <mergeCell ref="UYG49:UYJ49"/>
    <mergeCell ref="UYK49:UYN49"/>
    <mergeCell ref="UYO49:UYR49"/>
    <mergeCell ref="UYS49:UYV49"/>
    <mergeCell ref="VCO49:VCR49"/>
    <mergeCell ref="VCS49:VCV49"/>
    <mergeCell ref="VCW49:VCZ49"/>
    <mergeCell ref="VDA49:VDD49"/>
    <mergeCell ref="VDE49:VDH49"/>
    <mergeCell ref="VDI49:VDL49"/>
    <mergeCell ref="VBQ49:VBT49"/>
    <mergeCell ref="VBU49:VBX49"/>
    <mergeCell ref="VBY49:VCB49"/>
    <mergeCell ref="VCC49:VCF49"/>
    <mergeCell ref="VCG49:VCJ49"/>
    <mergeCell ref="VCK49:VCN49"/>
    <mergeCell ref="VAS49:VAV49"/>
    <mergeCell ref="VAW49:VAZ49"/>
    <mergeCell ref="VBA49:VBD49"/>
    <mergeCell ref="VBE49:VBH49"/>
    <mergeCell ref="VBI49:VBL49"/>
    <mergeCell ref="VBM49:VBP49"/>
    <mergeCell ref="VFI49:VFL49"/>
    <mergeCell ref="VFM49:VFP49"/>
    <mergeCell ref="VFQ49:VFT49"/>
    <mergeCell ref="VFU49:VFX49"/>
    <mergeCell ref="VFY49:VGB49"/>
    <mergeCell ref="VGC49:VGF49"/>
    <mergeCell ref="VEK49:VEN49"/>
    <mergeCell ref="VEO49:VER49"/>
    <mergeCell ref="VES49:VEV49"/>
    <mergeCell ref="VEW49:VEZ49"/>
    <mergeCell ref="VFA49:VFD49"/>
    <mergeCell ref="VFE49:VFH49"/>
    <mergeCell ref="VDM49:VDP49"/>
    <mergeCell ref="VDQ49:VDT49"/>
    <mergeCell ref="VDU49:VDX49"/>
    <mergeCell ref="VDY49:VEB49"/>
    <mergeCell ref="VEC49:VEF49"/>
    <mergeCell ref="VEG49:VEJ49"/>
    <mergeCell ref="VIC49:VIF49"/>
    <mergeCell ref="VIG49:VIJ49"/>
    <mergeCell ref="VIK49:VIN49"/>
    <mergeCell ref="VIO49:VIR49"/>
    <mergeCell ref="VIS49:VIV49"/>
    <mergeCell ref="VIW49:VIZ49"/>
    <mergeCell ref="VHE49:VHH49"/>
    <mergeCell ref="VHI49:VHL49"/>
    <mergeCell ref="VHM49:VHP49"/>
    <mergeCell ref="VHQ49:VHT49"/>
    <mergeCell ref="VHU49:VHX49"/>
    <mergeCell ref="VHY49:VIB49"/>
    <mergeCell ref="VGG49:VGJ49"/>
    <mergeCell ref="VGK49:VGN49"/>
    <mergeCell ref="VGO49:VGR49"/>
    <mergeCell ref="VGS49:VGV49"/>
    <mergeCell ref="VGW49:VGZ49"/>
    <mergeCell ref="VHA49:VHD49"/>
    <mergeCell ref="VKW49:VKZ49"/>
    <mergeCell ref="VLA49:VLD49"/>
    <mergeCell ref="VLE49:VLH49"/>
    <mergeCell ref="VLI49:VLL49"/>
    <mergeCell ref="VLM49:VLP49"/>
    <mergeCell ref="VLQ49:VLT49"/>
    <mergeCell ref="VJY49:VKB49"/>
    <mergeCell ref="VKC49:VKF49"/>
    <mergeCell ref="VKG49:VKJ49"/>
    <mergeCell ref="VKK49:VKN49"/>
    <mergeCell ref="VKO49:VKR49"/>
    <mergeCell ref="VKS49:VKV49"/>
    <mergeCell ref="VJA49:VJD49"/>
    <mergeCell ref="VJE49:VJH49"/>
    <mergeCell ref="VJI49:VJL49"/>
    <mergeCell ref="VJM49:VJP49"/>
    <mergeCell ref="VJQ49:VJT49"/>
    <mergeCell ref="VJU49:VJX49"/>
    <mergeCell ref="VNQ49:VNT49"/>
    <mergeCell ref="VNU49:VNX49"/>
    <mergeCell ref="VNY49:VOB49"/>
    <mergeCell ref="VOC49:VOF49"/>
    <mergeCell ref="VOG49:VOJ49"/>
    <mergeCell ref="VOK49:VON49"/>
    <mergeCell ref="VMS49:VMV49"/>
    <mergeCell ref="VMW49:VMZ49"/>
    <mergeCell ref="VNA49:VND49"/>
    <mergeCell ref="VNE49:VNH49"/>
    <mergeCell ref="VNI49:VNL49"/>
    <mergeCell ref="VNM49:VNP49"/>
    <mergeCell ref="VLU49:VLX49"/>
    <mergeCell ref="VLY49:VMB49"/>
    <mergeCell ref="VMC49:VMF49"/>
    <mergeCell ref="VMG49:VMJ49"/>
    <mergeCell ref="VMK49:VMN49"/>
    <mergeCell ref="VMO49:VMR49"/>
    <mergeCell ref="VQK49:VQN49"/>
    <mergeCell ref="VQO49:VQR49"/>
    <mergeCell ref="VQS49:VQV49"/>
    <mergeCell ref="VQW49:VQZ49"/>
    <mergeCell ref="VRA49:VRD49"/>
    <mergeCell ref="VRE49:VRH49"/>
    <mergeCell ref="VPM49:VPP49"/>
    <mergeCell ref="VPQ49:VPT49"/>
    <mergeCell ref="VPU49:VPX49"/>
    <mergeCell ref="VPY49:VQB49"/>
    <mergeCell ref="VQC49:VQF49"/>
    <mergeCell ref="VQG49:VQJ49"/>
    <mergeCell ref="VOO49:VOR49"/>
    <mergeCell ref="VOS49:VOV49"/>
    <mergeCell ref="VOW49:VOZ49"/>
    <mergeCell ref="VPA49:VPD49"/>
    <mergeCell ref="VPE49:VPH49"/>
    <mergeCell ref="VPI49:VPL49"/>
    <mergeCell ref="VTE49:VTH49"/>
    <mergeCell ref="VTI49:VTL49"/>
    <mergeCell ref="VTM49:VTP49"/>
    <mergeCell ref="VTQ49:VTT49"/>
    <mergeCell ref="VTU49:VTX49"/>
    <mergeCell ref="VTY49:VUB49"/>
    <mergeCell ref="VSG49:VSJ49"/>
    <mergeCell ref="VSK49:VSN49"/>
    <mergeCell ref="VSO49:VSR49"/>
    <mergeCell ref="VSS49:VSV49"/>
    <mergeCell ref="VSW49:VSZ49"/>
    <mergeCell ref="VTA49:VTD49"/>
    <mergeCell ref="VRI49:VRL49"/>
    <mergeCell ref="VRM49:VRP49"/>
    <mergeCell ref="VRQ49:VRT49"/>
    <mergeCell ref="VRU49:VRX49"/>
    <mergeCell ref="VRY49:VSB49"/>
    <mergeCell ref="VSC49:VSF49"/>
    <mergeCell ref="VVY49:VWB49"/>
    <mergeCell ref="VWC49:VWF49"/>
    <mergeCell ref="VWG49:VWJ49"/>
    <mergeCell ref="VWK49:VWN49"/>
    <mergeCell ref="VWO49:VWR49"/>
    <mergeCell ref="VWS49:VWV49"/>
    <mergeCell ref="VVA49:VVD49"/>
    <mergeCell ref="VVE49:VVH49"/>
    <mergeCell ref="VVI49:VVL49"/>
    <mergeCell ref="VVM49:VVP49"/>
    <mergeCell ref="VVQ49:VVT49"/>
    <mergeCell ref="VVU49:VVX49"/>
    <mergeCell ref="VUC49:VUF49"/>
    <mergeCell ref="VUG49:VUJ49"/>
    <mergeCell ref="VUK49:VUN49"/>
    <mergeCell ref="VUO49:VUR49"/>
    <mergeCell ref="VUS49:VUV49"/>
    <mergeCell ref="VUW49:VUZ49"/>
    <mergeCell ref="VYS49:VYV49"/>
    <mergeCell ref="VYW49:VYZ49"/>
    <mergeCell ref="VZA49:VZD49"/>
    <mergeCell ref="VZE49:VZH49"/>
    <mergeCell ref="VZI49:VZL49"/>
    <mergeCell ref="VZM49:VZP49"/>
    <mergeCell ref="VXU49:VXX49"/>
    <mergeCell ref="VXY49:VYB49"/>
    <mergeCell ref="VYC49:VYF49"/>
    <mergeCell ref="VYG49:VYJ49"/>
    <mergeCell ref="VYK49:VYN49"/>
    <mergeCell ref="VYO49:VYR49"/>
    <mergeCell ref="VWW49:VWZ49"/>
    <mergeCell ref="VXA49:VXD49"/>
    <mergeCell ref="VXE49:VXH49"/>
    <mergeCell ref="VXI49:VXL49"/>
    <mergeCell ref="VXM49:VXP49"/>
    <mergeCell ref="VXQ49:VXT49"/>
    <mergeCell ref="WBM49:WBP49"/>
    <mergeCell ref="WBQ49:WBT49"/>
    <mergeCell ref="WBU49:WBX49"/>
    <mergeCell ref="WBY49:WCB49"/>
    <mergeCell ref="WCC49:WCF49"/>
    <mergeCell ref="WCG49:WCJ49"/>
    <mergeCell ref="WAO49:WAR49"/>
    <mergeCell ref="WAS49:WAV49"/>
    <mergeCell ref="WAW49:WAZ49"/>
    <mergeCell ref="WBA49:WBD49"/>
    <mergeCell ref="WBE49:WBH49"/>
    <mergeCell ref="WBI49:WBL49"/>
    <mergeCell ref="VZQ49:VZT49"/>
    <mergeCell ref="VZU49:VZX49"/>
    <mergeCell ref="VZY49:WAB49"/>
    <mergeCell ref="WAC49:WAF49"/>
    <mergeCell ref="WAG49:WAJ49"/>
    <mergeCell ref="WAK49:WAN49"/>
    <mergeCell ref="WEG49:WEJ49"/>
    <mergeCell ref="WEK49:WEN49"/>
    <mergeCell ref="WEO49:WER49"/>
    <mergeCell ref="WES49:WEV49"/>
    <mergeCell ref="WEW49:WEZ49"/>
    <mergeCell ref="WFA49:WFD49"/>
    <mergeCell ref="WDI49:WDL49"/>
    <mergeCell ref="WDM49:WDP49"/>
    <mergeCell ref="WDQ49:WDT49"/>
    <mergeCell ref="WDU49:WDX49"/>
    <mergeCell ref="WDY49:WEB49"/>
    <mergeCell ref="WEC49:WEF49"/>
    <mergeCell ref="WCK49:WCN49"/>
    <mergeCell ref="WCO49:WCR49"/>
    <mergeCell ref="WCS49:WCV49"/>
    <mergeCell ref="WCW49:WCZ49"/>
    <mergeCell ref="WDA49:WDD49"/>
    <mergeCell ref="WDE49:WDH49"/>
    <mergeCell ref="WHA49:WHD49"/>
    <mergeCell ref="WHE49:WHH49"/>
    <mergeCell ref="WHI49:WHL49"/>
    <mergeCell ref="WHM49:WHP49"/>
    <mergeCell ref="WHQ49:WHT49"/>
    <mergeCell ref="WHU49:WHX49"/>
    <mergeCell ref="WGC49:WGF49"/>
    <mergeCell ref="WGG49:WGJ49"/>
    <mergeCell ref="WGK49:WGN49"/>
    <mergeCell ref="WGO49:WGR49"/>
    <mergeCell ref="WGS49:WGV49"/>
    <mergeCell ref="WGW49:WGZ49"/>
    <mergeCell ref="WFE49:WFH49"/>
    <mergeCell ref="WFI49:WFL49"/>
    <mergeCell ref="WFM49:WFP49"/>
    <mergeCell ref="WFQ49:WFT49"/>
    <mergeCell ref="WFU49:WFX49"/>
    <mergeCell ref="WFY49:WGB49"/>
    <mergeCell ref="WJU49:WJX49"/>
    <mergeCell ref="WJY49:WKB49"/>
    <mergeCell ref="WKC49:WKF49"/>
    <mergeCell ref="WKG49:WKJ49"/>
    <mergeCell ref="WKK49:WKN49"/>
    <mergeCell ref="WKO49:WKR49"/>
    <mergeCell ref="WIW49:WIZ49"/>
    <mergeCell ref="WJA49:WJD49"/>
    <mergeCell ref="WJE49:WJH49"/>
    <mergeCell ref="WJI49:WJL49"/>
    <mergeCell ref="WJM49:WJP49"/>
    <mergeCell ref="WJQ49:WJT49"/>
    <mergeCell ref="WHY49:WIB49"/>
    <mergeCell ref="WIC49:WIF49"/>
    <mergeCell ref="WIG49:WIJ49"/>
    <mergeCell ref="WIK49:WIN49"/>
    <mergeCell ref="WIO49:WIR49"/>
    <mergeCell ref="WIS49:WIV49"/>
    <mergeCell ref="WMO49:WMR49"/>
    <mergeCell ref="WMS49:WMV49"/>
    <mergeCell ref="WMW49:WMZ49"/>
    <mergeCell ref="WNA49:WND49"/>
    <mergeCell ref="WNE49:WNH49"/>
    <mergeCell ref="WNI49:WNL49"/>
    <mergeCell ref="WLQ49:WLT49"/>
    <mergeCell ref="WLU49:WLX49"/>
    <mergeCell ref="WLY49:WMB49"/>
    <mergeCell ref="WMC49:WMF49"/>
    <mergeCell ref="WMG49:WMJ49"/>
    <mergeCell ref="WMK49:WMN49"/>
    <mergeCell ref="WKS49:WKV49"/>
    <mergeCell ref="WKW49:WKZ49"/>
    <mergeCell ref="WLA49:WLD49"/>
    <mergeCell ref="WLE49:WLH49"/>
    <mergeCell ref="WLI49:WLL49"/>
    <mergeCell ref="WLM49:WLP49"/>
    <mergeCell ref="WPI49:WPL49"/>
    <mergeCell ref="WPM49:WPP49"/>
    <mergeCell ref="WPQ49:WPT49"/>
    <mergeCell ref="WPU49:WPX49"/>
    <mergeCell ref="WPY49:WQB49"/>
    <mergeCell ref="WQC49:WQF49"/>
    <mergeCell ref="WOK49:WON49"/>
    <mergeCell ref="WOO49:WOR49"/>
    <mergeCell ref="WOS49:WOV49"/>
    <mergeCell ref="WOW49:WOZ49"/>
    <mergeCell ref="WPA49:WPD49"/>
    <mergeCell ref="WPE49:WPH49"/>
    <mergeCell ref="WNM49:WNP49"/>
    <mergeCell ref="WNQ49:WNT49"/>
    <mergeCell ref="WNU49:WNX49"/>
    <mergeCell ref="WNY49:WOB49"/>
    <mergeCell ref="WOC49:WOF49"/>
    <mergeCell ref="WOG49:WOJ49"/>
    <mergeCell ref="WSC49:WSF49"/>
    <mergeCell ref="WSG49:WSJ49"/>
    <mergeCell ref="WSK49:WSN49"/>
    <mergeCell ref="WSO49:WSR49"/>
    <mergeCell ref="WSS49:WSV49"/>
    <mergeCell ref="WSW49:WSZ49"/>
    <mergeCell ref="WRE49:WRH49"/>
    <mergeCell ref="WRI49:WRL49"/>
    <mergeCell ref="WRM49:WRP49"/>
    <mergeCell ref="WRQ49:WRT49"/>
    <mergeCell ref="WRU49:WRX49"/>
    <mergeCell ref="WRY49:WSB49"/>
    <mergeCell ref="WQG49:WQJ49"/>
    <mergeCell ref="WQK49:WQN49"/>
    <mergeCell ref="WQO49:WQR49"/>
    <mergeCell ref="WQS49:WQV49"/>
    <mergeCell ref="WQW49:WQZ49"/>
    <mergeCell ref="WRA49:WRD49"/>
    <mergeCell ref="WUW49:WUZ49"/>
    <mergeCell ref="WVA49:WVD49"/>
    <mergeCell ref="WVE49:WVH49"/>
    <mergeCell ref="WVI49:WVL49"/>
    <mergeCell ref="WVM49:WVP49"/>
    <mergeCell ref="WVQ49:WVT49"/>
    <mergeCell ref="WTY49:WUB49"/>
    <mergeCell ref="WUC49:WUF49"/>
    <mergeCell ref="WUG49:WUJ49"/>
    <mergeCell ref="WUK49:WUN49"/>
    <mergeCell ref="WUO49:WUR49"/>
    <mergeCell ref="WUS49:WUV49"/>
    <mergeCell ref="WTA49:WTD49"/>
    <mergeCell ref="WTE49:WTH49"/>
    <mergeCell ref="WTI49:WTL49"/>
    <mergeCell ref="WTM49:WTP49"/>
    <mergeCell ref="WTQ49:WTT49"/>
    <mergeCell ref="WTU49:WTX49"/>
    <mergeCell ref="WXQ49:WXT49"/>
    <mergeCell ref="WXU49:WXX49"/>
    <mergeCell ref="WXY49:WYB49"/>
    <mergeCell ref="WYC49:WYF49"/>
    <mergeCell ref="WYG49:WYJ49"/>
    <mergeCell ref="WYK49:WYN49"/>
    <mergeCell ref="WWS49:WWV49"/>
    <mergeCell ref="WWW49:WWZ49"/>
    <mergeCell ref="WXA49:WXD49"/>
    <mergeCell ref="WXE49:WXH49"/>
    <mergeCell ref="WXI49:WXL49"/>
    <mergeCell ref="WXM49:WXP49"/>
    <mergeCell ref="WVU49:WVX49"/>
    <mergeCell ref="WVY49:WWB49"/>
    <mergeCell ref="WWC49:WWF49"/>
    <mergeCell ref="WWG49:WWJ49"/>
    <mergeCell ref="WWK49:WWN49"/>
    <mergeCell ref="WWO49:WWR49"/>
    <mergeCell ref="XBY49:XCB49"/>
    <mergeCell ref="XCC49:XCF49"/>
    <mergeCell ref="XAK49:XAN49"/>
    <mergeCell ref="XAO49:XAR49"/>
    <mergeCell ref="XAS49:XAV49"/>
    <mergeCell ref="XAW49:XAZ49"/>
    <mergeCell ref="XBA49:XBD49"/>
    <mergeCell ref="XBE49:XBH49"/>
    <mergeCell ref="WZM49:WZP49"/>
    <mergeCell ref="WZQ49:WZT49"/>
    <mergeCell ref="WZU49:WZX49"/>
    <mergeCell ref="WZY49:XAB49"/>
    <mergeCell ref="XAC49:XAF49"/>
    <mergeCell ref="XAG49:XAJ49"/>
    <mergeCell ref="WYO49:WYR49"/>
    <mergeCell ref="WYS49:WYV49"/>
    <mergeCell ref="WYW49:WYZ49"/>
    <mergeCell ref="WZA49:WZD49"/>
    <mergeCell ref="WZE49:WZH49"/>
    <mergeCell ref="WZI49:WZL49"/>
    <mergeCell ref="XFA49:XFD49"/>
    <mergeCell ref="A50:D50"/>
    <mergeCell ref="E50:H50"/>
    <mergeCell ref="I50:L50"/>
    <mergeCell ref="M50:P50"/>
    <mergeCell ref="Q50:T50"/>
    <mergeCell ref="U50:X50"/>
    <mergeCell ref="Y50:AB50"/>
    <mergeCell ref="AC50:AF50"/>
    <mergeCell ref="AG50:AJ50"/>
    <mergeCell ref="XEC49:XEF49"/>
    <mergeCell ref="XEG49:XEJ49"/>
    <mergeCell ref="XEK49:XEN49"/>
    <mergeCell ref="XEO49:XER49"/>
    <mergeCell ref="XES49:XEV49"/>
    <mergeCell ref="XEW49:XEZ49"/>
    <mergeCell ref="XDE49:XDH49"/>
    <mergeCell ref="XDI49:XDL49"/>
    <mergeCell ref="XDM49:XDP49"/>
    <mergeCell ref="XDQ49:XDT49"/>
    <mergeCell ref="XDU49:XDX49"/>
    <mergeCell ref="XDY49:XEB49"/>
    <mergeCell ref="XCG49:XCJ49"/>
    <mergeCell ref="XCK49:XCN49"/>
    <mergeCell ref="XCO49:XCR49"/>
    <mergeCell ref="XCS49:XCV49"/>
    <mergeCell ref="XCW49:XCZ49"/>
    <mergeCell ref="XDA49:XDD49"/>
    <mergeCell ref="XBI49:XBL49"/>
    <mergeCell ref="XBM49:XBP49"/>
    <mergeCell ref="XBQ49:XBT49"/>
    <mergeCell ref="XBU49:XBX49"/>
    <mergeCell ref="CG50:CJ50"/>
    <mergeCell ref="CK50:CN50"/>
    <mergeCell ref="CO50:CR50"/>
    <mergeCell ref="CS50:CV50"/>
    <mergeCell ref="CW50:CZ50"/>
    <mergeCell ref="DA50:DD50"/>
    <mergeCell ref="BI50:BL50"/>
    <mergeCell ref="BM50:BP50"/>
    <mergeCell ref="BQ50:BT50"/>
    <mergeCell ref="BU50:BX50"/>
    <mergeCell ref="BY50:CB50"/>
    <mergeCell ref="CC50:CF50"/>
    <mergeCell ref="AK50:AN50"/>
    <mergeCell ref="AO50:AR50"/>
    <mergeCell ref="AS50:AV50"/>
    <mergeCell ref="AW50:AZ50"/>
    <mergeCell ref="BA50:BD50"/>
    <mergeCell ref="BE50:BH50"/>
    <mergeCell ref="FA50:FD50"/>
    <mergeCell ref="FE50:FH50"/>
    <mergeCell ref="FI50:FL50"/>
    <mergeCell ref="FM50:FP50"/>
    <mergeCell ref="FQ50:FT50"/>
    <mergeCell ref="FU50:FX50"/>
    <mergeCell ref="EC50:EF50"/>
    <mergeCell ref="EG50:EJ50"/>
    <mergeCell ref="EK50:EN50"/>
    <mergeCell ref="EO50:ER50"/>
    <mergeCell ref="ES50:EV50"/>
    <mergeCell ref="EW50:EZ50"/>
    <mergeCell ref="DE50:DH50"/>
    <mergeCell ref="DI50:DL50"/>
    <mergeCell ref="DM50:DP50"/>
    <mergeCell ref="DQ50:DT50"/>
    <mergeCell ref="DU50:DX50"/>
    <mergeCell ref="DY50:EB50"/>
    <mergeCell ref="HU50:HX50"/>
    <mergeCell ref="HY50:IB50"/>
    <mergeCell ref="IC50:IF50"/>
    <mergeCell ref="IG50:IJ50"/>
    <mergeCell ref="IK50:IN50"/>
    <mergeCell ref="IO50:IR50"/>
    <mergeCell ref="GW50:GZ50"/>
    <mergeCell ref="HA50:HD50"/>
    <mergeCell ref="HE50:HH50"/>
    <mergeCell ref="HI50:HL50"/>
    <mergeCell ref="HM50:HP50"/>
    <mergeCell ref="HQ50:HT50"/>
    <mergeCell ref="FY50:GB50"/>
    <mergeCell ref="GC50:GF50"/>
    <mergeCell ref="GG50:GJ50"/>
    <mergeCell ref="GK50:GN50"/>
    <mergeCell ref="GO50:GR50"/>
    <mergeCell ref="GS50:GV50"/>
    <mergeCell ref="KO50:KR50"/>
    <mergeCell ref="KS50:KV50"/>
    <mergeCell ref="KW50:KZ50"/>
    <mergeCell ref="LA50:LD50"/>
    <mergeCell ref="LE50:LH50"/>
    <mergeCell ref="LI50:LL50"/>
    <mergeCell ref="JQ50:JT50"/>
    <mergeCell ref="JU50:JX50"/>
    <mergeCell ref="JY50:KB50"/>
    <mergeCell ref="KC50:KF50"/>
    <mergeCell ref="KG50:KJ50"/>
    <mergeCell ref="KK50:KN50"/>
    <mergeCell ref="IS50:IV50"/>
    <mergeCell ref="IW50:IZ50"/>
    <mergeCell ref="JA50:JD50"/>
    <mergeCell ref="JE50:JH50"/>
    <mergeCell ref="JI50:JL50"/>
    <mergeCell ref="JM50:JP50"/>
    <mergeCell ref="NI50:NL50"/>
    <mergeCell ref="NM50:NP50"/>
    <mergeCell ref="NQ50:NT50"/>
    <mergeCell ref="NU50:NX50"/>
    <mergeCell ref="NY50:OB50"/>
    <mergeCell ref="OC50:OF50"/>
    <mergeCell ref="MK50:MN50"/>
    <mergeCell ref="MO50:MR50"/>
    <mergeCell ref="MS50:MV50"/>
    <mergeCell ref="MW50:MZ50"/>
    <mergeCell ref="NA50:ND50"/>
    <mergeCell ref="NE50:NH50"/>
    <mergeCell ref="LM50:LP50"/>
    <mergeCell ref="LQ50:LT50"/>
    <mergeCell ref="LU50:LX50"/>
    <mergeCell ref="LY50:MB50"/>
    <mergeCell ref="MC50:MF50"/>
    <mergeCell ref="MG50:MJ50"/>
    <mergeCell ref="QC50:QF50"/>
    <mergeCell ref="QG50:QJ50"/>
    <mergeCell ref="QK50:QN50"/>
    <mergeCell ref="QO50:QR50"/>
    <mergeCell ref="QS50:QV50"/>
    <mergeCell ref="QW50:QZ50"/>
    <mergeCell ref="PE50:PH50"/>
    <mergeCell ref="PI50:PL50"/>
    <mergeCell ref="PM50:PP50"/>
    <mergeCell ref="PQ50:PT50"/>
    <mergeCell ref="PU50:PX50"/>
    <mergeCell ref="PY50:QB50"/>
    <mergeCell ref="OG50:OJ50"/>
    <mergeCell ref="OK50:ON50"/>
    <mergeCell ref="OO50:OR50"/>
    <mergeCell ref="OS50:OV50"/>
    <mergeCell ref="OW50:OZ50"/>
    <mergeCell ref="PA50:PD50"/>
    <mergeCell ref="SW50:SZ50"/>
    <mergeCell ref="TA50:TD50"/>
    <mergeCell ref="TE50:TH50"/>
    <mergeCell ref="TI50:TL50"/>
    <mergeCell ref="TM50:TP50"/>
    <mergeCell ref="TQ50:TT50"/>
    <mergeCell ref="RY50:SB50"/>
    <mergeCell ref="SC50:SF50"/>
    <mergeCell ref="SG50:SJ50"/>
    <mergeCell ref="SK50:SN50"/>
    <mergeCell ref="SO50:SR50"/>
    <mergeCell ref="SS50:SV50"/>
    <mergeCell ref="RA50:RD50"/>
    <mergeCell ref="RE50:RH50"/>
    <mergeCell ref="RI50:RL50"/>
    <mergeCell ref="RM50:RP50"/>
    <mergeCell ref="RQ50:RT50"/>
    <mergeCell ref="RU50:RX50"/>
    <mergeCell ref="VQ50:VT50"/>
    <mergeCell ref="VU50:VX50"/>
    <mergeCell ref="VY50:WB50"/>
    <mergeCell ref="WC50:WF50"/>
    <mergeCell ref="WG50:WJ50"/>
    <mergeCell ref="WK50:WN50"/>
    <mergeCell ref="US50:UV50"/>
    <mergeCell ref="UW50:UZ50"/>
    <mergeCell ref="VA50:VD50"/>
    <mergeCell ref="VE50:VH50"/>
    <mergeCell ref="VI50:VL50"/>
    <mergeCell ref="VM50:VP50"/>
    <mergeCell ref="TU50:TX50"/>
    <mergeCell ref="TY50:UB50"/>
    <mergeCell ref="UC50:UF50"/>
    <mergeCell ref="UG50:UJ50"/>
    <mergeCell ref="UK50:UN50"/>
    <mergeCell ref="UO50:UR50"/>
    <mergeCell ref="YK50:YN50"/>
    <mergeCell ref="YO50:YR50"/>
    <mergeCell ref="YS50:YV50"/>
    <mergeCell ref="YW50:YZ50"/>
    <mergeCell ref="ZA50:ZD50"/>
    <mergeCell ref="ZE50:ZH50"/>
    <mergeCell ref="XM50:XP50"/>
    <mergeCell ref="XQ50:XT50"/>
    <mergeCell ref="XU50:XX50"/>
    <mergeCell ref="XY50:YB50"/>
    <mergeCell ref="YC50:YF50"/>
    <mergeCell ref="YG50:YJ50"/>
    <mergeCell ref="WO50:WR50"/>
    <mergeCell ref="WS50:WV50"/>
    <mergeCell ref="WW50:WZ50"/>
    <mergeCell ref="XA50:XD50"/>
    <mergeCell ref="XE50:XH50"/>
    <mergeCell ref="XI50:XL50"/>
    <mergeCell ref="ABE50:ABH50"/>
    <mergeCell ref="ABI50:ABL50"/>
    <mergeCell ref="ABM50:ABP50"/>
    <mergeCell ref="ABQ50:ABT50"/>
    <mergeCell ref="ABU50:ABX50"/>
    <mergeCell ref="ABY50:ACB50"/>
    <mergeCell ref="AAG50:AAJ50"/>
    <mergeCell ref="AAK50:AAN50"/>
    <mergeCell ref="AAO50:AAR50"/>
    <mergeCell ref="AAS50:AAV50"/>
    <mergeCell ref="AAW50:AAZ50"/>
    <mergeCell ref="ABA50:ABD50"/>
    <mergeCell ref="ZI50:ZL50"/>
    <mergeCell ref="ZM50:ZP50"/>
    <mergeCell ref="ZQ50:ZT50"/>
    <mergeCell ref="ZU50:ZX50"/>
    <mergeCell ref="ZY50:AAB50"/>
    <mergeCell ref="AAC50:AAF50"/>
    <mergeCell ref="ADY50:AEB50"/>
    <mergeCell ref="AEC50:AEF50"/>
    <mergeCell ref="AEG50:AEJ50"/>
    <mergeCell ref="AEK50:AEN50"/>
    <mergeCell ref="AEO50:AER50"/>
    <mergeCell ref="AES50:AEV50"/>
    <mergeCell ref="ADA50:ADD50"/>
    <mergeCell ref="ADE50:ADH50"/>
    <mergeCell ref="ADI50:ADL50"/>
    <mergeCell ref="ADM50:ADP50"/>
    <mergeCell ref="ADQ50:ADT50"/>
    <mergeCell ref="ADU50:ADX50"/>
    <mergeCell ref="ACC50:ACF50"/>
    <mergeCell ref="ACG50:ACJ50"/>
    <mergeCell ref="ACK50:ACN50"/>
    <mergeCell ref="ACO50:ACR50"/>
    <mergeCell ref="ACS50:ACV50"/>
    <mergeCell ref="ACW50:ACZ50"/>
    <mergeCell ref="AGS50:AGV50"/>
    <mergeCell ref="AGW50:AGZ50"/>
    <mergeCell ref="AHA50:AHD50"/>
    <mergeCell ref="AHE50:AHH50"/>
    <mergeCell ref="AHI50:AHL50"/>
    <mergeCell ref="AHM50:AHP50"/>
    <mergeCell ref="AFU50:AFX50"/>
    <mergeCell ref="AFY50:AGB50"/>
    <mergeCell ref="AGC50:AGF50"/>
    <mergeCell ref="AGG50:AGJ50"/>
    <mergeCell ref="AGK50:AGN50"/>
    <mergeCell ref="AGO50:AGR50"/>
    <mergeCell ref="AEW50:AEZ50"/>
    <mergeCell ref="AFA50:AFD50"/>
    <mergeCell ref="AFE50:AFH50"/>
    <mergeCell ref="AFI50:AFL50"/>
    <mergeCell ref="AFM50:AFP50"/>
    <mergeCell ref="AFQ50:AFT50"/>
    <mergeCell ref="AJM50:AJP50"/>
    <mergeCell ref="AJQ50:AJT50"/>
    <mergeCell ref="AJU50:AJX50"/>
    <mergeCell ref="AJY50:AKB50"/>
    <mergeCell ref="AKC50:AKF50"/>
    <mergeCell ref="AKG50:AKJ50"/>
    <mergeCell ref="AIO50:AIR50"/>
    <mergeCell ref="AIS50:AIV50"/>
    <mergeCell ref="AIW50:AIZ50"/>
    <mergeCell ref="AJA50:AJD50"/>
    <mergeCell ref="AJE50:AJH50"/>
    <mergeCell ref="AJI50:AJL50"/>
    <mergeCell ref="AHQ50:AHT50"/>
    <mergeCell ref="AHU50:AHX50"/>
    <mergeCell ref="AHY50:AIB50"/>
    <mergeCell ref="AIC50:AIF50"/>
    <mergeCell ref="AIG50:AIJ50"/>
    <mergeCell ref="AIK50:AIN50"/>
    <mergeCell ref="AMG50:AMJ50"/>
    <mergeCell ref="AMK50:AMN50"/>
    <mergeCell ref="AMO50:AMR50"/>
    <mergeCell ref="AMS50:AMV50"/>
    <mergeCell ref="AMW50:AMZ50"/>
    <mergeCell ref="ANA50:AND50"/>
    <mergeCell ref="ALI50:ALL50"/>
    <mergeCell ref="ALM50:ALP50"/>
    <mergeCell ref="ALQ50:ALT50"/>
    <mergeCell ref="ALU50:ALX50"/>
    <mergeCell ref="ALY50:AMB50"/>
    <mergeCell ref="AMC50:AMF50"/>
    <mergeCell ref="AKK50:AKN50"/>
    <mergeCell ref="AKO50:AKR50"/>
    <mergeCell ref="AKS50:AKV50"/>
    <mergeCell ref="AKW50:AKZ50"/>
    <mergeCell ref="ALA50:ALD50"/>
    <mergeCell ref="ALE50:ALH50"/>
    <mergeCell ref="APA50:APD50"/>
    <mergeCell ref="APE50:APH50"/>
    <mergeCell ref="API50:APL50"/>
    <mergeCell ref="APM50:APP50"/>
    <mergeCell ref="APQ50:APT50"/>
    <mergeCell ref="APU50:APX50"/>
    <mergeCell ref="AOC50:AOF50"/>
    <mergeCell ref="AOG50:AOJ50"/>
    <mergeCell ref="AOK50:AON50"/>
    <mergeCell ref="AOO50:AOR50"/>
    <mergeCell ref="AOS50:AOV50"/>
    <mergeCell ref="AOW50:AOZ50"/>
    <mergeCell ref="ANE50:ANH50"/>
    <mergeCell ref="ANI50:ANL50"/>
    <mergeCell ref="ANM50:ANP50"/>
    <mergeCell ref="ANQ50:ANT50"/>
    <mergeCell ref="ANU50:ANX50"/>
    <mergeCell ref="ANY50:AOB50"/>
    <mergeCell ref="ARU50:ARX50"/>
    <mergeCell ref="ARY50:ASB50"/>
    <mergeCell ref="ASC50:ASF50"/>
    <mergeCell ref="ASG50:ASJ50"/>
    <mergeCell ref="ASK50:ASN50"/>
    <mergeCell ref="ASO50:ASR50"/>
    <mergeCell ref="AQW50:AQZ50"/>
    <mergeCell ref="ARA50:ARD50"/>
    <mergeCell ref="ARE50:ARH50"/>
    <mergeCell ref="ARI50:ARL50"/>
    <mergeCell ref="ARM50:ARP50"/>
    <mergeCell ref="ARQ50:ART50"/>
    <mergeCell ref="APY50:AQB50"/>
    <mergeCell ref="AQC50:AQF50"/>
    <mergeCell ref="AQG50:AQJ50"/>
    <mergeCell ref="AQK50:AQN50"/>
    <mergeCell ref="AQO50:AQR50"/>
    <mergeCell ref="AQS50:AQV50"/>
    <mergeCell ref="AUO50:AUR50"/>
    <mergeCell ref="AUS50:AUV50"/>
    <mergeCell ref="AUW50:AUZ50"/>
    <mergeCell ref="AVA50:AVD50"/>
    <mergeCell ref="AVE50:AVH50"/>
    <mergeCell ref="AVI50:AVL50"/>
    <mergeCell ref="ATQ50:ATT50"/>
    <mergeCell ref="ATU50:ATX50"/>
    <mergeCell ref="ATY50:AUB50"/>
    <mergeCell ref="AUC50:AUF50"/>
    <mergeCell ref="AUG50:AUJ50"/>
    <mergeCell ref="AUK50:AUN50"/>
    <mergeCell ref="ASS50:ASV50"/>
    <mergeCell ref="ASW50:ASZ50"/>
    <mergeCell ref="ATA50:ATD50"/>
    <mergeCell ref="ATE50:ATH50"/>
    <mergeCell ref="ATI50:ATL50"/>
    <mergeCell ref="ATM50:ATP50"/>
    <mergeCell ref="AXI50:AXL50"/>
    <mergeCell ref="AXM50:AXP50"/>
    <mergeCell ref="AXQ50:AXT50"/>
    <mergeCell ref="AXU50:AXX50"/>
    <mergeCell ref="AXY50:AYB50"/>
    <mergeCell ref="AYC50:AYF50"/>
    <mergeCell ref="AWK50:AWN50"/>
    <mergeCell ref="AWO50:AWR50"/>
    <mergeCell ref="AWS50:AWV50"/>
    <mergeCell ref="AWW50:AWZ50"/>
    <mergeCell ref="AXA50:AXD50"/>
    <mergeCell ref="AXE50:AXH50"/>
    <mergeCell ref="AVM50:AVP50"/>
    <mergeCell ref="AVQ50:AVT50"/>
    <mergeCell ref="AVU50:AVX50"/>
    <mergeCell ref="AVY50:AWB50"/>
    <mergeCell ref="AWC50:AWF50"/>
    <mergeCell ref="AWG50:AWJ50"/>
    <mergeCell ref="BAC50:BAF50"/>
    <mergeCell ref="BAG50:BAJ50"/>
    <mergeCell ref="BAK50:BAN50"/>
    <mergeCell ref="BAO50:BAR50"/>
    <mergeCell ref="BAS50:BAV50"/>
    <mergeCell ref="BAW50:BAZ50"/>
    <mergeCell ref="AZE50:AZH50"/>
    <mergeCell ref="AZI50:AZL50"/>
    <mergeCell ref="AZM50:AZP50"/>
    <mergeCell ref="AZQ50:AZT50"/>
    <mergeCell ref="AZU50:AZX50"/>
    <mergeCell ref="AZY50:BAB50"/>
    <mergeCell ref="AYG50:AYJ50"/>
    <mergeCell ref="AYK50:AYN50"/>
    <mergeCell ref="AYO50:AYR50"/>
    <mergeCell ref="AYS50:AYV50"/>
    <mergeCell ref="AYW50:AYZ50"/>
    <mergeCell ref="AZA50:AZD50"/>
    <mergeCell ref="BCW50:BCZ50"/>
    <mergeCell ref="BDA50:BDD50"/>
    <mergeCell ref="BDE50:BDH50"/>
    <mergeCell ref="BDI50:BDL50"/>
    <mergeCell ref="BDM50:BDP50"/>
    <mergeCell ref="BDQ50:BDT50"/>
    <mergeCell ref="BBY50:BCB50"/>
    <mergeCell ref="BCC50:BCF50"/>
    <mergeCell ref="BCG50:BCJ50"/>
    <mergeCell ref="BCK50:BCN50"/>
    <mergeCell ref="BCO50:BCR50"/>
    <mergeCell ref="BCS50:BCV50"/>
    <mergeCell ref="BBA50:BBD50"/>
    <mergeCell ref="BBE50:BBH50"/>
    <mergeCell ref="BBI50:BBL50"/>
    <mergeCell ref="BBM50:BBP50"/>
    <mergeCell ref="BBQ50:BBT50"/>
    <mergeCell ref="BBU50:BBX50"/>
    <mergeCell ref="BFQ50:BFT50"/>
    <mergeCell ref="BFU50:BFX50"/>
    <mergeCell ref="BFY50:BGB50"/>
    <mergeCell ref="BGC50:BGF50"/>
    <mergeCell ref="BGG50:BGJ50"/>
    <mergeCell ref="BGK50:BGN50"/>
    <mergeCell ref="BES50:BEV50"/>
    <mergeCell ref="BEW50:BEZ50"/>
    <mergeCell ref="BFA50:BFD50"/>
    <mergeCell ref="BFE50:BFH50"/>
    <mergeCell ref="BFI50:BFL50"/>
    <mergeCell ref="BFM50:BFP50"/>
    <mergeCell ref="BDU50:BDX50"/>
    <mergeCell ref="BDY50:BEB50"/>
    <mergeCell ref="BEC50:BEF50"/>
    <mergeCell ref="BEG50:BEJ50"/>
    <mergeCell ref="BEK50:BEN50"/>
    <mergeCell ref="BEO50:BER50"/>
    <mergeCell ref="BIK50:BIN50"/>
    <mergeCell ref="BIO50:BIR50"/>
    <mergeCell ref="BIS50:BIV50"/>
    <mergeCell ref="BIW50:BIZ50"/>
    <mergeCell ref="BJA50:BJD50"/>
    <mergeCell ref="BJE50:BJH50"/>
    <mergeCell ref="BHM50:BHP50"/>
    <mergeCell ref="BHQ50:BHT50"/>
    <mergeCell ref="BHU50:BHX50"/>
    <mergeCell ref="BHY50:BIB50"/>
    <mergeCell ref="BIC50:BIF50"/>
    <mergeCell ref="BIG50:BIJ50"/>
    <mergeCell ref="BGO50:BGR50"/>
    <mergeCell ref="BGS50:BGV50"/>
    <mergeCell ref="BGW50:BGZ50"/>
    <mergeCell ref="BHA50:BHD50"/>
    <mergeCell ref="BHE50:BHH50"/>
    <mergeCell ref="BHI50:BHL50"/>
    <mergeCell ref="BLE50:BLH50"/>
    <mergeCell ref="BLI50:BLL50"/>
    <mergeCell ref="BLM50:BLP50"/>
    <mergeCell ref="BLQ50:BLT50"/>
    <mergeCell ref="BLU50:BLX50"/>
    <mergeCell ref="BLY50:BMB50"/>
    <mergeCell ref="BKG50:BKJ50"/>
    <mergeCell ref="BKK50:BKN50"/>
    <mergeCell ref="BKO50:BKR50"/>
    <mergeCell ref="BKS50:BKV50"/>
    <mergeCell ref="BKW50:BKZ50"/>
    <mergeCell ref="BLA50:BLD50"/>
    <mergeCell ref="BJI50:BJL50"/>
    <mergeCell ref="BJM50:BJP50"/>
    <mergeCell ref="BJQ50:BJT50"/>
    <mergeCell ref="BJU50:BJX50"/>
    <mergeCell ref="BJY50:BKB50"/>
    <mergeCell ref="BKC50:BKF50"/>
    <mergeCell ref="BNY50:BOB50"/>
    <mergeCell ref="BOC50:BOF50"/>
    <mergeCell ref="BOG50:BOJ50"/>
    <mergeCell ref="BOK50:BON50"/>
    <mergeCell ref="BOO50:BOR50"/>
    <mergeCell ref="BOS50:BOV50"/>
    <mergeCell ref="BNA50:BND50"/>
    <mergeCell ref="BNE50:BNH50"/>
    <mergeCell ref="BNI50:BNL50"/>
    <mergeCell ref="BNM50:BNP50"/>
    <mergeCell ref="BNQ50:BNT50"/>
    <mergeCell ref="BNU50:BNX50"/>
    <mergeCell ref="BMC50:BMF50"/>
    <mergeCell ref="BMG50:BMJ50"/>
    <mergeCell ref="BMK50:BMN50"/>
    <mergeCell ref="BMO50:BMR50"/>
    <mergeCell ref="BMS50:BMV50"/>
    <mergeCell ref="BMW50:BMZ50"/>
    <mergeCell ref="BQS50:BQV50"/>
    <mergeCell ref="BQW50:BQZ50"/>
    <mergeCell ref="BRA50:BRD50"/>
    <mergeCell ref="BRE50:BRH50"/>
    <mergeCell ref="BRI50:BRL50"/>
    <mergeCell ref="BRM50:BRP50"/>
    <mergeCell ref="BPU50:BPX50"/>
    <mergeCell ref="BPY50:BQB50"/>
    <mergeCell ref="BQC50:BQF50"/>
    <mergeCell ref="BQG50:BQJ50"/>
    <mergeCell ref="BQK50:BQN50"/>
    <mergeCell ref="BQO50:BQR50"/>
    <mergeCell ref="BOW50:BOZ50"/>
    <mergeCell ref="BPA50:BPD50"/>
    <mergeCell ref="BPE50:BPH50"/>
    <mergeCell ref="BPI50:BPL50"/>
    <mergeCell ref="BPM50:BPP50"/>
    <mergeCell ref="BPQ50:BPT50"/>
    <mergeCell ref="BTM50:BTP50"/>
    <mergeCell ref="BTQ50:BTT50"/>
    <mergeCell ref="BTU50:BTX50"/>
    <mergeCell ref="BTY50:BUB50"/>
    <mergeCell ref="BUC50:BUF50"/>
    <mergeCell ref="BUG50:BUJ50"/>
    <mergeCell ref="BSO50:BSR50"/>
    <mergeCell ref="BSS50:BSV50"/>
    <mergeCell ref="BSW50:BSZ50"/>
    <mergeCell ref="BTA50:BTD50"/>
    <mergeCell ref="BTE50:BTH50"/>
    <mergeCell ref="BTI50:BTL50"/>
    <mergeCell ref="BRQ50:BRT50"/>
    <mergeCell ref="BRU50:BRX50"/>
    <mergeCell ref="BRY50:BSB50"/>
    <mergeCell ref="BSC50:BSF50"/>
    <mergeCell ref="BSG50:BSJ50"/>
    <mergeCell ref="BSK50:BSN50"/>
    <mergeCell ref="BWG50:BWJ50"/>
    <mergeCell ref="BWK50:BWN50"/>
    <mergeCell ref="BWO50:BWR50"/>
    <mergeCell ref="BWS50:BWV50"/>
    <mergeCell ref="BWW50:BWZ50"/>
    <mergeCell ref="BXA50:BXD50"/>
    <mergeCell ref="BVI50:BVL50"/>
    <mergeCell ref="BVM50:BVP50"/>
    <mergeCell ref="BVQ50:BVT50"/>
    <mergeCell ref="BVU50:BVX50"/>
    <mergeCell ref="BVY50:BWB50"/>
    <mergeCell ref="BWC50:BWF50"/>
    <mergeCell ref="BUK50:BUN50"/>
    <mergeCell ref="BUO50:BUR50"/>
    <mergeCell ref="BUS50:BUV50"/>
    <mergeCell ref="BUW50:BUZ50"/>
    <mergeCell ref="BVA50:BVD50"/>
    <mergeCell ref="BVE50:BVH50"/>
    <mergeCell ref="BZA50:BZD50"/>
    <mergeCell ref="BZE50:BZH50"/>
    <mergeCell ref="BZI50:BZL50"/>
    <mergeCell ref="BZM50:BZP50"/>
    <mergeCell ref="BZQ50:BZT50"/>
    <mergeCell ref="BZU50:BZX50"/>
    <mergeCell ref="BYC50:BYF50"/>
    <mergeCell ref="BYG50:BYJ50"/>
    <mergeCell ref="BYK50:BYN50"/>
    <mergeCell ref="BYO50:BYR50"/>
    <mergeCell ref="BYS50:BYV50"/>
    <mergeCell ref="BYW50:BYZ50"/>
    <mergeCell ref="BXE50:BXH50"/>
    <mergeCell ref="BXI50:BXL50"/>
    <mergeCell ref="BXM50:BXP50"/>
    <mergeCell ref="BXQ50:BXT50"/>
    <mergeCell ref="BXU50:BXX50"/>
    <mergeCell ref="BXY50:BYB50"/>
    <mergeCell ref="CBU50:CBX50"/>
    <mergeCell ref="CBY50:CCB50"/>
    <mergeCell ref="CCC50:CCF50"/>
    <mergeCell ref="CCG50:CCJ50"/>
    <mergeCell ref="CCK50:CCN50"/>
    <mergeCell ref="CCO50:CCR50"/>
    <mergeCell ref="CAW50:CAZ50"/>
    <mergeCell ref="CBA50:CBD50"/>
    <mergeCell ref="CBE50:CBH50"/>
    <mergeCell ref="CBI50:CBL50"/>
    <mergeCell ref="CBM50:CBP50"/>
    <mergeCell ref="CBQ50:CBT50"/>
    <mergeCell ref="BZY50:CAB50"/>
    <mergeCell ref="CAC50:CAF50"/>
    <mergeCell ref="CAG50:CAJ50"/>
    <mergeCell ref="CAK50:CAN50"/>
    <mergeCell ref="CAO50:CAR50"/>
    <mergeCell ref="CAS50:CAV50"/>
    <mergeCell ref="CEO50:CER50"/>
    <mergeCell ref="CES50:CEV50"/>
    <mergeCell ref="CEW50:CEZ50"/>
    <mergeCell ref="CFA50:CFD50"/>
    <mergeCell ref="CFE50:CFH50"/>
    <mergeCell ref="CFI50:CFL50"/>
    <mergeCell ref="CDQ50:CDT50"/>
    <mergeCell ref="CDU50:CDX50"/>
    <mergeCell ref="CDY50:CEB50"/>
    <mergeCell ref="CEC50:CEF50"/>
    <mergeCell ref="CEG50:CEJ50"/>
    <mergeCell ref="CEK50:CEN50"/>
    <mergeCell ref="CCS50:CCV50"/>
    <mergeCell ref="CCW50:CCZ50"/>
    <mergeCell ref="CDA50:CDD50"/>
    <mergeCell ref="CDE50:CDH50"/>
    <mergeCell ref="CDI50:CDL50"/>
    <mergeCell ref="CDM50:CDP50"/>
    <mergeCell ref="CHI50:CHL50"/>
    <mergeCell ref="CHM50:CHP50"/>
    <mergeCell ref="CHQ50:CHT50"/>
    <mergeCell ref="CHU50:CHX50"/>
    <mergeCell ref="CHY50:CIB50"/>
    <mergeCell ref="CIC50:CIF50"/>
    <mergeCell ref="CGK50:CGN50"/>
    <mergeCell ref="CGO50:CGR50"/>
    <mergeCell ref="CGS50:CGV50"/>
    <mergeCell ref="CGW50:CGZ50"/>
    <mergeCell ref="CHA50:CHD50"/>
    <mergeCell ref="CHE50:CHH50"/>
    <mergeCell ref="CFM50:CFP50"/>
    <mergeCell ref="CFQ50:CFT50"/>
    <mergeCell ref="CFU50:CFX50"/>
    <mergeCell ref="CFY50:CGB50"/>
    <mergeCell ref="CGC50:CGF50"/>
    <mergeCell ref="CGG50:CGJ50"/>
    <mergeCell ref="CKC50:CKF50"/>
    <mergeCell ref="CKG50:CKJ50"/>
    <mergeCell ref="CKK50:CKN50"/>
    <mergeCell ref="CKO50:CKR50"/>
    <mergeCell ref="CKS50:CKV50"/>
    <mergeCell ref="CKW50:CKZ50"/>
    <mergeCell ref="CJE50:CJH50"/>
    <mergeCell ref="CJI50:CJL50"/>
    <mergeCell ref="CJM50:CJP50"/>
    <mergeCell ref="CJQ50:CJT50"/>
    <mergeCell ref="CJU50:CJX50"/>
    <mergeCell ref="CJY50:CKB50"/>
    <mergeCell ref="CIG50:CIJ50"/>
    <mergeCell ref="CIK50:CIN50"/>
    <mergeCell ref="CIO50:CIR50"/>
    <mergeCell ref="CIS50:CIV50"/>
    <mergeCell ref="CIW50:CIZ50"/>
    <mergeCell ref="CJA50:CJD50"/>
    <mergeCell ref="CMW50:CMZ50"/>
    <mergeCell ref="CNA50:CND50"/>
    <mergeCell ref="CNE50:CNH50"/>
    <mergeCell ref="CNI50:CNL50"/>
    <mergeCell ref="CNM50:CNP50"/>
    <mergeCell ref="CNQ50:CNT50"/>
    <mergeCell ref="CLY50:CMB50"/>
    <mergeCell ref="CMC50:CMF50"/>
    <mergeCell ref="CMG50:CMJ50"/>
    <mergeCell ref="CMK50:CMN50"/>
    <mergeCell ref="CMO50:CMR50"/>
    <mergeCell ref="CMS50:CMV50"/>
    <mergeCell ref="CLA50:CLD50"/>
    <mergeCell ref="CLE50:CLH50"/>
    <mergeCell ref="CLI50:CLL50"/>
    <mergeCell ref="CLM50:CLP50"/>
    <mergeCell ref="CLQ50:CLT50"/>
    <mergeCell ref="CLU50:CLX50"/>
    <mergeCell ref="CPQ50:CPT50"/>
    <mergeCell ref="CPU50:CPX50"/>
    <mergeCell ref="CPY50:CQB50"/>
    <mergeCell ref="CQC50:CQF50"/>
    <mergeCell ref="CQG50:CQJ50"/>
    <mergeCell ref="CQK50:CQN50"/>
    <mergeCell ref="COS50:COV50"/>
    <mergeCell ref="COW50:COZ50"/>
    <mergeCell ref="CPA50:CPD50"/>
    <mergeCell ref="CPE50:CPH50"/>
    <mergeCell ref="CPI50:CPL50"/>
    <mergeCell ref="CPM50:CPP50"/>
    <mergeCell ref="CNU50:CNX50"/>
    <mergeCell ref="CNY50:COB50"/>
    <mergeCell ref="COC50:COF50"/>
    <mergeCell ref="COG50:COJ50"/>
    <mergeCell ref="COK50:CON50"/>
    <mergeCell ref="COO50:COR50"/>
    <mergeCell ref="CSK50:CSN50"/>
    <mergeCell ref="CSO50:CSR50"/>
    <mergeCell ref="CSS50:CSV50"/>
    <mergeCell ref="CSW50:CSZ50"/>
    <mergeCell ref="CTA50:CTD50"/>
    <mergeCell ref="CTE50:CTH50"/>
    <mergeCell ref="CRM50:CRP50"/>
    <mergeCell ref="CRQ50:CRT50"/>
    <mergeCell ref="CRU50:CRX50"/>
    <mergeCell ref="CRY50:CSB50"/>
    <mergeCell ref="CSC50:CSF50"/>
    <mergeCell ref="CSG50:CSJ50"/>
    <mergeCell ref="CQO50:CQR50"/>
    <mergeCell ref="CQS50:CQV50"/>
    <mergeCell ref="CQW50:CQZ50"/>
    <mergeCell ref="CRA50:CRD50"/>
    <mergeCell ref="CRE50:CRH50"/>
    <mergeCell ref="CRI50:CRL50"/>
    <mergeCell ref="CVE50:CVH50"/>
    <mergeCell ref="CVI50:CVL50"/>
    <mergeCell ref="CVM50:CVP50"/>
    <mergeCell ref="CVQ50:CVT50"/>
    <mergeCell ref="CVU50:CVX50"/>
    <mergeCell ref="CVY50:CWB50"/>
    <mergeCell ref="CUG50:CUJ50"/>
    <mergeCell ref="CUK50:CUN50"/>
    <mergeCell ref="CUO50:CUR50"/>
    <mergeCell ref="CUS50:CUV50"/>
    <mergeCell ref="CUW50:CUZ50"/>
    <mergeCell ref="CVA50:CVD50"/>
    <mergeCell ref="CTI50:CTL50"/>
    <mergeCell ref="CTM50:CTP50"/>
    <mergeCell ref="CTQ50:CTT50"/>
    <mergeCell ref="CTU50:CTX50"/>
    <mergeCell ref="CTY50:CUB50"/>
    <mergeCell ref="CUC50:CUF50"/>
    <mergeCell ref="CXY50:CYB50"/>
    <mergeCell ref="CYC50:CYF50"/>
    <mergeCell ref="CYG50:CYJ50"/>
    <mergeCell ref="CYK50:CYN50"/>
    <mergeCell ref="CYO50:CYR50"/>
    <mergeCell ref="CYS50:CYV50"/>
    <mergeCell ref="CXA50:CXD50"/>
    <mergeCell ref="CXE50:CXH50"/>
    <mergeCell ref="CXI50:CXL50"/>
    <mergeCell ref="CXM50:CXP50"/>
    <mergeCell ref="CXQ50:CXT50"/>
    <mergeCell ref="CXU50:CXX50"/>
    <mergeCell ref="CWC50:CWF50"/>
    <mergeCell ref="CWG50:CWJ50"/>
    <mergeCell ref="CWK50:CWN50"/>
    <mergeCell ref="CWO50:CWR50"/>
    <mergeCell ref="CWS50:CWV50"/>
    <mergeCell ref="CWW50:CWZ50"/>
    <mergeCell ref="DAS50:DAV50"/>
    <mergeCell ref="DAW50:DAZ50"/>
    <mergeCell ref="DBA50:DBD50"/>
    <mergeCell ref="DBE50:DBH50"/>
    <mergeCell ref="DBI50:DBL50"/>
    <mergeCell ref="DBM50:DBP50"/>
    <mergeCell ref="CZU50:CZX50"/>
    <mergeCell ref="CZY50:DAB50"/>
    <mergeCell ref="DAC50:DAF50"/>
    <mergeCell ref="DAG50:DAJ50"/>
    <mergeCell ref="DAK50:DAN50"/>
    <mergeCell ref="DAO50:DAR50"/>
    <mergeCell ref="CYW50:CYZ50"/>
    <mergeCell ref="CZA50:CZD50"/>
    <mergeCell ref="CZE50:CZH50"/>
    <mergeCell ref="CZI50:CZL50"/>
    <mergeCell ref="CZM50:CZP50"/>
    <mergeCell ref="CZQ50:CZT50"/>
    <mergeCell ref="DDM50:DDP50"/>
    <mergeCell ref="DDQ50:DDT50"/>
    <mergeCell ref="DDU50:DDX50"/>
    <mergeCell ref="DDY50:DEB50"/>
    <mergeCell ref="DEC50:DEF50"/>
    <mergeCell ref="DEG50:DEJ50"/>
    <mergeCell ref="DCO50:DCR50"/>
    <mergeCell ref="DCS50:DCV50"/>
    <mergeCell ref="DCW50:DCZ50"/>
    <mergeCell ref="DDA50:DDD50"/>
    <mergeCell ref="DDE50:DDH50"/>
    <mergeCell ref="DDI50:DDL50"/>
    <mergeCell ref="DBQ50:DBT50"/>
    <mergeCell ref="DBU50:DBX50"/>
    <mergeCell ref="DBY50:DCB50"/>
    <mergeCell ref="DCC50:DCF50"/>
    <mergeCell ref="DCG50:DCJ50"/>
    <mergeCell ref="DCK50:DCN50"/>
    <mergeCell ref="DGG50:DGJ50"/>
    <mergeCell ref="DGK50:DGN50"/>
    <mergeCell ref="DGO50:DGR50"/>
    <mergeCell ref="DGS50:DGV50"/>
    <mergeCell ref="DGW50:DGZ50"/>
    <mergeCell ref="DHA50:DHD50"/>
    <mergeCell ref="DFI50:DFL50"/>
    <mergeCell ref="DFM50:DFP50"/>
    <mergeCell ref="DFQ50:DFT50"/>
    <mergeCell ref="DFU50:DFX50"/>
    <mergeCell ref="DFY50:DGB50"/>
    <mergeCell ref="DGC50:DGF50"/>
    <mergeCell ref="DEK50:DEN50"/>
    <mergeCell ref="DEO50:DER50"/>
    <mergeCell ref="DES50:DEV50"/>
    <mergeCell ref="DEW50:DEZ50"/>
    <mergeCell ref="DFA50:DFD50"/>
    <mergeCell ref="DFE50:DFH50"/>
    <mergeCell ref="DJA50:DJD50"/>
    <mergeCell ref="DJE50:DJH50"/>
    <mergeCell ref="DJI50:DJL50"/>
    <mergeCell ref="DJM50:DJP50"/>
    <mergeCell ref="DJQ50:DJT50"/>
    <mergeCell ref="DJU50:DJX50"/>
    <mergeCell ref="DIC50:DIF50"/>
    <mergeCell ref="DIG50:DIJ50"/>
    <mergeCell ref="DIK50:DIN50"/>
    <mergeCell ref="DIO50:DIR50"/>
    <mergeCell ref="DIS50:DIV50"/>
    <mergeCell ref="DIW50:DIZ50"/>
    <mergeCell ref="DHE50:DHH50"/>
    <mergeCell ref="DHI50:DHL50"/>
    <mergeCell ref="DHM50:DHP50"/>
    <mergeCell ref="DHQ50:DHT50"/>
    <mergeCell ref="DHU50:DHX50"/>
    <mergeCell ref="DHY50:DIB50"/>
    <mergeCell ref="DLU50:DLX50"/>
    <mergeCell ref="DLY50:DMB50"/>
    <mergeCell ref="DMC50:DMF50"/>
    <mergeCell ref="DMG50:DMJ50"/>
    <mergeCell ref="DMK50:DMN50"/>
    <mergeCell ref="DMO50:DMR50"/>
    <mergeCell ref="DKW50:DKZ50"/>
    <mergeCell ref="DLA50:DLD50"/>
    <mergeCell ref="DLE50:DLH50"/>
    <mergeCell ref="DLI50:DLL50"/>
    <mergeCell ref="DLM50:DLP50"/>
    <mergeCell ref="DLQ50:DLT50"/>
    <mergeCell ref="DJY50:DKB50"/>
    <mergeCell ref="DKC50:DKF50"/>
    <mergeCell ref="DKG50:DKJ50"/>
    <mergeCell ref="DKK50:DKN50"/>
    <mergeCell ref="DKO50:DKR50"/>
    <mergeCell ref="DKS50:DKV50"/>
    <mergeCell ref="DOO50:DOR50"/>
    <mergeCell ref="DOS50:DOV50"/>
    <mergeCell ref="DOW50:DOZ50"/>
    <mergeCell ref="DPA50:DPD50"/>
    <mergeCell ref="DPE50:DPH50"/>
    <mergeCell ref="DPI50:DPL50"/>
    <mergeCell ref="DNQ50:DNT50"/>
    <mergeCell ref="DNU50:DNX50"/>
    <mergeCell ref="DNY50:DOB50"/>
    <mergeCell ref="DOC50:DOF50"/>
    <mergeCell ref="DOG50:DOJ50"/>
    <mergeCell ref="DOK50:DON50"/>
    <mergeCell ref="DMS50:DMV50"/>
    <mergeCell ref="DMW50:DMZ50"/>
    <mergeCell ref="DNA50:DND50"/>
    <mergeCell ref="DNE50:DNH50"/>
    <mergeCell ref="DNI50:DNL50"/>
    <mergeCell ref="DNM50:DNP50"/>
    <mergeCell ref="DRI50:DRL50"/>
    <mergeCell ref="DRM50:DRP50"/>
    <mergeCell ref="DRQ50:DRT50"/>
    <mergeCell ref="DRU50:DRX50"/>
    <mergeCell ref="DRY50:DSB50"/>
    <mergeCell ref="DSC50:DSF50"/>
    <mergeCell ref="DQK50:DQN50"/>
    <mergeCell ref="DQO50:DQR50"/>
    <mergeCell ref="DQS50:DQV50"/>
    <mergeCell ref="DQW50:DQZ50"/>
    <mergeCell ref="DRA50:DRD50"/>
    <mergeCell ref="DRE50:DRH50"/>
    <mergeCell ref="DPM50:DPP50"/>
    <mergeCell ref="DPQ50:DPT50"/>
    <mergeCell ref="DPU50:DPX50"/>
    <mergeCell ref="DPY50:DQB50"/>
    <mergeCell ref="DQC50:DQF50"/>
    <mergeCell ref="DQG50:DQJ50"/>
    <mergeCell ref="DUC50:DUF50"/>
    <mergeCell ref="DUG50:DUJ50"/>
    <mergeCell ref="DUK50:DUN50"/>
    <mergeCell ref="DUO50:DUR50"/>
    <mergeCell ref="DUS50:DUV50"/>
    <mergeCell ref="DUW50:DUZ50"/>
    <mergeCell ref="DTE50:DTH50"/>
    <mergeCell ref="DTI50:DTL50"/>
    <mergeCell ref="DTM50:DTP50"/>
    <mergeCell ref="DTQ50:DTT50"/>
    <mergeCell ref="DTU50:DTX50"/>
    <mergeCell ref="DTY50:DUB50"/>
    <mergeCell ref="DSG50:DSJ50"/>
    <mergeCell ref="DSK50:DSN50"/>
    <mergeCell ref="DSO50:DSR50"/>
    <mergeCell ref="DSS50:DSV50"/>
    <mergeCell ref="DSW50:DSZ50"/>
    <mergeCell ref="DTA50:DTD50"/>
    <mergeCell ref="DWW50:DWZ50"/>
    <mergeCell ref="DXA50:DXD50"/>
    <mergeCell ref="DXE50:DXH50"/>
    <mergeCell ref="DXI50:DXL50"/>
    <mergeCell ref="DXM50:DXP50"/>
    <mergeCell ref="DXQ50:DXT50"/>
    <mergeCell ref="DVY50:DWB50"/>
    <mergeCell ref="DWC50:DWF50"/>
    <mergeCell ref="DWG50:DWJ50"/>
    <mergeCell ref="DWK50:DWN50"/>
    <mergeCell ref="DWO50:DWR50"/>
    <mergeCell ref="DWS50:DWV50"/>
    <mergeCell ref="DVA50:DVD50"/>
    <mergeCell ref="DVE50:DVH50"/>
    <mergeCell ref="DVI50:DVL50"/>
    <mergeCell ref="DVM50:DVP50"/>
    <mergeCell ref="DVQ50:DVT50"/>
    <mergeCell ref="DVU50:DVX50"/>
    <mergeCell ref="DZQ50:DZT50"/>
    <mergeCell ref="DZU50:DZX50"/>
    <mergeCell ref="DZY50:EAB50"/>
    <mergeCell ref="EAC50:EAF50"/>
    <mergeCell ref="EAG50:EAJ50"/>
    <mergeCell ref="EAK50:EAN50"/>
    <mergeCell ref="DYS50:DYV50"/>
    <mergeCell ref="DYW50:DYZ50"/>
    <mergeCell ref="DZA50:DZD50"/>
    <mergeCell ref="DZE50:DZH50"/>
    <mergeCell ref="DZI50:DZL50"/>
    <mergeCell ref="DZM50:DZP50"/>
    <mergeCell ref="DXU50:DXX50"/>
    <mergeCell ref="DXY50:DYB50"/>
    <mergeCell ref="DYC50:DYF50"/>
    <mergeCell ref="DYG50:DYJ50"/>
    <mergeCell ref="DYK50:DYN50"/>
    <mergeCell ref="DYO50:DYR50"/>
    <mergeCell ref="ECK50:ECN50"/>
    <mergeCell ref="ECO50:ECR50"/>
    <mergeCell ref="ECS50:ECV50"/>
    <mergeCell ref="ECW50:ECZ50"/>
    <mergeCell ref="EDA50:EDD50"/>
    <mergeCell ref="EDE50:EDH50"/>
    <mergeCell ref="EBM50:EBP50"/>
    <mergeCell ref="EBQ50:EBT50"/>
    <mergeCell ref="EBU50:EBX50"/>
    <mergeCell ref="EBY50:ECB50"/>
    <mergeCell ref="ECC50:ECF50"/>
    <mergeCell ref="ECG50:ECJ50"/>
    <mergeCell ref="EAO50:EAR50"/>
    <mergeCell ref="EAS50:EAV50"/>
    <mergeCell ref="EAW50:EAZ50"/>
    <mergeCell ref="EBA50:EBD50"/>
    <mergeCell ref="EBE50:EBH50"/>
    <mergeCell ref="EBI50:EBL50"/>
    <mergeCell ref="EFE50:EFH50"/>
    <mergeCell ref="EFI50:EFL50"/>
    <mergeCell ref="EFM50:EFP50"/>
    <mergeCell ref="EFQ50:EFT50"/>
    <mergeCell ref="EFU50:EFX50"/>
    <mergeCell ref="EFY50:EGB50"/>
    <mergeCell ref="EEG50:EEJ50"/>
    <mergeCell ref="EEK50:EEN50"/>
    <mergeCell ref="EEO50:EER50"/>
    <mergeCell ref="EES50:EEV50"/>
    <mergeCell ref="EEW50:EEZ50"/>
    <mergeCell ref="EFA50:EFD50"/>
    <mergeCell ref="EDI50:EDL50"/>
    <mergeCell ref="EDM50:EDP50"/>
    <mergeCell ref="EDQ50:EDT50"/>
    <mergeCell ref="EDU50:EDX50"/>
    <mergeCell ref="EDY50:EEB50"/>
    <mergeCell ref="EEC50:EEF50"/>
    <mergeCell ref="EHY50:EIB50"/>
    <mergeCell ref="EIC50:EIF50"/>
    <mergeCell ref="EIG50:EIJ50"/>
    <mergeCell ref="EIK50:EIN50"/>
    <mergeCell ref="EIO50:EIR50"/>
    <mergeCell ref="EIS50:EIV50"/>
    <mergeCell ref="EHA50:EHD50"/>
    <mergeCell ref="EHE50:EHH50"/>
    <mergeCell ref="EHI50:EHL50"/>
    <mergeCell ref="EHM50:EHP50"/>
    <mergeCell ref="EHQ50:EHT50"/>
    <mergeCell ref="EHU50:EHX50"/>
    <mergeCell ref="EGC50:EGF50"/>
    <mergeCell ref="EGG50:EGJ50"/>
    <mergeCell ref="EGK50:EGN50"/>
    <mergeCell ref="EGO50:EGR50"/>
    <mergeCell ref="EGS50:EGV50"/>
    <mergeCell ref="EGW50:EGZ50"/>
    <mergeCell ref="EKS50:EKV50"/>
    <mergeCell ref="EKW50:EKZ50"/>
    <mergeCell ref="ELA50:ELD50"/>
    <mergeCell ref="ELE50:ELH50"/>
    <mergeCell ref="ELI50:ELL50"/>
    <mergeCell ref="ELM50:ELP50"/>
    <mergeCell ref="EJU50:EJX50"/>
    <mergeCell ref="EJY50:EKB50"/>
    <mergeCell ref="EKC50:EKF50"/>
    <mergeCell ref="EKG50:EKJ50"/>
    <mergeCell ref="EKK50:EKN50"/>
    <mergeCell ref="EKO50:EKR50"/>
    <mergeCell ref="EIW50:EIZ50"/>
    <mergeCell ref="EJA50:EJD50"/>
    <mergeCell ref="EJE50:EJH50"/>
    <mergeCell ref="EJI50:EJL50"/>
    <mergeCell ref="EJM50:EJP50"/>
    <mergeCell ref="EJQ50:EJT50"/>
    <mergeCell ref="ENM50:ENP50"/>
    <mergeCell ref="ENQ50:ENT50"/>
    <mergeCell ref="ENU50:ENX50"/>
    <mergeCell ref="ENY50:EOB50"/>
    <mergeCell ref="EOC50:EOF50"/>
    <mergeCell ref="EOG50:EOJ50"/>
    <mergeCell ref="EMO50:EMR50"/>
    <mergeCell ref="EMS50:EMV50"/>
    <mergeCell ref="EMW50:EMZ50"/>
    <mergeCell ref="ENA50:END50"/>
    <mergeCell ref="ENE50:ENH50"/>
    <mergeCell ref="ENI50:ENL50"/>
    <mergeCell ref="ELQ50:ELT50"/>
    <mergeCell ref="ELU50:ELX50"/>
    <mergeCell ref="ELY50:EMB50"/>
    <mergeCell ref="EMC50:EMF50"/>
    <mergeCell ref="EMG50:EMJ50"/>
    <mergeCell ref="EMK50:EMN50"/>
    <mergeCell ref="EQG50:EQJ50"/>
    <mergeCell ref="EQK50:EQN50"/>
    <mergeCell ref="EQO50:EQR50"/>
    <mergeCell ref="EQS50:EQV50"/>
    <mergeCell ref="EQW50:EQZ50"/>
    <mergeCell ref="ERA50:ERD50"/>
    <mergeCell ref="EPI50:EPL50"/>
    <mergeCell ref="EPM50:EPP50"/>
    <mergeCell ref="EPQ50:EPT50"/>
    <mergeCell ref="EPU50:EPX50"/>
    <mergeCell ref="EPY50:EQB50"/>
    <mergeCell ref="EQC50:EQF50"/>
    <mergeCell ref="EOK50:EON50"/>
    <mergeCell ref="EOO50:EOR50"/>
    <mergeCell ref="EOS50:EOV50"/>
    <mergeCell ref="EOW50:EOZ50"/>
    <mergeCell ref="EPA50:EPD50"/>
    <mergeCell ref="EPE50:EPH50"/>
    <mergeCell ref="ETA50:ETD50"/>
    <mergeCell ref="ETE50:ETH50"/>
    <mergeCell ref="ETI50:ETL50"/>
    <mergeCell ref="ETM50:ETP50"/>
    <mergeCell ref="ETQ50:ETT50"/>
    <mergeCell ref="ETU50:ETX50"/>
    <mergeCell ref="ESC50:ESF50"/>
    <mergeCell ref="ESG50:ESJ50"/>
    <mergeCell ref="ESK50:ESN50"/>
    <mergeCell ref="ESO50:ESR50"/>
    <mergeCell ref="ESS50:ESV50"/>
    <mergeCell ref="ESW50:ESZ50"/>
    <mergeCell ref="ERE50:ERH50"/>
    <mergeCell ref="ERI50:ERL50"/>
    <mergeCell ref="ERM50:ERP50"/>
    <mergeCell ref="ERQ50:ERT50"/>
    <mergeCell ref="ERU50:ERX50"/>
    <mergeCell ref="ERY50:ESB50"/>
    <mergeCell ref="EVU50:EVX50"/>
    <mergeCell ref="EVY50:EWB50"/>
    <mergeCell ref="EWC50:EWF50"/>
    <mergeCell ref="EWG50:EWJ50"/>
    <mergeCell ref="EWK50:EWN50"/>
    <mergeCell ref="EWO50:EWR50"/>
    <mergeCell ref="EUW50:EUZ50"/>
    <mergeCell ref="EVA50:EVD50"/>
    <mergeCell ref="EVE50:EVH50"/>
    <mergeCell ref="EVI50:EVL50"/>
    <mergeCell ref="EVM50:EVP50"/>
    <mergeCell ref="EVQ50:EVT50"/>
    <mergeCell ref="ETY50:EUB50"/>
    <mergeCell ref="EUC50:EUF50"/>
    <mergeCell ref="EUG50:EUJ50"/>
    <mergeCell ref="EUK50:EUN50"/>
    <mergeCell ref="EUO50:EUR50"/>
    <mergeCell ref="EUS50:EUV50"/>
    <mergeCell ref="EYO50:EYR50"/>
    <mergeCell ref="EYS50:EYV50"/>
    <mergeCell ref="EYW50:EYZ50"/>
    <mergeCell ref="EZA50:EZD50"/>
    <mergeCell ref="EZE50:EZH50"/>
    <mergeCell ref="EZI50:EZL50"/>
    <mergeCell ref="EXQ50:EXT50"/>
    <mergeCell ref="EXU50:EXX50"/>
    <mergeCell ref="EXY50:EYB50"/>
    <mergeCell ref="EYC50:EYF50"/>
    <mergeCell ref="EYG50:EYJ50"/>
    <mergeCell ref="EYK50:EYN50"/>
    <mergeCell ref="EWS50:EWV50"/>
    <mergeCell ref="EWW50:EWZ50"/>
    <mergeCell ref="EXA50:EXD50"/>
    <mergeCell ref="EXE50:EXH50"/>
    <mergeCell ref="EXI50:EXL50"/>
    <mergeCell ref="EXM50:EXP50"/>
    <mergeCell ref="FBI50:FBL50"/>
    <mergeCell ref="FBM50:FBP50"/>
    <mergeCell ref="FBQ50:FBT50"/>
    <mergeCell ref="FBU50:FBX50"/>
    <mergeCell ref="FBY50:FCB50"/>
    <mergeCell ref="FCC50:FCF50"/>
    <mergeCell ref="FAK50:FAN50"/>
    <mergeCell ref="FAO50:FAR50"/>
    <mergeCell ref="FAS50:FAV50"/>
    <mergeCell ref="FAW50:FAZ50"/>
    <mergeCell ref="FBA50:FBD50"/>
    <mergeCell ref="FBE50:FBH50"/>
    <mergeCell ref="EZM50:EZP50"/>
    <mergeCell ref="EZQ50:EZT50"/>
    <mergeCell ref="EZU50:EZX50"/>
    <mergeCell ref="EZY50:FAB50"/>
    <mergeCell ref="FAC50:FAF50"/>
    <mergeCell ref="FAG50:FAJ50"/>
    <mergeCell ref="FEC50:FEF50"/>
    <mergeCell ref="FEG50:FEJ50"/>
    <mergeCell ref="FEK50:FEN50"/>
    <mergeCell ref="FEO50:FER50"/>
    <mergeCell ref="FES50:FEV50"/>
    <mergeCell ref="FEW50:FEZ50"/>
    <mergeCell ref="FDE50:FDH50"/>
    <mergeCell ref="FDI50:FDL50"/>
    <mergeCell ref="FDM50:FDP50"/>
    <mergeCell ref="FDQ50:FDT50"/>
    <mergeCell ref="FDU50:FDX50"/>
    <mergeCell ref="FDY50:FEB50"/>
    <mergeCell ref="FCG50:FCJ50"/>
    <mergeCell ref="FCK50:FCN50"/>
    <mergeCell ref="FCO50:FCR50"/>
    <mergeCell ref="FCS50:FCV50"/>
    <mergeCell ref="FCW50:FCZ50"/>
    <mergeCell ref="FDA50:FDD50"/>
    <mergeCell ref="FGW50:FGZ50"/>
    <mergeCell ref="FHA50:FHD50"/>
    <mergeCell ref="FHE50:FHH50"/>
    <mergeCell ref="FHI50:FHL50"/>
    <mergeCell ref="FHM50:FHP50"/>
    <mergeCell ref="FHQ50:FHT50"/>
    <mergeCell ref="FFY50:FGB50"/>
    <mergeCell ref="FGC50:FGF50"/>
    <mergeCell ref="FGG50:FGJ50"/>
    <mergeCell ref="FGK50:FGN50"/>
    <mergeCell ref="FGO50:FGR50"/>
    <mergeCell ref="FGS50:FGV50"/>
    <mergeCell ref="FFA50:FFD50"/>
    <mergeCell ref="FFE50:FFH50"/>
    <mergeCell ref="FFI50:FFL50"/>
    <mergeCell ref="FFM50:FFP50"/>
    <mergeCell ref="FFQ50:FFT50"/>
    <mergeCell ref="FFU50:FFX50"/>
    <mergeCell ref="FJQ50:FJT50"/>
    <mergeCell ref="FJU50:FJX50"/>
    <mergeCell ref="FJY50:FKB50"/>
    <mergeCell ref="FKC50:FKF50"/>
    <mergeCell ref="FKG50:FKJ50"/>
    <mergeCell ref="FKK50:FKN50"/>
    <mergeCell ref="FIS50:FIV50"/>
    <mergeCell ref="FIW50:FIZ50"/>
    <mergeCell ref="FJA50:FJD50"/>
    <mergeCell ref="FJE50:FJH50"/>
    <mergeCell ref="FJI50:FJL50"/>
    <mergeCell ref="FJM50:FJP50"/>
    <mergeCell ref="FHU50:FHX50"/>
    <mergeCell ref="FHY50:FIB50"/>
    <mergeCell ref="FIC50:FIF50"/>
    <mergeCell ref="FIG50:FIJ50"/>
    <mergeCell ref="FIK50:FIN50"/>
    <mergeCell ref="FIO50:FIR50"/>
    <mergeCell ref="FMK50:FMN50"/>
    <mergeCell ref="FMO50:FMR50"/>
    <mergeCell ref="FMS50:FMV50"/>
    <mergeCell ref="FMW50:FMZ50"/>
    <mergeCell ref="FNA50:FND50"/>
    <mergeCell ref="FNE50:FNH50"/>
    <mergeCell ref="FLM50:FLP50"/>
    <mergeCell ref="FLQ50:FLT50"/>
    <mergeCell ref="FLU50:FLX50"/>
    <mergeCell ref="FLY50:FMB50"/>
    <mergeCell ref="FMC50:FMF50"/>
    <mergeCell ref="FMG50:FMJ50"/>
    <mergeCell ref="FKO50:FKR50"/>
    <mergeCell ref="FKS50:FKV50"/>
    <mergeCell ref="FKW50:FKZ50"/>
    <mergeCell ref="FLA50:FLD50"/>
    <mergeCell ref="FLE50:FLH50"/>
    <mergeCell ref="FLI50:FLL50"/>
    <mergeCell ref="FPE50:FPH50"/>
    <mergeCell ref="FPI50:FPL50"/>
    <mergeCell ref="FPM50:FPP50"/>
    <mergeCell ref="FPQ50:FPT50"/>
    <mergeCell ref="FPU50:FPX50"/>
    <mergeCell ref="FPY50:FQB50"/>
    <mergeCell ref="FOG50:FOJ50"/>
    <mergeCell ref="FOK50:FON50"/>
    <mergeCell ref="FOO50:FOR50"/>
    <mergeCell ref="FOS50:FOV50"/>
    <mergeCell ref="FOW50:FOZ50"/>
    <mergeCell ref="FPA50:FPD50"/>
    <mergeCell ref="FNI50:FNL50"/>
    <mergeCell ref="FNM50:FNP50"/>
    <mergeCell ref="FNQ50:FNT50"/>
    <mergeCell ref="FNU50:FNX50"/>
    <mergeCell ref="FNY50:FOB50"/>
    <mergeCell ref="FOC50:FOF50"/>
    <mergeCell ref="FRY50:FSB50"/>
    <mergeCell ref="FSC50:FSF50"/>
    <mergeCell ref="FSG50:FSJ50"/>
    <mergeCell ref="FSK50:FSN50"/>
    <mergeCell ref="FSO50:FSR50"/>
    <mergeCell ref="FSS50:FSV50"/>
    <mergeCell ref="FRA50:FRD50"/>
    <mergeCell ref="FRE50:FRH50"/>
    <mergeCell ref="FRI50:FRL50"/>
    <mergeCell ref="FRM50:FRP50"/>
    <mergeCell ref="FRQ50:FRT50"/>
    <mergeCell ref="FRU50:FRX50"/>
    <mergeCell ref="FQC50:FQF50"/>
    <mergeCell ref="FQG50:FQJ50"/>
    <mergeCell ref="FQK50:FQN50"/>
    <mergeCell ref="FQO50:FQR50"/>
    <mergeCell ref="FQS50:FQV50"/>
    <mergeCell ref="FQW50:FQZ50"/>
    <mergeCell ref="FUS50:FUV50"/>
    <mergeCell ref="FUW50:FUZ50"/>
    <mergeCell ref="FVA50:FVD50"/>
    <mergeCell ref="FVE50:FVH50"/>
    <mergeCell ref="FVI50:FVL50"/>
    <mergeCell ref="FVM50:FVP50"/>
    <mergeCell ref="FTU50:FTX50"/>
    <mergeCell ref="FTY50:FUB50"/>
    <mergeCell ref="FUC50:FUF50"/>
    <mergeCell ref="FUG50:FUJ50"/>
    <mergeCell ref="FUK50:FUN50"/>
    <mergeCell ref="FUO50:FUR50"/>
    <mergeCell ref="FSW50:FSZ50"/>
    <mergeCell ref="FTA50:FTD50"/>
    <mergeCell ref="FTE50:FTH50"/>
    <mergeCell ref="FTI50:FTL50"/>
    <mergeCell ref="FTM50:FTP50"/>
    <mergeCell ref="FTQ50:FTT50"/>
    <mergeCell ref="FXM50:FXP50"/>
    <mergeCell ref="FXQ50:FXT50"/>
    <mergeCell ref="FXU50:FXX50"/>
    <mergeCell ref="FXY50:FYB50"/>
    <mergeCell ref="FYC50:FYF50"/>
    <mergeCell ref="FYG50:FYJ50"/>
    <mergeCell ref="FWO50:FWR50"/>
    <mergeCell ref="FWS50:FWV50"/>
    <mergeCell ref="FWW50:FWZ50"/>
    <mergeCell ref="FXA50:FXD50"/>
    <mergeCell ref="FXE50:FXH50"/>
    <mergeCell ref="FXI50:FXL50"/>
    <mergeCell ref="FVQ50:FVT50"/>
    <mergeCell ref="FVU50:FVX50"/>
    <mergeCell ref="FVY50:FWB50"/>
    <mergeCell ref="FWC50:FWF50"/>
    <mergeCell ref="FWG50:FWJ50"/>
    <mergeCell ref="FWK50:FWN50"/>
    <mergeCell ref="GAG50:GAJ50"/>
    <mergeCell ref="GAK50:GAN50"/>
    <mergeCell ref="GAO50:GAR50"/>
    <mergeCell ref="GAS50:GAV50"/>
    <mergeCell ref="GAW50:GAZ50"/>
    <mergeCell ref="GBA50:GBD50"/>
    <mergeCell ref="FZI50:FZL50"/>
    <mergeCell ref="FZM50:FZP50"/>
    <mergeCell ref="FZQ50:FZT50"/>
    <mergeCell ref="FZU50:FZX50"/>
    <mergeCell ref="FZY50:GAB50"/>
    <mergeCell ref="GAC50:GAF50"/>
    <mergeCell ref="FYK50:FYN50"/>
    <mergeCell ref="FYO50:FYR50"/>
    <mergeCell ref="FYS50:FYV50"/>
    <mergeCell ref="FYW50:FYZ50"/>
    <mergeCell ref="FZA50:FZD50"/>
    <mergeCell ref="FZE50:FZH50"/>
    <mergeCell ref="GDA50:GDD50"/>
    <mergeCell ref="GDE50:GDH50"/>
    <mergeCell ref="GDI50:GDL50"/>
    <mergeCell ref="GDM50:GDP50"/>
    <mergeCell ref="GDQ50:GDT50"/>
    <mergeCell ref="GDU50:GDX50"/>
    <mergeCell ref="GCC50:GCF50"/>
    <mergeCell ref="GCG50:GCJ50"/>
    <mergeCell ref="GCK50:GCN50"/>
    <mergeCell ref="GCO50:GCR50"/>
    <mergeCell ref="GCS50:GCV50"/>
    <mergeCell ref="GCW50:GCZ50"/>
    <mergeCell ref="GBE50:GBH50"/>
    <mergeCell ref="GBI50:GBL50"/>
    <mergeCell ref="GBM50:GBP50"/>
    <mergeCell ref="GBQ50:GBT50"/>
    <mergeCell ref="GBU50:GBX50"/>
    <mergeCell ref="GBY50:GCB50"/>
    <mergeCell ref="GFU50:GFX50"/>
    <mergeCell ref="GFY50:GGB50"/>
    <mergeCell ref="GGC50:GGF50"/>
    <mergeCell ref="GGG50:GGJ50"/>
    <mergeCell ref="GGK50:GGN50"/>
    <mergeCell ref="GGO50:GGR50"/>
    <mergeCell ref="GEW50:GEZ50"/>
    <mergeCell ref="GFA50:GFD50"/>
    <mergeCell ref="GFE50:GFH50"/>
    <mergeCell ref="GFI50:GFL50"/>
    <mergeCell ref="GFM50:GFP50"/>
    <mergeCell ref="GFQ50:GFT50"/>
    <mergeCell ref="GDY50:GEB50"/>
    <mergeCell ref="GEC50:GEF50"/>
    <mergeCell ref="GEG50:GEJ50"/>
    <mergeCell ref="GEK50:GEN50"/>
    <mergeCell ref="GEO50:GER50"/>
    <mergeCell ref="GES50:GEV50"/>
    <mergeCell ref="GIO50:GIR50"/>
    <mergeCell ref="GIS50:GIV50"/>
    <mergeCell ref="GIW50:GIZ50"/>
    <mergeCell ref="GJA50:GJD50"/>
    <mergeCell ref="GJE50:GJH50"/>
    <mergeCell ref="GJI50:GJL50"/>
    <mergeCell ref="GHQ50:GHT50"/>
    <mergeCell ref="GHU50:GHX50"/>
    <mergeCell ref="GHY50:GIB50"/>
    <mergeCell ref="GIC50:GIF50"/>
    <mergeCell ref="GIG50:GIJ50"/>
    <mergeCell ref="GIK50:GIN50"/>
    <mergeCell ref="GGS50:GGV50"/>
    <mergeCell ref="GGW50:GGZ50"/>
    <mergeCell ref="GHA50:GHD50"/>
    <mergeCell ref="GHE50:GHH50"/>
    <mergeCell ref="GHI50:GHL50"/>
    <mergeCell ref="GHM50:GHP50"/>
    <mergeCell ref="GLI50:GLL50"/>
    <mergeCell ref="GLM50:GLP50"/>
    <mergeCell ref="GLQ50:GLT50"/>
    <mergeCell ref="GLU50:GLX50"/>
    <mergeCell ref="GLY50:GMB50"/>
    <mergeCell ref="GMC50:GMF50"/>
    <mergeCell ref="GKK50:GKN50"/>
    <mergeCell ref="GKO50:GKR50"/>
    <mergeCell ref="GKS50:GKV50"/>
    <mergeCell ref="GKW50:GKZ50"/>
    <mergeCell ref="GLA50:GLD50"/>
    <mergeCell ref="GLE50:GLH50"/>
    <mergeCell ref="GJM50:GJP50"/>
    <mergeCell ref="GJQ50:GJT50"/>
    <mergeCell ref="GJU50:GJX50"/>
    <mergeCell ref="GJY50:GKB50"/>
    <mergeCell ref="GKC50:GKF50"/>
    <mergeCell ref="GKG50:GKJ50"/>
    <mergeCell ref="GOC50:GOF50"/>
    <mergeCell ref="GOG50:GOJ50"/>
    <mergeCell ref="GOK50:GON50"/>
    <mergeCell ref="GOO50:GOR50"/>
    <mergeCell ref="GOS50:GOV50"/>
    <mergeCell ref="GOW50:GOZ50"/>
    <mergeCell ref="GNE50:GNH50"/>
    <mergeCell ref="GNI50:GNL50"/>
    <mergeCell ref="GNM50:GNP50"/>
    <mergeCell ref="GNQ50:GNT50"/>
    <mergeCell ref="GNU50:GNX50"/>
    <mergeCell ref="GNY50:GOB50"/>
    <mergeCell ref="GMG50:GMJ50"/>
    <mergeCell ref="GMK50:GMN50"/>
    <mergeCell ref="GMO50:GMR50"/>
    <mergeCell ref="GMS50:GMV50"/>
    <mergeCell ref="GMW50:GMZ50"/>
    <mergeCell ref="GNA50:GND50"/>
    <mergeCell ref="GQW50:GQZ50"/>
    <mergeCell ref="GRA50:GRD50"/>
    <mergeCell ref="GRE50:GRH50"/>
    <mergeCell ref="GRI50:GRL50"/>
    <mergeCell ref="GRM50:GRP50"/>
    <mergeCell ref="GRQ50:GRT50"/>
    <mergeCell ref="GPY50:GQB50"/>
    <mergeCell ref="GQC50:GQF50"/>
    <mergeCell ref="GQG50:GQJ50"/>
    <mergeCell ref="GQK50:GQN50"/>
    <mergeCell ref="GQO50:GQR50"/>
    <mergeCell ref="GQS50:GQV50"/>
    <mergeCell ref="GPA50:GPD50"/>
    <mergeCell ref="GPE50:GPH50"/>
    <mergeCell ref="GPI50:GPL50"/>
    <mergeCell ref="GPM50:GPP50"/>
    <mergeCell ref="GPQ50:GPT50"/>
    <mergeCell ref="GPU50:GPX50"/>
    <mergeCell ref="GTQ50:GTT50"/>
    <mergeCell ref="GTU50:GTX50"/>
    <mergeCell ref="GTY50:GUB50"/>
    <mergeCell ref="GUC50:GUF50"/>
    <mergeCell ref="GUG50:GUJ50"/>
    <mergeCell ref="GUK50:GUN50"/>
    <mergeCell ref="GSS50:GSV50"/>
    <mergeCell ref="GSW50:GSZ50"/>
    <mergeCell ref="GTA50:GTD50"/>
    <mergeCell ref="GTE50:GTH50"/>
    <mergeCell ref="GTI50:GTL50"/>
    <mergeCell ref="GTM50:GTP50"/>
    <mergeCell ref="GRU50:GRX50"/>
    <mergeCell ref="GRY50:GSB50"/>
    <mergeCell ref="GSC50:GSF50"/>
    <mergeCell ref="GSG50:GSJ50"/>
    <mergeCell ref="GSK50:GSN50"/>
    <mergeCell ref="GSO50:GSR50"/>
    <mergeCell ref="GWK50:GWN50"/>
    <mergeCell ref="GWO50:GWR50"/>
    <mergeCell ref="GWS50:GWV50"/>
    <mergeCell ref="GWW50:GWZ50"/>
    <mergeCell ref="GXA50:GXD50"/>
    <mergeCell ref="GXE50:GXH50"/>
    <mergeCell ref="GVM50:GVP50"/>
    <mergeCell ref="GVQ50:GVT50"/>
    <mergeCell ref="GVU50:GVX50"/>
    <mergeCell ref="GVY50:GWB50"/>
    <mergeCell ref="GWC50:GWF50"/>
    <mergeCell ref="GWG50:GWJ50"/>
    <mergeCell ref="GUO50:GUR50"/>
    <mergeCell ref="GUS50:GUV50"/>
    <mergeCell ref="GUW50:GUZ50"/>
    <mergeCell ref="GVA50:GVD50"/>
    <mergeCell ref="GVE50:GVH50"/>
    <mergeCell ref="GVI50:GVL50"/>
    <mergeCell ref="GZE50:GZH50"/>
    <mergeCell ref="GZI50:GZL50"/>
    <mergeCell ref="GZM50:GZP50"/>
    <mergeCell ref="GZQ50:GZT50"/>
    <mergeCell ref="GZU50:GZX50"/>
    <mergeCell ref="GZY50:HAB50"/>
    <mergeCell ref="GYG50:GYJ50"/>
    <mergeCell ref="GYK50:GYN50"/>
    <mergeCell ref="GYO50:GYR50"/>
    <mergeCell ref="GYS50:GYV50"/>
    <mergeCell ref="GYW50:GYZ50"/>
    <mergeCell ref="GZA50:GZD50"/>
    <mergeCell ref="GXI50:GXL50"/>
    <mergeCell ref="GXM50:GXP50"/>
    <mergeCell ref="GXQ50:GXT50"/>
    <mergeCell ref="GXU50:GXX50"/>
    <mergeCell ref="GXY50:GYB50"/>
    <mergeCell ref="GYC50:GYF50"/>
    <mergeCell ref="HBY50:HCB50"/>
    <mergeCell ref="HCC50:HCF50"/>
    <mergeCell ref="HCG50:HCJ50"/>
    <mergeCell ref="HCK50:HCN50"/>
    <mergeCell ref="HCO50:HCR50"/>
    <mergeCell ref="HCS50:HCV50"/>
    <mergeCell ref="HBA50:HBD50"/>
    <mergeCell ref="HBE50:HBH50"/>
    <mergeCell ref="HBI50:HBL50"/>
    <mergeCell ref="HBM50:HBP50"/>
    <mergeCell ref="HBQ50:HBT50"/>
    <mergeCell ref="HBU50:HBX50"/>
    <mergeCell ref="HAC50:HAF50"/>
    <mergeCell ref="HAG50:HAJ50"/>
    <mergeCell ref="HAK50:HAN50"/>
    <mergeCell ref="HAO50:HAR50"/>
    <mergeCell ref="HAS50:HAV50"/>
    <mergeCell ref="HAW50:HAZ50"/>
    <mergeCell ref="HES50:HEV50"/>
    <mergeCell ref="HEW50:HEZ50"/>
    <mergeCell ref="HFA50:HFD50"/>
    <mergeCell ref="HFE50:HFH50"/>
    <mergeCell ref="HFI50:HFL50"/>
    <mergeCell ref="HFM50:HFP50"/>
    <mergeCell ref="HDU50:HDX50"/>
    <mergeCell ref="HDY50:HEB50"/>
    <mergeCell ref="HEC50:HEF50"/>
    <mergeCell ref="HEG50:HEJ50"/>
    <mergeCell ref="HEK50:HEN50"/>
    <mergeCell ref="HEO50:HER50"/>
    <mergeCell ref="HCW50:HCZ50"/>
    <mergeCell ref="HDA50:HDD50"/>
    <mergeCell ref="HDE50:HDH50"/>
    <mergeCell ref="HDI50:HDL50"/>
    <mergeCell ref="HDM50:HDP50"/>
    <mergeCell ref="HDQ50:HDT50"/>
    <mergeCell ref="HHM50:HHP50"/>
    <mergeCell ref="HHQ50:HHT50"/>
    <mergeCell ref="HHU50:HHX50"/>
    <mergeCell ref="HHY50:HIB50"/>
    <mergeCell ref="HIC50:HIF50"/>
    <mergeCell ref="HIG50:HIJ50"/>
    <mergeCell ref="HGO50:HGR50"/>
    <mergeCell ref="HGS50:HGV50"/>
    <mergeCell ref="HGW50:HGZ50"/>
    <mergeCell ref="HHA50:HHD50"/>
    <mergeCell ref="HHE50:HHH50"/>
    <mergeCell ref="HHI50:HHL50"/>
    <mergeCell ref="HFQ50:HFT50"/>
    <mergeCell ref="HFU50:HFX50"/>
    <mergeCell ref="HFY50:HGB50"/>
    <mergeCell ref="HGC50:HGF50"/>
    <mergeCell ref="HGG50:HGJ50"/>
    <mergeCell ref="HGK50:HGN50"/>
    <mergeCell ref="HKG50:HKJ50"/>
    <mergeCell ref="HKK50:HKN50"/>
    <mergeCell ref="HKO50:HKR50"/>
    <mergeCell ref="HKS50:HKV50"/>
    <mergeCell ref="HKW50:HKZ50"/>
    <mergeCell ref="HLA50:HLD50"/>
    <mergeCell ref="HJI50:HJL50"/>
    <mergeCell ref="HJM50:HJP50"/>
    <mergeCell ref="HJQ50:HJT50"/>
    <mergeCell ref="HJU50:HJX50"/>
    <mergeCell ref="HJY50:HKB50"/>
    <mergeCell ref="HKC50:HKF50"/>
    <mergeCell ref="HIK50:HIN50"/>
    <mergeCell ref="HIO50:HIR50"/>
    <mergeCell ref="HIS50:HIV50"/>
    <mergeCell ref="HIW50:HIZ50"/>
    <mergeCell ref="HJA50:HJD50"/>
    <mergeCell ref="HJE50:HJH50"/>
    <mergeCell ref="HNA50:HND50"/>
    <mergeCell ref="HNE50:HNH50"/>
    <mergeCell ref="HNI50:HNL50"/>
    <mergeCell ref="HNM50:HNP50"/>
    <mergeCell ref="HNQ50:HNT50"/>
    <mergeCell ref="HNU50:HNX50"/>
    <mergeCell ref="HMC50:HMF50"/>
    <mergeCell ref="HMG50:HMJ50"/>
    <mergeCell ref="HMK50:HMN50"/>
    <mergeCell ref="HMO50:HMR50"/>
    <mergeCell ref="HMS50:HMV50"/>
    <mergeCell ref="HMW50:HMZ50"/>
    <mergeCell ref="HLE50:HLH50"/>
    <mergeCell ref="HLI50:HLL50"/>
    <mergeCell ref="HLM50:HLP50"/>
    <mergeCell ref="HLQ50:HLT50"/>
    <mergeCell ref="HLU50:HLX50"/>
    <mergeCell ref="HLY50:HMB50"/>
    <mergeCell ref="HPU50:HPX50"/>
    <mergeCell ref="HPY50:HQB50"/>
    <mergeCell ref="HQC50:HQF50"/>
    <mergeCell ref="HQG50:HQJ50"/>
    <mergeCell ref="HQK50:HQN50"/>
    <mergeCell ref="HQO50:HQR50"/>
    <mergeCell ref="HOW50:HOZ50"/>
    <mergeCell ref="HPA50:HPD50"/>
    <mergeCell ref="HPE50:HPH50"/>
    <mergeCell ref="HPI50:HPL50"/>
    <mergeCell ref="HPM50:HPP50"/>
    <mergeCell ref="HPQ50:HPT50"/>
    <mergeCell ref="HNY50:HOB50"/>
    <mergeCell ref="HOC50:HOF50"/>
    <mergeCell ref="HOG50:HOJ50"/>
    <mergeCell ref="HOK50:HON50"/>
    <mergeCell ref="HOO50:HOR50"/>
    <mergeCell ref="HOS50:HOV50"/>
    <mergeCell ref="HSO50:HSR50"/>
    <mergeCell ref="HSS50:HSV50"/>
    <mergeCell ref="HSW50:HSZ50"/>
    <mergeCell ref="HTA50:HTD50"/>
    <mergeCell ref="HTE50:HTH50"/>
    <mergeCell ref="HTI50:HTL50"/>
    <mergeCell ref="HRQ50:HRT50"/>
    <mergeCell ref="HRU50:HRX50"/>
    <mergeCell ref="HRY50:HSB50"/>
    <mergeCell ref="HSC50:HSF50"/>
    <mergeCell ref="HSG50:HSJ50"/>
    <mergeCell ref="HSK50:HSN50"/>
    <mergeCell ref="HQS50:HQV50"/>
    <mergeCell ref="HQW50:HQZ50"/>
    <mergeCell ref="HRA50:HRD50"/>
    <mergeCell ref="HRE50:HRH50"/>
    <mergeCell ref="HRI50:HRL50"/>
    <mergeCell ref="HRM50:HRP50"/>
    <mergeCell ref="HVI50:HVL50"/>
    <mergeCell ref="HVM50:HVP50"/>
    <mergeCell ref="HVQ50:HVT50"/>
    <mergeCell ref="HVU50:HVX50"/>
    <mergeCell ref="HVY50:HWB50"/>
    <mergeCell ref="HWC50:HWF50"/>
    <mergeCell ref="HUK50:HUN50"/>
    <mergeCell ref="HUO50:HUR50"/>
    <mergeCell ref="HUS50:HUV50"/>
    <mergeCell ref="HUW50:HUZ50"/>
    <mergeCell ref="HVA50:HVD50"/>
    <mergeCell ref="HVE50:HVH50"/>
    <mergeCell ref="HTM50:HTP50"/>
    <mergeCell ref="HTQ50:HTT50"/>
    <mergeCell ref="HTU50:HTX50"/>
    <mergeCell ref="HTY50:HUB50"/>
    <mergeCell ref="HUC50:HUF50"/>
    <mergeCell ref="HUG50:HUJ50"/>
    <mergeCell ref="HYC50:HYF50"/>
    <mergeCell ref="HYG50:HYJ50"/>
    <mergeCell ref="HYK50:HYN50"/>
    <mergeCell ref="HYO50:HYR50"/>
    <mergeCell ref="HYS50:HYV50"/>
    <mergeCell ref="HYW50:HYZ50"/>
    <mergeCell ref="HXE50:HXH50"/>
    <mergeCell ref="HXI50:HXL50"/>
    <mergeCell ref="HXM50:HXP50"/>
    <mergeCell ref="HXQ50:HXT50"/>
    <mergeCell ref="HXU50:HXX50"/>
    <mergeCell ref="HXY50:HYB50"/>
    <mergeCell ref="HWG50:HWJ50"/>
    <mergeCell ref="HWK50:HWN50"/>
    <mergeCell ref="HWO50:HWR50"/>
    <mergeCell ref="HWS50:HWV50"/>
    <mergeCell ref="HWW50:HWZ50"/>
    <mergeCell ref="HXA50:HXD50"/>
    <mergeCell ref="IAW50:IAZ50"/>
    <mergeCell ref="IBA50:IBD50"/>
    <mergeCell ref="IBE50:IBH50"/>
    <mergeCell ref="IBI50:IBL50"/>
    <mergeCell ref="IBM50:IBP50"/>
    <mergeCell ref="IBQ50:IBT50"/>
    <mergeCell ref="HZY50:IAB50"/>
    <mergeCell ref="IAC50:IAF50"/>
    <mergeCell ref="IAG50:IAJ50"/>
    <mergeCell ref="IAK50:IAN50"/>
    <mergeCell ref="IAO50:IAR50"/>
    <mergeCell ref="IAS50:IAV50"/>
    <mergeCell ref="HZA50:HZD50"/>
    <mergeCell ref="HZE50:HZH50"/>
    <mergeCell ref="HZI50:HZL50"/>
    <mergeCell ref="HZM50:HZP50"/>
    <mergeCell ref="HZQ50:HZT50"/>
    <mergeCell ref="HZU50:HZX50"/>
    <mergeCell ref="IDQ50:IDT50"/>
    <mergeCell ref="IDU50:IDX50"/>
    <mergeCell ref="IDY50:IEB50"/>
    <mergeCell ref="IEC50:IEF50"/>
    <mergeCell ref="IEG50:IEJ50"/>
    <mergeCell ref="IEK50:IEN50"/>
    <mergeCell ref="ICS50:ICV50"/>
    <mergeCell ref="ICW50:ICZ50"/>
    <mergeCell ref="IDA50:IDD50"/>
    <mergeCell ref="IDE50:IDH50"/>
    <mergeCell ref="IDI50:IDL50"/>
    <mergeCell ref="IDM50:IDP50"/>
    <mergeCell ref="IBU50:IBX50"/>
    <mergeCell ref="IBY50:ICB50"/>
    <mergeCell ref="ICC50:ICF50"/>
    <mergeCell ref="ICG50:ICJ50"/>
    <mergeCell ref="ICK50:ICN50"/>
    <mergeCell ref="ICO50:ICR50"/>
    <mergeCell ref="IGK50:IGN50"/>
    <mergeCell ref="IGO50:IGR50"/>
    <mergeCell ref="IGS50:IGV50"/>
    <mergeCell ref="IGW50:IGZ50"/>
    <mergeCell ref="IHA50:IHD50"/>
    <mergeCell ref="IHE50:IHH50"/>
    <mergeCell ref="IFM50:IFP50"/>
    <mergeCell ref="IFQ50:IFT50"/>
    <mergeCell ref="IFU50:IFX50"/>
    <mergeCell ref="IFY50:IGB50"/>
    <mergeCell ref="IGC50:IGF50"/>
    <mergeCell ref="IGG50:IGJ50"/>
    <mergeCell ref="IEO50:IER50"/>
    <mergeCell ref="IES50:IEV50"/>
    <mergeCell ref="IEW50:IEZ50"/>
    <mergeCell ref="IFA50:IFD50"/>
    <mergeCell ref="IFE50:IFH50"/>
    <mergeCell ref="IFI50:IFL50"/>
    <mergeCell ref="IJE50:IJH50"/>
    <mergeCell ref="IJI50:IJL50"/>
    <mergeCell ref="IJM50:IJP50"/>
    <mergeCell ref="IJQ50:IJT50"/>
    <mergeCell ref="IJU50:IJX50"/>
    <mergeCell ref="IJY50:IKB50"/>
    <mergeCell ref="IIG50:IIJ50"/>
    <mergeCell ref="IIK50:IIN50"/>
    <mergeCell ref="IIO50:IIR50"/>
    <mergeCell ref="IIS50:IIV50"/>
    <mergeCell ref="IIW50:IIZ50"/>
    <mergeCell ref="IJA50:IJD50"/>
    <mergeCell ref="IHI50:IHL50"/>
    <mergeCell ref="IHM50:IHP50"/>
    <mergeCell ref="IHQ50:IHT50"/>
    <mergeCell ref="IHU50:IHX50"/>
    <mergeCell ref="IHY50:IIB50"/>
    <mergeCell ref="IIC50:IIF50"/>
    <mergeCell ref="ILY50:IMB50"/>
    <mergeCell ref="IMC50:IMF50"/>
    <mergeCell ref="IMG50:IMJ50"/>
    <mergeCell ref="IMK50:IMN50"/>
    <mergeCell ref="IMO50:IMR50"/>
    <mergeCell ref="IMS50:IMV50"/>
    <mergeCell ref="ILA50:ILD50"/>
    <mergeCell ref="ILE50:ILH50"/>
    <mergeCell ref="ILI50:ILL50"/>
    <mergeCell ref="ILM50:ILP50"/>
    <mergeCell ref="ILQ50:ILT50"/>
    <mergeCell ref="ILU50:ILX50"/>
    <mergeCell ref="IKC50:IKF50"/>
    <mergeCell ref="IKG50:IKJ50"/>
    <mergeCell ref="IKK50:IKN50"/>
    <mergeCell ref="IKO50:IKR50"/>
    <mergeCell ref="IKS50:IKV50"/>
    <mergeCell ref="IKW50:IKZ50"/>
    <mergeCell ref="IOS50:IOV50"/>
    <mergeCell ref="IOW50:IOZ50"/>
    <mergeCell ref="IPA50:IPD50"/>
    <mergeCell ref="IPE50:IPH50"/>
    <mergeCell ref="IPI50:IPL50"/>
    <mergeCell ref="IPM50:IPP50"/>
    <mergeCell ref="INU50:INX50"/>
    <mergeCell ref="INY50:IOB50"/>
    <mergeCell ref="IOC50:IOF50"/>
    <mergeCell ref="IOG50:IOJ50"/>
    <mergeCell ref="IOK50:ION50"/>
    <mergeCell ref="IOO50:IOR50"/>
    <mergeCell ref="IMW50:IMZ50"/>
    <mergeCell ref="INA50:IND50"/>
    <mergeCell ref="INE50:INH50"/>
    <mergeCell ref="INI50:INL50"/>
    <mergeCell ref="INM50:INP50"/>
    <mergeCell ref="INQ50:INT50"/>
    <mergeCell ref="IRM50:IRP50"/>
    <mergeCell ref="IRQ50:IRT50"/>
    <mergeCell ref="IRU50:IRX50"/>
    <mergeCell ref="IRY50:ISB50"/>
    <mergeCell ref="ISC50:ISF50"/>
    <mergeCell ref="ISG50:ISJ50"/>
    <mergeCell ref="IQO50:IQR50"/>
    <mergeCell ref="IQS50:IQV50"/>
    <mergeCell ref="IQW50:IQZ50"/>
    <mergeCell ref="IRA50:IRD50"/>
    <mergeCell ref="IRE50:IRH50"/>
    <mergeCell ref="IRI50:IRL50"/>
    <mergeCell ref="IPQ50:IPT50"/>
    <mergeCell ref="IPU50:IPX50"/>
    <mergeCell ref="IPY50:IQB50"/>
    <mergeCell ref="IQC50:IQF50"/>
    <mergeCell ref="IQG50:IQJ50"/>
    <mergeCell ref="IQK50:IQN50"/>
    <mergeCell ref="IUG50:IUJ50"/>
    <mergeCell ref="IUK50:IUN50"/>
    <mergeCell ref="IUO50:IUR50"/>
    <mergeCell ref="IUS50:IUV50"/>
    <mergeCell ref="IUW50:IUZ50"/>
    <mergeCell ref="IVA50:IVD50"/>
    <mergeCell ref="ITI50:ITL50"/>
    <mergeCell ref="ITM50:ITP50"/>
    <mergeCell ref="ITQ50:ITT50"/>
    <mergeCell ref="ITU50:ITX50"/>
    <mergeCell ref="ITY50:IUB50"/>
    <mergeCell ref="IUC50:IUF50"/>
    <mergeCell ref="ISK50:ISN50"/>
    <mergeCell ref="ISO50:ISR50"/>
    <mergeCell ref="ISS50:ISV50"/>
    <mergeCell ref="ISW50:ISZ50"/>
    <mergeCell ref="ITA50:ITD50"/>
    <mergeCell ref="ITE50:ITH50"/>
    <mergeCell ref="IXA50:IXD50"/>
    <mergeCell ref="IXE50:IXH50"/>
    <mergeCell ref="IXI50:IXL50"/>
    <mergeCell ref="IXM50:IXP50"/>
    <mergeCell ref="IXQ50:IXT50"/>
    <mergeCell ref="IXU50:IXX50"/>
    <mergeCell ref="IWC50:IWF50"/>
    <mergeCell ref="IWG50:IWJ50"/>
    <mergeCell ref="IWK50:IWN50"/>
    <mergeCell ref="IWO50:IWR50"/>
    <mergeCell ref="IWS50:IWV50"/>
    <mergeCell ref="IWW50:IWZ50"/>
    <mergeCell ref="IVE50:IVH50"/>
    <mergeCell ref="IVI50:IVL50"/>
    <mergeCell ref="IVM50:IVP50"/>
    <mergeCell ref="IVQ50:IVT50"/>
    <mergeCell ref="IVU50:IVX50"/>
    <mergeCell ref="IVY50:IWB50"/>
    <mergeCell ref="IZU50:IZX50"/>
    <mergeCell ref="IZY50:JAB50"/>
    <mergeCell ref="JAC50:JAF50"/>
    <mergeCell ref="JAG50:JAJ50"/>
    <mergeCell ref="JAK50:JAN50"/>
    <mergeCell ref="JAO50:JAR50"/>
    <mergeCell ref="IYW50:IYZ50"/>
    <mergeCell ref="IZA50:IZD50"/>
    <mergeCell ref="IZE50:IZH50"/>
    <mergeCell ref="IZI50:IZL50"/>
    <mergeCell ref="IZM50:IZP50"/>
    <mergeCell ref="IZQ50:IZT50"/>
    <mergeCell ref="IXY50:IYB50"/>
    <mergeCell ref="IYC50:IYF50"/>
    <mergeCell ref="IYG50:IYJ50"/>
    <mergeCell ref="IYK50:IYN50"/>
    <mergeCell ref="IYO50:IYR50"/>
    <mergeCell ref="IYS50:IYV50"/>
    <mergeCell ref="JCO50:JCR50"/>
    <mergeCell ref="JCS50:JCV50"/>
    <mergeCell ref="JCW50:JCZ50"/>
    <mergeCell ref="JDA50:JDD50"/>
    <mergeCell ref="JDE50:JDH50"/>
    <mergeCell ref="JDI50:JDL50"/>
    <mergeCell ref="JBQ50:JBT50"/>
    <mergeCell ref="JBU50:JBX50"/>
    <mergeCell ref="JBY50:JCB50"/>
    <mergeCell ref="JCC50:JCF50"/>
    <mergeCell ref="JCG50:JCJ50"/>
    <mergeCell ref="JCK50:JCN50"/>
    <mergeCell ref="JAS50:JAV50"/>
    <mergeCell ref="JAW50:JAZ50"/>
    <mergeCell ref="JBA50:JBD50"/>
    <mergeCell ref="JBE50:JBH50"/>
    <mergeCell ref="JBI50:JBL50"/>
    <mergeCell ref="JBM50:JBP50"/>
    <mergeCell ref="JFI50:JFL50"/>
    <mergeCell ref="JFM50:JFP50"/>
    <mergeCell ref="JFQ50:JFT50"/>
    <mergeCell ref="JFU50:JFX50"/>
    <mergeCell ref="JFY50:JGB50"/>
    <mergeCell ref="JGC50:JGF50"/>
    <mergeCell ref="JEK50:JEN50"/>
    <mergeCell ref="JEO50:JER50"/>
    <mergeCell ref="JES50:JEV50"/>
    <mergeCell ref="JEW50:JEZ50"/>
    <mergeCell ref="JFA50:JFD50"/>
    <mergeCell ref="JFE50:JFH50"/>
    <mergeCell ref="JDM50:JDP50"/>
    <mergeCell ref="JDQ50:JDT50"/>
    <mergeCell ref="JDU50:JDX50"/>
    <mergeCell ref="JDY50:JEB50"/>
    <mergeCell ref="JEC50:JEF50"/>
    <mergeCell ref="JEG50:JEJ50"/>
    <mergeCell ref="JIC50:JIF50"/>
    <mergeCell ref="JIG50:JIJ50"/>
    <mergeCell ref="JIK50:JIN50"/>
    <mergeCell ref="JIO50:JIR50"/>
    <mergeCell ref="JIS50:JIV50"/>
    <mergeCell ref="JIW50:JIZ50"/>
    <mergeCell ref="JHE50:JHH50"/>
    <mergeCell ref="JHI50:JHL50"/>
    <mergeCell ref="JHM50:JHP50"/>
    <mergeCell ref="JHQ50:JHT50"/>
    <mergeCell ref="JHU50:JHX50"/>
    <mergeCell ref="JHY50:JIB50"/>
    <mergeCell ref="JGG50:JGJ50"/>
    <mergeCell ref="JGK50:JGN50"/>
    <mergeCell ref="JGO50:JGR50"/>
    <mergeCell ref="JGS50:JGV50"/>
    <mergeCell ref="JGW50:JGZ50"/>
    <mergeCell ref="JHA50:JHD50"/>
    <mergeCell ref="JKW50:JKZ50"/>
    <mergeCell ref="JLA50:JLD50"/>
    <mergeCell ref="JLE50:JLH50"/>
    <mergeCell ref="JLI50:JLL50"/>
    <mergeCell ref="JLM50:JLP50"/>
    <mergeCell ref="JLQ50:JLT50"/>
    <mergeCell ref="JJY50:JKB50"/>
    <mergeCell ref="JKC50:JKF50"/>
    <mergeCell ref="JKG50:JKJ50"/>
    <mergeCell ref="JKK50:JKN50"/>
    <mergeCell ref="JKO50:JKR50"/>
    <mergeCell ref="JKS50:JKV50"/>
    <mergeCell ref="JJA50:JJD50"/>
    <mergeCell ref="JJE50:JJH50"/>
    <mergeCell ref="JJI50:JJL50"/>
    <mergeCell ref="JJM50:JJP50"/>
    <mergeCell ref="JJQ50:JJT50"/>
    <mergeCell ref="JJU50:JJX50"/>
    <mergeCell ref="JNQ50:JNT50"/>
    <mergeCell ref="JNU50:JNX50"/>
    <mergeCell ref="JNY50:JOB50"/>
    <mergeCell ref="JOC50:JOF50"/>
    <mergeCell ref="JOG50:JOJ50"/>
    <mergeCell ref="JOK50:JON50"/>
    <mergeCell ref="JMS50:JMV50"/>
    <mergeCell ref="JMW50:JMZ50"/>
    <mergeCell ref="JNA50:JND50"/>
    <mergeCell ref="JNE50:JNH50"/>
    <mergeCell ref="JNI50:JNL50"/>
    <mergeCell ref="JNM50:JNP50"/>
    <mergeCell ref="JLU50:JLX50"/>
    <mergeCell ref="JLY50:JMB50"/>
    <mergeCell ref="JMC50:JMF50"/>
    <mergeCell ref="JMG50:JMJ50"/>
    <mergeCell ref="JMK50:JMN50"/>
    <mergeCell ref="JMO50:JMR50"/>
    <mergeCell ref="JQK50:JQN50"/>
    <mergeCell ref="JQO50:JQR50"/>
    <mergeCell ref="JQS50:JQV50"/>
    <mergeCell ref="JQW50:JQZ50"/>
    <mergeCell ref="JRA50:JRD50"/>
    <mergeCell ref="JRE50:JRH50"/>
    <mergeCell ref="JPM50:JPP50"/>
    <mergeCell ref="JPQ50:JPT50"/>
    <mergeCell ref="JPU50:JPX50"/>
    <mergeCell ref="JPY50:JQB50"/>
    <mergeCell ref="JQC50:JQF50"/>
    <mergeCell ref="JQG50:JQJ50"/>
    <mergeCell ref="JOO50:JOR50"/>
    <mergeCell ref="JOS50:JOV50"/>
    <mergeCell ref="JOW50:JOZ50"/>
    <mergeCell ref="JPA50:JPD50"/>
    <mergeCell ref="JPE50:JPH50"/>
    <mergeCell ref="JPI50:JPL50"/>
    <mergeCell ref="JTE50:JTH50"/>
    <mergeCell ref="JTI50:JTL50"/>
    <mergeCell ref="JTM50:JTP50"/>
    <mergeCell ref="JTQ50:JTT50"/>
    <mergeCell ref="JTU50:JTX50"/>
    <mergeCell ref="JTY50:JUB50"/>
    <mergeCell ref="JSG50:JSJ50"/>
    <mergeCell ref="JSK50:JSN50"/>
    <mergeCell ref="JSO50:JSR50"/>
    <mergeCell ref="JSS50:JSV50"/>
    <mergeCell ref="JSW50:JSZ50"/>
    <mergeCell ref="JTA50:JTD50"/>
    <mergeCell ref="JRI50:JRL50"/>
    <mergeCell ref="JRM50:JRP50"/>
    <mergeCell ref="JRQ50:JRT50"/>
    <mergeCell ref="JRU50:JRX50"/>
    <mergeCell ref="JRY50:JSB50"/>
    <mergeCell ref="JSC50:JSF50"/>
    <mergeCell ref="JVY50:JWB50"/>
    <mergeCell ref="JWC50:JWF50"/>
    <mergeCell ref="JWG50:JWJ50"/>
    <mergeCell ref="JWK50:JWN50"/>
    <mergeCell ref="JWO50:JWR50"/>
    <mergeCell ref="JWS50:JWV50"/>
    <mergeCell ref="JVA50:JVD50"/>
    <mergeCell ref="JVE50:JVH50"/>
    <mergeCell ref="JVI50:JVL50"/>
    <mergeCell ref="JVM50:JVP50"/>
    <mergeCell ref="JVQ50:JVT50"/>
    <mergeCell ref="JVU50:JVX50"/>
    <mergeCell ref="JUC50:JUF50"/>
    <mergeCell ref="JUG50:JUJ50"/>
    <mergeCell ref="JUK50:JUN50"/>
    <mergeCell ref="JUO50:JUR50"/>
    <mergeCell ref="JUS50:JUV50"/>
    <mergeCell ref="JUW50:JUZ50"/>
    <mergeCell ref="JYS50:JYV50"/>
    <mergeCell ref="JYW50:JYZ50"/>
    <mergeCell ref="JZA50:JZD50"/>
    <mergeCell ref="JZE50:JZH50"/>
    <mergeCell ref="JZI50:JZL50"/>
    <mergeCell ref="JZM50:JZP50"/>
    <mergeCell ref="JXU50:JXX50"/>
    <mergeCell ref="JXY50:JYB50"/>
    <mergeCell ref="JYC50:JYF50"/>
    <mergeCell ref="JYG50:JYJ50"/>
    <mergeCell ref="JYK50:JYN50"/>
    <mergeCell ref="JYO50:JYR50"/>
    <mergeCell ref="JWW50:JWZ50"/>
    <mergeCell ref="JXA50:JXD50"/>
    <mergeCell ref="JXE50:JXH50"/>
    <mergeCell ref="JXI50:JXL50"/>
    <mergeCell ref="JXM50:JXP50"/>
    <mergeCell ref="JXQ50:JXT50"/>
    <mergeCell ref="KBM50:KBP50"/>
    <mergeCell ref="KBQ50:KBT50"/>
    <mergeCell ref="KBU50:KBX50"/>
    <mergeCell ref="KBY50:KCB50"/>
    <mergeCell ref="KCC50:KCF50"/>
    <mergeCell ref="KCG50:KCJ50"/>
    <mergeCell ref="KAO50:KAR50"/>
    <mergeCell ref="KAS50:KAV50"/>
    <mergeCell ref="KAW50:KAZ50"/>
    <mergeCell ref="KBA50:KBD50"/>
    <mergeCell ref="KBE50:KBH50"/>
    <mergeCell ref="KBI50:KBL50"/>
    <mergeCell ref="JZQ50:JZT50"/>
    <mergeCell ref="JZU50:JZX50"/>
    <mergeCell ref="JZY50:KAB50"/>
    <mergeCell ref="KAC50:KAF50"/>
    <mergeCell ref="KAG50:KAJ50"/>
    <mergeCell ref="KAK50:KAN50"/>
    <mergeCell ref="KEG50:KEJ50"/>
    <mergeCell ref="KEK50:KEN50"/>
    <mergeCell ref="KEO50:KER50"/>
    <mergeCell ref="KES50:KEV50"/>
    <mergeCell ref="KEW50:KEZ50"/>
    <mergeCell ref="KFA50:KFD50"/>
    <mergeCell ref="KDI50:KDL50"/>
    <mergeCell ref="KDM50:KDP50"/>
    <mergeCell ref="KDQ50:KDT50"/>
    <mergeCell ref="KDU50:KDX50"/>
    <mergeCell ref="KDY50:KEB50"/>
    <mergeCell ref="KEC50:KEF50"/>
    <mergeCell ref="KCK50:KCN50"/>
    <mergeCell ref="KCO50:KCR50"/>
    <mergeCell ref="KCS50:KCV50"/>
    <mergeCell ref="KCW50:KCZ50"/>
    <mergeCell ref="KDA50:KDD50"/>
    <mergeCell ref="KDE50:KDH50"/>
    <mergeCell ref="KHA50:KHD50"/>
    <mergeCell ref="KHE50:KHH50"/>
    <mergeCell ref="KHI50:KHL50"/>
    <mergeCell ref="KHM50:KHP50"/>
    <mergeCell ref="KHQ50:KHT50"/>
    <mergeCell ref="KHU50:KHX50"/>
    <mergeCell ref="KGC50:KGF50"/>
    <mergeCell ref="KGG50:KGJ50"/>
    <mergeCell ref="KGK50:KGN50"/>
    <mergeCell ref="KGO50:KGR50"/>
    <mergeCell ref="KGS50:KGV50"/>
    <mergeCell ref="KGW50:KGZ50"/>
    <mergeCell ref="KFE50:KFH50"/>
    <mergeCell ref="KFI50:KFL50"/>
    <mergeCell ref="KFM50:KFP50"/>
    <mergeCell ref="KFQ50:KFT50"/>
    <mergeCell ref="KFU50:KFX50"/>
    <mergeCell ref="KFY50:KGB50"/>
    <mergeCell ref="KJU50:KJX50"/>
    <mergeCell ref="KJY50:KKB50"/>
    <mergeCell ref="KKC50:KKF50"/>
    <mergeCell ref="KKG50:KKJ50"/>
    <mergeCell ref="KKK50:KKN50"/>
    <mergeCell ref="KKO50:KKR50"/>
    <mergeCell ref="KIW50:KIZ50"/>
    <mergeCell ref="KJA50:KJD50"/>
    <mergeCell ref="KJE50:KJH50"/>
    <mergeCell ref="KJI50:KJL50"/>
    <mergeCell ref="KJM50:KJP50"/>
    <mergeCell ref="KJQ50:KJT50"/>
    <mergeCell ref="KHY50:KIB50"/>
    <mergeCell ref="KIC50:KIF50"/>
    <mergeCell ref="KIG50:KIJ50"/>
    <mergeCell ref="KIK50:KIN50"/>
    <mergeCell ref="KIO50:KIR50"/>
    <mergeCell ref="KIS50:KIV50"/>
    <mergeCell ref="KMO50:KMR50"/>
    <mergeCell ref="KMS50:KMV50"/>
    <mergeCell ref="KMW50:KMZ50"/>
    <mergeCell ref="KNA50:KND50"/>
    <mergeCell ref="KNE50:KNH50"/>
    <mergeCell ref="KNI50:KNL50"/>
    <mergeCell ref="KLQ50:KLT50"/>
    <mergeCell ref="KLU50:KLX50"/>
    <mergeCell ref="KLY50:KMB50"/>
    <mergeCell ref="KMC50:KMF50"/>
    <mergeCell ref="KMG50:KMJ50"/>
    <mergeCell ref="KMK50:KMN50"/>
    <mergeCell ref="KKS50:KKV50"/>
    <mergeCell ref="KKW50:KKZ50"/>
    <mergeCell ref="KLA50:KLD50"/>
    <mergeCell ref="KLE50:KLH50"/>
    <mergeCell ref="KLI50:KLL50"/>
    <mergeCell ref="KLM50:KLP50"/>
    <mergeCell ref="KPI50:KPL50"/>
    <mergeCell ref="KPM50:KPP50"/>
    <mergeCell ref="KPQ50:KPT50"/>
    <mergeCell ref="KPU50:KPX50"/>
    <mergeCell ref="KPY50:KQB50"/>
    <mergeCell ref="KQC50:KQF50"/>
    <mergeCell ref="KOK50:KON50"/>
    <mergeCell ref="KOO50:KOR50"/>
    <mergeCell ref="KOS50:KOV50"/>
    <mergeCell ref="KOW50:KOZ50"/>
    <mergeCell ref="KPA50:KPD50"/>
    <mergeCell ref="KPE50:KPH50"/>
    <mergeCell ref="KNM50:KNP50"/>
    <mergeCell ref="KNQ50:KNT50"/>
    <mergeCell ref="KNU50:KNX50"/>
    <mergeCell ref="KNY50:KOB50"/>
    <mergeCell ref="KOC50:KOF50"/>
    <mergeCell ref="KOG50:KOJ50"/>
    <mergeCell ref="KSC50:KSF50"/>
    <mergeCell ref="KSG50:KSJ50"/>
    <mergeCell ref="KSK50:KSN50"/>
    <mergeCell ref="KSO50:KSR50"/>
    <mergeCell ref="KSS50:KSV50"/>
    <mergeCell ref="KSW50:KSZ50"/>
    <mergeCell ref="KRE50:KRH50"/>
    <mergeCell ref="KRI50:KRL50"/>
    <mergeCell ref="KRM50:KRP50"/>
    <mergeCell ref="KRQ50:KRT50"/>
    <mergeCell ref="KRU50:KRX50"/>
    <mergeCell ref="KRY50:KSB50"/>
    <mergeCell ref="KQG50:KQJ50"/>
    <mergeCell ref="KQK50:KQN50"/>
    <mergeCell ref="KQO50:KQR50"/>
    <mergeCell ref="KQS50:KQV50"/>
    <mergeCell ref="KQW50:KQZ50"/>
    <mergeCell ref="KRA50:KRD50"/>
    <mergeCell ref="KUW50:KUZ50"/>
    <mergeCell ref="KVA50:KVD50"/>
    <mergeCell ref="KVE50:KVH50"/>
    <mergeCell ref="KVI50:KVL50"/>
    <mergeCell ref="KVM50:KVP50"/>
    <mergeCell ref="KVQ50:KVT50"/>
    <mergeCell ref="KTY50:KUB50"/>
    <mergeCell ref="KUC50:KUF50"/>
    <mergeCell ref="KUG50:KUJ50"/>
    <mergeCell ref="KUK50:KUN50"/>
    <mergeCell ref="KUO50:KUR50"/>
    <mergeCell ref="KUS50:KUV50"/>
    <mergeCell ref="KTA50:KTD50"/>
    <mergeCell ref="KTE50:KTH50"/>
    <mergeCell ref="KTI50:KTL50"/>
    <mergeCell ref="KTM50:KTP50"/>
    <mergeCell ref="KTQ50:KTT50"/>
    <mergeCell ref="KTU50:KTX50"/>
    <mergeCell ref="KXQ50:KXT50"/>
    <mergeCell ref="KXU50:KXX50"/>
    <mergeCell ref="KXY50:KYB50"/>
    <mergeCell ref="KYC50:KYF50"/>
    <mergeCell ref="KYG50:KYJ50"/>
    <mergeCell ref="KYK50:KYN50"/>
    <mergeCell ref="KWS50:KWV50"/>
    <mergeCell ref="KWW50:KWZ50"/>
    <mergeCell ref="KXA50:KXD50"/>
    <mergeCell ref="KXE50:KXH50"/>
    <mergeCell ref="KXI50:KXL50"/>
    <mergeCell ref="KXM50:KXP50"/>
    <mergeCell ref="KVU50:KVX50"/>
    <mergeCell ref="KVY50:KWB50"/>
    <mergeCell ref="KWC50:KWF50"/>
    <mergeCell ref="KWG50:KWJ50"/>
    <mergeCell ref="KWK50:KWN50"/>
    <mergeCell ref="KWO50:KWR50"/>
    <mergeCell ref="LAK50:LAN50"/>
    <mergeCell ref="LAO50:LAR50"/>
    <mergeCell ref="LAS50:LAV50"/>
    <mergeCell ref="LAW50:LAZ50"/>
    <mergeCell ref="LBA50:LBD50"/>
    <mergeCell ref="LBE50:LBH50"/>
    <mergeCell ref="KZM50:KZP50"/>
    <mergeCell ref="KZQ50:KZT50"/>
    <mergeCell ref="KZU50:KZX50"/>
    <mergeCell ref="KZY50:LAB50"/>
    <mergeCell ref="LAC50:LAF50"/>
    <mergeCell ref="LAG50:LAJ50"/>
    <mergeCell ref="KYO50:KYR50"/>
    <mergeCell ref="KYS50:KYV50"/>
    <mergeCell ref="KYW50:KYZ50"/>
    <mergeCell ref="KZA50:KZD50"/>
    <mergeCell ref="KZE50:KZH50"/>
    <mergeCell ref="KZI50:KZL50"/>
    <mergeCell ref="LDE50:LDH50"/>
    <mergeCell ref="LDI50:LDL50"/>
    <mergeCell ref="LDM50:LDP50"/>
    <mergeCell ref="LDQ50:LDT50"/>
    <mergeCell ref="LDU50:LDX50"/>
    <mergeCell ref="LDY50:LEB50"/>
    <mergeCell ref="LCG50:LCJ50"/>
    <mergeCell ref="LCK50:LCN50"/>
    <mergeCell ref="LCO50:LCR50"/>
    <mergeCell ref="LCS50:LCV50"/>
    <mergeCell ref="LCW50:LCZ50"/>
    <mergeCell ref="LDA50:LDD50"/>
    <mergeCell ref="LBI50:LBL50"/>
    <mergeCell ref="LBM50:LBP50"/>
    <mergeCell ref="LBQ50:LBT50"/>
    <mergeCell ref="LBU50:LBX50"/>
    <mergeCell ref="LBY50:LCB50"/>
    <mergeCell ref="LCC50:LCF50"/>
    <mergeCell ref="LFY50:LGB50"/>
    <mergeCell ref="LGC50:LGF50"/>
    <mergeCell ref="LGG50:LGJ50"/>
    <mergeCell ref="LGK50:LGN50"/>
    <mergeCell ref="LGO50:LGR50"/>
    <mergeCell ref="LGS50:LGV50"/>
    <mergeCell ref="LFA50:LFD50"/>
    <mergeCell ref="LFE50:LFH50"/>
    <mergeCell ref="LFI50:LFL50"/>
    <mergeCell ref="LFM50:LFP50"/>
    <mergeCell ref="LFQ50:LFT50"/>
    <mergeCell ref="LFU50:LFX50"/>
    <mergeCell ref="LEC50:LEF50"/>
    <mergeCell ref="LEG50:LEJ50"/>
    <mergeCell ref="LEK50:LEN50"/>
    <mergeCell ref="LEO50:LER50"/>
    <mergeCell ref="LES50:LEV50"/>
    <mergeCell ref="LEW50:LEZ50"/>
    <mergeCell ref="LIS50:LIV50"/>
    <mergeCell ref="LIW50:LIZ50"/>
    <mergeCell ref="LJA50:LJD50"/>
    <mergeCell ref="LJE50:LJH50"/>
    <mergeCell ref="LJI50:LJL50"/>
    <mergeCell ref="LJM50:LJP50"/>
    <mergeCell ref="LHU50:LHX50"/>
    <mergeCell ref="LHY50:LIB50"/>
    <mergeCell ref="LIC50:LIF50"/>
    <mergeCell ref="LIG50:LIJ50"/>
    <mergeCell ref="LIK50:LIN50"/>
    <mergeCell ref="LIO50:LIR50"/>
    <mergeCell ref="LGW50:LGZ50"/>
    <mergeCell ref="LHA50:LHD50"/>
    <mergeCell ref="LHE50:LHH50"/>
    <mergeCell ref="LHI50:LHL50"/>
    <mergeCell ref="LHM50:LHP50"/>
    <mergeCell ref="LHQ50:LHT50"/>
    <mergeCell ref="LLM50:LLP50"/>
    <mergeCell ref="LLQ50:LLT50"/>
    <mergeCell ref="LLU50:LLX50"/>
    <mergeCell ref="LLY50:LMB50"/>
    <mergeCell ref="LMC50:LMF50"/>
    <mergeCell ref="LMG50:LMJ50"/>
    <mergeCell ref="LKO50:LKR50"/>
    <mergeCell ref="LKS50:LKV50"/>
    <mergeCell ref="LKW50:LKZ50"/>
    <mergeCell ref="LLA50:LLD50"/>
    <mergeCell ref="LLE50:LLH50"/>
    <mergeCell ref="LLI50:LLL50"/>
    <mergeCell ref="LJQ50:LJT50"/>
    <mergeCell ref="LJU50:LJX50"/>
    <mergeCell ref="LJY50:LKB50"/>
    <mergeCell ref="LKC50:LKF50"/>
    <mergeCell ref="LKG50:LKJ50"/>
    <mergeCell ref="LKK50:LKN50"/>
    <mergeCell ref="LOG50:LOJ50"/>
    <mergeCell ref="LOK50:LON50"/>
    <mergeCell ref="LOO50:LOR50"/>
    <mergeCell ref="LOS50:LOV50"/>
    <mergeCell ref="LOW50:LOZ50"/>
    <mergeCell ref="LPA50:LPD50"/>
    <mergeCell ref="LNI50:LNL50"/>
    <mergeCell ref="LNM50:LNP50"/>
    <mergeCell ref="LNQ50:LNT50"/>
    <mergeCell ref="LNU50:LNX50"/>
    <mergeCell ref="LNY50:LOB50"/>
    <mergeCell ref="LOC50:LOF50"/>
    <mergeCell ref="LMK50:LMN50"/>
    <mergeCell ref="LMO50:LMR50"/>
    <mergeCell ref="LMS50:LMV50"/>
    <mergeCell ref="LMW50:LMZ50"/>
    <mergeCell ref="LNA50:LND50"/>
    <mergeCell ref="LNE50:LNH50"/>
    <mergeCell ref="LRA50:LRD50"/>
    <mergeCell ref="LRE50:LRH50"/>
    <mergeCell ref="LRI50:LRL50"/>
    <mergeCell ref="LRM50:LRP50"/>
    <mergeCell ref="LRQ50:LRT50"/>
    <mergeCell ref="LRU50:LRX50"/>
    <mergeCell ref="LQC50:LQF50"/>
    <mergeCell ref="LQG50:LQJ50"/>
    <mergeCell ref="LQK50:LQN50"/>
    <mergeCell ref="LQO50:LQR50"/>
    <mergeCell ref="LQS50:LQV50"/>
    <mergeCell ref="LQW50:LQZ50"/>
    <mergeCell ref="LPE50:LPH50"/>
    <mergeCell ref="LPI50:LPL50"/>
    <mergeCell ref="LPM50:LPP50"/>
    <mergeCell ref="LPQ50:LPT50"/>
    <mergeCell ref="LPU50:LPX50"/>
    <mergeCell ref="LPY50:LQB50"/>
    <mergeCell ref="LTU50:LTX50"/>
    <mergeCell ref="LTY50:LUB50"/>
    <mergeCell ref="LUC50:LUF50"/>
    <mergeCell ref="LUG50:LUJ50"/>
    <mergeCell ref="LUK50:LUN50"/>
    <mergeCell ref="LUO50:LUR50"/>
    <mergeCell ref="LSW50:LSZ50"/>
    <mergeCell ref="LTA50:LTD50"/>
    <mergeCell ref="LTE50:LTH50"/>
    <mergeCell ref="LTI50:LTL50"/>
    <mergeCell ref="LTM50:LTP50"/>
    <mergeCell ref="LTQ50:LTT50"/>
    <mergeCell ref="LRY50:LSB50"/>
    <mergeCell ref="LSC50:LSF50"/>
    <mergeCell ref="LSG50:LSJ50"/>
    <mergeCell ref="LSK50:LSN50"/>
    <mergeCell ref="LSO50:LSR50"/>
    <mergeCell ref="LSS50:LSV50"/>
    <mergeCell ref="LWO50:LWR50"/>
    <mergeCell ref="LWS50:LWV50"/>
    <mergeCell ref="LWW50:LWZ50"/>
    <mergeCell ref="LXA50:LXD50"/>
    <mergeCell ref="LXE50:LXH50"/>
    <mergeCell ref="LXI50:LXL50"/>
    <mergeCell ref="LVQ50:LVT50"/>
    <mergeCell ref="LVU50:LVX50"/>
    <mergeCell ref="LVY50:LWB50"/>
    <mergeCell ref="LWC50:LWF50"/>
    <mergeCell ref="LWG50:LWJ50"/>
    <mergeCell ref="LWK50:LWN50"/>
    <mergeCell ref="LUS50:LUV50"/>
    <mergeCell ref="LUW50:LUZ50"/>
    <mergeCell ref="LVA50:LVD50"/>
    <mergeCell ref="LVE50:LVH50"/>
    <mergeCell ref="LVI50:LVL50"/>
    <mergeCell ref="LVM50:LVP50"/>
    <mergeCell ref="LZI50:LZL50"/>
    <mergeCell ref="LZM50:LZP50"/>
    <mergeCell ref="LZQ50:LZT50"/>
    <mergeCell ref="LZU50:LZX50"/>
    <mergeCell ref="LZY50:MAB50"/>
    <mergeCell ref="MAC50:MAF50"/>
    <mergeCell ref="LYK50:LYN50"/>
    <mergeCell ref="LYO50:LYR50"/>
    <mergeCell ref="LYS50:LYV50"/>
    <mergeCell ref="LYW50:LYZ50"/>
    <mergeCell ref="LZA50:LZD50"/>
    <mergeCell ref="LZE50:LZH50"/>
    <mergeCell ref="LXM50:LXP50"/>
    <mergeCell ref="LXQ50:LXT50"/>
    <mergeCell ref="LXU50:LXX50"/>
    <mergeCell ref="LXY50:LYB50"/>
    <mergeCell ref="LYC50:LYF50"/>
    <mergeCell ref="LYG50:LYJ50"/>
    <mergeCell ref="MCC50:MCF50"/>
    <mergeCell ref="MCG50:MCJ50"/>
    <mergeCell ref="MCK50:MCN50"/>
    <mergeCell ref="MCO50:MCR50"/>
    <mergeCell ref="MCS50:MCV50"/>
    <mergeCell ref="MCW50:MCZ50"/>
    <mergeCell ref="MBE50:MBH50"/>
    <mergeCell ref="MBI50:MBL50"/>
    <mergeCell ref="MBM50:MBP50"/>
    <mergeCell ref="MBQ50:MBT50"/>
    <mergeCell ref="MBU50:MBX50"/>
    <mergeCell ref="MBY50:MCB50"/>
    <mergeCell ref="MAG50:MAJ50"/>
    <mergeCell ref="MAK50:MAN50"/>
    <mergeCell ref="MAO50:MAR50"/>
    <mergeCell ref="MAS50:MAV50"/>
    <mergeCell ref="MAW50:MAZ50"/>
    <mergeCell ref="MBA50:MBD50"/>
    <mergeCell ref="MEW50:MEZ50"/>
    <mergeCell ref="MFA50:MFD50"/>
    <mergeCell ref="MFE50:MFH50"/>
    <mergeCell ref="MFI50:MFL50"/>
    <mergeCell ref="MFM50:MFP50"/>
    <mergeCell ref="MFQ50:MFT50"/>
    <mergeCell ref="MDY50:MEB50"/>
    <mergeCell ref="MEC50:MEF50"/>
    <mergeCell ref="MEG50:MEJ50"/>
    <mergeCell ref="MEK50:MEN50"/>
    <mergeCell ref="MEO50:MER50"/>
    <mergeCell ref="MES50:MEV50"/>
    <mergeCell ref="MDA50:MDD50"/>
    <mergeCell ref="MDE50:MDH50"/>
    <mergeCell ref="MDI50:MDL50"/>
    <mergeCell ref="MDM50:MDP50"/>
    <mergeCell ref="MDQ50:MDT50"/>
    <mergeCell ref="MDU50:MDX50"/>
    <mergeCell ref="MHQ50:MHT50"/>
    <mergeCell ref="MHU50:MHX50"/>
    <mergeCell ref="MHY50:MIB50"/>
    <mergeCell ref="MIC50:MIF50"/>
    <mergeCell ref="MIG50:MIJ50"/>
    <mergeCell ref="MIK50:MIN50"/>
    <mergeCell ref="MGS50:MGV50"/>
    <mergeCell ref="MGW50:MGZ50"/>
    <mergeCell ref="MHA50:MHD50"/>
    <mergeCell ref="MHE50:MHH50"/>
    <mergeCell ref="MHI50:MHL50"/>
    <mergeCell ref="MHM50:MHP50"/>
    <mergeCell ref="MFU50:MFX50"/>
    <mergeCell ref="MFY50:MGB50"/>
    <mergeCell ref="MGC50:MGF50"/>
    <mergeCell ref="MGG50:MGJ50"/>
    <mergeCell ref="MGK50:MGN50"/>
    <mergeCell ref="MGO50:MGR50"/>
    <mergeCell ref="MKK50:MKN50"/>
    <mergeCell ref="MKO50:MKR50"/>
    <mergeCell ref="MKS50:MKV50"/>
    <mergeCell ref="MKW50:MKZ50"/>
    <mergeCell ref="MLA50:MLD50"/>
    <mergeCell ref="MLE50:MLH50"/>
    <mergeCell ref="MJM50:MJP50"/>
    <mergeCell ref="MJQ50:MJT50"/>
    <mergeCell ref="MJU50:MJX50"/>
    <mergeCell ref="MJY50:MKB50"/>
    <mergeCell ref="MKC50:MKF50"/>
    <mergeCell ref="MKG50:MKJ50"/>
    <mergeCell ref="MIO50:MIR50"/>
    <mergeCell ref="MIS50:MIV50"/>
    <mergeCell ref="MIW50:MIZ50"/>
    <mergeCell ref="MJA50:MJD50"/>
    <mergeCell ref="MJE50:MJH50"/>
    <mergeCell ref="MJI50:MJL50"/>
    <mergeCell ref="MNE50:MNH50"/>
    <mergeCell ref="MNI50:MNL50"/>
    <mergeCell ref="MNM50:MNP50"/>
    <mergeCell ref="MNQ50:MNT50"/>
    <mergeCell ref="MNU50:MNX50"/>
    <mergeCell ref="MNY50:MOB50"/>
    <mergeCell ref="MMG50:MMJ50"/>
    <mergeCell ref="MMK50:MMN50"/>
    <mergeCell ref="MMO50:MMR50"/>
    <mergeCell ref="MMS50:MMV50"/>
    <mergeCell ref="MMW50:MMZ50"/>
    <mergeCell ref="MNA50:MND50"/>
    <mergeCell ref="MLI50:MLL50"/>
    <mergeCell ref="MLM50:MLP50"/>
    <mergeCell ref="MLQ50:MLT50"/>
    <mergeCell ref="MLU50:MLX50"/>
    <mergeCell ref="MLY50:MMB50"/>
    <mergeCell ref="MMC50:MMF50"/>
    <mergeCell ref="MPY50:MQB50"/>
    <mergeCell ref="MQC50:MQF50"/>
    <mergeCell ref="MQG50:MQJ50"/>
    <mergeCell ref="MQK50:MQN50"/>
    <mergeCell ref="MQO50:MQR50"/>
    <mergeCell ref="MQS50:MQV50"/>
    <mergeCell ref="MPA50:MPD50"/>
    <mergeCell ref="MPE50:MPH50"/>
    <mergeCell ref="MPI50:MPL50"/>
    <mergeCell ref="MPM50:MPP50"/>
    <mergeCell ref="MPQ50:MPT50"/>
    <mergeCell ref="MPU50:MPX50"/>
    <mergeCell ref="MOC50:MOF50"/>
    <mergeCell ref="MOG50:MOJ50"/>
    <mergeCell ref="MOK50:MON50"/>
    <mergeCell ref="MOO50:MOR50"/>
    <mergeCell ref="MOS50:MOV50"/>
    <mergeCell ref="MOW50:MOZ50"/>
    <mergeCell ref="MSS50:MSV50"/>
    <mergeCell ref="MSW50:MSZ50"/>
    <mergeCell ref="MTA50:MTD50"/>
    <mergeCell ref="MTE50:MTH50"/>
    <mergeCell ref="MTI50:MTL50"/>
    <mergeCell ref="MTM50:MTP50"/>
    <mergeCell ref="MRU50:MRX50"/>
    <mergeCell ref="MRY50:MSB50"/>
    <mergeCell ref="MSC50:MSF50"/>
    <mergeCell ref="MSG50:MSJ50"/>
    <mergeCell ref="MSK50:MSN50"/>
    <mergeCell ref="MSO50:MSR50"/>
    <mergeCell ref="MQW50:MQZ50"/>
    <mergeCell ref="MRA50:MRD50"/>
    <mergeCell ref="MRE50:MRH50"/>
    <mergeCell ref="MRI50:MRL50"/>
    <mergeCell ref="MRM50:MRP50"/>
    <mergeCell ref="MRQ50:MRT50"/>
    <mergeCell ref="MVM50:MVP50"/>
    <mergeCell ref="MVQ50:MVT50"/>
    <mergeCell ref="MVU50:MVX50"/>
    <mergeCell ref="MVY50:MWB50"/>
    <mergeCell ref="MWC50:MWF50"/>
    <mergeCell ref="MWG50:MWJ50"/>
    <mergeCell ref="MUO50:MUR50"/>
    <mergeCell ref="MUS50:MUV50"/>
    <mergeCell ref="MUW50:MUZ50"/>
    <mergeCell ref="MVA50:MVD50"/>
    <mergeCell ref="MVE50:MVH50"/>
    <mergeCell ref="MVI50:MVL50"/>
    <mergeCell ref="MTQ50:MTT50"/>
    <mergeCell ref="MTU50:MTX50"/>
    <mergeCell ref="MTY50:MUB50"/>
    <mergeCell ref="MUC50:MUF50"/>
    <mergeCell ref="MUG50:MUJ50"/>
    <mergeCell ref="MUK50:MUN50"/>
    <mergeCell ref="MYG50:MYJ50"/>
    <mergeCell ref="MYK50:MYN50"/>
    <mergeCell ref="MYO50:MYR50"/>
    <mergeCell ref="MYS50:MYV50"/>
    <mergeCell ref="MYW50:MYZ50"/>
    <mergeCell ref="MZA50:MZD50"/>
    <mergeCell ref="MXI50:MXL50"/>
    <mergeCell ref="MXM50:MXP50"/>
    <mergeCell ref="MXQ50:MXT50"/>
    <mergeCell ref="MXU50:MXX50"/>
    <mergeCell ref="MXY50:MYB50"/>
    <mergeCell ref="MYC50:MYF50"/>
    <mergeCell ref="MWK50:MWN50"/>
    <mergeCell ref="MWO50:MWR50"/>
    <mergeCell ref="MWS50:MWV50"/>
    <mergeCell ref="MWW50:MWZ50"/>
    <mergeCell ref="MXA50:MXD50"/>
    <mergeCell ref="MXE50:MXH50"/>
    <mergeCell ref="NBA50:NBD50"/>
    <mergeCell ref="NBE50:NBH50"/>
    <mergeCell ref="NBI50:NBL50"/>
    <mergeCell ref="NBM50:NBP50"/>
    <mergeCell ref="NBQ50:NBT50"/>
    <mergeCell ref="NBU50:NBX50"/>
    <mergeCell ref="NAC50:NAF50"/>
    <mergeCell ref="NAG50:NAJ50"/>
    <mergeCell ref="NAK50:NAN50"/>
    <mergeCell ref="NAO50:NAR50"/>
    <mergeCell ref="NAS50:NAV50"/>
    <mergeCell ref="NAW50:NAZ50"/>
    <mergeCell ref="MZE50:MZH50"/>
    <mergeCell ref="MZI50:MZL50"/>
    <mergeCell ref="MZM50:MZP50"/>
    <mergeCell ref="MZQ50:MZT50"/>
    <mergeCell ref="MZU50:MZX50"/>
    <mergeCell ref="MZY50:NAB50"/>
    <mergeCell ref="NDU50:NDX50"/>
    <mergeCell ref="NDY50:NEB50"/>
    <mergeCell ref="NEC50:NEF50"/>
    <mergeCell ref="NEG50:NEJ50"/>
    <mergeCell ref="NEK50:NEN50"/>
    <mergeCell ref="NEO50:NER50"/>
    <mergeCell ref="NCW50:NCZ50"/>
    <mergeCell ref="NDA50:NDD50"/>
    <mergeCell ref="NDE50:NDH50"/>
    <mergeCell ref="NDI50:NDL50"/>
    <mergeCell ref="NDM50:NDP50"/>
    <mergeCell ref="NDQ50:NDT50"/>
    <mergeCell ref="NBY50:NCB50"/>
    <mergeCell ref="NCC50:NCF50"/>
    <mergeCell ref="NCG50:NCJ50"/>
    <mergeCell ref="NCK50:NCN50"/>
    <mergeCell ref="NCO50:NCR50"/>
    <mergeCell ref="NCS50:NCV50"/>
    <mergeCell ref="NGO50:NGR50"/>
    <mergeCell ref="NGS50:NGV50"/>
    <mergeCell ref="NGW50:NGZ50"/>
    <mergeCell ref="NHA50:NHD50"/>
    <mergeCell ref="NHE50:NHH50"/>
    <mergeCell ref="NHI50:NHL50"/>
    <mergeCell ref="NFQ50:NFT50"/>
    <mergeCell ref="NFU50:NFX50"/>
    <mergeCell ref="NFY50:NGB50"/>
    <mergeCell ref="NGC50:NGF50"/>
    <mergeCell ref="NGG50:NGJ50"/>
    <mergeCell ref="NGK50:NGN50"/>
    <mergeCell ref="NES50:NEV50"/>
    <mergeCell ref="NEW50:NEZ50"/>
    <mergeCell ref="NFA50:NFD50"/>
    <mergeCell ref="NFE50:NFH50"/>
    <mergeCell ref="NFI50:NFL50"/>
    <mergeCell ref="NFM50:NFP50"/>
    <mergeCell ref="NJI50:NJL50"/>
    <mergeCell ref="NJM50:NJP50"/>
    <mergeCell ref="NJQ50:NJT50"/>
    <mergeCell ref="NJU50:NJX50"/>
    <mergeCell ref="NJY50:NKB50"/>
    <mergeCell ref="NKC50:NKF50"/>
    <mergeCell ref="NIK50:NIN50"/>
    <mergeCell ref="NIO50:NIR50"/>
    <mergeCell ref="NIS50:NIV50"/>
    <mergeCell ref="NIW50:NIZ50"/>
    <mergeCell ref="NJA50:NJD50"/>
    <mergeCell ref="NJE50:NJH50"/>
    <mergeCell ref="NHM50:NHP50"/>
    <mergeCell ref="NHQ50:NHT50"/>
    <mergeCell ref="NHU50:NHX50"/>
    <mergeCell ref="NHY50:NIB50"/>
    <mergeCell ref="NIC50:NIF50"/>
    <mergeCell ref="NIG50:NIJ50"/>
    <mergeCell ref="NMC50:NMF50"/>
    <mergeCell ref="NMG50:NMJ50"/>
    <mergeCell ref="NMK50:NMN50"/>
    <mergeCell ref="NMO50:NMR50"/>
    <mergeCell ref="NMS50:NMV50"/>
    <mergeCell ref="NMW50:NMZ50"/>
    <mergeCell ref="NLE50:NLH50"/>
    <mergeCell ref="NLI50:NLL50"/>
    <mergeCell ref="NLM50:NLP50"/>
    <mergeCell ref="NLQ50:NLT50"/>
    <mergeCell ref="NLU50:NLX50"/>
    <mergeCell ref="NLY50:NMB50"/>
    <mergeCell ref="NKG50:NKJ50"/>
    <mergeCell ref="NKK50:NKN50"/>
    <mergeCell ref="NKO50:NKR50"/>
    <mergeCell ref="NKS50:NKV50"/>
    <mergeCell ref="NKW50:NKZ50"/>
    <mergeCell ref="NLA50:NLD50"/>
    <mergeCell ref="NOW50:NOZ50"/>
    <mergeCell ref="NPA50:NPD50"/>
    <mergeCell ref="NPE50:NPH50"/>
    <mergeCell ref="NPI50:NPL50"/>
    <mergeCell ref="NPM50:NPP50"/>
    <mergeCell ref="NPQ50:NPT50"/>
    <mergeCell ref="NNY50:NOB50"/>
    <mergeCell ref="NOC50:NOF50"/>
    <mergeCell ref="NOG50:NOJ50"/>
    <mergeCell ref="NOK50:NON50"/>
    <mergeCell ref="NOO50:NOR50"/>
    <mergeCell ref="NOS50:NOV50"/>
    <mergeCell ref="NNA50:NND50"/>
    <mergeCell ref="NNE50:NNH50"/>
    <mergeCell ref="NNI50:NNL50"/>
    <mergeCell ref="NNM50:NNP50"/>
    <mergeCell ref="NNQ50:NNT50"/>
    <mergeCell ref="NNU50:NNX50"/>
    <mergeCell ref="NRQ50:NRT50"/>
    <mergeCell ref="NRU50:NRX50"/>
    <mergeCell ref="NRY50:NSB50"/>
    <mergeCell ref="NSC50:NSF50"/>
    <mergeCell ref="NSG50:NSJ50"/>
    <mergeCell ref="NSK50:NSN50"/>
    <mergeCell ref="NQS50:NQV50"/>
    <mergeCell ref="NQW50:NQZ50"/>
    <mergeCell ref="NRA50:NRD50"/>
    <mergeCell ref="NRE50:NRH50"/>
    <mergeCell ref="NRI50:NRL50"/>
    <mergeCell ref="NRM50:NRP50"/>
    <mergeCell ref="NPU50:NPX50"/>
    <mergeCell ref="NPY50:NQB50"/>
    <mergeCell ref="NQC50:NQF50"/>
    <mergeCell ref="NQG50:NQJ50"/>
    <mergeCell ref="NQK50:NQN50"/>
    <mergeCell ref="NQO50:NQR50"/>
    <mergeCell ref="NUK50:NUN50"/>
    <mergeCell ref="NUO50:NUR50"/>
    <mergeCell ref="NUS50:NUV50"/>
    <mergeCell ref="NUW50:NUZ50"/>
    <mergeCell ref="NVA50:NVD50"/>
    <mergeCell ref="NVE50:NVH50"/>
    <mergeCell ref="NTM50:NTP50"/>
    <mergeCell ref="NTQ50:NTT50"/>
    <mergeCell ref="NTU50:NTX50"/>
    <mergeCell ref="NTY50:NUB50"/>
    <mergeCell ref="NUC50:NUF50"/>
    <mergeCell ref="NUG50:NUJ50"/>
    <mergeCell ref="NSO50:NSR50"/>
    <mergeCell ref="NSS50:NSV50"/>
    <mergeCell ref="NSW50:NSZ50"/>
    <mergeCell ref="NTA50:NTD50"/>
    <mergeCell ref="NTE50:NTH50"/>
    <mergeCell ref="NTI50:NTL50"/>
    <mergeCell ref="NXE50:NXH50"/>
    <mergeCell ref="NXI50:NXL50"/>
    <mergeCell ref="NXM50:NXP50"/>
    <mergeCell ref="NXQ50:NXT50"/>
    <mergeCell ref="NXU50:NXX50"/>
    <mergeCell ref="NXY50:NYB50"/>
    <mergeCell ref="NWG50:NWJ50"/>
    <mergeCell ref="NWK50:NWN50"/>
    <mergeCell ref="NWO50:NWR50"/>
    <mergeCell ref="NWS50:NWV50"/>
    <mergeCell ref="NWW50:NWZ50"/>
    <mergeCell ref="NXA50:NXD50"/>
    <mergeCell ref="NVI50:NVL50"/>
    <mergeCell ref="NVM50:NVP50"/>
    <mergeCell ref="NVQ50:NVT50"/>
    <mergeCell ref="NVU50:NVX50"/>
    <mergeCell ref="NVY50:NWB50"/>
    <mergeCell ref="NWC50:NWF50"/>
    <mergeCell ref="NZY50:OAB50"/>
    <mergeCell ref="OAC50:OAF50"/>
    <mergeCell ref="OAG50:OAJ50"/>
    <mergeCell ref="OAK50:OAN50"/>
    <mergeCell ref="OAO50:OAR50"/>
    <mergeCell ref="OAS50:OAV50"/>
    <mergeCell ref="NZA50:NZD50"/>
    <mergeCell ref="NZE50:NZH50"/>
    <mergeCell ref="NZI50:NZL50"/>
    <mergeCell ref="NZM50:NZP50"/>
    <mergeCell ref="NZQ50:NZT50"/>
    <mergeCell ref="NZU50:NZX50"/>
    <mergeCell ref="NYC50:NYF50"/>
    <mergeCell ref="NYG50:NYJ50"/>
    <mergeCell ref="NYK50:NYN50"/>
    <mergeCell ref="NYO50:NYR50"/>
    <mergeCell ref="NYS50:NYV50"/>
    <mergeCell ref="NYW50:NYZ50"/>
    <mergeCell ref="OCS50:OCV50"/>
    <mergeCell ref="OCW50:OCZ50"/>
    <mergeCell ref="ODA50:ODD50"/>
    <mergeCell ref="ODE50:ODH50"/>
    <mergeCell ref="ODI50:ODL50"/>
    <mergeCell ref="ODM50:ODP50"/>
    <mergeCell ref="OBU50:OBX50"/>
    <mergeCell ref="OBY50:OCB50"/>
    <mergeCell ref="OCC50:OCF50"/>
    <mergeCell ref="OCG50:OCJ50"/>
    <mergeCell ref="OCK50:OCN50"/>
    <mergeCell ref="OCO50:OCR50"/>
    <mergeCell ref="OAW50:OAZ50"/>
    <mergeCell ref="OBA50:OBD50"/>
    <mergeCell ref="OBE50:OBH50"/>
    <mergeCell ref="OBI50:OBL50"/>
    <mergeCell ref="OBM50:OBP50"/>
    <mergeCell ref="OBQ50:OBT50"/>
    <mergeCell ref="OFM50:OFP50"/>
    <mergeCell ref="OFQ50:OFT50"/>
    <mergeCell ref="OFU50:OFX50"/>
    <mergeCell ref="OFY50:OGB50"/>
    <mergeCell ref="OGC50:OGF50"/>
    <mergeCell ref="OGG50:OGJ50"/>
    <mergeCell ref="OEO50:OER50"/>
    <mergeCell ref="OES50:OEV50"/>
    <mergeCell ref="OEW50:OEZ50"/>
    <mergeCell ref="OFA50:OFD50"/>
    <mergeCell ref="OFE50:OFH50"/>
    <mergeCell ref="OFI50:OFL50"/>
    <mergeCell ref="ODQ50:ODT50"/>
    <mergeCell ref="ODU50:ODX50"/>
    <mergeCell ref="ODY50:OEB50"/>
    <mergeCell ref="OEC50:OEF50"/>
    <mergeCell ref="OEG50:OEJ50"/>
    <mergeCell ref="OEK50:OEN50"/>
    <mergeCell ref="OIG50:OIJ50"/>
    <mergeCell ref="OIK50:OIN50"/>
    <mergeCell ref="OIO50:OIR50"/>
    <mergeCell ref="OIS50:OIV50"/>
    <mergeCell ref="OIW50:OIZ50"/>
    <mergeCell ref="OJA50:OJD50"/>
    <mergeCell ref="OHI50:OHL50"/>
    <mergeCell ref="OHM50:OHP50"/>
    <mergeCell ref="OHQ50:OHT50"/>
    <mergeCell ref="OHU50:OHX50"/>
    <mergeCell ref="OHY50:OIB50"/>
    <mergeCell ref="OIC50:OIF50"/>
    <mergeCell ref="OGK50:OGN50"/>
    <mergeCell ref="OGO50:OGR50"/>
    <mergeCell ref="OGS50:OGV50"/>
    <mergeCell ref="OGW50:OGZ50"/>
    <mergeCell ref="OHA50:OHD50"/>
    <mergeCell ref="OHE50:OHH50"/>
    <mergeCell ref="OLA50:OLD50"/>
    <mergeCell ref="OLE50:OLH50"/>
    <mergeCell ref="OLI50:OLL50"/>
    <mergeCell ref="OLM50:OLP50"/>
    <mergeCell ref="OLQ50:OLT50"/>
    <mergeCell ref="OLU50:OLX50"/>
    <mergeCell ref="OKC50:OKF50"/>
    <mergeCell ref="OKG50:OKJ50"/>
    <mergeCell ref="OKK50:OKN50"/>
    <mergeCell ref="OKO50:OKR50"/>
    <mergeCell ref="OKS50:OKV50"/>
    <mergeCell ref="OKW50:OKZ50"/>
    <mergeCell ref="OJE50:OJH50"/>
    <mergeCell ref="OJI50:OJL50"/>
    <mergeCell ref="OJM50:OJP50"/>
    <mergeCell ref="OJQ50:OJT50"/>
    <mergeCell ref="OJU50:OJX50"/>
    <mergeCell ref="OJY50:OKB50"/>
    <mergeCell ref="ONU50:ONX50"/>
    <mergeCell ref="ONY50:OOB50"/>
    <mergeCell ref="OOC50:OOF50"/>
    <mergeCell ref="OOG50:OOJ50"/>
    <mergeCell ref="OOK50:OON50"/>
    <mergeCell ref="OOO50:OOR50"/>
    <mergeCell ref="OMW50:OMZ50"/>
    <mergeCell ref="ONA50:OND50"/>
    <mergeCell ref="ONE50:ONH50"/>
    <mergeCell ref="ONI50:ONL50"/>
    <mergeCell ref="ONM50:ONP50"/>
    <mergeCell ref="ONQ50:ONT50"/>
    <mergeCell ref="OLY50:OMB50"/>
    <mergeCell ref="OMC50:OMF50"/>
    <mergeCell ref="OMG50:OMJ50"/>
    <mergeCell ref="OMK50:OMN50"/>
    <mergeCell ref="OMO50:OMR50"/>
    <mergeCell ref="OMS50:OMV50"/>
    <mergeCell ref="OQO50:OQR50"/>
    <mergeCell ref="OQS50:OQV50"/>
    <mergeCell ref="OQW50:OQZ50"/>
    <mergeCell ref="ORA50:ORD50"/>
    <mergeCell ref="ORE50:ORH50"/>
    <mergeCell ref="ORI50:ORL50"/>
    <mergeCell ref="OPQ50:OPT50"/>
    <mergeCell ref="OPU50:OPX50"/>
    <mergeCell ref="OPY50:OQB50"/>
    <mergeCell ref="OQC50:OQF50"/>
    <mergeCell ref="OQG50:OQJ50"/>
    <mergeCell ref="OQK50:OQN50"/>
    <mergeCell ref="OOS50:OOV50"/>
    <mergeCell ref="OOW50:OOZ50"/>
    <mergeCell ref="OPA50:OPD50"/>
    <mergeCell ref="OPE50:OPH50"/>
    <mergeCell ref="OPI50:OPL50"/>
    <mergeCell ref="OPM50:OPP50"/>
    <mergeCell ref="OTI50:OTL50"/>
    <mergeCell ref="OTM50:OTP50"/>
    <mergeCell ref="OTQ50:OTT50"/>
    <mergeCell ref="OTU50:OTX50"/>
    <mergeCell ref="OTY50:OUB50"/>
    <mergeCell ref="OUC50:OUF50"/>
    <mergeCell ref="OSK50:OSN50"/>
    <mergeCell ref="OSO50:OSR50"/>
    <mergeCell ref="OSS50:OSV50"/>
    <mergeCell ref="OSW50:OSZ50"/>
    <mergeCell ref="OTA50:OTD50"/>
    <mergeCell ref="OTE50:OTH50"/>
    <mergeCell ref="ORM50:ORP50"/>
    <mergeCell ref="ORQ50:ORT50"/>
    <mergeCell ref="ORU50:ORX50"/>
    <mergeCell ref="ORY50:OSB50"/>
    <mergeCell ref="OSC50:OSF50"/>
    <mergeCell ref="OSG50:OSJ50"/>
    <mergeCell ref="OWC50:OWF50"/>
    <mergeCell ref="OWG50:OWJ50"/>
    <mergeCell ref="OWK50:OWN50"/>
    <mergeCell ref="OWO50:OWR50"/>
    <mergeCell ref="OWS50:OWV50"/>
    <mergeCell ref="OWW50:OWZ50"/>
    <mergeCell ref="OVE50:OVH50"/>
    <mergeCell ref="OVI50:OVL50"/>
    <mergeCell ref="OVM50:OVP50"/>
    <mergeCell ref="OVQ50:OVT50"/>
    <mergeCell ref="OVU50:OVX50"/>
    <mergeCell ref="OVY50:OWB50"/>
    <mergeCell ref="OUG50:OUJ50"/>
    <mergeCell ref="OUK50:OUN50"/>
    <mergeCell ref="OUO50:OUR50"/>
    <mergeCell ref="OUS50:OUV50"/>
    <mergeCell ref="OUW50:OUZ50"/>
    <mergeCell ref="OVA50:OVD50"/>
    <mergeCell ref="OYW50:OYZ50"/>
    <mergeCell ref="OZA50:OZD50"/>
    <mergeCell ref="OZE50:OZH50"/>
    <mergeCell ref="OZI50:OZL50"/>
    <mergeCell ref="OZM50:OZP50"/>
    <mergeCell ref="OZQ50:OZT50"/>
    <mergeCell ref="OXY50:OYB50"/>
    <mergeCell ref="OYC50:OYF50"/>
    <mergeCell ref="OYG50:OYJ50"/>
    <mergeCell ref="OYK50:OYN50"/>
    <mergeCell ref="OYO50:OYR50"/>
    <mergeCell ref="OYS50:OYV50"/>
    <mergeCell ref="OXA50:OXD50"/>
    <mergeCell ref="OXE50:OXH50"/>
    <mergeCell ref="OXI50:OXL50"/>
    <mergeCell ref="OXM50:OXP50"/>
    <mergeCell ref="OXQ50:OXT50"/>
    <mergeCell ref="OXU50:OXX50"/>
    <mergeCell ref="PBQ50:PBT50"/>
    <mergeCell ref="PBU50:PBX50"/>
    <mergeCell ref="PBY50:PCB50"/>
    <mergeCell ref="PCC50:PCF50"/>
    <mergeCell ref="PCG50:PCJ50"/>
    <mergeCell ref="PCK50:PCN50"/>
    <mergeCell ref="PAS50:PAV50"/>
    <mergeCell ref="PAW50:PAZ50"/>
    <mergeCell ref="PBA50:PBD50"/>
    <mergeCell ref="PBE50:PBH50"/>
    <mergeCell ref="PBI50:PBL50"/>
    <mergeCell ref="PBM50:PBP50"/>
    <mergeCell ref="OZU50:OZX50"/>
    <mergeCell ref="OZY50:PAB50"/>
    <mergeCell ref="PAC50:PAF50"/>
    <mergeCell ref="PAG50:PAJ50"/>
    <mergeCell ref="PAK50:PAN50"/>
    <mergeCell ref="PAO50:PAR50"/>
    <mergeCell ref="PEK50:PEN50"/>
    <mergeCell ref="PEO50:PER50"/>
    <mergeCell ref="PES50:PEV50"/>
    <mergeCell ref="PEW50:PEZ50"/>
    <mergeCell ref="PFA50:PFD50"/>
    <mergeCell ref="PFE50:PFH50"/>
    <mergeCell ref="PDM50:PDP50"/>
    <mergeCell ref="PDQ50:PDT50"/>
    <mergeCell ref="PDU50:PDX50"/>
    <mergeCell ref="PDY50:PEB50"/>
    <mergeCell ref="PEC50:PEF50"/>
    <mergeCell ref="PEG50:PEJ50"/>
    <mergeCell ref="PCO50:PCR50"/>
    <mergeCell ref="PCS50:PCV50"/>
    <mergeCell ref="PCW50:PCZ50"/>
    <mergeCell ref="PDA50:PDD50"/>
    <mergeCell ref="PDE50:PDH50"/>
    <mergeCell ref="PDI50:PDL50"/>
    <mergeCell ref="PHE50:PHH50"/>
    <mergeCell ref="PHI50:PHL50"/>
    <mergeCell ref="PHM50:PHP50"/>
    <mergeCell ref="PHQ50:PHT50"/>
    <mergeCell ref="PHU50:PHX50"/>
    <mergeCell ref="PHY50:PIB50"/>
    <mergeCell ref="PGG50:PGJ50"/>
    <mergeCell ref="PGK50:PGN50"/>
    <mergeCell ref="PGO50:PGR50"/>
    <mergeCell ref="PGS50:PGV50"/>
    <mergeCell ref="PGW50:PGZ50"/>
    <mergeCell ref="PHA50:PHD50"/>
    <mergeCell ref="PFI50:PFL50"/>
    <mergeCell ref="PFM50:PFP50"/>
    <mergeCell ref="PFQ50:PFT50"/>
    <mergeCell ref="PFU50:PFX50"/>
    <mergeCell ref="PFY50:PGB50"/>
    <mergeCell ref="PGC50:PGF50"/>
    <mergeCell ref="PJY50:PKB50"/>
    <mergeCell ref="PKC50:PKF50"/>
    <mergeCell ref="PKG50:PKJ50"/>
    <mergeCell ref="PKK50:PKN50"/>
    <mergeCell ref="PKO50:PKR50"/>
    <mergeCell ref="PKS50:PKV50"/>
    <mergeCell ref="PJA50:PJD50"/>
    <mergeCell ref="PJE50:PJH50"/>
    <mergeCell ref="PJI50:PJL50"/>
    <mergeCell ref="PJM50:PJP50"/>
    <mergeCell ref="PJQ50:PJT50"/>
    <mergeCell ref="PJU50:PJX50"/>
    <mergeCell ref="PIC50:PIF50"/>
    <mergeCell ref="PIG50:PIJ50"/>
    <mergeCell ref="PIK50:PIN50"/>
    <mergeCell ref="PIO50:PIR50"/>
    <mergeCell ref="PIS50:PIV50"/>
    <mergeCell ref="PIW50:PIZ50"/>
    <mergeCell ref="PMS50:PMV50"/>
    <mergeCell ref="PMW50:PMZ50"/>
    <mergeCell ref="PNA50:PND50"/>
    <mergeCell ref="PNE50:PNH50"/>
    <mergeCell ref="PNI50:PNL50"/>
    <mergeCell ref="PNM50:PNP50"/>
    <mergeCell ref="PLU50:PLX50"/>
    <mergeCell ref="PLY50:PMB50"/>
    <mergeCell ref="PMC50:PMF50"/>
    <mergeCell ref="PMG50:PMJ50"/>
    <mergeCell ref="PMK50:PMN50"/>
    <mergeCell ref="PMO50:PMR50"/>
    <mergeCell ref="PKW50:PKZ50"/>
    <mergeCell ref="PLA50:PLD50"/>
    <mergeCell ref="PLE50:PLH50"/>
    <mergeCell ref="PLI50:PLL50"/>
    <mergeCell ref="PLM50:PLP50"/>
    <mergeCell ref="PLQ50:PLT50"/>
    <mergeCell ref="PPM50:PPP50"/>
    <mergeCell ref="PPQ50:PPT50"/>
    <mergeCell ref="PPU50:PPX50"/>
    <mergeCell ref="PPY50:PQB50"/>
    <mergeCell ref="PQC50:PQF50"/>
    <mergeCell ref="PQG50:PQJ50"/>
    <mergeCell ref="POO50:POR50"/>
    <mergeCell ref="POS50:POV50"/>
    <mergeCell ref="POW50:POZ50"/>
    <mergeCell ref="PPA50:PPD50"/>
    <mergeCell ref="PPE50:PPH50"/>
    <mergeCell ref="PPI50:PPL50"/>
    <mergeCell ref="PNQ50:PNT50"/>
    <mergeCell ref="PNU50:PNX50"/>
    <mergeCell ref="PNY50:POB50"/>
    <mergeCell ref="POC50:POF50"/>
    <mergeCell ref="POG50:POJ50"/>
    <mergeCell ref="POK50:PON50"/>
    <mergeCell ref="PSG50:PSJ50"/>
    <mergeCell ref="PSK50:PSN50"/>
    <mergeCell ref="PSO50:PSR50"/>
    <mergeCell ref="PSS50:PSV50"/>
    <mergeCell ref="PSW50:PSZ50"/>
    <mergeCell ref="PTA50:PTD50"/>
    <mergeCell ref="PRI50:PRL50"/>
    <mergeCell ref="PRM50:PRP50"/>
    <mergeCell ref="PRQ50:PRT50"/>
    <mergeCell ref="PRU50:PRX50"/>
    <mergeCell ref="PRY50:PSB50"/>
    <mergeCell ref="PSC50:PSF50"/>
    <mergeCell ref="PQK50:PQN50"/>
    <mergeCell ref="PQO50:PQR50"/>
    <mergeCell ref="PQS50:PQV50"/>
    <mergeCell ref="PQW50:PQZ50"/>
    <mergeCell ref="PRA50:PRD50"/>
    <mergeCell ref="PRE50:PRH50"/>
    <mergeCell ref="PVA50:PVD50"/>
    <mergeCell ref="PVE50:PVH50"/>
    <mergeCell ref="PVI50:PVL50"/>
    <mergeCell ref="PVM50:PVP50"/>
    <mergeCell ref="PVQ50:PVT50"/>
    <mergeCell ref="PVU50:PVX50"/>
    <mergeCell ref="PUC50:PUF50"/>
    <mergeCell ref="PUG50:PUJ50"/>
    <mergeCell ref="PUK50:PUN50"/>
    <mergeCell ref="PUO50:PUR50"/>
    <mergeCell ref="PUS50:PUV50"/>
    <mergeCell ref="PUW50:PUZ50"/>
    <mergeCell ref="PTE50:PTH50"/>
    <mergeCell ref="PTI50:PTL50"/>
    <mergeCell ref="PTM50:PTP50"/>
    <mergeCell ref="PTQ50:PTT50"/>
    <mergeCell ref="PTU50:PTX50"/>
    <mergeCell ref="PTY50:PUB50"/>
    <mergeCell ref="PXU50:PXX50"/>
    <mergeCell ref="PXY50:PYB50"/>
    <mergeCell ref="PYC50:PYF50"/>
    <mergeCell ref="PYG50:PYJ50"/>
    <mergeCell ref="PYK50:PYN50"/>
    <mergeCell ref="PYO50:PYR50"/>
    <mergeCell ref="PWW50:PWZ50"/>
    <mergeCell ref="PXA50:PXD50"/>
    <mergeCell ref="PXE50:PXH50"/>
    <mergeCell ref="PXI50:PXL50"/>
    <mergeCell ref="PXM50:PXP50"/>
    <mergeCell ref="PXQ50:PXT50"/>
    <mergeCell ref="PVY50:PWB50"/>
    <mergeCell ref="PWC50:PWF50"/>
    <mergeCell ref="PWG50:PWJ50"/>
    <mergeCell ref="PWK50:PWN50"/>
    <mergeCell ref="PWO50:PWR50"/>
    <mergeCell ref="PWS50:PWV50"/>
    <mergeCell ref="QAO50:QAR50"/>
    <mergeCell ref="QAS50:QAV50"/>
    <mergeCell ref="QAW50:QAZ50"/>
    <mergeCell ref="QBA50:QBD50"/>
    <mergeCell ref="QBE50:QBH50"/>
    <mergeCell ref="QBI50:QBL50"/>
    <mergeCell ref="PZQ50:PZT50"/>
    <mergeCell ref="PZU50:PZX50"/>
    <mergeCell ref="PZY50:QAB50"/>
    <mergeCell ref="QAC50:QAF50"/>
    <mergeCell ref="QAG50:QAJ50"/>
    <mergeCell ref="QAK50:QAN50"/>
    <mergeCell ref="PYS50:PYV50"/>
    <mergeCell ref="PYW50:PYZ50"/>
    <mergeCell ref="PZA50:PZD50"/>
    <mergeCell ref="PZE50:PZH50"/>
    <mergeCell ref="PZI50:PZL50"/>
    <mergeCell ref="PZM50:PZP50"/>
    <mergeCell ref="QDI50:QDL50"/>
    <mergeCell ref="QDM50:QDP50"/>
    <mergeCell ref="QDQ50:QDT50"/>
    <mergeCell ref="QDU50:QDX50"/>
    <mergeCell ref="QDY50:QEB50"/>
    <mergeCell ref="QEC50:QEF50"/>
    <mergeCell ref="QCK50:QCN50"/>
    <mergeCell ref="QCO50:QCR50"/>
    <mergeCell ref="QCS50:QCV50"/>
    <mergeCell ref="QCW50:QCZ50"/>
    <mergeCell ref="QDA50:QDD50"/>
    <mergeCell ref="QDE50:QDH50"/>
    <mergeCell ref="QBM50:QBP50"/>
    <mergeCell ref="QBQ50:QBT50"/>
    <mergeCell ref="QBU50:QBX50"/>
    <mergeCell ref="QBY50:QCB50"/>
    <mergeCell ref="QCC50:QCF50"/>
    <mergeCell ref="QCG50:QCJ50"/>
    <mergeCell ref="QGC50:QGF50"/>
    <mergeCell ref="QGG50:QGJ50"/>
    <mergeCell ref="QGK50:QGN50"/>
    <mergeCell ref="QGO50:QGR50"/>
    <mergeCell ref="QGS50:QGV50"/>
    <mergeCell ref="QGW50:QGZ50"/>
    <mergeCell ref="QFE50:QFH50"/>
    <mergeCell ref="QFI50:QFL50"/>
    <mergeCell ref="QFM50:QFP50"/>
    <mergeCell ref="QFQ50:QFT50"/>
    <mergeCell ref="QFU50:QFX50"/>
    <mergeCell ref="QFY50:QGB50"/>
    <mergeCell ref="QEG50:QEJ50"/>
    <mergeCell ref="QEK50:QEN50"/>
    <mergeCell ref="QEO50:QER50"/>
    <mergeCell ref="QES50:QEV50"/>
    <mergeCell ref="QEW50:QEZ50"/>
    <mergeCell ref="QFA50:QFD50"/>
    <mergeCell ref="QIW50:QIZ50"/>
    <mergeCell ref="QJA50:QJD50"/>
    <mergeCell ref="QJE50:QJH50"/>
    <mergeCell ref="QJI50:QJL50"/>
    <mergeCell ref="QJM50:QJP50"/>
    <mergeCell ref="QJQ50:QJT50"/>
    <mergeCell ref="QHY50:QIB50"/>
    <mergeCell ref="QIC50:QIF50"/>
    <mergeCell ref="QIG50:QIJ50"/>
    <mergeCell ref="QIK50:QIN50"/>
    <mergeCell ref="QIO50:QIR50"/>
    <mergeCell ref="QIS50:QIV50"/>
    <mergeCell ref="QHA50:QHD50"/>
    <mergeCell ref="QHE50:QHH50"/>
    <mergeCell ref="QHI50:QHL50"/>
    <mergeCell ref="QHM50:QHP50"/>
    <mergeCell ref="QHQ50:QHT50"/>
    <mergeCell ref="QHU50:QHX50"/>
    <mergeCell ref="QLQ50:QLT50"/>
    <mergeCell ref="QLU50:QLX50"/>
    <mergeCell ref="QLY50:QMB50"/>
    <mergeCell ref="QMC50:QMF50"/>
    <mergeCell ref="QMG50:QMJ50"/>
    <mergeCell ref="QMK50:QMN50"/>
    <mergeCell ref="QKS50:QKV50"/>
    <mergeCell ref="QKW50:QKZ50"/>
    <mergeCell ref="QLA50:QLD50"/>
    <mergeCell ref="QLE50:QLH50"/>
    <mergeCell ref="QLI50:QLL50"/>
    <mergeCell ref="QLM50:QLP50"/>
    <mergeCell ref="QJU50:QJX50"/>
    <mergeCell ref="QJY50:QKB50"/>
    <mergeCell ref="QKC50:QKF50"/>
    <mergeCell ref="QKG50:QKJ50"/>
    <mergeCell ref="QKK50:QKN50"/>
    <mergeCell ref="QKO50:QKR50"/>
    <mergeCell ref="QOK50:QON50"/>
    <mergeCell ref="QOO50:QOR50"/>
    <mergeCell ref="QOS50:QOV50"/>
    <mergeCell ref="QOW50:QOZ50"/>
    <mergeCell ref="QPA50:QPD50"/>
    <mergeCell ref="QPE50:QPH50"/>
    <mergeCell ref="QNM50:QNP50"/>
    <mergeCell ref="QNQ50:QNT50"/>
    <mergeCell ref="QNU50:QNX50"/>
    <mergeCell ref="QNY50:QOB50"/>
    <mergeCell ref="QOC50:QOF50"/>
    <mergeCell ref="QOG50:QOJ50"/>
    <mergeCell ref="QMO50:QMR50"/>
    <mergeCell ref="QMS50:QMV50"/>
    <mergeCell ref="QMW50:QMZ50"/>
    <mergeCell ref="QNA50:QND50"/>
    <mergeCell ref="QNE50:QNH50"/>
    <mergeCell ref="QNI50:QNL50"/>
    <mergeCell ref="QRE50:QRH50"/>
    <mergeCell ref="QRI50:QRL50"/>
    <mergeCell ref="QRM50:QRP50"/>
    <mergeCell ref="QRQ50:QRT50"/>
    <mergeCell ref="QRU50:QRX50"/>
    <mergeCell ref="QRY50:QSB50"/>
    <mergeCell ref="QQG50:QQJ50"/>
    <mergeCell ref="QQK50:QQN50"/>
    <mergeCell ref="QQO50:QQR50"/>
    <mergeCell ref="QQS50:QQV50"/>
    <mergeCell ref="QQW50:QQZ50"/>
    <mergeCell ref="QRA50:QRD50"/>
    <mergeCell ref="QPI50:QPL50"/>
    <mergeCell ref="QPM50:QPP50"/>
    <mergeCell ref="QPQ50:QPT50"/>
    <mergeCell ref="QPU50:QPX50"/>
    <mergeCell ref="QPY50:QQB50"/>
    <mergeCell ref="QQC50:QQF50"/>
    <mergeCell ref="QTY50:QUB50"/>
    <mergeCell ref="QUC50:QUF50"/>
    <mergeCell ref="QUG50:QUJ50"/>
    <mergeCell ref="QUK50:QUN50"/>
    <mergeCell ref="QUO50:QUR50"/>
    <mergeCell ref="QUS50:QUV50"/>
    <mergeCell ref="QTA50:QTD50"/>
    <mergeCell ref="QTE50:QTH50"/>
    <mergeCell ref="QTI50:QTL50"/>
    <mergeCell ref="QTM50:QTP50"/>
    <mergeCell ref="QTQ50:QTT50"/>
    <mergeCell ref="QTU50:QTX50"/>
    <mergeCell ref="QSC50:QSF50"/>
    <mergeCell ref="QSG50:QSJ50"/>
    <mergeCell ref="QSK50:QSN50"/>
    <mergeCell ref="QSO50:QSR50"/>
    <mergeCell ref="QSS50:QSV50"/>
    <mergeCell ref="QSW50:QSZ50"/>
    <mergeCell ref="QWS50:QWV50"/>
    <mergeCell ref="QWW50:QWZ50"/>
    <mergeCell ref="QXA50:QXD50"/>
    <mergeCell ref="QXE50:QXH50"/>
    <mergeCell ref="QXI50:QXL50"/>
    <mergeCell ref="QXM50:QXP50"/>
    <mergeCell ref="QVU50:QVX50"/>
    <mergeCell ref="QVY50:QWB50"/>
    <mergeCell ref="QWC50:QWF50"/>
    <mergeCell ref="QWG50:QWJ50"/>
    <mergeCell ref="QWK50:QWN50"/>
    <mergeCell ref="QWO50:QWR50"/>
    <mergeCell ref="QUW50:QUZ50"/>
    <mergeCell ref="QVA50:QVD50"/>
    <mergeCell ref="QVE50:QVH50"/>
    <mergeCell ref="QVI50:QVL50"/>
    <mergeCell ref="QVM50:QVP50"/>
    <mergeCell ref="QVQ50:QVT50"/>
    <mergeCell ref="QZM50:QZP50"/>
    <mergeCell ref="QZQ50:QZT50"/>
    <mergeCell ref="QZU50:QZX50"/>
    <mergeCell ref="QZY50:RAB50"/>
    <mergeCell ref="RAC50:RAF50"/>
    <mergeCell ref="RAG50:RAJ50"/>
    <mergeCell ref="QYO50:QYR50"/>
    <mergeCell ref="QYS50:QYV50"/>
    <mergeCell ref="QYW50:QYZ50"/>
    <mergeCell ref="QZA50:QZD50"/>
    <mergeCell ref="QZE50:QZH50"/>
    <mergeCell ref="QZI50:QZL50"/>
    <mergeCell ref="QXQ50:QXT50"/>
    <mergeCell ref="QXU50:QXX50"/>
    <mergeCell ref="QXY50:QYB50"/>
    <mergeCell ref="QYC50:QYF50"/>
    <mergeCell ref="QYG50:QYJ50"/>
    <mergeCell ref="QYK50:QYN50"/>
    <mergeCell ref="RCG50:RCJ50"/>
    <mergeCell ref="RCK50:RCN50"/>
    <mergeCell ref="RCO50:RCR50"/>
    <mergeCell ref="RCS50:RCV50"/>
    <mergeCell ref="RCW50:RCZ50"/>
    <mergeCell ref="RDA50:RDD50"/>
    <mergeCell ref="RBI50:RBL50"/>
    <mergeCell ref="RBM50:RBP50"/>
    <mergeCell ref="RBQ50:RBT50"/>
    <mergeCell ref="RBU50:RBX50"/>
    <mergeCell ref="RBY50:RCB50"/>
    <mergeCell ref="RCC50:RCF50"/>
    <mergeCell ref="RAK50:RAN50"/>
    <mergeCell ref="RAO50:RAR50"/>
    <mergeCell ref="RAS50:RAV50"/>
    <mergeCell ref="RAW50:RAZ50"/>
    <mergeCell ref="RBA50:RBD50"/>
    <mergeCell ref="RBE50:RBH50"/>
    <mergeCell ref="RFA50:RFD50"/>
    <mergeCell ref="RFE50:RFH50"/>
    <mergeCell ref="RFI50:RFL50"/>
    <mergeCell ref="RFM50:RFP50"/>
    <mergeCell ref="RFQ50:RFT50"/>
    <mergeCell ref="RFU50:RFX50"/>
    <mergeCell ref="REC50:REF50"/>
    <mergeCell ref="REG50:REJ50"/>
    <mergeCell ref="REK50:REN50"/>
    <mergeCell ref="REO50:RER50"/>
    <mergeCell ref="RES50:REV50"/>
    <mergeCell ref="REW50:REZ50"/>
    <mergeCell ref="RDE50:RDH50"/>
    <mergeCell ref="RDI50:RDL50"/>
    <mergeCell ref="RDM50:RDP50"/>
    <mergeCell ref="RDQ50:RDT50"/>
    <mergeCell ref="RDU50:RDX50"/>
    <mergeCell ref="RDY50:REB50"/>
    <mergeCell ref="RHU50:RHX50"/>
    <mergeCell ref="RHY50:RIB50"/>
    <mergeCell ref="RIC50:RIF50"/>
    <mergeCell ref="RIG50:RIJ50"/>
    <mergeCell ref="RIK50:RIN50"/>
    <mergeCell ref="RIO50:RIR50"/>
    <mergeCell ref="RGW50:RGZ50"/>
    <mergeCell ref="RHA50:RHD50"/>
    <mergeCell ref="RHE50:RHH50"/>
    <mergeCell ref="RHI50:RHL50"/>
    <mergeCell ref="RHM50:RHP50"/>
    <mergeCell ref="RHQ50:RHT50"/>
    <mergeCell ref="RFY50:RGB50"/>
    <mergeCell ref="RGC50:RGF50"/>
    <mergeCell ref="RGG50:RGJ50"/>
    <mergeCell ref="RGK50:RGN50"/>
    <mergeCell ref="RGO50:RGR50"/>
    <mergeCell ref="RGS50:RGV50"/>
    <mergeCell ref="RKO50:RKR50"/>
    <mergeCell ref="RKS50:RKV50"/>
    <mergeCell ref="RKW50:RKZ50"/>
    <mergeCell ref="RLA50:RLD50"/>
    <mergeCell ref="RLE50:RLH50"/>
    <mergeCell ref="RLI50:RLL50"/>
    <mergeCell ref="RJQ50:RJT50"/>
    <mergeCell ref="RJU50:RJX50"/>
    <mergeCell ref="RJY50:RKB50"/>
    <mergeCell ref="RKC50:RKF50"/>
    <mergeCell ref="RKG50:RKJ50"/>
    <mergeCell ref="RKK50:RKN50"/>
    <mergeCell ref="RIS50:RIV50"/>
    <mergeCell ref="RIW50:RIZ50"/>
    <mergeCell ref="RJA50:RJD50"/>
    <mergeCell ref="RJE50:RJH50"/>
    <mergeCell ref="RJI50:RJL50"/>
    <mergeCell ref="RJM50:RJP50"/>
    <mergeCell ref="RNI50:RNL50"/>
    <mergeCell ref="RNM50:RNP50"/>
    <mergeCell ref="RNQ50:RNT50"/>
    <mergeCell ref="RNU50:RNX50"/>
    <mergeCell ref="RNY50:ROB50"/>
    <mergeCell ref="ROC50:ROF50"/>
    <mergeCell ref="RMK50:RMN50"/>
    <mergeCell ref="RMO50:RMR50"/>
    <mergeCell ref="RMS50:RMV50"/>
    <mergeCell ref="RMW50:RMZ50"/>
    <mergeCell ref="RNA50:RND50"/>
    <mergeCell ref="RNE50:RNH50"/>
    <mergeCell ref="RLM50:RLP50"/>
    <mergeCell ref="RLQ50:RLT50"/>
    <mergeCell ref="RLU50:RLX50"/>
    <mergeCell ref="RLY50:RMB50"/>
    <mergeCell ref="RMC50:RMF50"/>
    <mergeCell ref="RMG50:RMJ50"/>
    <mergeCell ref="RQC50:RQF50"/>
    <mergeCell ref="RQG50:RQJ50"/>
    <mergeCell ref="RQK50:RQN50"/>
    <mergeCell ref="RQO50:RQR50"/>
    <mergeCell ref="RQS50:RQV50"/>
    <mergeCell ref="RQW50:RQZ50"/>
    <mergeCell ref="RPE50:RPH50"/>
    <mergeCell ref="RPI50:RPL50"/>
    <mergeCell ref="RPM50:RPP50"/>
    <mergeCell ref="RPQ50:RPT50"/>
    <mergeCell ref="RPU50:RPX50"/>
    <mergeCell ref="RPY50:RQB50"/>
    <mergeCell ref="ROG50:ROJ50"/>
    <mergeCell ref="ROK50:RON50"/>
    <mergeCell ref="ROO50:ROR50"/>
    <mergeCell ref="ROS50:ROV50"/>
    <mergeCell ref="ROW50:ROZ50"/>
    <mergeCell ref="RPA50:RPD50"/>
    <mergeCell ref="RSW50:RSZ50"/>
    <mergeCell ref="RTA50:RTD50"/>
    <mergeCell ref="RTE50:RTH50"/>
    <mergeCell ref="RTI50:RTL50"/>
    <mergeCell ref="RTM50:RTP50"/>
    <mergeCell ref="RTQ50:RTT50"/>
    <mergeCell ref="RRY50:RSB50"/>
    <mergeCell ref="RSC50:RSF50"/>
    <mergeCell ref="RSG50:RSJ50"/>
    <mergeCell ref="RSK50:RSN50"/>
    <mergeCell ref="RSO50:RSR50"/>
    <mergeCell ref="RSS50:RSV50"/>
    <mergeCell ref="RRA50:RRD50"/>
    <mergeCell ref="RRE50:RRH50"/>
    <mergeCell ref="RRI50:RRL50"/>
    <mergeCell ref="RRM50:RRP50"/>
    <mergeCell ref="RRQ50:RRT50"/>
    <mergeCell ref="RRU50:RRX50"/>
    <mergeCell ref="RVQ50:RVT50"/>
    <mergeCell ref="RVU50:RVX50"/>
    <mergeCell ref="RVY50:RWB50"/>
    <mergeCell ref="RWC50:RWF50"/>
    <mergeCell ref="RWG50:RWJ50"/>
    <mergeCell ref="RWK50:RWN50"/>
    <mergeCell ref="RUS50:RUV50"/>
    <mergeCell ref="RUW50:RUZ50"/>
    <mergeCell ref="RVA50:RVD50"/>
    <mergeCell ref="RVE50:RVH50"/>
    <mergeCell ref="RVI50:RVL50"/>
    <mergeCell ref="RVM50:RVP50"/>
    <mergeCell ref="RTU50:RTX50"/>
    <mergeCell ref="RTY50:RUB50"/>
    <mergeCell ref="RUC50:RUF50"/>
    <mergeCell ref="RUG50:RUJ50"/>
    <mergeCell ref="RUK50:RUN50"/>
    <mergeCell ref="RUO50:RUR50"/>
    <mergeCell ref="RYK50:RYN50"/>
    <mergeCell ref="RYO50:RYR50"/>
    <mergeCell ref="RYS50:RYV50"/>
    <mergeCell ref="RYW50:RYZ50"/>
    <mergeCell ref="RZA50:RZD50"/>
    <mergeCell ref="RZE50:RZH50"/>
    <mergeCell ref="RXM50:RXP50"/>
    <mergeCell ref="RXQ50:RXT50"/>
    <mergeCell ref="RXU50:RXX50"/>
    <mergeCell ref="RXY50:RYB50"/>
    <mergeCell ref="RYC50:RYF50"/>
    <mergeCell ref="RYG50:RYJ50"/>
    <mergeCell ref="RWO50:RWR50"/>
    <mergeCell ref="RWS50:RWV50"/>
    <mergeCell ref="RWW50:RWZ50"/>
    <mergeCell ref="RXA50:RXD50"/>
    <mergeCell ref="RXE50:RXH50"/>
    <mergeCell ref="RXI50:RXL50"/>
    <mergeCell ref="SBE50:SBH50"/>
    <mergeCell ref="SBI50:SBL50"/>
    <mergeCell ref="SBM50:SBP50"/>
    <mergeCell ref="SBQ50:SBT50"/>
    <mergeCell ref="SBU50:SBX50"/>
    <mergeCell ref="SBY50:SCB50"/>
    <mergeCell ref="SAG50:SAJ50"/>
    <mergeCell ref="SAK50:SAN50"/>
    <mergeCell ref="SAO50:SAR50"/>
    <mergeCell ref="SAS50:SAV50"/>
    <mergeCell ref="SAW50:SAZ50"/>
    <mergeCell ref="SBA50:SBD50"/>
    <mergeCell ref="RZI50:RZL50"/>
    <mergeCell ref="RZM50:RZP50"/>
    <mergeCell ref="RZQ50:RZT50"/>
    <mergeCell ref="RZU50:RZX50"/>
    <mergeCell ref="RZY50:SAB50"/>
    <mergeCell ref="SAC50:SAF50"/>
    <mergeCell ref="SDY50:SEB50"/>
    <mergeCell ref="SEC50:SEF50"/>
    <mergeCell ref="SEG50:SEJ50"/>
    <mergeCell ref="SEK50:SEN50"/>
    <mergeCell ref="SEO50:SER50"/>
    <mergeCell ref="SES50:SEV50"/>
    <mergeCell ref="SDA50:SDD50"/>
    <mergeCell ref="SDE50:SDH50"/>
    <mergeCell ref="SDI50:SDL50"/>
    <mergeCell ref="SDM50:SDP50"/>
    <mergeCell ref="SDQ50:SDT50"/>
    <mergeCell ref="SDU50:SDX50"/>
    <mergeCell ref="SCC50:SCF50"/>
    <mergeCell ref="SCG50:SCJ50"/>
    <mergeCell ref="SCK50:SCN50"/>
    <mergeCell ref="SCO50:SCR50"/>
    <mergeCell ref="SCS50:SCV50"/>
    <mergeCell ref="SCW50:SCZ50"/>
    <mergeCell ref="SGS50:SGV50"/>
    <mergeCell ref="SGW50:SGZ50"/>
    <mergeCell ref="SHA50:SHD50"/>
    <mergeCell ref="SHE50:SHH50"/>
    <mergeCell ref="SHI50:SHL50"/>
    <mergeCell ref="SHM50:SHP50"/>
    <mergeCell ref="SFU50:SFX50"/>
    <mergeCell ref="SFY50:SGB50"/>
    <mergeCell ref="SGC50:SGF50"/>
    <mergeCell ref="SGG50:SGJ50"/>
    <mergeCell ref="SGK50:SGN50"/>
    <mergeCell ref="SGO50:SGR50"/>
    <mergeCell ref="SEW50:SEZ50"/>
    <mergeCell ref="SFA50:SFD50"/>
    <mergeCell ref="SFE50:SFH50"/>
    <mergeCell ref="SFI50:SFL50"/>
    <mergeCell ref="SFM50:SFP50"/>
    <mergeCell ref="SFQ50:SFT50"/>
    <mergeCell ref="SJM50:SJP50"/>
    <mergeCell ref="SJQ50:SJT50"/>
    <mergeCell ref="SJU50:SJX50"/>
    <mergeCell ref="SJY50:SKB50"/>
    <mergeCell ref="SKC50:SKF50"/>
    <mergeCell ref="SKG50:SKJ50"/>
    <mergeCell ref="SIO50:SIR50"/>
    <mergeCell ref="SIS50:SIV50"/>
    <mergeCell ref="SIW50:SIZ50"/>
    <mergeCell ref="SJA50:SJD50"/>
    <mergeCell ref="SJE50:SJH50"/>
    <mergeCell ref="SJI50:SJL50"/>
    <mergeCell ref="SHQ50:SHT50"/>
    <mergeCell ref="SHU50:SHX50"/>
    <mergeCell ref="SHY50:SIB50"/>
    <mergeCell ref="SIC50:SIF50"/>
    <mergeCell ref="SIG50:SIJ50"/>
    <mergeCell ref="SIK50:SIN50"/>
    <mergeCell ref="SMG50:SMJ50"/>
    <mergeCell ref="SMK50:SMN50"/>
    <mergeCell ref="SMO50:SMR50"/>
    <mergeCell ref="SMS50:SMV50"/>
    <mergeCell ref="SMW50:SMZ50"/>
    <mergeCell ref="SNA50:SND50"/>
    <mergeCell ref="SLI50:SLL50"/>
    <mergeCell ref="SLM50:SLP50"/>
    <mergeCell ref="SLQ50:SLT50"/>
    <mergeCell ref="SLU50:SLX50"/>
    <mergeCell ref="SLY50:SMB50"/>
    <mergeCell ref="SMC50:SMF50"/>
    <mergeCell ref="SKK50:SKN50"/>
    <mergeCell ref="SKO50:SKR50"/>
    <mergeCell ref="SKS50:SKV50"/>
    <mergeCell ref="SKW50:SKZ50"/>
    <mergeCell ref="SLA50:SLD50"/>
    <mergeCell ref="SLE50:SLH50"/>
    <mergeCell ref="SPA50:SPD50"/>
    <mergeCell ref="SPE50:SPH50"/>
    <mergeCell ref="SPI50:SPL50"/>
    <mergeCell ref="SPM50:SPP50"/>
    <mergeCell ref="SPQ50:SPT50"/>
    <mergeCell ref="SPU50:SPX50"/>
    <mergeCell ref="SOC50:SOF50"/>
    <mergeCell ref="SOG50:SOJ50"/>
    <mergeCell ref="SOK50:SON50"/>
    <mergeCell ref="SOO50:SOR50"/>
    <mergeCell ref="SOS50:SOV50"/>
    <mergeCell ref="SOW50:SOZ50"/>
    <mergeCell ref="SNE50:SNH50"/>
    <mergeCell ref="SNI50:SNL50"/>
    <mergeCell ref="SNM50:SNP50"/>
    <mergeCell ref="SNQ50:SNT50"/>
    <mergeCell ref="SNU50:SNX50"/>
    <mergeCell ref="SNY50:SOB50"/>
    <mergeCell ref="SRU50:SRX50"/>
    <mergeCell ref="SRY50:SSB50"/>
    <mergeCell ref="SSC50:SSF50"/>
    <mergeCell ref="SSG50:SSJ50"/>
    <mergeCell ref="SSK50:SSN50"/>
    <mergeCell ref="SSO50:SSR50"/>
    <mergeCell ref="SQW50:SQZ50"/>
    <mergeCell ref="SRA50:SRD50"/>
    <mergeCell ref="SRE50:SRH50"/>
    <mergeCell ref="SRI50:SRL50"/>
    <mergeCell ref="SRM50:SRP50"/>
    <mergeCell ref="SRQ50:SRT50"/>
    <mergeCell ref="SPY50:SQB50"/>
    <mergeCell ref="SQC50:SQF50"/>
    <mergeCell ref="SQG50:SQJ50"/>
    <mergeCell ref="SQK50:SQN50"/>
    <mergeCell ref="SQO50:SQR50"/>
    <mergeCell ref="SQS50:SQV50"/>
    <mergeCell ref="SUO50:SUR50"/>
    <mergeCell ref="SUS50:SUV50"/>
    <mergeCell ref="SUW50:SUZ50"/>
    <mergeCell ref="SVA50:SVD50"/>
    <mergeCell ref="SVE50:SVH50"/>
    <mergeCell ref="SVI50:SVL50"/>
    <mergeCell ref="STQ50:STT50"/>
    <mergeCell ref="STU50:STX50"/>
    <mergeCell ref="STY50:SUB50"/>
    <mergeCell ref="SUC50:SUF50"/>
    <mergeCell ref="SUG50:SUJ50"/>
    <mergeCell ref="SUK50:SUN50"/>
    <mergeCell ref="SSS50:SSV50"/>
    <mergeCell ref="SSW50:SSZ50"/>
    <mergeCell ref="STA50:STD50"/>
    <mergeCell ref="STE50:STH50"/>
    <mergeCell ref="STI50:STL50"/>
    <mergeCell ref="STM50:STP50"/>
    <mergeCell ref="SXI50:SXL50"/>
    <mergeCell ref="SXM50:SXP50"/>
    <mergeCell ref="SXQ50:SXT50"/>
    <mergeCell ref="SXU50:SXX50"/>
    <mergeCell ref="SXY50:SYB50"/>
    <mergeCell ref="SYC50:SYF50"/>
    <mergeCell ref="SWK50:SWN50"/>
    <mergeCell ref="SWO50:SWR50"/>
    <mergeCell ref="SWS50:SWV50"/>
    <mergeCell ref="SWW50:SWZ50"/>
    <mergeCell ref="SXA50:SXD50"/>
    <mergeCell ref="SXE50:SXH50"/>
    <mergeCell ref="SVM50:SVP50"/>
    <mergeCell ref="SVQ50:SVT50"/>
    <mergeCell ref="SVU50:SVX50"/>
    <mergeCell ref="SVY50:SWB50"/>
    <mergeCell ref="SWC50:SWF50"/>
    <mergeCell ref="SWG50:SWJ50"/>
    <mergeCell ref="TAC50:TAF50"/>
    <mergeCell ref="TAG50:TAJ50"/>
    <mergeCell ref="TAK50:TAN50"/>
    <mergeCell ref="TAO50:TAR50"/>
    <mergeCell ref="TAS50:TAV50"/>
    <mergeCell ref="TAW50:TAZ50"/>
    <mergeCell ref="SZE50:SZH50"/>
    <mergeCell ref="SZI50:SZL50"/>
    <mergeCell ref="SZM50:SZP50"/>
    <mergeCell ref="SZQ50:SZT50"/>
    <mergeCell ref="SZU50:SZX50"/>
    <mergeCell ref="SZY50:TAB50"/>
    <mergeCell ref="SYG50:SYJ50"/>
    <mergeCell ref="SYK50:SYN50"/>
    <mergeCell ref="SYO50:SYR50"/>
    <mergeCell ref="SYS50:SYV50"/>
    <mergeCell ref="SYW50:SYZ50"/>
    <mergeCell ref="SZA50:SZD50"/>
    <mergeCell ref="TCW50:TCZ50"/>
    <mergeCell ref="TDA50:TDD50"/>
    <mergeCell ref="TDE50:TDH50"/>
    <mergeCell ref="TDI50:TDL50"/>
    <mergeCell ref="TDM50:TDP50"/>
    <mergeCell ref="TDQ50:TDT50"/>
    <mergeCell ref="TBY50:TCB50"/>
    <mergeCell ref="TCC50:TCF50"/>
    <mergeCell ref="TCG50:TCJ50"/>
    <mergeCell ref="TCK50:TCN50"/>
    <mergeCell ref="TCO50:TCR50"/>
    <mergeCell ref="TCS50:TCV50"/>
    <mergeCell ref="TBA50:TBD50"/>
    <mergeCell ref="TBE50:TBH50"/>
    <mergeCell ref="TBI50:TBL50"/>
    <mergeCell ref="TBM50:TBP50"/>
    <mergeCell ref="TBQ50:TBT50"/>
    <mergeCell ref="TBU50:TBX50"/>
    <mergeCell ref="TFQ50:TFT50"/>
    <mergeCell ref="TFU50:TFX50"/>
    <mergeCell ref="TFY50:TGB50"/>
    <mergeCell ref="TGC50:TGF50"/>
    <mergeCell ref="TGG50:TGJ50"/>
    <mergeCell ref="TGK50:TGN50"/>
    <mergeCell ref="TES50:TEV50"/>
    <mergeCell ref="TEW50:TEZ50"/>
    <mergeCell ref="TFA50:TFD50"/>
    <mergeCell ref="TFE50:TFH50"/>
    <mergeCell ref="TFI50:TFL50"/>
    <mergeCell ref="TFM50:TFP50"/>
    <mergeCell ref="TDU50:TDX50"/>
    <mergeCell ref="TDY50:TEB50"/>
    <mergeCell ref="TEC50:TEF50"/>
    <mergeCell ref="TEG50:TEJ50"/>
    <mergeCell ref="TEK50:TEN50"/>
    <mergeCell ref="TEO50:TER50"/>
    <mergeCell ref="TIK50:TIN50"/>
    <mergeCell ref="TIO50:TIR50"/>
    <mergeCell ref="TIS50:TIV50"/>
    <mergeCell ref="TIW50:TIZ50"/>
    <mergeCell ref="TJA50:TJD50"/>
    <mergeCell ref="TJE50:TJH50"/>
    <mergeCell ref="THM50:THP50"/>
    <mergeCell ref="THQ50:THT50"/>
    <mergeCell ref="THU50:THX50"/>
    <mergeCell ref="THY50:TIB50"/>
    <mergeCell ref="TIC50:TIF50"/>
    <mergeCell ref="TIG50:TIJ50"/>
    <mergeCell ref="TGO50:TGR50"/>
    <mergeCell ref="TGS50:TGV50"/>
    <mergeCell ref="TGW50:TGZ50"/>
    <mergeCell ref="THA50:THD50"/>
    <mergeCell ref="THE50:THH50"/>
    <mergeCell ref="THI50:THL50"/>
    <mergeCell ref="TLE50:TLH50"/>
    <mergeCell ref="TLI50:TLL50"/>
    <mergeCell ref="TLM50:TLP50"/>
    <mergeCell ref="TLQ50:TLT50"/>
    <mergeCell ref="TLU50:TLX50"/>
    <mergeCell ref="TLY50:TMB50"/>
    <mergeCell ref="TKG50:TKJ50"/>
    <mergeCell ref="TKK50:TKN50"/>
    <mergeCell ref="TKO50:TKR50"/>
    <mergeCell ref="TKS50:TKV50"/>
    <mergeCell ref="TKW50:TKZ50"/>
    <mergeCell ref="TLA50:TLD50"/>
    <mergeCell ref="TJI50:TJL50"/>
    <mergeCell ref="TJM50:TJP50"/>
    <mergeCell ref="TJQ50:TJT50"/>
    <mergeCell ref="TJU50:TJX50"/>
    <mergeCell ref="TJY50:TKB50"/>
    <mergeCell ref="TKC50:TKF50"/>
    <mergeCell ref="TNY50:TOB50"/>
    <mergeCell ref="TOC50:TOF50"/>
    <mergeCell ref="TOG50:TOJ50"/>
    <mergeCell ref="TOK50:TON50"/>
    <mergeCell ref="TOO50:TOR50"/>
    <mergeCell ref="TOS50:TOV50"/>
    <mergeCell ref="TNA50:TND50"/>
    <mergeCell ref="TNE50:TNH50"/>
    <mergeCell ref="TNI50:TNL50"/>
    <mergeCell ref="TNM50:TNP50"/>
    <mergeCell ref="TNQ50:TNT50"/>
    <mergeCell ref="TNU50:TNX50"/>
    <mergeCell ref="TMC50:TMF50"/>
    <mergeCell ref="TMG50:TMJ50"/>
    <mergeCell ref="TMK50:TMN50"/>
    <mergeCell ref="TMO50:TMR50"/>
    <mergeCell ref="TMS50:TMV50"/>
    <mergeCell ref="TMW50:TMZ50"/>
    <mergeCell ref="TQS50:TQV50"/>
    <mergeCell ref="TQW50:TQZ50"/>
    <mergeCell ref="TRA50:TRD50"/>
    <mergeCell ref="TRE50:TRH50"/>
    <mergeCell ref="TRI50:TRL50"/>
    <mergeCell ref="TRM50:TRP50"/>
    <mergeCell ref="TPU50:TPX50"/>
    <mergeCell ref="TPY50:TQB50"/>
    <mergeCell ref="TQC50:TQF50"/>
    <mergeCell ref="TQG50:TQJ50"/>
    <mergeCell ref="TQK50:TQN50"/>
    <mergeCell ref="TQO50:TQR50"/>
    <mergeCell ref="TOW50:TOZ50"/>
    <mergeCell ref="TPA50:TPD50"/>
    <mergeCell ref="TPE50:TPH50"/>
    <mergeCell ref="TPI50:TPL50"/>
    <mergeCell ref="TPM50:TPP50"/>
    <mergeCell ref="TPQ50:TPT50"/>
    <mergeCell ref="TTM50:TTP50"/>
    <mergeCell ref="TTQ50:TTT50"/>
    <mergeCell ref="TTU50:TTX50"/>
    <mergeCell ref="TTY50:TUB50"/>
    <mergeCell ref="TUC50:TUF50"/>
    <mergeCell ref="TUG50:TUJ50"/>
    <mergeCell ref="TSO50:TSR50"/>
    <mergeCell ref="TSS50:TSV50"/>
    <mergeCell ref="TSW50:TSZ50"/>
    <mergeCell ref="TTA50:TTD50"/>
    <mergeCell ref="TTE50:TTH50"/>
    <mergeCell ref="TTI50:TTL50"/>
    <mergeCell ref="TRQ50:TRT50"/>
    <mergeCell ref="TRU50:TRX50"/>
    <mergeCell ref="TRY50:TSB50"/>
    <mergeCell ref="TSC50:TSF50"/>
    <mergeCell ref="TSG50:TSJ50"/>
    <mergeCell ref="TSK50:TSN50"/>
    <mergeCell ref="TWG50:TWJ50"/>
    <mergeCell ref="TWK50:TWN50"/>
    <mergeCell ref="TWO50:TWR50"/>
    <mergeCell ref="TWS50:TWV50"/>
    <mergeCell ref="TWW50:TWZ50"/>
    <mergeCell ref="TXA50:TXD50"/>
    <mergeCell ref="TVI50:TVL50"/>
    <mergeCell ref="TVM50:TVP50"/>
    <mergeCell ref="TVQ50:TVT50"/>
    <mergeCell ref="TVU50:TVX50"/>
    <mergeCell ref="TVY50:TWB50"/>
    <mergeCell ref="TWC50:TWF50"/>
    <mergeCell ref="TUK50:TUN50"/>
    <mergeCell ref="TUO50:TUR50"/>
    <mergeCell ref="TUS50:TUV50"/>
    <mergeCell ref="TUW50:TUZ50"/>
    <mergeCell ref="TVA50:TVD50"/>
    <mergeCell ref="TVE50:TVH50"/>
    <mergeCell ref="TZA50:TZD50"/>
    <mergeCell ref="TZE50:TZH50"/>
    <mergeCell ref="TZI50:TZL50"/>
    <mergeCell ref="TZM50:TZP50"/>
    <mergeCell ref="TZQ50:TZT50"/>
    <mergeCell ref="TZU50:TZX50"/>
    <mergeCell ref="TYC50:TYF50"/>
    <mergeCell ref="TYG50:TYJ50"/>
    <mergeCell ref="TYK50:TYN50"/>
    <mergeCell ref="TYO50:TYR50"/>
    <mergeCell ref="TYS50:TYV50"/>
    <mergeCell ref="TYW50:TYZ50"/>
    <mergeCell ref="TXE50:TXH50"/>
    <mergeCell ref="TXI50:TXL50"/>
    <mergeCell ref="TXM50:TXP50"/>
    <mergeCell ref="TXQ50:TXT50"/>
    <mergeCell ref="TXU50:TXX50"/>
    <mergeCell ref="TXY50:TYB50"/>
    <mergeCell ref="UBU50:UBX50"/>
    <mergeCell ref="UBY50:UCB50"/>
    <mergeCell ref="UCC50:UCF50"/>
    <mergeCell ref="UCG50:UCJ50"/>
    <mergeCell ref="UCK50:UCN50"/>
    <mergeCell ref="UCO50:UCR50"/>
    <mergeCell ref="UAW50:UAZ50"/>
    <mergeCell ref="UBA50:UBD50"/>
    <mergeCell ref="UBE50:UBH50"/>
    <mergeCell ref="UBI50:UBL50"/>
    <mergeCell ref="UBM50:UBP50"/>
    <mergeCell ref="UBQ50:UBT50"/>
    <mergeCell ref="TZY50:UAB50"/>
    <mergeCell ref="UAC50:UAF50"/>
    <mergeCell ref="UAG50:UAJ50"/>
    <mergeCell ref="UAK50:UAN50"/>
    <mergeCell ref="UAO50:UAR50"/>
    <mergeCell ref="UAS50:UAV50"/>
    <mergeCell ref="UEO50:UER50"/>
    <mergeCell ref="UES50:UEV50"/>
    <mergeCell ref="UEW50:UEZ50"/>
    <mergeCell ref="UFA50:UFD50"/>
    <mergeCell ref="UFE50:UFH50"/>
    <mergeCell ref="UFI50:UFL50"/>
    <mergeCell ref="UDQ50:UDT50"/>
    <mergeCell ref="UDU50:UDX50"/>
    <mergeCell ref="UDY50:UEB50"/>
    <mergeCell ref="UEC50:UEF50"/>
    <mergeCell ref="UEG50:UEJ50"/>
    <mergeCell ref="UEK50:UEN50"/>
    <mergeCell ref="UCS50:UCV50"/>
    <mergeCell ref="UCW50:UCZ50"/>
    <mergeCell ref="UDA50:UDD50"/>
    <mergeCell ref="UDE50:UDH50"/>
    <mergeCell ref="UDI50:UDL50"/>
    <mergeCell ref="UDM50:UDP50"/>
    <mergeCell ref="UHI50:UHL50"/>
    <mergeCell ref="UHM50:UHP50"/>
    <mergeCell ref="UHQ50:UHT50"/>
    <mergeCell ref="UHU50:UHX50"/>
    <mergeCell ref="UHY50:UIB50"/>
    <mergeCell ref="UIC50:UIF50"/>
    <mergeCell ref="UGK50:UGN50"/>
    <mergeCell ref="UGO50:UGR50"/>
    <mergeCell ref="UGS50:UGV50"/>
    <mergeCell ref="UGW50:UGZ50"/>
    <mergeCell ref="UHA50:UHD50"/>
    <mergeCell ref="UHE50:UHH50"/>
    <mergeCell ref="UFM50:UFP50"/>
    <mergeCell ref="UFQ50:UFT50"/>
    <mergeCell ref="UFU50:UFX50"/>
    <mergeCell ref="UFY50:UGB50"/>
    <mergeCell ref="UGC50:UGF50"/>
    <mergeCell ref="UGG50:UGJ50"/>
    <mergeCell ref="UKC50:UKF50"/>
    <mergeCell ref="UKG50:UKJ50"/>
    <mergeCell ref="UKK50:UKN50"/>
    <mergeCell ref="UKO50:UKR50"/>
    <mergeCell ref="UKS50:UKV50"/>
    <mergeCell ref="UKW50:UKZ50"/>
    <mergeCell ref="UJE50:UJH50"/>
    <mergeCell ref="UJI50:UJL50"/>
    <mergeCell ref="UJM50:UJP50"/>
    <mergeCell ref="UJQ50:UJT50"/>
    <mergeCell ref="UJU50:UJX50"/>
    <mergeCell ref="UJY50:UKB50"/>
    <mergeCell ref="UIG50:UIJ50"/>
    <mergeCell ref="UIK50:UIN50"/>
    <mergeCell ref="UIO50:UIR50"/>
    <mergeCell ref="UIS50:UIV50"/>
    <mergeCell ref="UIW50:UIZ50"/>
    <mergeCell ref="UJA50:UJD50"/>
    <mergeCell ref="UMW50:UMZ50"/>
    <mergeCell ref="UNA50:UND50"/>
    <mergeCell ref="UNE50:UNH50"/>
    <mergeCell ref="UNI50:UNL50"/>
    <mergeCell ref="UNM50:UNP50"/>
    <mergeCell ref="UNQ50:UNT50"/>
    <mergeCell ref="ULY50:UMB50"/>
    <mergeCell ref="UMC50:UMF50"/>
    <mergeCell ref="UMG50:UMJ50"/>
    <mergeCell ref="UMK50:UMN50"/>
    <mergeCell ref="UMO50:UMR50"/>
    <mergeCell ref="UMS50:UMV50"/>
    <mergeCell ref="ULA50:ULD50"/>
    <mergeCell ref="ULE50:ULH50"/>
    <mergeCell ref="ULI50:ULL50"/>
    <mergeCell ref="ULM50:ULP50"/>
    <mergeCell ref="ULQ50:ULT50"/>
    <mergeCell ref="ULU50:ULX50"/>
    <mergeCell ref="UPQ50:UPT50"/>
    <mergeCell ref="UPU50:UPX50"/>
    <mergeCell ref="UPY50:UQB50"/>
    <mergeCell ref="UQC50:UQF50"/>
    <mergeCell ref="UQG50:UQJ50"/>
    <mergeCell ref="UQK50:UQN50"/>
    <mergeCell ref="UOS50:UOV50"/>
    <mergeCell ref="UOW50:UOZ50"/>
    <mergeCell ref="UPA50:UPD50"/>
    <mergeCell ref="UPE50:UPH50"/>
    <mergeCell ref="UPI50:UPL50"/>
    <mergeCell ref="UPM50:UPP50"/>
    <mergeCell ref="UNU50:UNX50"/>
    <mergeCell ref="UNY50:UOB50"/>
    <mergeCell ref="UOC50:UOF50"/>
    <mergeCell ref="UOG50:UOJ50"/>
    <mergeCell ref="UOK50:UON50"/>
    <mergeCell ref="UOO50:UOR50"/>
    <mergeCell ref="USK50:USN50"/>
    <mergeCell ref="USO50:USR50"/>
    <mergeCell ref="USS50:USV50"/>
    <mergeCell ref="USW50:USZ50"/>
    <mergeCell ref="UTA50:UTD50"/>
    <mergeCell ref="UTE50:UTH50"/>
    <mergeCell ref="URM50:URP50"/>
    <mergeCell ref="URQ50:URT50"/>
    <mergeCell ref="URU50:URX50"/>
    <mergeCell ref="URY50:USB50"/>
    <mergeCell ref="USC50:USF50"/>
    <mergeCell ref="USG50:USJ50"/>
    <mergeCell ref="UQO50:UQR50"/>
    <mergeCell ref="UQS50:UQV50"/>
    <mergeCell ref="UQW50:UQZ50"/>
    <mergeCell ref="URA50:URD50"/>
    <mergeCell ref="URE50:URH50"/>
    <mergeCell ref="URI50:URL50"/>
    <mergeCell ref="UVE50:UVH50"/>
    <mergeCell ref="UVI50:UVL50"/>
    <mergeCell ref="UVM50:UVP50"/>
    <mergeCell ref="UVQ50:UVT50"/>
    <mergeCell ref="UVU50:UVX50"/>
    <mergeCell ref="UVY50:UWB50"/>
    <mergeCell ref="UUG50:UUJ50"/>
    <mergeCell ref="UUK50:UUN50"/>
    <mergeCell ref="UUO50:UUR50"/>
    <mergeCell ref="UUS50:UUV50"/>
    <mergeCell ref="UUW50:UUZ50"/>
    <mergeCell ref="UVA50:UVD50"/>
    <mergeCell ref="UTI50:UTL50"/>
    <mergeCell ref="UTM50:UTP50"/>
    <mergeCell ref="UTQ50:UTT50"/>
    <mergeCell ref="UTU50:UTX50"/>
    <mergeCell ref="UTY50:UUB50"/>
    <mergeCell ref="UUC50:UUF50"/>
    <mergeCell ref="UXY50:UYB50"/>
    <mergeCell ref="UYC50:UYF50"/>
    <mergeCell ref="UYG50:UYJ50"/>
    <mergeCell ref="UYK50:UYN50"/>
    <mergeCell ref="UYO50:UYR50"/>
    <mergeCell ref="UYS50:UYV50"/>
    <mergeCell ref="UXA50:UXD50"/>
    <mergeCell ref="UXE50:UXH50"/>
    <mergeCell ref="UXI50:UXL50"/>
    <mergeCell ref="UXM50:UXP50"/>
    <mergeCell ref="UXQ50:UXT50"/>
    <mergeCell ref="UXU50:UXX50"/>
    <mergeCell ref="UWC50:UWF50"/>
    <mergeCell ref="UWG50:UWJ50"/>
    <mergeCell ref="UWK50:UWN50"/>
    <mergeCell ref="UWO50:UWR50"/>
    <mergeCell ref="UWS50:UWV50"/>
    <mergeCell ref="UWW50:UWZ50"/>
    <mergeCell ref="VAS50:VAV50"/>
    <mergeCell ref="VAW50:VAZ50"/>
    <mergeCell ref="VBA50:VBD50"/>
    <mergeCell ref="VBE50:VBH50"/>
    <mergeCell ref="VBI50:VBL50"/>
    <mergeCell ref="VBM50:VBP50"/>
    <mergeCell ref="UZU50:UZX50"/>
    <mergeCell ref="UZY50:VAB50"/>
    <mergeCell ref="VAC50:VAF50"/>
    <mergeCell ref="VAG50:VAJ50"/>
    <mergeCell ref="VAK50:VAN50"/>
    <mergeCell ref="VAO50:VAR50"/>
    <mergeCell ref="UYW50:UYZ50"/>
    <mergeCell ref="UZA50:UZD50"/>
    <mergeCell ref="UZE50:UZH50"/>
    <mergeCell ref="UZI50:UZL50"/>
    <mergeCell ref="UZM50:UZP50"/>
    <mergeCell ref="UZQ50:UZT50"/>
    <mergeCell ref="VDM50:VDP50"/>
    <mergeCell ref="VDQ50:VDT50"/>
    <mergeCell ref="VDU50:VDX50"/>
    <mergeCell ref="VDY50:VEB50"/>
    <mergeCell ref="VEC50:VEF50"/>
    <mergeCell ref="VEG50:VEJ50"/>
    <mergeCell ref="VCO50:VCR50"/>
    <mergeCell ref="VCS50:VCV50"/>
    <mergeCell ref="VCW50:VCZ50"/>
    <mergeCell ref="VDA50:VDD50"/>
    <mergeCell ref="VDE50:VDH50"/>
    <mergeCell ref="VDI50:VDL50"/>
    <mergeCell ref="VBQ50:VBT50"/>
    <mergeCell ref="VBU50:VBX50"/>
    <mergeCell ref="VBY50:VCB50"/>
    <mergeCell ref="VCC50:VCF50"/>
    <mergeCell ref="VCG50:VCJ50"/>
    <mergeCell ref="VCK50:VCN50"/>
    <mergeCell ref="VGG50:VGJ50"/>
    <mergeCell ref="VGK50:VGN50"/>
    <mergeCell ref="VGO50:VGR50"/>
    <mergeCell ref="VGS50:VGV50"/>
    <mergeCell ref="VGW50:VGZ50"/>
    <mergeCell ref="VHA50:VHD50"/>
    <mergeCell ref="VFI50:VFL50"/>
    <mergeCell ref="VFM50:VFP50"/>
    <mergeCell ref="VFQ50:VFT50"/>
    <mergeCell ref="VFU50:VFX50"/>
    <mergeCell ref="VFY50:VGB50"/>
    <mergeCell ref="VGC50:VGF50"/>
    <mergeCell ref="VEK50:VEN50"/>
    <mergeCell ref="VEO50:VER50"/>
    <mergeCell ref="VES50:VEV50"/>
    <mergeCell ref="VEW50:VEZ50"/>
    <mergeCell ref="VFA50:VFD50"/>
    <mergeCell ref="VFE50:VFH50"/>
    <mergeCell ref="VJA50:VJD50"/>
    <mergeCell ref="VJE50:VJH50"/>
    <mergeCell ref="VJI50:VJL50"/>
    <mergeCell ref="VJM50:VJP50"/>
    <mergeCell ref="VJQ50:VJT50"/>
    <mergeCell ref="VJU50:VJX50"/>
    <mergeCell ref="VIC50:VIF50"/>
    <mergeCell ref="VIG50:VIJ50"/>
    <mergeCell ref="VIK50:VIN50"/>
    <mergeCell ref="VIO50:VIR50"/>
    <mergeCell ref="VIS50:VIV50"/>
    <mergeCell ref="VIW50:VIZ50"/>
    <mergeCell ref="VHE50:VHH50"/>
    <mergeCell ref="VHI50:VHL50"/>
    <mergeCell ref="VHM50:VHP50"/>
    <mergeCell ref="VHQ50:VHT50"/>
    <mergeCell ref="VHU50:VHX50"/>
    <mergeCell ref="VHY50:VIB50"/>
    <mergeCell ref="VLU50:VLX50"/>
    <mergeCell ref="VLY50:VMB50"/>
    <mergeCell ref="VMC50:VMF50"/>
    <mergeCell ref="VMG50:VMJ50"/>
    <mergeCell ref="VMK50:VMN50"/>
    <mergeCell ref="VMO50:VMR50"/>
    <mergeCell ref="VKW50:VKZ50"/>
    <mergeCell ref="VLA50:VLD50"/>
    <mergeCell ref="VLE50:VLH50"/>
    <mergeCell ref="VLI50:VLL50"/>
    <mergeCell ref="VLM50:VLP50"/>
    <mergeCell ref="VLQ50:VLT50"/>
    <mergeCell ref="VJY50:VKB50"/>
    <mergeCell ref="VKC50:VKF50"/>
    <mergeCell ref="VKG50:VKJ50"/>
    <mergeCell ref="VKK50:VKN50"/>
    <mergeCell ref="VKO50:VKR50"/>
    <mergeCell ref="VKS50:VKV50"/>
    <mergeCell ref="VOO50:VOR50"/>
    <mergeCell ref="VOS50:VOV50"/>
    <mergeCell ref="VOW50:VOZ50"/>
    <mergeCell ref="VPA50:VPD50"/>
    <mergeCell ref="VPE50:VPH50"/>
    <mergeCell ref="VPI50:VPL50"/>
    <mergeCell ref="VNQ50:VNT50"/>
    <mergeCell ref="VNU50:VNX50"/>
    <mergeCell ref="VNY50:VOB50"/>
    <mergeCell ref="VOC50:VOF50"/>
    <mergeCell ref="VOG50:VOJ50"/>
    <mergeCell ref="VOK50:VON50"/>
    <mergeCell ref="VMS50:VMV50"/>
    <mergeCell ref="VMW50:VMZ50"/>
    <mergeCell ref="VNA50:VND50"/>
    <mergeCell ref="VNE50:VNH50"/>
    <mergeCell ref="VNI50:VNL50"/>
    <mergeCell ref="VNM50:VNP50"/>
    <mergeCell ref="VRI50:VRL50"/>
    <mergeCell ref="VRM50:VRP50"/>
    <mergeCell ref="VRQ50:VRT50"/>
    <mergeCell ref="VRU50:VRX50"/>
    <mergeCell ref="VRY50:VSB50"/>
    <mergeCell ref="VSC50:VSF50"/>
    <mergeCell ref="VQK50:VQN50"/>
    <mergeCell ref="VQO50:VQR50"/>
    <mergeCell ref="VQS50:VQV50"/>
    <mergeCell ref="VQW50:VQZ50"/>
    <mergeCell ref="VRA50:VRD50"/>
    <mergeCell ref="VRE50:VRH50"/>
    <mergeCell ref="VPM50:VPP50"/>
    <mergeCell ref="VPQ50:VPT50"/>
    <mergeCell ref="VPU50:VPX50"/>
    <mergeCell ref="VPY50:VQB50"/>
    <mergeCell ref="VQC50:VQF50"/>
    <mergeCell ref="VQG50:VQJ50"/>
    <mergeCell ref="VUC50:VUF50"/>
    <mergeCell ref="VUG50:VUJ50"/>
    <mergeCell ref="VUK50:VUN50"/>
    <mergeCell ref="VUO50:VUR50"/>
    <mergeCell ref="VUS50:VUV50"/>
    <mergeCell ref="VUW50:VUZ50"/>
    <mergeCell ref="VTE50:VTH50"/>
    <mergeCell ref="VTI50:VTL50"/>
    <mergeCell ref="VTM50:VTP50"/>
    <mergeCell ref="VTQ50:VTT50"/>
    <mergeCell ref="VTU50:VTX50"/>
    <mergeCell ref="VTY50:VUB50"/>
    <mergeCell ref="VSG50:VSJ50"/>
    <mergeCell ref="VSK50:VSN50"/>
    <mergeCell ref="VSO50:VSR50"/>
    <mergeCell ref="VSS50:VSV50"/>
    <mergeCell ref="VSW50:VSZ50"/>
    <mergeCell ref="VTA50:VTD50"/>
    <mergeCell ref="VWW50:VWZ50"/>
    <mergeCell ref="VXA50:VXD50"/>
    <mergeCell ref="VXE50:VXH50"/>
    <mergeCell ref="VXI50:VXL50"/>
    <mergeCell ref="VXM50:VXP50"/>
    <mergeCell ref="VXQ50:VXT50"/>
    <mergeCell ref="VVY50:VWB50"/>
    <mergeCell ref="VWC50:VWF50"/>
    <mergeCell ref="VWG50:VWJ50"/>
    <mergeCell ref="VWK50:VWN50"/>
    <mergeCell ref="VWO50:VWR50"/>
    <mergeCell ref="VWS50:VWV50"/>
    <mergeCell ref="VVA50:VVD50"/>
    <mergeCell ref="VVE50:VVH50"/>
    <mergeCell ref="VVI50:VVL50"/>
    <mergeCell ref="VVM50:VVP50"/>
    <mergeCell ref="VVQ50:VVT50"/>
    <mergeCell ref="VVU50:VVX50"/>
    <mergeCell ref="VZQ50:VZT50"/>
    <mergeCell ref="VZU50:VZX50"/>
    <mergeCell ref="VZY50:WAB50"/>
    <mergeCell ref="WAC50:WAF50"/>
    <mergeCell ref="WAG50:WAJ50"/>
    <mergeCell ref="WAK50:WAN50"/>
    <mergeCell ref="VYS50:VYV50"/>
    <mergeCell ref="VYW50:VYZ50"/>
    <mergeCell ref="VZA50:VZD50"/>
    <mergeCell ref="VZE50:VZH50"/>
    <mergeCell ref="VZI50:VZL50"/>
    <mergeCell ref="VZM50:VZP50"/>
    <mergeCell ref="VXU50:VXX50"/>
    <mergeCell ref="VXY50:VYB50"/>
    <mergeCell ref="VYC50:VYF50"/>
    <mergeCell ref="VYG50:VYJ50"/>
    <mergeCell ref="VYK50:VYN50"/>
    <mergeCell ref="VYO50:VYR50"/>
    <mergeCell ref="WCK50:WCN50"/>
    <mergeCell ref="WCO50:WCR50"/>
    <mergeCell ref="WCS50:WCV50"/>
    <mergeCell ref="WCW50:WCZ50"/>
    <mergeCell ref="WDA50:WDD50"/>
    <mergeCell ref="WDE50:WDH50"/>
    <mergeCell ref="WBM50:WBP50"/>
    <mergeCell ref="WBQ50:WBT50"/>
    <mergeCell ref="WBU50:WBX50"/>
    <mergeCell ref="WBY50:WCB50"/>
    <mergeCell ref="WCC50:WCF50"/>
    <mergeCell ref="WCG50:WCJ50"/>
    <mergeCell ref="WAO50:WAR50"/>
    <mergeCell ref="WAS50:WAV50"/>
    <mergeCell ref="WAW50:WAZ50"/>
    <mergeCell ref="WBA50:WBD50"/>
    <mergeCell ref="WBE50:WBH50"/>
    <mergeCell ref="WBI50:WBL50"/>
    <mergeCell ref="WFE50:WFH50"/>
    <mergeCell ref="WFI50:WFL50"/>
    <mergeCell ref="WFM50:WFP50"/>
    <mergeCell ref="WFQ50:WFT50"/>
    <mergeCell ref="WFU50:WFX50"/>
    <mergeCell ref="WFY50:WGB50"/>
    <mergeCell ref="WEG50:WEJ50"/>
    <mergeCell ref="WEK50:WEN50"/>
    <mergeCell ref="WEO50:WER50"/>
    <mergeCell ref="WES50:WEV50"/>
    <mergeCell ref="WEW50:WEZ50"/>
    <mergeCell ref="WFA50:WFD50"/>
    <mergeCell ref="WDI50:WDL50"/>
    <mergeCell ref="WDM50:WDP50"/>
    <mergeCell ref="WDQ50:WDT50"/>
    <mergeCell ref="WDU50:WDX50"/>
    <mergeCell ref="WDY50:WEB50"/>
    <mergeCell ref="WEC50:WEF50"/>
    <mergeCell ref="WHY50:WIB50"/>
    <mergeCell ref="WIC50:WIF50"/>
    <mergeCell ref="WIG50:WIJ50"/>
    <mergeCell ref="WIK50:WIN50"/>
    <mergeCell ref="WIO50:WIR50"/>
    <mergeCell ref="WIS50:WIV50"/>
    <mergeCell ref="WHA50:WHD50"/>
    <mergeCell ref="WHE50:WHH50"/>
    <mergeCell ref="WHI50:WHL50"/>
    <mergeCell ref="WHM50:WHP50"/>
    <mergeCell ref="WHQ50:WHT50"/>
    <mergeCell ref="WHU50:WHX50"/>
    <mergeCell ref="WGC50:WGF50"/>
    <mergeCell ref="WGG50:WGJ50"/>
    <mergeCell ref="WGK50:WGN50"/>
    <mergeCell ref="WGO50:WGR50"/>
    <mergeCell ref="WGS50:WGV50"/>
    <mergeCell ref="WGW50:WGZ50"/>
    <mergeCell ref="WKS50:WKV50"/>
    <mergeCell ref="WKW50:WKZ50"/>
    <mergeCell ref="WLA50:WLD50"/>
    <mergeCell ref="WLE50:WLH50"/>
    <mergeCell ref="WLI50:WLL50"/>
    <mergeCell ref="WLM50:WLP50"/>
    <mergeCell ref="WJU50:WJX50"/>
    <mergeCell ref="WJY50:WKB50"/>
    <mergeCell ref="WKC50:WKF50"/>
    <mergeCell ref="WKG50:WKJ50"/>
    <mergeCell ref="WKK50:WKN50"/>
    <mergeCell ref="WKO50:WKR50"/>
    <mergeCell ref="WIW50:WIZ50"/>
    <mergeCell ref="WJA50:WJD50"/>
    <mergeCell ref="WJE50:WJH50"/>
    <mergeCell ref="WJI50:WJL50"/>
    <mergeCell ref="WJM50:WJP50"/>
    <mergeCell ref="WJQ50:WJT50"/>
    <mergeCell ref="WNM50:WNP50"/>
    <mergeCell ref="WNQ50:WNT50"/>
    <mergeCell ref="WNU50:WNX50"/>
    <mergeCell ref="WNY50:WOB50"/>
    <mergeCell ref="WOC50:WOF50"/>
    <mergeCell ref="WOG50:WOJ50"/>
    <mergeCell ref="WMO50:WMR50"/>
    <mergeCell ref="WMS50:WMV50"/>
    <mergeCell ref="WMW50:WMZ50"/>
    <mergeCell ref="WNA50:WND50"/>
    <mergeCell ref="WNE50:WNH50"/>
    <mergeCell ref="WNI50:WNL50"/>
    <mergeCell ref="WLQ50:WLT50"/>
    <mergeCell ref="WLU50:WLX50"/>
    <mergeCell ref="WLY50:WMB50"/>
    <mergeCell ref="WMC50:WMF50"/>
    <mergeCell ref="WMG50:WMJ50"/>
    <mergeCell ref="WMK50:WMN50"/>
    <mergeCell ref="WQG50:WQJ50"/>
    <mergeCell ref="WQK50:WQN50"/>
    <mergeCell ref="WQO50:WQR50"/>
    <mergeCell ref="WQS50:WQV50"/>
    <mergeCell ref="WQW50:WQZ50"/>
    <mergeCell ref="WRA50:WRD50"/>
    <mergeCell ref="WPI50:WPL50"/>
    <mergeCell ref="WPM50:WPP50"/>
    <mergeCell ref="WPQ50:WPT50"/>
    <mergeCell ref="WPU50:WPX50"/>
    <mergeCell ref="WPY50:WQB50"/>
    <mergeCell ref="WQC50:WQF50"/>
    <mergeCell ref="WOK50:WON50"/>
    <mergeCell ref="WOO50:WOR50"/>
    <mergeCell ref="WOS50:WOV50"/>
    <mergeCell ref="WOW50:WOZ50"/>
    <mergeCell ref="WPA50:WPD50"/>
    <mergeCell ref="WPE50:WPH50"/>
    <mergeCell ref="WTA50:WTD50"/>
    <mergeCell ref="WTE50:WTH50"/>
    <mergeCell ref="WTI50:WTL50"/>
    <mergeCell ref="WTM50:WTP50"/>
    <mergeCell ref="WTQ50:WTT50"/>
    <mergeCell ref="WTU50:WTX50"/>
    <mergeCell ref="WSC50:WSF50"/>
    <mergeCell ref="WSG50:WSJ50"/>
    <mergeCell ref="WSK50:WSN50"/>
    <mergeCell ref="WSO50:WSR50"/>
    <mergeCell ref="WSS50:WSV50"/>
    <mergeCell ref="WSW50:WSZ50"/>
    <mergeCell ref="WRE50:WRH50"/>
    <mergeCell ref="WRI50:WRL50"/>
    <mergeCell ref="WRM50:WRP50"/>
    <mergeCell ref="WRQ50:WRT50"/>
    <mergeCell ref="WRU50:WRX50"/>
    <mergeCell ref="WRY50:WSB50"/>
    <mergeCell ref="WVU50:WVX50"/>
    <mergeCell ref="WVY50:WWB50"/>
    <mergeCell ref="WWC50:WWF50"/>
    <mergeCell ref="WWG50:WWJ50"/>
    <mergeCell ref="WWK50:WWN50"/>
    <mergeCell ref="WWO50:WWR50"/>
    <mergeCell ref="WUW50:WUZ50"/>
    <mergeCell ref="WVA50:WVD50"/>
    <mergeCell ref="WVE50:WVH50"/>
    <mergeCell ref="WVI50:WVL50"/>
    <mergeCell ref="WVM50:WVP50"/>
    <mergeCell ref="WVQ50:WVT50"/>
    <mergeCell ref="WTY50:WUB50"/>
    <mergeCell ref="WUC50:WUF50"/>
    <mergeCell ref="WUG50:WUJ50"/>
    <mergeCell ref="WUK50:WUN50"/>
    <mergeCell ref="WUO50:WUR50"/>
    <mergeCell ref="WUS50:WUV50"/>
    <mergeCell ref="WYO50:WYR50"/>
    <mergeCell ref="WYS50:WYV50"/>
    <mergeCell ref="WYW50:WYZ50"/>
    <mergeCell ref="WZA50:WZD50"/>
    <mergeCell ref="WZE50:WZH50"/>
    <mergeCell ref="WZI50:WZL50"/>
    <mergeCell ref="WXQ50:WXT50"/>
    <mergeCell ref="WXU50:WXX50"/>
    <mergeCell ref="WXY50:WYB50"/>
    <mergeCell ref="WYC50:WYF50"/>
    <mergeCell ref="WYG50:WYJ50"/>
    <mergeCell ref="WYK50:WYN50"/>
    <mergeCell ref="WWS50:WWV50"/>
    <mergeCell ref="WWW50:WWZ50"/>
    <mergeCell ref="WXA50:WXD50"/>
    <mergeCell ref="WXE50:WXH50"/>
    <mergeCell ref="WXI50:WXL50"/>
    <mergeCell ref="WXM50:WXP50"/>
    <mergeCell ref="XBI50:XBL50"/>
    <mergeCell ref="XBM50:XBP50"/>
    <mergeCell ref="XBQ50:XBT50"/>
    <mergeCell ref="XBU50:XBX50"/>
    <mergeCell ref="XBY50:XCB50"/>
    <mergeCell ref="XCC50:XCF50"/>
    <mergeCell ref="XAK50:XAN50"/>
    <mergeCell ref="XAO50:XAR50"/>
    <mergeCell ref="XAS50:XAV50"/>
    <mergeCell ref="XAW50:XAZ50"/>
    <mergeCell ref="XBA50:XBD50"/>
    <mergeCell ref="XBE50:XBH50"/>
    <mergeCell ref="WZM50:WZP50"/>
    <mergeCell ref="WZQ50:WZT50"/>
    <mergeCell ref="WZU50:WZX50"/>
    <mergeCell ref="WZY50:XAB50"/>
    <mergeCell ref="XAC50:XAF50"/>
    <mergeCell ref="XAG50:XAJ50"/>
    <mergeCell ref="XFA50:XFD50"/>
    <mergeCell ref="XEC50:XEF50"/>
    <mergeCell ref="XEG50:XEJ50"/>
    <mergeCell ref="XEK50:XEN50"/>
    <mergeCell ref="XEO50:XER50"/>
    <mergeCell ref="XES50:XEV50"/>
    <mergeCell ref="XEW50:XEZ50"/>
    <mergeCell ref="XDE50:XDH50"/>
    <mergeCell ref="XDI50:XDL50"/>
    <mergeCell ref="XDM50:XDP50"/>
    <mergeCell ref="XDQ50:XDT50"/>
    <mergeCell ref="XDU50:XDX50"/>
    <mergeCell ref="XDY50:XEB50"/>
    <mergeCell ref="XCG50:XCJ50"/>
    <mergeCell ref="XCK50:XCN50"/>
    <mergeCell ref="XCO50:XCR50"/>
    <mergeCell ref="XCS50:XCV50"/>
    <mergeCell ref="XCW50:XCZ50"/>
    <mergeCell ref="XDA50:XDD5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22"/>
  <sheetViews>
    <sheetView workbookViewId="0"/>
  </sheetViews>
  <sheetFormatPr defaultColWidth="8.7109375" defaultRowHeight="14.45"/>
  <cols>
    <col min="1" max="1" width="8.7109375" style="70"/>
    <col min="2" max="2" width="29" style="70" customWidth="1"/>
    <col min="3" max="3" width="22.5703125" style="70" customWidth="1"/>
    <col min="4" max="4" width="14.7109375" style="70" customWidth="1"/>
    <col min="5" max="5" width="14" style="70" customWidth="1"/>
    <col min="6" max="6" width="18.85546875" style="70" customWidth="1"/>
    <col min="7" max="7" width="32.140625" style="70" customWidth="1"/>
    <col min="8" max="8" width="25.7109375" style="70" customWidth="1"/>
    <col min="9" max="9" width="23" style="70" customWidth="1"/>
    <col min="10" max="10" width="35.7109375" style="70" customWidth="1"/>
    <col min="11" max="11" width="18.140625" style="70" customWidth="1"/>
    <col min="12" max="12" width="10.85546875" style="70" customWidth="1"/>
    <col min="13" max="16384" width="8.7109375" style="70"/>
  </cols>
  <sheetData>
    <row r="1" spans="1:13" s="72" customFormat="1" ht="33" customHeight="1">
      <c r="B1" s="73" t="s">
        <v>1276</v>
      </c>
      <c r="C1" s="74" t="s">
        <v>1277</v>
      </c>
      <c r="D1" s="74" t="s">
        <v>1278</v>
      </c>
      <c r="E1" s="74" t="s">
        <v>1279</v>
      </c>
      <c r="F1" s="74" t="s">
        <v>1280</v>
      </c>
      <c r="G1" s="74" t="s">
        <v>1281</v>
      </c>
      <c r="H1" s="74" t="s">
        <v>1282</v>
      </c>
      <c r="I1" s="75" t="s">
        <v>1283</v>
      </c>
      <c r="J1" s="75" t="s">
        <v>1284</v>
      </c>
      <c r="K1" s="76" t="s">
        <v>1285</v>
      </c>
      <c r="L1" s="76" t="s">
        <v>1286</v>
      </c>
      <c r="M1" s="72" t="s">
        <v>1287</v>
      </c>
    </row>
    <row r="2" spans="1:13">
      <c r="A2" s="70" t="s">
        <v>74</v>
      </c>
      <c r="B2" s="70" t="s">
        <v>68</v>
      </c>
      <c r="C2" s="70" t="s">
        <v>78</v>
      </c>
      <c r="D2" s="70" t="s">
        <v>123</v>
      </c>
      <c r="E2" s="70" t="s">
        <v>123</v>
      </c>
      <c r="F2" s="70" t="s">
        <v>1288</v>
      </c>
      <c r="G2" s="70" t="s">
        <v>1289</v>
      </c>
      <c r="H2" s="70" t="s">
        <v>1290</v>
      </c>
      <c r="I2" s="70" t="s">
        <v>1291</v>
      </c>
      <c r="J2" s="70" t="s">
        <v>1292</v>
      </c>
      <c r="K2" s="70" t="s">
        <v>1293</v>
      </c>
      <c r="L2" s="70">
        <v>2010</v>
      </c>
      <c r="M2" s="70" t="s">
        <v>91</v>
      </c>
    </row>
    <row r="3" spans="1:13">
      <c r="A3" s="70" t="s">
        <v>12</v>
      </c>
      <c r="B3" s="70" t="s">
        <v>181</v>
      </c>
      <c r="C3" s="70" t="s">
        <v>102</v>
      </c>
      <c r="D3" s="70" t="s">
        <v>96</v>
      </c>
      <c r="E3" s="70" t="s">
        <v>96</v>
      </c>
      <c r="F3" s="70" t="s">
        <v>1294</v>
      </c>
      <c r="G3" s="70" t="s">
        <v>1295</v>
      </c>
      <c r="H3" s="70" t="s">
        <v>1296</v>
      </c>
      <c r="I3" s="70" t="s">
        <v>1297</v>
      </c>
      <c r="J3" s="70" t="s">
        <v>1298</v>
      </c>
      <c r="K3" s="70" t="s">
        <v>1299</v>
      </c>
      <c r="L3" s="70">
        <v>2011</v>
      </c>
      <c r="M3" s="70" t="s">
        <v>1300</v>
      </c>
    </row>
    <row r="4" spans="1:13">
      <c r="A4" s="70" t="s">
        <v>1301</v>
      </c>
      <c r="B4" s="70" t="s">
        <v>240</v>
      </c>
      <c r="C4" s="70" t="s">
        <v>139</v>
      </c>
      <c r="D4" s="70" t="s">
        <v>112</v>
      </c>
      <c r="E4" s="70" t="s">
        <v>112</v>
      </c>
      <c r="F4" s="70" t="s">
        <v>1302</v>
      </c>
      <c r="G4" s="70" t="s">
        <v>1303</v>
      </c>
      <c r="H4" s="70" t="s">
        <v>1304</v>
      </c>
      <c r="I4" s="70" t="s">
        <v>1305</v>
      </c>
      <c r="J4" s="70" t="s">
        <v>1306</v>
      </c>
      <c r="K4" s="70" t="s">
        <v>1307</v>
      </c>
      <c r="L4" s="70">
        <v>2012</v>
      </c>
      <c r="M4" s="70" t="s">
        <v>79</v>
      </c>
    </row>
    <row r="5" spans="1:13">
      <c r="A5" s="70" t="s">
        <v>14</v>
      </c>
      <c r="B5" s="70" t="s">
        <v>290</v>
      </c>
      <c r="C5" s="70" t="s">
        <v>291</v>
      </c>
      <c r="D5" s="70" t="s">
        <v>77</v>
      </c>
      <c r="E5" s="70" t="s">
        <v>77</v>
      </c>
      <c r="F5" s="70" t="s">
        <v>139</v>
      </c>
      <c r="G5" s="70" t="s">
        <v>1308</v>
      </c>
      <c r="H5" s="70" t="s">
        <v>1309</v>
      </c>
      <c r="I5" s="70" t="s">
        <v>1310</v>
      </c>
      <c r="J5" s="70" t="s">
        <v>1311</v>
      </c>
      <c r="K5" s="70" t="s">
        <v>1312</v>
      </c>
      <c r="L5" s="70">
        <v>2013</v>
      </c>
      <c r="M5" s="70" t="s">
        <v>291</v>
      </c>
    </row>
    <row r="6" spans="1:13">
      <c r="B6" s="70" t="s">
        <v>1313</v>
      </c>
      <c r="D6" s="450" t="s">
        <v>182</v>
      </c>
      <c r="G6" s="70" t="s">
        <v>1314</v>
      </c>
      <c r="H6" s="70" t="s">
        <v>1315</v>
      </c>
      <c r="I6" s="70" t="s">
        <v>139</v>
      </c>
      <c r="J6" s="70" t="s">
        <v>1316</v>
      </c>
      <c r="K6" s="70" t="s">
        <v>1317</v>
      </c>
      <c r="L6" s="70">
        <v>2014</v>
      </c>
    </row>
    <row r="7" spans="1:13" ht="15.6">
      <c r="D7" s="450" t="s">
        <v>132</v>
      </c>
      <c r="G7" s="70" t="s">
        <v>1318</v>
      </c>
      <c r="H7" s="77" t="s">
        <v>1319</v>
      </c>
      <c r="I7" s="70" t="s">
        <v>102</v>
      </c>
      <c r="J7" s="70" t="s">
        <v>1320</v>
      </c>
      <c r="K7" s="70" t="s">
        <v>866</v>
      </c>
      <c r="L7" s="70">
        <v>2015</v>
      </c>
    </row>
    <row r="8" spans="1:13">
      <c r="G8" s="70" t="s">
        <v>1321</v>
      </c>
      <c r="I8" s="70" t="s">
        <v>291</v>
      </c>
      <c r="J8" s="70" t="s">
        <v>1322</v>
      </c>
      <c r="L8" s="70">
        <v>2016</v>
      </c>
    </row>
    <row r="9" spans="1:13">
      <c r="J9" s="70" t="s">
        <v>1323</v>
      </c>
      <c r="L9" s="70">
        <v>2018</v>
      </c>
    </row>
    <row r="10" spans="1:13">
      <c r="J10" s="70" t="s">
        <v>1324</v>
      </c>
      <c r="L10" s="70">
        <v>2018</v>
      </c>
    </row>
    <row r="11" spans="1:13">
      <c r="J11" s="70" t="s">
        <v>1325</v>
      </c>
      <c r="L11" s="70">
        <v>2019</v>
      </c>
    </row>
    <row r="12" spans="1:13">
      <c r="A12" s="78"/>
      <c r="B12" s="78"/>
      <c r="C12" s="78"/>
      <c r="D12" s="78"/>
      <c r="E12" s="78"/>
      <c r="F12" s="78"/>
      <c r="J12" s="70" t="s">
        <v>1326</v>
      </c>
      <c r="L12" s="70">
        <v>2020</v>
      </c>
    </row>
    <row r="13" spans="1:13">
      <c r="A13" s="79"/>
      <c r="B13" s="79"/>
      <c r="C13" s="80"/>
      <c r="D13" s="80"/>
      <c r="E13" s="80"/>
      <c r="F13" s="80"/>
    </row>
    <row r="14" spans="1:13">
      <c r="A14" s="79"/>
      <c r="B14" s="79"/>
      <c r="C14" s="80"/>
      <c r="D14" s="80"/>
      <c r="E14" s="80"/>
      <c r="F14" s="80"/>
    </row>
    <row r="15" spans="1:13">
      <c r="A15" s="79"/>
      <c r="B15" s="79"/>
      <c r="C15" s="80"/>
      <c r="D15" s="80"/>
      <c r="E15" s="80"/>
      <c r="F15" s="80"/>
      <c r="H15" s="80"/>
    </row>
    <row r="16" spans="1:13">
      <c r="A16" s="79"/>
      <c r="B16" s="79"/>
      <c r="C16" s="80"/>
      <c r="D16" s="80"/>
      <c r="E16" s="80"/>
      <c r="F16" s="80"/>
      <c r="H16" s="80"/>
    </row>
    <row r="22" spans="8:8">
      <c r="H22" s="80"/>
    </row>
  </sheetData>
  <dataConsolidate>
    <dataRefs count="3">
      <dataRef ref="B19:B22" sheet="Sheet1" r:id="rId1"/>
      <dataRef ref="F23:F27" sheet="Sheet1" r:id="rId2"/>
      <dataRef ref="G28" sheet="Sheet1" r:id="rId3"/>
    </dataRefs>
  </dataConsolidate>
  <pageMargins left="0" right="0" top="0" bottom="0" header="0" footer="0"/>
  <pageSetup paperSize="8" scale="75"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3"/>
  <sheetViews>
    <sheetView zoomScaleNormal="100" workbookViewId="0">
      <selection activeCell="A2" sqref="A2"/>
    </sheetView>
  </sheetViews>
  <sheetFormatPr defaultColWidth="9.140625" defaultRowHeight="14.45"/>
  <cols>
    <col min="1" max="1" width="38.42578125" style="161" customWidth="1"/>
    <col min="2" max="2" width="15.42578125" style="161" bestFit="1" customWidth="1"/>
    <col min="3" max="3" width="16.85546875" style="161" bestFit="1" customWidth="1"/>
    <col min="4" max="4" width="9.85546875" style="161" bestFit="1" customWidth="1"/>
    <col min="5" max="5" width="11.5703125" style="161" bestFit="1" customWidth="1"/>
    <col min="6" max="6" width="12.28515625" style="161" bestFit="1" customWidth="1"/>
    <col min="7" max="7" width="11.28515625" style="161" customWidth="1"/>
    <col min="8" max="16384" width="9.140625" style="161"/>
  </cols>
  <sheetData>
    <row r="1" spans="1:7" ht="16.149999999999999" thickBot="1">
      <c r="A1" s="160"/>
      <c r="B1" s="160"/>
      <c r="C1" s="160"/>
      <c r="D1" s="160"/>
      <c r="E1" s="160"/>
      <c r="F1" s="160"/>
      <c r="G1" s="160"/>
    </row>
    <row r="2" spans="1:7" ht="15.6">
      <c r="A2" s="231" t="s">
        <v>32</v>
      </c>
      <c r="B2" s="232"/>
      <c r="C2" s="232"/>
      <c r="D2" s="232"/>
      <c r="E2" s="232"/>
      <c r="F2" s="232"/>
      <c r="G2" s="233"/>
    </row>
    <row r="3" spans="1:7" ht="15.6">
      <c r="A3" s="162" t="s">
        <v>33</v>
      </c>
      <c r="B3" s="1"/>
      <c r="C3" s="1"/>
      <c r="D3" s="1"/>
      <c r="E3" s="1"/>
      <c r="F3" s="1"/>
      <c r="G3" s="27"/>
    </row>
    <row r="4" spans="1:7" ht="63" thickBot="1">
      <c r="A4" s="325" t="s">
        <v>6</v>
      </c>
      <c r="B4" s="316" t="s">
        <v>34</v>
      </c>
      <c r="C4" s="316" t="s">
        <v>35</v>
      </c>
      <c r="D4" s="316" t="s">
        <v>36</v>
      </c>
      <c r="E4" s="316" t="s">
        <v>37</v>
      </c>
      <c r="F4" s="316" t="s">
        <v>38</v>
      </c>
      <c r="G4" s="327" t="s">
        <v>39</v>
      </c>
    </row>
    <row r="5" spans="1:7" ht="16.899999999999999" thickBot="1">
      <c r="A5" s="28" t="s">
        <v>40</v>
      </c>
      <c r="B5" s="234" t="s">
        <v>41</v>
      </c>
      <c r="C5" s="234" t="s">
        <v>41</v>
      </c>
      <c r="D5" s="234" t="s">
        <v>41</v>
      </c>
      <c r="E5" s="234" t="s">
        <v>41</v>
      </c>
      <c r="F5" s="234" t="s">
        <v>41</v>
      </c>
      <c r="G5" s="235" t="s">
        <v>41</v>
      </c>
    </row>
    <row r="6" spans="1:7" ht="16.149999999999999" thickTop="1">
      <c r="A6" s="29" t="s">
        <v>11</v>
      </c>
      <c r="B6" s="30">
        <v>303409.05864017841</v>
      </c>
      <c r="C6" s="30">
        <v>3258050.0951166996</v>
      </c>
      <c r="D6" s="30">
        <v>189.15968075134032</v>
      </c>
      <c r="E6" s="30">
        <v>2044.6601861429433</v>
      </c>
      <c r="F6" s="30">
        <v>40.23388655700316</v>
      </c>
      <c r="G6" s="31">
        <v>463.39974587456942</v>
      </c>
    </row>
    <row r="7" spans="1:7" ht="16.149999999999999" thickBot="1">
      <c r="A7" s="32" t="s">
        <v>42</v>
      </c>
      <c r="B7" s="149">
        <f t="shared" ref="B7:G7" si="0">B6</f>
        <v>303409.05864017841</v>
      </c>
      <c r="C7" s="149">
        <f t="shared" si="0"/>
        <v>3258050.0951166996</v>
      </c>
      <c r="D7" s="149">
        <f t="shared" si="0"/>
        <v>189.15968075134032</v>
      </c>
      <c r="E7" s="149">
        <f t="shared" si="0"/>
        <v>2044.6601861429433</v>
      </c>
      <c r="F7" s="149">
        <f t="shared" si="0"/>
        <v>40.23388655700316</v>
      </c>
      <c r="G7" s="150">
        <f t="shared" si="0"/>
        <v>463.39974587456942</v>
      </c>
    </row>
    <row r="8" spans="1:7">
      <c r="A8" s="163" t="s">
        <v>43</v>
      </c>
    </row>
    <row r="9" spans="1:7">
      <c r="A9" s="163" t="s">
        <v>44</v>
      </c>
    </row>
    <row r="10" spans="1:7">
      <c r="A10" s="163" t="s">
        <v>45</v>
      </c>
    </row>
    <row r="11" spans="1:7">
      <c r="A11" s="163" t="s">
        <v>46</v>
      </c>
    </row>
    <row r="12" spans="1:7">
      <c r="A12" s="163" t="s">
        <v>47</v>
      </c>
    </row>
    <row r="13" spans="1:7">
      <c r="A13" s="298" t="s">
        <v>48</v>
      </c>
    </row>
  </sheetData>
  <pageMargins left="0.7" right="0.7" top="0.75" bottom="0.75" header="0.3" footer="0.3"/>
  <pageSetup fitToHeight="0" orientation="landscape" r:id="rId1"/>
  <headerFooter>
    <oddHeader>&amp;CPacific Gas and Electric Company EE Programs 2019 Annual Report - May 2020</oddHeader>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E3229-D868-430E-9493-D914534EB69F}">
  <dimension ref="A1:X134"/>
  <sheetViews>
    <sheetView showGridLines="0" showZeros="0" zoomScale="85" zoomScaleNormal="85" zoomScaleSheetLayoutView="100" workbookViewId="0">
      <pane xSplit="3" ySplit="5" topLeftCell="D86" activePane="bottomRight" state="frozen"/>
      <selection pane="bottomRight" activeCell="F1" sqref="F1:F1048576"/>
      <selection pane="bottomLeft" activeCell="A6" sqref="A6"/>
      <selection pane="topRight" activeCell="D1" sqref="D1"/>
    </sheetView>
  </sheetViews>
  <sheetFormatPr defaultColWidth="8.85546875" defaultRowHeight="15.6" outlineLevelCol="1"/>
  <cols>
    <col min="1" max="1" width="6.85546875" style="190" customWidth="1"/>
    <col min="2" max="2" width="19" style="190" bestFit="1" customWidth="1"/>
    <col min="3" max="3" width="58" style="189" customWidth="1"/>
    <col min="4" max="5" width="19.7109375" style="188" customWidth="1"/>
    <col min="6" max="6" width="16.140625" style="188" customWidth="1"/>
    <col min="7" max="7" width="31.7109375" style="188" bestFit="1" customWidth="1"/>
    <col min="8" max="8" width="20.7109375" style="188" customWidth="1"/>
    <col min="9" max="9" width="20.140625" style="188" customWidth="1"/>
    <col min="10" max="10" width="15.5703125" style="1" customWidth="1" outlineLevel="1"/>
    <col min="11" max="11" width="17" style="1" customWidth="1" outlineLevel="1"/>
    <col min="12" max="13" width="15.5703125" style="1" customWidth="1" outlineLevel="1"/>
    <col min="14" max="17" width="16.28515625" style="1" customWidth="1" outlineLevel="1"/>
    <col min="18" max="18" width="15.5703125" style="1" customWidth="1" outlineLevel="1"/>
    <col min="19" max="19" width="17.42578125" style="1" customWidth="1" outlineLevel="1"/>
    <col min="20" max="20" width="18.28515625" style="1" customWidth="1" outlineLevel="1"/>
    <col min="21" max="23" width="15.5703125" style="1" customWidth="1" outlineLevel="1"/>
    <col min="24" max="24" width="8.85546875" style="50"/>
    <col min="25" max="16384" width="8.85546875" style="1"/>
  </cols>
  <sheetData>
    <row r="1" spans="1:24" s="219" customFormat="1" ht="18" thickBot="1">
      <c r="A1" s="226"/>
      <c r="B1" s="225"/>
      <c r="C1" s="224"/>
      <c r="D1" s="223"/>
      <c r="E1" s="223"/>
      <c r="F1" s="223"/>
      <c r="G1" s="223"/>
      <c r="H1" s="222"/>
      <c r="I1" s="222"/>
      <c r="J1" s="221"/>
      <c r="K1" s="221"/>
      <c r="L1" s="221"/>
      <c r="M1" s="221"/>
      <c r="N1" s="221"/>
      <c r="O1" s="221"/>
      <c r="P1" s="221"/>
      <c r="Q1" s="221"/>
      <c r="R1" s="221"/>
      <c r="S1" s="221"/>
      <c r="T1" s="221"/>
      <c r="U1" s="221"/>
      <c r="V1" s="221"/>
      <c r="W1" s="221"/>
      <c r="X1" s="220"/>
    </row>
    <row r="2" spans="1:24" ht="43.5" customHeight="1" thickBot="1">
      <c r="A2" s="378" t="s">
        <v>49</v>
      </c>
      <c r="B2" s="379"/>
      <c r="C2" s="379"/>
      <c r="D2" s="379"/>
      <c r="E2" s="379"/>
      <c r="F2" s="379"/>
      <c r="G2" s="218"/>
      <c r="H2" s="380" t="s">
        <v>50</v>
      </c>
      <c r="I2" s="381"/>
      <c r="J2" s="382" t="s">
        <v>51</v>
      </c>
      <c r="K2" s="383"/>
      <c r="L2" s="383"/>
      <c r="M2" s="383"/>
      <c r="N2" s="383"/>
      <c r="O2" s="383"/>
      <c r="P2" s="383"/>
      <c r="Q2" s="383"/>
      <c r="R2" s="383"/>
      <c r="S2" s="383"/>
      <c r="T2" s="383"/>
      <c r="U2" s="383"/>
      <c r="V2" s="383"/>
      <c r="W2" s="384"/>
    </row>
    <row r="3" spans="1:24" s="52" customFormat="1" ht="33" customHeight="1">
      <c r="A3" s="385" t="s">
        <v>52</v>
      </c>
      <c r="B3" s="388" t="s">
        <v>53</v>
      </c>
      <c r="C3" s="388" t="s">
        <v>54</v>
      </c>
      <c r="D3" s="391" t="s">
        <v>55</v>
      </c>
      <c r="E3" s="391" t="s">
        <v>56</v>
      </c>
      <c r="F3" s="391" t="s">
        <v>57</v>
      </c>
      <c r="G3" s="391" t="s">
        <v>58</v>
      </c>
      <c r="H3" s="371" t="s">
        <v>59</v>
      </c>
      <c r="I3" s="371" t="s">
        <v>60</v>
      </c>
      <c r="J3" s="373" t="s">
        <v>61</v>
      </c>
      <c r="K3" s="374"/>
      <c r="L3" s="374"/>
      <c r="M3" s="375"/>
      <c r="N3" s="369" t="s">
        <v>62</v>
      </c>
      <c r="O3" s="394"/>
      <c r="P3" s="394"/>
      <c r="Q3" s="370"/>
      <c r="R3" s="395" t="s">
        <v>63</v>
      </c>
      <c r="S3" s="396"/>
      <c r="T3" s="376" t="s">
        <v>64</v>
      </c>
      <c r="U3" s="361" t="s">
        <v>65</v>
      </c>
      <c r="V3" s="362"/>
      <c r="W3" s="365" t="s">
        <v>66</v>
      </c>
      <c r="X3" s="51"/>
    </row>
    <row r="4" spans="1:24" s="52" customFormat="1" ht="33" customHeight="1">
      <c r="A4" s="386"/>
      <c r="B4" s="389"/>
      <c r="C4" s="389"/>
      <c r="D4" s="392"/>
      <c r="E4" s="392"/>
      <c r="F4" s="392"/>
      <c r="G4" s="392"/>
      <c r="H4" s="371"/>
      <c r="I4" s="371"/>
      <c r="J4" s="368" t="s">
        <v>67</v>
      </c>
      <c r="K4" s="368"/>
      <c r="L4" s="368" t="s">
        <v>68</v>
      </c>
      <c r="M4" s="368"/>
      <c r="N4" s="369" t="s">
        <v>69</v>
      </c>
      <c r="O4" s="370"/>
      <c r="P4" s="369" t="s">
        <v>70</v>
      </c>
      <c r="Q4" s="370"/>
      <c r="R4" s="397"/>
      <c r="S4" s="398"/>
      <c r="T4" s="376"/>
      <c r="U4" s="363"/>
      <c r="V4" s="364"/>
      <c r="W4" s="366"/>
      <c r="X4" s="51"/>
    </row>
    <row r="5" spans="1:24" s="52" customFormat="1" ht="36.6" thickBot="1">
      <c r="A5" s="387"/>
      <c r="B5" s="390"/>
      <c r="C5" s="390"/>
      <c r="D5" s="393"/>
      <c r="E5" s="393"/>
      <c r="F5" s="393"/>
      <c r="G5" s="393"/>
      <c r="H5" s="372"/>
      <c r="I5" s="372"/>
      <c r="J5" s="53" t="s">
        <v>71</v>
      </c>
      <c r="K5" s="53" t="s">
        <v>72</v>
      </c>
      <c r="L5" s="53" t="s">
        <v>71</v>
      </c>
      <c r="M5" s="53" t="s">
        <v>72</v>
      </c>
      <c r="N5" s="81" t="s">
        <v>71</v>
      </c>
      <c r="O5" s="81" t="s">
        <v>72</v>
      </c>
      <c r="P5" s="81" t="s">
        <v>71</v>
      </c>
      <c r="Q5" s="81" t="s">
        <v>72</v>
      </c>
      <c r="R5" s="54" t="s">
        <v>71</v>
      </c>
      <c r="S5" s="54" t="s">
        <v>72</v>
      </c>
      <c r="T5" s="377"/>
      <c r="U5" s="55" t="s">
        <v>71</v>
      </c>
      <c r="V5" s="55" t="s">
        <v>72</v>
      </c>
      <c r="W5" s="367"/>
      <c r="X5" s="51"/>
    </row>
    <row r="6" spans="1:24">
      <c r="A6" s="56"/>
      <c r="B6" s="56"/>
      <c r="C6" s="216" t="s">
        <v>73</v>
      </c>
      <c r="D6" s="56"/>
      <c r="E6" s="56"/>
      <c r="F6" s="56"/>
      <c r="G6" s="56"/>
      <c r="H6" s="57"/>
      <c r="I6" s="57"/>
      <c r="J6" s="57"/>
      <c r="K6" s="57"/>
      <c r="L6" s="57"/>
      <c r="M6" s="57"/>
      <c r="N6" s="57"/>
      <c r="O6" s="57"/>
      <c r="P6" s="57"/>
      <c r="Q6" s="57"/>
      <c r="R6" s="57"/>
      <c r="S6" s="57"/>
      <c r="T6" s="58"/>
      <c r="U6" s="58"/>
      <c r="V6" s="58"/>
      <c r="W6" s="58"/>
    </row>
    <row r="7" spans="1:24">
      <c r="A7" s="56" t="s">
        <v>74</v>
      </c>
      <c r="B7" s="56" t="s">
        <v>75</v>
      </c>
      <c r="C7" s="82" t="s">
        <v>76</v>
      </c>
      <c r="D7" s="56" t="s">
        <v>68</v>
      </c>
      <c r="E7" s="56" t="s">
        <v>77</v>
      </c>
      <c r="F7" s="56" t="s">
        <v>78</v>
      </c>
      <c r="G7" s="56" t="s">
        <v>79</v>
      </c>
      <c r="H7" s="57">
        <f>VLOOKUP($B7,[10]AR!$C$5:$I$109,7,FALSE)</f>
        <v>11864451.495850353</v>
      </c>
      <c r="I7" s="57">
        <f>VLOOKUP($B7,[10]AR!$C$5:$I$109,3,FALSE)</f>
        <v>703261.0868181953</v>
      </c>
      <c r="J7" s="57">
        <v>0</v>
      </c>
      <c r="K7" s="57">
        <f>VLOOKUP($B7,'[11]ANNUAL REPORT PIVOT'!$C$8:$AU$119,5,FALSE)</f>
        <v>0</v>
      </c>
      <c r="L7" s="57">
        <f>VLOOKUP($B7,'[11]ANNUAL REPORT PIVOT'!$C$8:$AU$119,3,FALSE)</f>
        <v>0</v>
      </c>
      <c r="M7" s="57">
        <f>VLOOKUP($B7,'[11]ANNUAL REPORT PIVOT'!$C$8:$AU$119,6,FALSE)+VLOOKUP($B7,'[11]Net Post-Close Adjustments'!$A$3:$K$141,7,FALSE)</f>
        <v>985574.45</v>
      </c>
      <c r="N7" s="57">
        <f>VLOOKUP($B7,'[11]ANNUAL REPORT PIVOT'!$C$8:$AC$117,10,FALSE)</f>
        <v>0</v>
      </c>
      <c r="O7" s="57">
        <f>VLOOKUP($B7,'[11]ANNUAL REPORT PIVOT'!$C$8:$AC$117,15,FALSE)+VLOOKUP($B7,'[11]Net Post-Close Adjustments'!$A$3:$K$141,9,FALSE)</f>
        <v>3899897.060000001</v>
      </c>
      <c r="P7" s="57">
        <f>VLOOKUP($B7,'[11]ANNUAL REPORT PIVOT'!$C$8:$AC$117,12,FALSE)</f>
        <v>0</v>
      </c>
      <c r="Q7" s="57">
        <f>VLOOKUP($B7,'[11]ANNUAL REPORT PIVOT'!$C$8:$AC$117,18,FALSE)</f>
        <v>9371453.6999999993</v>
      </c>
      <c r="R7" s="57">
        <f>VLOOKUP($B7,'[11]ANNUAL REPORT PIVOT'!$C$8:$AC$117,21,FALSE)</f>
        <v>0</v>
      </c>
      <c r="S7" s="57">
        <f>VLOOKUP($B7,'[11]ANNUAL REPORT PIVOT'!$C$8:$AC$117,24,FALSE)+VLOOKUP($B7,'[11]Net Post-Close Adjustments'!$A$3:$K$141,8,FALSE)</f>
        <v>1583682.3899999992</v>
      </c>
      <c r="T7" s="58"/>
      <c r="U7" s="58"/>
      <c r="V7" s="58"/>
      <c r="W7" s="58"/>
    </row>
    <row r="8" spans="1:24">
      <c r="A8" s="56" t="s">
        <v>74</v>
      </c>
      <c r="B8" s="56" t="s">
        <v>80</v>
      </c>
      <c r="C8" s="82" t="s">
        <v>81</v>
      </c>
      <c r="D8" s="56" t="s">
        <v>68</v>
      </c>
      <c r="E8" s="56" t="s">
        <v>77</v>
      </c>
      <c r="F8" s="56" t="s">
        <v>78</v>
      </c>
      <c r="G8" s="56" t="s">
        <v>79</v>
      </c>
      <c r="H8" s="57">
        <f>VLOOKUP($B8,[10]AR!$C$5:$I$109,7,FALSE)</f>
        <v>7513706.585349354</v>
      </c>
      <c r="I8" s="57">
        <f>VLOOKUP($B8,[10]AR!$C$5:$I$109,3,FALSE)</f>
        <v>652061.42543891305</v>
      </c>
      <c r="J8" s="57">
        <v>0</v>
      </c>
      <c r="K8" s="57">
        <f>VLOOKUP($B8,'[11]ANNUAL REPORT PIVOT'!$C$8:$AU$119,5,FALSE)</f>
        <v>0</v>
      </c>
      <c r="L8" s="57">
        <f>VLOOKUP($B8,'[11]ANNUAL REPORT PIVOT'!$C$8:$AU$119,3,FALSE)</f>
        <v>0</v>
      </c>
      <c r="M8" s="57">
        <f>VLOOKUP($B8,'[11]ANNUAL REPORT PIVOT'!$C$8:$AU$119,6,FALSE)+VLOOKUP($B8,'[11]Net Post-Close Adjustments'!$A$3:$K$141,7,FALSE)</f>
        <v>429872.76000000007</v>
      </c>
      <c r="N8" s="57">
        <f>VLOOKUP($B8,'[11]ANNUAL REPORT PIVOT'!$C$8:$AC$117,10,FALSE)</f>
        <v>0</v>
      </c>
      <c r="O8" s="57">
        <f>VLOOKUP($B8,'[11]ANNUAL REPORT PIVOT'!$C$8:$AC$117,15,FALSE)+VLOOKUP($B8,'[11]Net Post-Close Adjustments'!$A$3:$K$141,9,FALSE)</f>
        <v>408765.01000000007</v>
      </c>
      <c r="P8" s="57">
        <f>VLOOKUP($B8,'[11]ANNUAL REPORT PIVOT'!$C$8:$AC$117,12,FALSE)</f>
        <v>0</v>
      </c>
      <c r="Q8" s="57">
        <f>VLOOKUP($B8,'[11]ANNUAL REPORT PIVOT'!$C$8:$AC$117,18,FALSE)</f>
        <v>672382.35</v>
      </c>
      <c r="R8" s="57">
        <f>VLOOKUP($B8,'[11]ANNUAL REPORT PIVOT'!$C$8:$AC$117,21,FALSE)</f>
        <v>0</v>
      </c>
      <c r="S8" s="57">
        <f>VLOOKUP($B8,'[11]ANNUAL REPORT PIVOT'!$C$8:$AC$117,24,FALSE)+VLOOKUP($B8,'[11]Net Post-Close Adjustments'!$A$3:$K$141,8,FALSE)</f>
        <v>12.82</v>
      </c>
      <c r="T8" s="58"/>
      <c r="U8" s="58"/>
      <c r="V8" s="58"/>
      <c r="W8" s="58"/>
    </row>
    <row r="9" spans="1:24">
      <c r="A9" s="56" t="s">
        <v>74</v>
      </c>
      <c r="B9" s="56" t="s">
        <v>82</v>
      </c>
      <c r="C9" s="82" t="s">
        <v>83</v>
      </c>
      <c r="D9" s="56" t="s">
        <v>68</v>
      </c>
      <c r="E9" s="56" t="s">
        <v>77</v>
      </c>
      <c r="F9" s="56" t="s">
        <v>78</v>
      </c>
      <c r="G9" s="217" t="s">
        <v>84</v>
      </c>
      <c r="H9" s="57">
        <f>VLOOKUP($B9,[10]AR!$C$5:$I$109,7,FALSE)</f>
        <v>7880655.917409502</v>
      </c>
      <c r="I9" s="57">
        <f>VLOOKUP($B9,[10]AR!$C$5:$I$109,3,FALSE)</f>
        <v>455134.1357943741</v>
      </c>
      <c r="J9" s="57">
        <v>0</v>
      </c>
      <c r="K9" s="57">
        <f>VLOOKUP($B9,'[11]ANNUAL REPORT PIVOT'!$C$8:$AU$119,5,FALSE)</f>
        <v>0</v>
      </c>
      <c r="L9" s="57">
        <f>VLOOKUP($B9,'[11]ANNUAL REPORT PIVOT'!$C$8:$AU$119,3,FALSE)</f>
        <v>0</v>
      </c>
      <c r="M9" s="57">
        <f>VLOOKUP($B9,'[11]ANNUAL REPORT PIVOT'!$C$8:$AU$119,6,FALSE)+VLOOKUP($B9,'[11]Net Post-Close Adjustments'!$A$3:$K$141,7,FALSE)</f>
        <v>867436.0700000003</v>
      </c>
      <c r="N9" s="57">
        <f>VLOOKUP($B9,'[11]ANNUAL REPORT PIVOT'!$C$8:$AC$117,10,FALSE)</f>
        <v>0</v>
      </c>
      <c r="O9" s="57">
        <f>VLOOKUP($B9,'[11]ANNUAL REPORT PIVOT'!$C$8:$AC$117,15,FALSE)+VLOOKUP($B9,'[11]Net Post-Close Adjustments'!$A$3:$K$141,9,FALSE)</f>
        <v>1965187.2700000009</v>
      </c>
      <c r="P9" s="57">
        <f>VLOOKUP($B9,'[11]ANNUAL REPORT PIVOT'!$C$8:$AC$117,12,FALSE)</f>
        <v>-25</v>
      </c>
      <c r="Q9" s="57">
        <f>VLOOKUP($B9,'[11]ANNUAL REPORT PIVOT'!$C$8:$AC$117,18,FALSE)</f>
        <v>3107762.12</v>
      </c>
      <c r="R9" s="57">
        <f>VLOOKUP($B9,'[11]ANNUAL REPORT PIVOT'!$C$8:$AC$117,21,FALSE)</f>
        <v>0</v>
      </c>
      <c r="S9" s="57">
        <f>VLOOKUP($B9,'[11]ANNUAL REPORT PIVOT'!$C$8:$AC$117,24,FALSE)+VLOOKUP($B9,'[11]Net Post-Close Adjustments'!$A$3:$K$141,8,FALSE)</f>
        <v>580103.929999999</v>
      </c>
      <c r="T9" s="58"/>
      <c r="U9" s="58"/>
      <c r="V9" s="58"/>
      <c r="W9" s="58"/>
    </row>
    <row r="10" spans="1:24">
      <c r="A10" s="56" t="s">
        <v>74</v>
      </c>
      <c r="B10" s="56" t="s">
        <v>85</v>
      </c>
      <c r="C10" s="82" t="s">
        <v>86</v>
      </c>
      <c r="D10" s="56" t="s">
        <v>68</v>
      </c>
      <c r="E10" s="56" t="s">
        <v>77</v>
      </c>
      <c r="F10" s="56" t="s">
        <v>78</v>
      </c>
      <c r="G10" s="56" t="s">
        <v>79</v>
      </c>
      <c r="H10" s="57">
        <f>VLOOKUP($B10,[10]AR!$C$5:$I$109,7,FALSE)</f>
        <v>6333026.5541488277</v>
      </c>
      <c r="I10" s="57">
        <f>VLOOKUP($B10,[10]AR!$C$5:$I$109,3,FALSE)</f>
        <v>487759.48076029849</v>
      </c>
      <c r="J10" s="57">
        <v>0</v>
      </c>
      <c r="K10" s="57">
        <f>VLOOKUP($B10,'[11]ANNUAL REPORT PIVOT'!$C$8:$AU$119,5,FALSE)</f>
        <v>0</v>
      </c>
      <c r="L10" s="57">
        <f>VLOOKUP($B10,'[11]ANNUAL REPORT PIVOT'!$C$8:$AU$119,3,FALSE)</f>
        <v>0</v>
      </c>
      <c r="M10" s="57">
        <f>VLOOKUP($B10,'[11]ANNUAL REPORT PIVOT'!$C$8:$AU$119,6,FALSE)+VLOOKUP($B10,'[11]Net Post-Close Adjustments'!$A$3:$K$141,7,FALSE)</f>
        <v>347820.50000000006</v>
      </c>
      <c r="N10" s="57">
        <f>VLOOKUP($B10,'[11]ANNUAL REPORT PIVOT'!$C$8:$AC$117,10,FALSE)</f>
        <v>0</v>
      </c>
      <c r="O10" s="57">
        <f>VLOOKUP($B10,'[11]ANNUAL REPORT PIVOT'!$C$8:$AC$117,15,FALSE)+VLOOKUP($B10,'[11]Net Post-Close Adjustments'!$A$3:$K$141,9,FALSE)</f>
        <v>2017904.1600000004</v>
      </c>
      <c r="P10" s="57">
        <f>VLOOKUP($B10,'[11]ANNUAL REPORT PIVOT'!$C$8:$AC$117,12,FALSE)</f>
        <v>0</v>
      </c>
      <c r="Q10" s="57">
        <f>VLOOKUP($B10,'[11]ANNUAL REPORT PIVOT'!$C$8:$AC$117,18,FALSE)</f>
        <v>4566391</v>
      </c>
      <c r="R10" s="57">
        <f>VLOOKUP($B10,'[11]ANNUAL REPORT PIVOT'!$C$8:$AC$117,21,FALSE)</f>
        <v>0</v>
      </c>
      <c r="S10" s="57">
        <f>VLOOKUP($B10,'[11]ANNUAL REPORT PIVOT'!$C$8:$AC$117,24,FALSE)+VLOOKUP($B10,'[11]Net Post-Close Adjustments'!$A$3:$K$141,8,FALSE)</f>
        <v>0</v>
      </c>
      <c r="T10" s="58"/>
      <c r="U10" s="58"/>
      <c r="V10" s="58"/>
      <c r="W10" s="58"/>
    </row>
    <row r="11" spans="1:24">
      <c r="A11" s="56" t="s">
        <v>74</v>
      </c>
      <c r="B11" s="56" t="s">
        <v>87</v>
      </c>
      <c r="C11" s="82" t="s">
        <v>88</v>
      </c>
      <c r="D11" s="56" t="s">
        <v>68</v>
      </c>
      <c r="E11" s="56" t="s">
        <v>77</v>
      </c>
      <c r="F11" s="56" t="s">
        <v>78</v>
      </c>
      <c r="G11" s="56" t="s">
        <v>79</v>
      </c>
      <c r="H11" s="57">
        <f>VLOOKUP($B11,[10]AR!$C$5:$I$109,7,FALSE)</f>
        <v>8691011.916685598</v>
      </c>
      <c r="I11" s="57">
        <f>VLOOKUP($B11,[10]AR!$C$5:$I$109,3,FALSE)</f>
        <v>605920.91396616166</v>
      </c>
      <c r="J11" s="57">
        <v>0</v>
      </c>
      <c r="K11" s="57">
        <f>VLOOKUP($B11,'[11]ANNUAL REPORT PIVOT'!$C$8:$AU$119,5,FALSE)</f>
        <v>0</v>
      </c>
      <c r="L11" s="57">
        <f>VLOOKUP($B11,'[11]ANNUAL REPORT PIVOT'!$C$8:$AU$119,3,FALSE)</f>
        <v>0</v>
      </c>
      <c r="M11" s="57">
        <f>VLOOKUP($B11,'[11]ANNUAL REPORT PIVOT'!$C$8:$AU$119,6,FALSE)+VLOOKUP($B11,'[11]Net Post-Close Adjustments'!$A$3:$K$141,7,FALSE)</f>
        <v>865218.74999999988</v>
      </c>
      <c r="N11" s="57">
        <f>VLOOKUP($B11,'[11]ANNUAL REPORT PIVOT'!$C$8:$AC$117,10,FALSE)</f>
        <v>0</v>
      </c>
      <c r="O11" s="57">
        <f>VLOOKUP($B11,'[11]ANNUAL REPORT PIVOT'!$C$8:$AC$117,15,FALSE)+VLOOKUP($B11,'[11]Net Post-Close Adjustments'!$A$3:$K$141,9,FALSE)</f>
        <v>2950438.8500000006</v>
      </c>
      <c r="P11" s="57">
        <f>VLOOKUP($B11,'[11]ANNUAL REPORT PIVOT'!$C$8:$AC$117,12,FALSE)</f>
        <v>0</v>
      </c>
      <c r="Q11" s="57">
        <f>VLOOKUP($B11,'[11]ANNUAL REPORT PIVOT'!$C$8:$AC$117,18,FALSE)</f>
        <v>1190068.8400000001</v>
      </c>
      <c r="R11" s="57">
        <f>VLOOKUP($B11,'[11]ANNUAL REPORT PIVOT'!$C$8:$AC$117,21,FALSE)</f>
        <v>0</v>
      </c>
      <c r="S11" s="57">
        <f>VLOOKUP($B11,'[11]ANNUAL REPORT PIVOT'!$C$8:$AC$117,24,FALSE)+VLOOKUP($B11,'[11]Net Post-Close Adjustments'!$A$3:$K$141,8,FALSE)</f>
        <v>70873.679999999993</v>
      </c>
      <c r="T11" s="58"/>
      <c r="U11" s="58"/>
      <c r="V11" s="58"/>
      <c r="W11" s="58"/>
    </row>
    <row r="12" spans="1:24">
      <c r="A12" s="56" t="s">
        <v>74</v>
      </c>
      <c r="B12" s="56" t="s">
        <v>89</v>
      </c>
      <c r="C12" s="82" t="s">
        <v>90</v>
      </c>
      <c r="D12" s="56" t="s">
        <v>68</v>
      </c>
      <c r="E12" s="56" t="s">
        <v>77</v>
      </c>
      <c r="F12" s="56" t="s">
        <v>78</v>
      </c>
      <c r="G12" s="56" t="s">
        <v>91</v>
      </c>
      <c r="H12" s="57">
        <f>VLOOKUP($B12,[10]AR!$C$5:$I$109,7,FALSE)</f>
        <v>6826666.3099823911</v>
      </c>
      <c r="I12" s="57">
        <f>VLOOKUP($B12,[10]AR!$C$5:$I$109,3,FALSE)</f>
        <v>515723.30976512737</v>
      </c>
      <c r="J12" s="57">
        <v>0</v>
      </c>
      <c r="K12" s="57">
        <f>VLOOKUP($B12,'[11]ANNUAL REPORT PIVOT'!$C$8:$AU$119,5,FALSE)</f>
        <v>0</v>
      </c>
      <c r="L12" s="57">
        <f>VLOOKUP($B12,'[11]ANNUAL REPORT PIVOT'!$C$8:$AU$119,3,FALSE)</f>
        <v>0</v>
      </c>
      <c r="M12" s="57">
        <f>VLOOKUP($B12,'[11]ANNUAL REPORT PIVOT'!$C$8:$AU$119,6,FALSE)+VLOOKUP($B12,'[11]Net Post-Close Adjustments'!$A$3:$K$141,7,FALSE)</f>
        <v>522763.12999999989</v>
      </c>
      <c r="N12" s="57">
        <f>VLOOKUP($B12,'[11]ANNUAL REPORT PIVOT'!$C$8:$AC$117,10,FALSE)</f>
        <v>0</v>
      </c>
      <c r="O12" s="57">
        <f>VLOOKUP($B12,'[11]ANNUAL REPORT PIVOT'!$C$8:$AC$117,15,FALSE)+VLOOKUP($B12,'[11]Net Post-Close Adjustments'!$A$3:$K$141,9,FALSE)</f>
        <v>1721036.2400000002</v>
      </c>
      <c r="P12" s="57">
        <f>VLOOKUP($B12,'[11]ANNUAL REPORT PIVOT'!$C$8:$AC$117,12,FALSE)</f>
        <v>0</v>
      </c>
      <c r="Q12" s="57">
        <f>VLOOKUP($B12,'[11]ANNUAL REPORT PIVOT'!$C$8:$AC$117,18,FALSE)</f>
        <v>3333009</v>
      </c>
      <c r="R12" s="57">
        <f>VLOOKUP($B12,'[11]ANNUAL REPORT PIVOT'!$C$8:$AC$117,21,FALSE)</f>
        <v>0</v>
      </c>
      <c r="S12" s="57">
        <f>VLOOKUP($B12,'[11]ANNUAL REPORT PIVOT'!$C$8:$AC$117,24,FALSE)+VLOOKUP($B12,'[11]Net Post-Close Adjustments'!$A$3:$K$141,8,FALSE)</f>
        <v>24518.84</v>
      </c>
      <c r="T12" s="58"/>
      <c r="U12" s="58"/>
      <c r="V12" s="58"/>
      <c r="W12" s="58"/>
    </row>
    <row r="13" spans="1:24">
      <c r="A13" s="56" t="s">
        <v>74</v>
      </c>
      <c r="B13" s="56" t="s">
        <v>92</v>
      </c>
      <c r="C13" s="82" t="s">
        <v>93</v>
      </c>
      <c r="D13" s="56" t="s">
        <v>68</v>
      </c>
      <c r="E13" s="56" t="s">
        <v>77</v>
      </c>
      <c r="F13" s="56" t="s">
        <v>78</v>
      </c>
      <c r="G13" s="217" t="s">
        <v>84</v>
      </c>
      <c r="H13" s="57">
        <f>VLOOKUP($B13,[10]AR!$C$5:$I$109,7,FALSE)</f>
        <v>3913021.0371612133</v>
      </c>
      <c r="I13" s="57">
        <f>VLOOKUP($B13,[10]AR!$C$5:$I$109,3,FALSE)</f>
        <v>255508.29194636524</v>
      </c>
      <c r="J13" s="57">
        <v>0</v>
      </c>
      <c r="K13" s="57">
        <f>VLOOKUP($B13,'[11]ANNUAL REPORT PIVOT'!$C$8:$AU$119,5,FALSE)</f>
        <v>0</v>
      </c>
      <c r="L13" s="57">
        <f>VLOOKUP($B13,'[11]ANNUAL REPORT PIVOT'!$C$8:$AU$119,3,FALSE)</f>
        <v>0</v>
      </c>
      <c r="M13" s="57">
        <f>VLOOKUP($B13,'[11]ANNUAL REPORT PIVOT'!$C$8:$AU$119,6,FALSE)+VLOOKUP($B13,'[11]Net Post-Close Adjustments'!$A$3:$K$141,7,FALSE)</f>
        <v>439595.69999999995</v>
      </c>
      <c r="N13" s="57">
        <f>VLOOKUP($B13,'[11]ANNUAL REPORT PIVOT'!$C$8:$AC$117,10,FALSE)</f>
        <v>0</v>
      </c>
      <c r="O13" s="57">
        <f>VLOOKUP($B13,'[11]ANNUAL REPORT PIVOT'!$C$8:$AC$117,15,FALSE)+VLOOKUP($B13,'[11]Net Post-Close Adjustments'!$A$3:$K$141,9,FALSE)</f>
        <v>1396273.57</v>
      </c>
      <c r="P13" s="57">
        <f>VLOOKUP($B13,'[11]ANNUAL REPORT PIVOT'!$C$8:$AC$117,12,FALSE)</f>
        <v>0</v>
      </c>
      <c r="Q13" s="57">
        <f>VLOOKUP($B13,'[11]ANNUAL REPORT PIVOT'!$C$8:$AC$117,18,FALSE)</f>
        <v>1095225</v>
      </c>
      <c r="R13" s="57">
        <f>VLOOKUP($B13,'[11]ANNUAL REPORT PIVOT'!$C$8:$AC$117,21,FALSE)</f>
        <v>0</v>
      </c>
      <c r="S13" s="57">
        <f>VLOOKUP($B13,'[11]ANNUAL REPORT PIVOT'!$C$8:$AC$117,24,FALSE)+VLOOKUP($B13,'[11]Net Post-Close Adjustments'!$A$3:$K$141,8,FALSE)</f>
        <v>44467.69</v>
      </c>
      <c r="T13" s="58"/>
      <c r="U13" s="58"/>
      <c r="V13" s="58"/>
      <c r="W13" s="58"/>
    </row>
    <row r="14" spans="1:24">
      <c r="A14" s="56" t="s">
        <v>74</v>
      </c>
      <c r="B14" s="56" t="s">
        <v>94</v>
      </c>
      <c r="C14" s="82" t="s">
        <v>95</v>
      </c>
      <c r="D14" s="56" t="s">
        <v>68</v>
      </c>
      <c r="E14" s="56" t="s">
        <v>96</v>
      </c>
      <c r="F14" s="56" t="s">
        <v>78</v>
      </c>
      <c r="G14" s="56" t="s">
        <v>79</v>
      </c>
      <c r="H14" s="57">
        <f>VLOOKUP($B14,[10]AR!$C$5:$I$109,7,FALSE)</f>
        <v>8501847.5719579533</v>
      </c>
      <c r="I14" s="57">
        <f>VLOOKUP($B14,[10]AR!$C$5:$I$109,3,FALSE)</f>
        <v>296649.55794940126</v>
      </c>
      <c r="J14" s="57">
        <v>0</v>
      </c>
      <c r="K14" s="57">
        <f>VLOOKUP($B14,'[11]ANNUAL REPORT PIVOT'!$C$8:$AU$119,5,FALSE)</f>
        <v>0</v>
      </c>
      <c r="L14" s="57">
        <f>VLOOKUP($B14,'[11]ANNUAL REPORT PIVOT'!$C$8:$AU$119,3,FALSE)</f>
        <v>0</v>
      </c>
      <c r="M14" s="57">
        <f>VLOOKUP($B14,'[11]ANNUAL REPORT PIVOT'!$C$8:$AU$119,6,FALSE)+VLOOKUP($B14,'[11]Net Post-Close Adjustments'!$A$3:$K$141,7,FALSE)</f>
        <v>1243490.4096133192</v>
      </c>
      <c r="N14" s="57">
        <f>VLOOKUP($B14,'[11]ANNUAL REPORT PIVOT'!$C$8:$AC$117,10,FALSE)</f>
        <v>0</v>
      </c>
      <c r="O14" s="57">
        <f>VLOOKUP($B14,'[11]ANNUAL REPORT PIVOT'!$C$8:$AC$117,15,FALSE)+VLOOKUP($B14,'[11]Net Post-Close Adjustments'!$A$3:$K$141,9,FALSE)</f>
        <v>3674544.4532653089</v>
      </c>
      <c r="P14" s="57">
        <f>VLOOKUP($B14,'[11]ANNUAL REPORT PIVOT'!$C$8:$AC$117,12,FALSE)</f>
        <v>0</v>
      </c>
      <c r="Q14" s="57">
        <f>VLOOKUP($B14,'[11]ANNUAL REPORT PIVOT'!$C$8:$AC$117,18,FALSE)</f>
        <v>1839528.14</v>
      </c>
      <c r="R14" s="57">
        <f>VLOOKUP($B14,'[11]ANNUAL REPORT PIVOT'!$C$8:$AC$117,21,FALSE)</f>
        <v>0</v>
      </c>
      <c r="S14" s="57">
        <f>VLOOKUP($B14,'[11]ANNUAL REPORT PIVOT'!$C$8:$AC$117,24,FALSE)+VLOOKUP($B14,'[11]Net Post-Close Adjustments'!$A$3:$K$141,8,FALSE)</f>
        <v>784277.25999999896</v>
      </c>
      <c r="T14" s="58"/>
      <c r="U14" s="58"/>
      <c r="V14" s="58"/>
      <c r="W14" s="58"/>
    </row>
    <row r="15" spans="1:24">
      <c r="A15" s="56" t="s">
        <v>74</v>
      </c>
      <c r="B15" s="56" t="s">
        <v>97</v>
      </c>
      <c r="C15" s="82" t="s">
        <v>98</v>
      </c>
      <c r="D15" s="56" t="s">
        <v>68</v>
      </c>
      <c r="E15" s="56" t="s">
        <v>96</v>
      </c>
      <c r="F15" s="56" t="s">
        <v>78</v>
      </c>
      <c r="G15" s="217" t="s">
        <v>99</v>
      </c>
      <c r="H15" s="57">
        <f>VLOOKUP($B15,[10]AR!$C$5:$I$109,7,FALSE)</f>
        <v>14022281.000997014</v>
      </c>
      <c r="I15" s="57">
        <f>VLOOKUP($B15,[10]AR!$C$5:$I$109,3,FALSE)</f>
        <v>714500.02698578849</v>
      </c>
      <c r="J15" s="57">
        <v>0</v>
      </c>
      <c r="K15" s="57">
        <f>VLOOKUP($B15,'[11]ANNUAL REPORT PIVOT'!$C$8:$AU$119,5,FALSE)</f>
        <v>0</v>
      </c>
      <c r="L15" s="57">
        <f>VLOOKUP($B15,'[11]ANNUAL REPORT PIVOT'!$C$8:$AU$119,3,FALSE)</f>
        <v>0</v>
      </c>
      <c r="M15" s="57">
        <f>VLOOKUP($B15,'[11]ANNUAL REPORT PIVOT'!$C$8:$AU$119,6,FALSE)+VLOOKUP($B15,'[11]Net Post-Close Adjustments'!$A$3:$K$141,7,FALSE)</f>
        <v>1481365.2844425363</v>
      </c>
      <c r="N15" s="57">
        <f>VLOOKUP($B15,'[11]ANNUAL REPORT PIVOT'!$C$8:$AC$117,10,FALSE)</f>
        <v>0</v>
      </c>
      <c r="O15" s="57">
        <f>VLOOKUP($B15,'[11]ANNUAL REPORT PIVOT'!$C$8:$AC$117,15,FALSE)+VLOOKUP($B15,'[11]Net Post-Close Adjustments'!$A$3:$K$141,9,FALSE)</f>
        <v>2529073.0340408147</v>
      </c>
      <c r="P15" s="57">
        <f>VLOOKUP($B15,'[11]ANNUAL REPORT PIVOT'!$C$8:$AC$117,12,FALSE)</f>
        <v>0</v>
      </c>
      <c r="Q15" s="57">
        <f>VLOOKUP($B15,'[11]ANNUAL REPORT PIVOT'!$C$8:$AC$117,18,FALSE)</f>
        <v>5890351.6299999999</v>
      </c>
      <c r="R15" s="57">
        <f>VLOOKUP($B15,'[11]ANNUAL REPORT PIVOT'!$C$8:$AC$117,21,FALSE)</f>
        <v>0</v>
      </c>
      <c r="S15" s="57">
        <f>VLOOKUP($B15,'[11]ANNUAL REPORT PIVOT'!$C$8:$AC$117,24,FALSE)+VLOOKUP($B15,'[11]Net Post-Close Adjustments'!$A$3:$K$141,8,FALSE)</f>
        <v>1829921.5000000042</v>
      </c>
      <c r="T15" s="58"/>
      <c r="U15" s="58"/>
      <c r="V15" s="58"/>
      <c r="W15" s="58"/>
    </row>
    <row r="16" spans="1:24">
      <c r="A16" s="56" t="s">
        <v>74</v>
      </c>
      <c r="B16" s="56" t="s">
        <v>100</v>
      </c>
      <c r="C16" s="82" t="s">
        <v>101</v>
      </c>
      <c r="D16" s="56" t="s">
        <v>68</v>
      </c>
      <c r="E16" s="56" t="s">
        <v>96</v>
      </c>
      <c r="F16" s="56" t="s">
        <v>102</v>
      </c>
      <c r="G16" s="56" t="s">
        <v>102</v>
      </c>
      <c r="H16" s="57">
        <f>VLOOKUP($B16,[10]AR!$C$5:$I$109,7,FALSE)</f>
        <v>0</v>
      </c>
      <c r="I16" s="57">
        <f>VLOOKUP($B16,[10]AR!$C$5:$I$109,3,FALSE)</f>
        <v>0</v>
      </c>
      <c r="J16" s="57">
        <v>0</v>
      </c>
      <c r="K16" s="57">
        <f>VLOOKUP($B16,'[11]ANNUAL REPORT PIVOT'!$C$8:$AU$119,5,FALSE)</f>
        <v>0</v>
      </c>
      <c r="L16" s="57">
        <f>VLOOKUP($B16,'[11]ANNUAL REPORT PIVOT'!$C$8:$AU$119,3,FALSE)</f>
        <v>0</v>
      </c>
      <c r="M16" s="57">
        <f>VLOOKUP($B16,'[11]ANNUAL REPORT PIVOT'!$C$8:$AU$119,6,FALSE)+VLOOKUP($B16,'[11]Net Post-Close Adjustments'!$A$3:$K$141,7,FALSE)</f>
        <v>2397.5500000000011</v>
      </c>
      <c r="N16" s="57">
        <f>VLOOKUP($B16,'[11]ANNUAL REPORT PIVOT'!$C$8:$AC$117,10,FALSE)</f>
        <v>0</v>
      </c>
      <c r="O16" s="57">
        <f>VLOOKUP($B16,'[11]ANNUAL REPORT PIVOT'!$C$8:$AC$117,15,FALSE)+VLOOKUP($B16,'[11]Net Post-Close Adjustments'!$A$3:$K$141,9,FALSE)</f>
        <v>6869.07</v>
      </c>
      <c r="P16" s="57">
        <f>VLOOKUP($B16,'[11]ANNUAL REPORT PIVOT'!$C$8:$AC$117,12,FALSE)</f>
        <v>0</v>
      </c>
      <c r="Q16" s="57">
        <f>VLOOKUP($B16,'[11]ANNUAL REPORT PIVOT'!$C$8:$AC$117,18,FALSE)</f>
        <v>0</v>
      </c>
      <c r="R16" s="57">
        <f>VLOOKUP($B16,'[11]ANNUAL REPORT PIVOT'!$C$8:$AC$117,21,FALSE)</f>
        <v>0</v>
      </c>
      <c r="S16" s="57">
        <f>VLOOKUP($B16,'[11]ANNUAL REPORT PIVOT'!$C$8:$AC$117,24,FALSE)+VLOOKUP($B16,'[11]Net Post-Close Adjustments'!$A$3:$K$141,8,FALSE)</f>
        <v>0</v>
      </c>
      <c r="T16" s="58"/>
      <c r="U16" s="58"/>
      <c r="V16" s="58"/>
      <c r="W16" s="58"/>
    </row>
    <row r="17" spans="1:23">
      <c r="A17" s="56" t="s">
        <v>74</v>
      </c>
      <c r="B17" s="56" t="s">
        <v>103</v>
      </c>
      <c r="C17" s="82" t="s">
        <v>104</v>
      </c>
      <c r="D17" s="56" t="s">
        <v>68</v>
      </c>
      <c r="E17" s="56" t="s">
        <v>96</v>
      </c>
      <c r="F17" s="56" t="s">
        <v>78</v>
      </c>
      <c r="G17" s="217" t="s">
        <v>79</v>
      </c>
      <c r="H17" s="57">
        <f>VLOOKUP($B17,[10]AR!$C$5:$I$109,7,FALSE)</f>
        <v>570242.10769918596</v>
      </c>
      <c r="I17" s="57">
        <f>VLOOKUP($B17,[10]AR!$C$5:$I$109,3,FALSE)</f>
        <v>19581.229068553872</v>
      </c>
      <c r="J17" s="57">
        <v>0</v>
      </c>
      <c r="K17" s="57">
        <f>VLOOKUP($B17,'[11]ANNUAL REPORT PIVOT'!$C$8:$AU$119,5,FALSE)</f>
        <v>0</v>
      </c>
      <c r="L17" s="57">
        <f>VLOOKUP($B17,'[11]ANNUAL REPORT PIVOT'!$C$8:$AU$119,3,FALSE)</f>
        <v>0</v>
      </c>
      <c r="M17" s="57">
        <f>VLOOKUP($B17,'[11]ANNUAL REPORT PIVOT'!$C$8:$AU$119,6,FALSE)+VLOOKUP($B17,'[11]Net Post-Close Adjustments'!$A$3:$K$141,7,FALSE)</f>
        <v>176312.92591836734</v>
      </c>
      <c r="N17" s="57">
        <f>VLOOKUP($B17,'[11]ANNUAL REPORT PIVOT'!$C$8:$AC$117,10,FALSE)</f>
        <v>0</v>
      </c>
      <c r="O17" s="57">
        <f>VLOOKUP($B17,'[11]ANNUAL REPORT PIVOT'!$C$8:$AC$117,15,FALSE)+VLOOKUP($B17,'[11]Net Post-Close Adjustments'!$A$3:$K$141,9,FALSE)</f>
        <v>783769.36224489775</v>
      </c>
      <c r="P17" s="57">
        <f>VLOOKUP($B17,'[11]ANNUAL REPORT PIVOT'!$C$8:$AC$117,12,FALSE)</f>
        <v>0</v>
      </c>
      <c r="Q17" s="57">
        <f>VLOOKUP($B17,'[11]ANNUAL REPORT PIVOT'!$C$8:$AC$117,18,FALSE)</f>
        <v>0</v>
      </c>
      <c r="R17" s="57">
        <f>VLOOKUP($B17,'[11]ANNUAL REPORT PIVOT'!$C$8:$AC$117,21,FALSE)</f>
        <v>0</v>
      </c>
      <c r="S17" s="57">
        <f>VLOOKUP($B17,'[11]ANNUAL REPORT PIVOT'!$C$8:$AC$117,24,FALSE)+VLOOKUP($B17,'[11]Net Post-Close Adjustments'!$A$3:$K$141,8,FALSE)</f>
        <v>354359.65999999992</v>
      </c>
      <c r="T17" s="58"/>
      <c r="U17" s="58"/>
      <c r="V17" s="58"/>
      <c r="W17" s="58"/>
    </row>
    <row r="18" spans="1:23">
      <c r="A18" s="56" t="s">
        <v>74</v>
      </c>
      <c r="B18" s="56" t="s">
        <v>105</v>
      </c>
      <c r="C18" s="82" t="s">
        <v>106</v>
      </c>
      <c r="D18" s="56" t="s">
        <v>68</v>
      </c>
      <c r="E18" s="56" t="s">
        <v>96</v>
      </c>
      <c r="F18" s="56" t="s">
        <v>78</v>
      </c>
      <c r="G18" s="217" t="s">
        <v>107</v>
      </c>
      <c r="H18" s="57">
        <f>VLOOKUP($B18,[10]AR!$C$5:$I$109,7,FALSE)</f>
        <v>12962281.468719181</v>
      </c>
      <c r="I18" s="57">
        <f>VLOOKUP($B18,[10]AR!$C$5:$I$109,3,FALSE)</f>
        <v>768004.80267103377</v>
      </c>
      <c r="J18" s="57">
        <v>0</v>
      </c>
      <c r="K18" s="57">
        <f>VLOOKUP($B18,'[11]ANNUAL REPORT PIVOT'!$C$8:$AU$119,5,FALSE)</f>
        <v>0</v>
      </c>
      <c r="L18" s="57">
        <f>VLOOKUP($B18,'[11]ANNUAL REPORT PIVOT'!$C$8:$AU$119,3,FALSE)</f>
        <v>0</v>
      </c>
      <c r="M18" s="57">
        <f>VLOOKUP($B18,'[11]ANNUAL REPORT PIVOT'!$C$8:$AU$119,6,FALSE)+VLOOKUP($B18,'[11]Net Post-Close Adjustments'!$A$3:$K$141,7,FALSE)</f>
        <v>1120576.4413233085</v>
      </c>
      <c r="N18" s="57">
        <f>VLOOKUP($B18,'[11]ANNUAL REPORT PIVOT'!$C$8:$AC$117,10,FALSE)</f>
        <v>0</v>
      </c>
      <c r="O18" s="57">
        <f>VLOOKUP($B18,'[11]ANNUAL REPORT PIVOT'!$C$8:$AC$117,15,FALSE)+VLOOKUP($B18,'[11]Net Post-Close Adjustments'!$A$3:$K$141,9,FALSE)</f>
        <v>3872788.1997142858</v>
      </c>
      <c r="P18" s="57">
        <f>VLOOKUP($B18,'[11]ANNUAL REPORT PIVOT'!$C$8:$AC$117,12,FALSE)</f>
        <v>0</v>
      </c>
      <c r="Q18" s="57">
        <f>VLOOKUP($B18,'[11]ANNUAL REPORT PIVOT'!$C$8:$AC$117,18,FALSE)</f>
        <v>5049833.7300000004</v>
      </c>
      <c r="R18" s="57">
        <f>VLOOKUP($B18,'[11]ANNUAL REPORT PIVOT'!$C$8:$AC$117,21,FALSE)</f>
        <v>0</v>
      </c>
      <c r="S18" s="57">
        <f>VLOOKUP($B18,'[11]ANNUAL REPORT PIVOT'!$C$8:$AC$117,24,FALSE)+VLOOKUP($B18,'[11]Net Post-Close Adjustments'!$A$3:$K$141,8,FALSE)</f>
        <v>222536.02000000002</v>
      </c>
      <c r="T18" s="58"/>
      <c r="U18" s="58"/>
      <c r="V18" s="58"/>
      <c r="W18" s="58"/>
    </row>
    <row r="19" spans="1:23">
      <c r="A19" s="56" t="s">
        <v>74</v>
      </c>
      <c r="B19" s="56" t="s">
        <v>108</v>
      </c>
      <c r="C19" s="82" t="s">
        <v>109</v>
      </c>
      <c r="D19" s="56" t="s">
        <v>68</v>
      </c>
      <c r="E19" s="56" t="s">
        <v>96</v>
      </c>
      <c r="F19" s="56" t="s">
        <v>78</v>
      </c>
      <c r="G19" s="217" t="s">
        <v>91</v>
      </c>
      <c r="H19" s="57">
        <f>VLOOKUP($B19,[10]AR!$C$5:$I$109,7,FALSE)</f>
        <v>3179856.0897543672</v>
      </c>
      <c r="I19" s="57">
        <f>VLOOKUP($B19,[10]AR!$C$5:$I$109,3,FALSE)</f>
        <v>194004.73221490686</v>
      </c>
      <c r="J19" s="57">
        <v>0</v>
      </c>
      <c r="K19" s="57">
        <f>VLOOKUP($B19,'[11]ANNUAL REPORT PIVOT'!$C$8:$AU$119,5,FALSE)</f>
        <v>0</v>
      </c>
      <c r="L19" s="57">
        <f>VLOOKUP($B19,'[11]ANNUAL REPORT PIVOT'!$C$8:$AU$119,3,FALSE)</f>
        <v>0</v>
      </c>
      <c r="M19" s="57">
        <f>VLOOKUP($B19,'[11]ANNUAL REPORT PIVOT'!$C$8:$AU$119,6,FALSE)+VLOOKUP($B19,'[11]Net Post-Close Adjustments'!$A$3:$K$141,7,FALSE)</f>
        <v>358452.07549086993</v>
      </c>
      <c r="N19" s="57">
        <f>VLOOKUP($B19,'[11]ANNUAL REPORT PIVOT'!$C$8:$AC$117,10,FALSE)</f>
        <v>0</v>
      </c>
      <c r="O19" s="57">
        <f>VLOOKUP($B19,'[11]ANNUAL REPORT PIVOT'!$C$8:$AC$117,15,FALSE)+VLOOKUP($B19,'[11]Net Post-Close Adjustments'!$A$3:$K$141,9,FALSE)</f>
        <v>713873.72563265264</v>
      </c>
      <c r="P19" s="57">
        <f>VLOOKUP($B19,'[11]ANNUAL REPORT PIVOT'!$C$8:$AC$117,12,FALSE)</f>
        <v>0</v>
      </c>
      <c r="Q19" s="57">
        <f>VLOOKUP($B19,'[11]ANNUAL REPORT PIVOT'!$C$8:$AC$117,18,FALSE)</f>
        <v>3480196.22</v>
      </c>
      <c r="R19" s="57">
        <f>VLOOKUP($B19,'[11]ANNUAL REPORT PIVOT'!$C$8:$AC$117,21,FALSE)</f>
        <v>0</v>
      </c>
      <c r="S19" s="57">
        <f>VLOOKUP($B19,'[11]ANNUAL REPORT PIVOT'!$C$8:$AC$117,24,FALSE)+VLOOKUP($B19,'[11]Net Post-Close Adjustments'!$A$3:$K$141,8,FALSE)</f>
        <v>24289.77</v>
      </c>
      <c r="T19" s="58"/>
      <c r="U19" s="58"/>
      <c r="V19" s="58"/>
      <c r="W19" s="58"/>
    </row>
    <row r="20" spans="1:23">
      <c r="A20" s="56" t="s">
        <v>74</v>
      </c>
      <c r="B20" s="56" t="s">
        <v>110</v>
      </c>
      <c r="C20" s="82" t="s">
        <v>111</v>
      </c>
      <c r="D20" s="56" t="s">
        <v>68</v>
      </c>
      <c r="E20" s="56" t="s">
        <v>112</v>
      </c>
      <c r="F20" s="56" t="s">
        <v>78</v>
      </c>
      <c r="G20" s="217" t="s">
        <v>79</v>
      </c>
      <c r="H20" s="57">
        <f>VLOOKUP($B20,[10]AR!$C$5:$I$109,7,FALSE)</f>
        <v>5371814.7836453915</v>
      </c>
      <c r="I20" s="57">
        <f>VLOOKUP($B20,[10]AR!$C$5:$I$109,3,FALSE)</f>
        <v>254212.107548247</v>
      </c>
      <c r="J20" s="57">
        <v>0</v>
      </c>
      <c r="K20" s="57">
        <f>VLOOKUP($B20,'[11]ANNUAL REPORT PIVOT'!$C$8:$AU$119,5,FALSE)</f>
        <v>0</v>
      </c>
      <c r="L20" s="57">
        <f>VLOOKUP($B20,'[11]ANNUAL REPORT PIVOT'!$C$8:$AU$119,3,FALSE)</f>
        <v>0</v>
      </c>
      <c r="M20" s="57">
        <f>VLOOKUP($B20,'[11]ANNUAL REPORT PIVOT'!$C$8:$AU$119,6,FALSE)+VLOOKUP($B20,'[11]Net Post-Close Adjustments'!$A$3:$K$141,7,FALSE)</f>
        <v>785876.72057572484</v>
      </c>
      <c r="N20" s="57">
        <f>VLOOKUP($B20,'[11]ANNUAL REPORT PIVOT'!$C$8:$AC$117,10,FALSE)</f>
        <v>0</v>
      </c>
      <c r="O20" s="57">
        <f>VLOOKUP($B20,'[11]ANNUAL REPORT PIVOT'!$C$8:$AC$117,15,FALSE)+VLOOKUP($B20,'[11]Net Post-Close Adjustments'!$A$3:$K$141,9,FALSE)</f>
        <v>1706564.8066938771</v>
      </c>
      <c r="P20" s="57">
        <f>VLOOKUP($B20,'[11]ANNUAL REPORT PIVOT'!$C$8:$AC$117,12,FALSE)</f>
        <v>0</v>
      </c>
      <c r="Q20" s="57">
        <f>VLOOKUP($B20,'[11]ANNUAL REPORT PIVOT'!$C$8:$AC$117,18,FALSE)</f>
        <v>3782624.35</v>
      </c>
      <c r="R20" s="57">
        <f>VLOOKUP($B20,'[11]ANNUAL REPORT PIVOT'!$C$8:$AC$117,21,FALSE)</f>
        <v>0</v>
      </c>
      <c r="S20" s="57">
        <f>VLOOKUP($B20,'[11]ANNUAL REPORT PIVOT'!$C$8:$AC$117,24,FALSE)+VLOOKUP($B20,'[11]Net Post-Close Adjustments'!$A$3:$K$141,8,FALSE)</f>
        <v>141662.52000000002</v>
      </c>
      <c r="T20" s="58"/>
      <c r="U20" s="58"/>
      <c r="V20" s="58"/>
      <c r="W20" s="58"/>
    </row>
    <row r="21" spans="1:23">
      <c r="A21" s="56" t="s">
        <v>74</v>
      </c>
      <c r="B21" s="56" t="s">
        <v>113</v>
      </c>
      <c r="C21" s="82" t="s">
        <v>114</v>
      </c>
      <c r="D21" s="56" t="s">
        <v>68</v>
      </c>
      <c r="E21" s="56" t="s">
        <v>112</v>
      </c>
      <c r="F21" s="56" t="s">
        <v>78</v>
      </c>
      <c r="G21" s="217" t="s">
        <v>79</v>
      </c>
      <c r="H21" s="57">
        <f>VLOOKUP($B21,[10]AR!$C$5:$I$109,7,FALSE)</f>
        <v>244743.22130278798</v>
      </c>
      <c r="I21" s="57">
        <f>VLOOKUP($B21,[10]AR!$C$5:$I$109,3,FALSE)</f>
        <v>9643.5186216897255</v>
      </c>
      <c r="J21" s="57">
        <v>0</v>
      </c>
      <c r="K21" s="57">
        <f>VLOOKUP($B21,'[11]ANNUAL REPORT PIVOT'!$C$8:$AU$119,5,FALSE)</f>
        <v>0</v>
      </c>
      <c r="L21" s="57">
        <f>VLOOKUP($B21,'[11]ANNUAL REPORT PIVOT'!$C$8:$AU$119,3,FALSE)</f>
        <v>0</v>
      </c>
      <c r="M21" s="57">
        <f>VLOOKUP($B21,'[11]ANNUAL REPORT PIVOT'!$C$8:$AU$119,6,FALSE)+VLOOKUP($B21,'[11]Net Post-Close Adjustments'!$A$3:$K$141,7,FALSE)</f>
        <v>54542.460000000014</v>
      </c>
      <c r="N21" s="57">
        <f>VLOOKUP($B21,'[11]ANNUAL REPORT PIVOT'!$C$8:$AC$117,10,FALSE)</f>
        <v>0</v>
      </c>
      <c r="O21" s="57">
        <f>VLOOKUP($B21,'[11]ANNUAL REPORT PIVOT'!$C$8:$AC$117,15,FALSE)+VLOOKUP($B21,'[11]Net Post-Close Adjustments'!$A$3:$K$141,9,FALSE)</f>
        <v>260469.82</v>
      </c>
      <c r="P21" s="57">
        <f>VLOOKUP($B21,'[11]ANNUAL REPORT PIVOT'!$C$8:$AC$117,12,FALSE)</f>
        <v>0</v>
      </c>
      <c r="Q21" s="57">
        <f>VLOOKUP($B21,'[11]ANNUAL REPORT PIVOT'!$C$8:$AC$117,18,FALSE)</f>
        <v>-124134</v>
      </c>
      <c r="R21" s="57">
        <f>VLOOKUP($B21,'[11]ANNUAL REPORT PIVOT'!$C$8:$AC$117,21,FALSE)</f>
        <v>0</v>
      </c>
      <c r="S21" s="57">
        <f>VLOOKUP($B21,'[11]ANNUAL REPORT PIVOT'!$C$8:$AC$117,24,FALSE)+VLOOKUP($B21,'[11]Net Post-Close Adjustments'!$A$3:$K$141,8,FALSE)</f>
        <v>0</v>
      </c>
      <c r="T21" s="58"/>
      <c r="U21" s="58"/>
      <c r="V21" s="58"/>
      <c r="W21" s="58"/>
    </row>
    <row r="22" spans="1:23">
      <c r="A22" s="56" t="s">
        <v>74</v>
      </c>
      <c r="B22" s="56" t="s">
        <v>115</v>
      </c>
      <c r="C22" s="82" t="s">
        <v>116</v>
      </c>
      <c r="D22" s="56" t="s">
        <v>68</v>
      </c>
      <c r="E22" s="56" t="s">
        <v>112</v>
      </c>
      <c r="F22" s="56" t="s">
        <v>102</v>
      </c>
      <c r="G22" s="217" t="s">
        <v>102</v>
      </c>
      <c r="H22" s="57">
        <f>VLOOKUP($B22,[10]AR!$C$5:$I$109,7,FALSE)</f>
        <v>0</v>
      </c>
      <c r="I22" s="57">
        <f>VLOOKUP($B22,[10]AR!$C$5:$I$109,3,FALSE)</f>
        <v>0</v>
      </c>
      <c r="J22" s="57">
        <v>0</v>
      </c>
      <c r="K22" s="57">
        <f>VLOOKUP($B22,'[11]ANNUAL REPORT PIVOT'!$C$8:$AU$119,5,FALSE)</f>
        <v>0</v>
      </c>
      <c r="L22" s="57">
        <f>VLOOKUP($B22,'[11]ANNUAL REPORT PIVOT'!$C$8:$AU$119,3,FALSE)</f>
        <v>0</v>
      </c>
      <c r="M22" s="57">
        <f>VLOOKUP($B22,'[11]ANNUAL REPORT PIVOT'!$C$8:$AU$119,6,FALSE)+VLOOKUP($B22,'[11]Net Post-Close Adjustments'!$A$3:$K$141,7,FALSE)</f>
        <v>0.36</v>
      </c>
      <c r="N22" s="57">
        <f>VLOOKUP($B22,'[11]ANNUAL REPORT PIVOT'!$C$8:$AC$117,10,FALSE)</f>
        <v>0</v>
      </c>
      <c r="O22" s="57">
        <f>VLOOKUP($B22,'[11]ANNUAL REPORT PIVOT'!$C$8:$AC$117,15,FALSE)+VLOOKUP($B22,'[11]Net Post-Close Adjustments'!$A$3:$K$141,9,FALSE)</f>
        <v>3.88</v>
      </c>
      <c r="P22" s="57">
        <f>VLOOKUP($B22,'[11]ANNUAL REPORT PIVOT'!$C$8:$AC$117,12,FALSE)</f>
        <v>0</v>
      </c>
      <c r="Q22" s="57">
        <f>VLOOKUP($B22,'[11]ANNUAL REPORT PIVOT'!$C$8:$AC$117,18,FALSE)</f>
        <v>0</v>
      </c>
      <c r="R22" s="57">
        <f>VLOOKUP($B22,'[11]ANNUAL REPORT PIVOT'!$C$8:$AC$117,21,FALSE)</f>
        <v>0</v>
      </c>
      <c r="S22" s="57">
        <f>VLOOKUP($B22,'[11]ANNUAL REPORT PIVOT'!$C$8:$AC$117,24,FALSE)+VLOOKUP($B22,'[11]Net Post-Close Adjustments'!$A$3:$K$141,8,FALSE)</f>
        <v>0</v>
      </c>
      <c r="T22" s="58"/>
      <c r="U22" s="58"/>
      <c r="V22" s="58"/>
      <c r="W22" s="58"/>
    </row>
    <row r="23" spans="1:23">
      <c r="A23" s="56" t="s">
        <v>74</v>
      </c>
      <c r="B23" s="56" t="s">
        <v>117</v>
      </c>
      <c r="C23" s="82" t="s">
        <v>118</v>
      </c>
      <c r="D23" s="56" t="s">
        <v>68</v>
      </c>
      <c r="E23" s="56" t="s">
        <v>112</v>
      </c>
      <c r="F23" s="56" t="s">
        <v>78</v>
      </c>
      <c r="G23" s="56" t="s">
        <v>79</v>
      </c>
      <c r="H23" s="57">
        <f>VLOOKUP($B23,[10]AR!$C$5:$I$109,7,FALSE)</f>
        <v>67338.342476007208</v>
      </c>
      <c r="I23" s="57">
        <f>VLOOKUP($B23,[10]AR!$C$5:$I$109,3,FALSE)</f>
        <v>3263.5384730498481</v>
      </c>
      <c r="J23" s="57">
        <v>0</v>
      </c>
      <c r="K23" s="57">
        <f>VLOOKUP($B23,'[11]ANNUAL REPORT PIVOT'!$C$8:$AU$119,5,FALSE)</f>
        <v>0</v>
      </c>
      <c r="L23" s="57">
        <f>VLOOKUP($B23,'[11]ANNUAL REPORT PIVOT'!$C$8:$AU$119,3,FALSE)</f>
        <v>0</v>
      </c>
      <c r="M23" s="57">
        <f>VLOOKUP($B23,'[11]ANNUAL REPORT PIVOT'!$C$8:$AU$119,6,FALSE)+VLOOKUP($B23,'[11]Net Post-Close Adjustments'!$A$3:$K$141,7,FALSE)</f>
        <v>20912.860000000004</v>
      </c>
      <c r="N23" s="57">
        <f>VLOOKUP($B23,'[11]ANNUAL REPORT PIVOT'!$C$8:$AC$117,10,FALSE)</f>
        <v>0</v>
      </c>
      <c r="O23" s="57">
        <f>VLOOKUP($B23,'[11]ANNUAL REPORT PIVOT'!$C$8:$AC$117,15,FALSE)+VLOOKUP($B23,'[11]Net Post-Close Adjustments'!$A$3:$K$141,9,FALSE)</f>
        <v>180591.52999999997</v>
      </c>
      <c r="P23" s="57">
        <f>VLOOKUP($B23,'[11]ANNUAL REPORT PIVOT'!$C$8:$AC$117,12,FALSE)</f>
        <v>0</v>
      </c>
      <c r="Q23" s="57">
        <f>VLOOKUP($B23,'[11]ANNUAL REPORT PIVOT'!$C$8:$AC$117,18,FALSE)</f>
        <v>0</v>
      </c>
      <c r="R23" s="57">
        <f>VLOOKUP($B23,'[11]ANNUAL REPORT PIVOT'!$C$8:$AC$117,21,FALSE)</f>
        <v>0</v>
      </c>
      <c r="S23" s="57">
        <f>VLOOKUP($B23,'[11]ANNUAL REPORT PIVOT'!$C$8:$AC$117,24,FALSE)+VLOOKUP($B23,'[11]Net Post-Close Adjustments'!$A$3:$K$141,8,FALSE)</f>
        <v>0</v>
      </c>
      <c r="T23" s="58"/>
      <c r="U23" s="58"/>
      <c r="V23" s="58"/>
      <c r="W23" s="58"/>
    </row>
    <row r="24" spans="1:23">
      <c r="A24" s="56" t="s">
        <v>74</v>
      </c>
      <c r="B24" s="56" t="s">
        <v>119</v>
      </c>
      <c r="C24" s="82" t="s">
        <v>120</v>
      </c>
      <c r="D24" s="56" t="s">
        <v>68</v>
      </c>
      <c r="E24" s="56" t="s">
        <v>112</v>
      </c>
      <c r="F24" s="56" t="s">
        <v>78</v>
      </c>
      <c r="G24" s="56" t="s">
        <v>79</v>
      </c>
      <c r="H24" s="57">
        <f>VLOOKUP($B24,[10]AR!$C$5:$I$109,7,FALSE)</f>
        <v>2226255.9294289974</v>
      </c>
      <c r="I24" s="57">
        <f>VLOOKUP($B24,[10]AR!$C$5:$I$109,3,FALSE)</f>
        <v>218039.63620415563</v>
      </c>
      <c r="J24" s="57">
        <v>0</v>
      </c>
      <c r="K24" s="57">
        <f>VLOOKUP($B24,'[11]ANNUAL REPORT PIVOT'!$C$8:$AU$119,5,FALSE)</f>
        <v>0</v>
      </c>
      <c r="L24" s="57">
        <f>VLOOKUP($B24,'[11]ANNUAL REPORT PIVOT'!$C$8:$AU$119,3,FALSE)</f>
        <v>0</v>
      </c>
      <c r="M24" s="57">
        <f>VLOOKUP($B24,'[11]ANNUAL REPORT PIVOT'!$C$8:$AU$119,6,FALSE)+VLOOKUP($B24,'[11]Net Post-Close Adjustments'!$A$3:$K$141,7,FALSE)</f>
        <v>149511.18</v>
      </c>
      <c r="N24" s="57">
        <f>VLOOKUP($B24,'[11]ANNUAL REPORT PIVOT'!$C$8:$AC$117,10,FALSE)</f>
        <v>0</v>
      </c>
      <c r="O24" s="57">
        <f>VLOOKUP($B24,'[11]ANNUAL REPORT PIVOT'!$C$8:$AC$117,15,FALSE)+VLOOKUP($B24,'[11]Net Post-Close Adjustments'!$A$3:$K$141,9,FALSE)</f>
        <v>1001326.5299999999</v>
      </c>
      <c r="P24" s="57">
        <f>VLOOKUP($B24,'[11]ANNUAL REPORT PIVOT'!$C$8:$AC$117,12,FALSE)</f>
        <v>0</v>
      </c>
      <c r="Q24" s="57">
        <f>VLOOKUP($B24,'[11]ANNUAL REPORT PIVOT'!$C$8:$AC$117,18,FALSE)</f>
        <v>802661</v>
      </c>
      <c r="R24" s="57">
        <f>VLOOKUP($B24,'[11]ANNUAL REPORT PIVOT'!$C$8:$AC$117,21,FALSE)</f>
        <v>0</v>
      </c>
      <c r="S24" s="57">
        <f>VLOOKUP($B24,'[11]ANNUAL REPORT PIVOT'!$C$8:$AC$117,24,FALSE)+VLOOKUP($B24,'[11]Net Post-Close Adjustments'!$A$3:$K$141,8,FALSE)</f>
        <v>68636.25</v>
      </c>
      <c r="T24" s="58"/>
      <c r="U24" s="58"/>
      <c r="V24" s="58"/>
      <c r="W24" s="58"/>
    </row>
    <row r="25" spans="1:23">
      <c r="A25" s="56" t="s">
        <v>74</v>
      </c>
      <c r="B25" s="56" t="s">
        <v>121</v>
      </c>
      <c r="C25" s="82" t="s">
        <v>122</v>
      </c>
      <c r="D25" s="56" t="s">
        <v>68</v>
      </c>
      <c r="E25" s="56" t="s">
        <v>123</v>
      </c>
      <c r="F25" s="56" t="s">
        <v>78</v>
      </c>
      <c r="G25" s="56" t="s">
        <v>79</v>
      </c>
      <c r="H25" s="57">
        <f>VLOOKUP($B25,[10]AR!$C$5:$I$109,7,FALSE)</f>
        <v>2340454.6718500815</v>
      </c>
      <c r="I25" s="57">
        <f>VLOOKUP($B25,[10]AR!$C$5:$I$109,3,FALSE)</f>
        <v>50365.117864101514</v>
      </c>
      <c r="J25" s="57">
        <v>0</v>
      </c>
      <c r="K25" s="57">
        <f>VLOOKUP($B25,'[11]ANNUAL REPORT PIVOT'!$C$8:$AU$119,5,FALSE)</f>
        <v>0</v>
      </c>
      <c r="L25" s="57">
        <f>VLOOKUP($B25,'[11]ANNUAL REPORT PIVOT'!$C$8:$AU$119,3,FALSE)</f>
        <v>0</v>
      </c>
      <c r="M25" s="57">
        <f>VLOOKUP($B25,'[11]ANNUAL REPORT PIVOT'!$C$8:$AU$119,6,FALSE)+VLOOKUP($B25,'[11]Net Post-Close Adjustments'!$A$3:$K$141,7,FALSE)</f>
        <v>249046.07070461882</v>
      </c>
      <c r="N25" s="57">
        <f>VLOOKUP($B25,'[11]ANNUAL REPORT PIVOT'!$C$8:$AC$117,10,FALSE)</f>
        <v>0</v>
      </c>
      <c r="O25" s="57">
        <f>VLOOKUP($B25,'[11]ANNUAL REPORT PIVOT'!$C$8:$AC$117,15,FALSE)+VLOOKUP($B25,'[11]Net Post-Close Adjustments'!$A$3:$K$141,9,FALSE)</f>
        <v>1164447.9989387756</v>
      </c>
      <c r="P25" s="57">
        <f>VLOOKUP($B25,'[11]ANNUAL REPORT PIVOT'!$C$8:$AC$117,12,FALSE)</f>
        <v>0</v>
      </c>
      <c r="Q25" s="57">
        <f>VLOOKUP($B25,'[11]ANNUAL REPORT PIVOT'!$C$8:$AC$117,18,FALSE)</f>
        <v>2620882.84</v>
      </c>
      <c r="R25" s="57">
        <f>VLOOKUP($B25,'[11]ANNUAL REPORT PIVOT'!$C$8:$AC$117,21,FALSE)</f>
        <v>0</v>
      </c>
      <c r="S25" s="57">
        <f>VLOOKUP($B25,'[11]ANNUAL REPORT PIVOT'!$C$8:$AC$117,24,FALSE)+VLOOKUP($B25,'[11]Net Post-Close Adjustments'!$A$3:$K$141,8,FALSE)</f>
        <v>318137.44</v>
      </c>
      <c r="T25" s="58"/>
      <c r="U25" s="58"/>
      <c r="V25" s="58"/>
      <c r="W25" s="58"/>
    </row>
    <row r="26" spans="1:23">
      <c r="A26" s="56" t="s">
        <v>74</v>
      </c>
      <c r="B26" s="56" t="s">
        <v>124</v>
      </c>
      <c r="C26" s="82" t="s">
        <v>125</v>
      </c>
      <c r="D26" s="56" t="s">
        <v>68</v>
      </c>
      <c r="E26" s="56" t="s">
        <v>123</v>
      </c>
      <c r="F26" s="56" t="s">
        <v>78</v>
      </c>
      <c r="G26" s="56" t="s">
        <v>79</v>
      </c>
      <c r="H26" s="57">
        <f>VLOOKUP($B26,[10]AR!$C$5:$I$109,7,FALSE)</f>
        <v>3284168.976762482</v>
      </c>
      <c r="I26" s="57">
        <f>VLOOKUP($B26,[10]AR!$C$5:$I$109,3,FALSE)</f>
        <v>189640.14498995259</v>
      </c>
      <c r="J26" s="57">
        <v>0</v>
      </c>
      <c r="K26" s="57">
        <f>VLOOKUP($B26,'[11]ANNUAL REPORT PIVOT'!$C$8:$AU$119,5,FALSE)</f>
        <v>0</v>
      </c>
      <c r="L26" s="57">
        <f>VLOOKUP($B26,'[11]ANNUAL REPORT PIVOT'!$C$8:$AU$119,3,FALSE)</f>
        <v>0</v>
      </c>
      <c r="M26" s="57">
        <f>VLOOKUP($B26,'[11]ANNUAL REPORT PIVOT'!$C$8:$AU$119,6,FALSE)+VLOOKUP($B26,'[11]Net Post-Close Adjustments'!$A$3:$K$141,7,FALSE)</f>
        <v>411881.32630290021</v>
      </c>
      <c r="N26" s="57">
        <f>VLOOKUP($B26,'[11]ANNUAL REPORT PIVOT'!$C$8:$AC$117,10,FALSE)</f>
        <v>0</v>
      </c>
      <c r="O26" s="57">
        <f>VLOOKUP($B26,'[11]ANNUAL REPORT PIVOT'!$C$8:$AC$117,15,FALSE)+VLOOKUP($B26,'[11]Net Post-Close Adjustments'!$A$3:$K$141,9,FALSE)</f>
        <v>399531.89477551007</v>
      </c>
      <c r="P26" s="57">
        <f>VLOOKUP($B26,'[11]ANNUAL REPORT PIVOT'!$C$8:$AC$117,12,FALSE)</f>
        <v>0</v>
      </c>
      <c r="Q26" s="57">
        <f>VLOOKUP($B26,'[11]ANNUAL REPORT PIVOT'!$C$8:$AC$117,18,FALSE)</f>
        <v>1545108.64</v>
      </c>
      <c r="R26" s="57">
        <f>VLOOKUP($B26,'[11]ANNUAL REPORT PIVOT'!$C$8:$AC$117,21,FALSE)</f>
        <v>0</v>
      </c>
      <c r="S26" s="57">
        <f>VLOOKUP($B26,'[11]ANNUAL REPORT PIVOT'!$C$8:$AC$117,24,FALSE)+VLOOKUP($B26,'[11]Net Post-Close Adjustments'!$A$3:$K$141,8,FALSE)</f>
        <v>21676.170000000002</v>
      </c>
      <c r="T26" s="58"/>
      <c r="U26" s="58"/>
      <c r="V26" s="58"/>
      <c r="W26" s="58"/>
    </row>
    <row r="27" spans="1:23">
      <c r="A27" s="56" t="s">
        <v>74</v>
      </c>
      <c r="B27" s="56" t="s">
        <v>126</v>
      </c>
      <c r="C27" s="82" t="s">
        <v>127</v>
      </c>
      <c r="D27" s="56" t="s">
        <v>68</v>
      </c>
      <c r="E27" s="56" t="s">
        <v>123</v>
      </c>
      <c r="F27" s="56" t="s">
        <v>102</v>
      </c>
      <c r="G27" s="56" t="s">
        <v>102</v>
      </c>
      <c r="H27" s="57">
        <f>VLOOKUP($B27,[10]AR!$C$5:$I$109,7,FALSE)</f>
        <v>0</v>
      </c>
      <c r="I27" s="57">
        <f>VLOOKUP($B27,[10]AR!$C$5:$I$109,3,FALSE)</f>
        <v>0</v>
      </c>
      <c r="J27" s="57">
        <v>0</v>
      </c>
      <c r="K27" s="57">
        <f>VLOOKUP($B27,'[11]ANNUAL REPORT PIVOT'!$C$8:$AU$119,5,FALSE)</f>
        <v>0</v>
      </c>
      <c r="L27" s="57">
        <f>VLOOKUP($B27,'[11]ANNUAL REPORT PIVOT'!$C$8:$AU$119,3,FALSE)</f>
        <v>0</v>
      </c>
      <c r="M27" s="57">
        <f>VLOOKUP($B27,'[11]ANNUAL REPORT PIVOT'!$C$8:$AU$119,6,FALSE)+VLOOKUP($B27,'[11]Net Post-Close Adjustments'!$A$3:$K$141,7,FALSE)</f>
        <v>-1266.56</v>
      </c>
      <c r="N27" s="57">
        <f>VLOOKUP($B27,'[11]ANNUAL REPORT PIVOT'!$C$8:$AC$117,10,FALSE)</f>
        <v>0</v>
      </c>
      <c r="O27" s="57">
        <f>VLOOKUP($B27,'[11]ANNUAL REPORT PIVOT'!$C$8:$AC$117,15,FALSE)+VLOOKUP($B27,'[11]Net Post-Close Adjustments'!$A$3:$K$141,9,FALSE)</f>
        <v>0</v>
      </c>
      <c r="P27" s="57">
        <f>VLOOKUP($B27,'[11]ANNUAL REPORT PIVOT'!$C$8:$AC$117,12,FALSE)</f>
        <v>0</v>
      </c>
      <c r="Q27" s="57">
        <f>VLOOKUP($B27,'[11]ANNUAL REPORT PIVOT'!$C$8:$AC$117,18,FALSE)</f>
        <v>0</v>
      </c>
      <c r="R27" s="57">
        <f>VLOOKUP($B27,'[11]ANNUAL REPORT PIVOT'!$C$8:$AC$117,21,FALSE)</f>
        <v>0</v>
      </c>
      <c r="S27" s="57">
        <f>VLOOKUP($B27,'[11]ANNUAL REPORT PIVOT'!$C$8:$AC$117,24,FALSE)+VLOOKUP($B27,'[11]Net Post-Close Adjustments'!$A$3:$K$141,8,FALSE)</f>
        <v>0</v>
      </c>
      <c r="T27" s="58"/>
      <c r="U27" s="58"/>
      <c r="V27" s="58"/>
      <c r="W27" s="58"/>
    </row>
    <row r="28" spans="1:23">
      <c r="A28" s="56" t="s">
        <v>74</v>
      </c>
      <c r="B28" s="56" t="s">
        <v>128</v>
      </c>
      <c r="C28" s="82" t="s">
        <v>129</v>
      </c>
      <c r="D28" s="56" t="s">
        <v>68</v>
      </c>
      <c r="E28" s="56" t="s">
        <v>123</v>
      </c>
      <c r="F28" s="56" t="s">
        <v>78</v>
      </c>
      <c r="G28" s="56" t="s">
        <v>79</v>
      </c>
      <c r="H28" s="57">
        <f>VLOOKUP($B28,[10]AR!$C$5:$I$109,7,FALSE)</f>
        <v>2850602.080423994</v>
      </c>
      <c r="I28" s="57">
        <f>VLOOKUP($B28,[10]AR!$C$5:$I$109,3,FALSE)</f>
        <v>261604.77575146034</v>
      </c>
      <c r="J28" s="57">
        <v>0</v>
      </c>
      <c r="K28" s="57">
        <f>VLOOKUP($B28,'[11]ANNUAL REPORT PIVOT'!$C$8:$AU$119,5,FALSE)</f>
        <v>0</v>
      </c>
      <c r="L28" s="57">
        <f>VLOOKUP($B28,'[11]ANNUAL REPORT PIVOT'!$C$8:$AU$119,3,FALSE)</f>
        <v>0</v>
      </c>
      <c r="M28" s="57">
        <f>VLOOKUP($B28,'[11]ANNUAL REPORT PIVOT'!$C$8:$AU$119,6,FALSE)+VLOOKUP($B28,'[11]Net Post-Close Adjustments'!$A$3:$K$141,7,FALSE)</f>
        <v>368695.45592910866</v>
      </c>
      <c r="N28" s="57">
        <f>VLOOKUP($B28,'[11]ANNUAL REPORT PIVOT'!$C$8:$AC$117,10,FALSE)</f>
        <v>0</v>
      </c>
      <c r="O28" s="57">
        <f>VLOOKUP($B28,'[11]ANNUAL REPORT PIVOT'!$C$8:$AC$117,15,FALSE)+VLOOKUP($B28,'[11]Net Post-Close Adjustments'!$A$3:$K$141,9,FALSE)</f>
        <v>784645.118265306</v>
      </c>
      <c r="P28" s="57">
        <f>VLOOKUP($B28,'[11]ANNUAL REPORT PIVOT'!$C$8:$AC$117,12,FALSE)</f>
        <v>0</v>
      </c>
      <c r="Q28" s="57">
        <f>VLOOKUP($B28,'[11]ANNUAL REPORT PIVOT'!$C$8:$AC$117,18,FALSE)</f>
        <v>186884.54</v>
      </c>
      <c r="R28" s="57">
        <f>VLOOKUP($B28,'[11]ANNUAL REPORT PIVOT'!$C$8:$AC$117,21,FALSE)</f>
        <v>0</v>
      </c>
      <c r="S28" s="57">
        <f>VLOOKUP($B28,'[11]ANNUAL REPORT PIVOT'!$C$8:$AC$117,24,FALSE)+VLOOKUP($B28,'[11]Net Post-Close Adjustments'!$A$3:$K$141,8,FALSE)</f>
        <v>32809.919999999998</v>
      </c>
      <c r="T28" s="58"/>
      <c r="U28" s="58"/>
      <c r="V28" s="58"/>
      <c r="W28" s="58"/>
    </row>
    <row r="29" spans="1:23">
      <c r="A29" s="56" t="s">
        <v>74</v>
      </c>
      <c r="B29" s="56" t="s">
        <v>130</v>
      </c>
      <c r="C29" s="82" t="s">
        <v>131</v>
      </c>
      <c r="D29" s="56" t="s">
        <v>68</v>
      </c>
      <c r="E29" s="56" t="s">
        <v>132</v>
      </c>
      <c r="F29" s="56" t="s">
        <v>78</v>
      </c>
      <c r="G29" s="217" t="s">
        <v>99</v>
      </c>
      <c r="H29" s="57">
        <f>VLOOKUP($B29,[10]AR!$C$5:$I$109,7,FALSE)</f>
        <v>16146382.609864723</v>
      </c>
      <c r="I29" s="57">
        <f>VLOOKUP($B29,[10]AR!$C$5:$I$109,3,FALSE)</f>
        <v>1234102.2680619012</v>
      </c>
      <c r="J29" s="57">
        <v>0</v>
      </c>
      <c r="K29" s="57">
        <f>VLOOKUP($B29,'[11]ANNUAL REPORT PIVOT'!$C$8:$AU$119,5,FALSE)</f>
        <v>0</v>
      </c>
      <c r="L29" s="57">
        <f>VLOOKUP($B29,'[11]ANNUAL REPORT PIVOT'!$C$8:$AU$119,3,FALSE)</f>
        <v>0</v>
      </c>
      <c r="M29" s="57">
        <f>VLOOKUP($B29,'[11]ANNUAL REPORT PIVOT'!$C$8:$AU$119,6,FALSE)+VLOOKUP($B29,'[11]Net Post-Close Adjustments'!$A$3:$K$141,7,FALSE)</f>
        <v>452833.27000000014</v>
      </c>
      <c r="N29" s="57">
        <f>VLOOKUP($B29,'[11]ANNUAL REPORT PIVOT'!$C$8:$AC$117,10,FALSE)</f>
        <v>0</v>
      </c>
      <c r="O29" s="57">
        <f>VLOOKUP($B29,'[11]ANNUAL REPORT PIVOT'!$C$8:$AC$117,15,FALSE)+VLOOKUP($B29,'[11]Net Post-Close Adjustments'!$A$3:$K$141,9,FALSE)</f>
        <v>799442.99</v>
      </c>
      <c r="P29" s="57">
        <f>VLOOKUP($B29,'[11]ANNUAL REPORT PIVOT'!$C$8:$AC$117,12,FALSE)</f>
        <v>0</v>
      </c>
      <c r="Q29" s="57">
        <f>VLOOKUP($B29,'[11]ANNUAL REPORT PIVOT'!$C$8:$AC$117,18,FALSE)</f>
        <v>14476890</v>
      </c>
      <c r="R29" s="57">
        <f>VLOOKUP($B29,'[11]ANNUAL REPORT PIVOT'!$C$8:$AC$117,21,FALSE)</f>
        <v>0</v>
      </c>
      <c r="S29" s="57">
        <f>VLOOKUP($B29,'[11]ANNUAL REPORT PIVOT'!$C$8:$AC$117,24,FALSE)+VLOOKUP($B29,'[11]Net Post-Close Adjustments'!$A$3:$K$141,8,FALSE)</f>
        <v>134494.04</v>
      </c>
      <c r="T29" s="58"/>
      <c r="U29" s="58"/>
      <c r="V29" s="58"/>
      <c r="W29" s="58"/>
    </row>
    <row r="30" spans="1:23">
      <c r="A30" s="56" t="s">
        <v>74</v>
      </c>
      <c r="B30" s="56" t="s">
        <v>133</v>
      </c>
      <c r="C30" s="82" t="s">
        <v>134</v>
      </c>
      <c r="D30" s="56" t="s">
        <v>68</v>
      </c>
      <c r="E30" s="56" t="s">
        <v>132</v>
      </c>
      <c r="F30" s="56" t="s">
        <v>102</v>
      </c>
      <c r="G30" s="56" t="s">
        <v>102</v>
      </c>
      <c r="H30" s="57">
        <f>VLOOKUP($B30,[10]AR!$C$5:$I$109,7,FALSE)</f>
        <v>0</v>
      </c>
      <c r="I30" s="57">
        <f>VLOOKUP($B30,[10]AR!$C$5:$I$109,3,FALSE)</f>
        <v>0</v>
      </c>
      <c r="J30" s="57">
        <v>0</v>
      </c>
      <c r="K30" s="57">
        <f>VLOOKUP($B30,'[11]ANNUAL REPORT PIVOT'!$C$8:$AU$119,5,FALSE)</f>
        <v>0</v>
      </c>
      <c r="L30" s="57">
        <f>VLOOKUP($B30,'[11]ANNUAL REPORT PIVOT'!$C$8:$AU$119,3,FALSE)</f>
        <v>0</v>
      </c>
      <c r="M30" s="57">
        <f>VLOOKUP($B30,'[11]ANNUAL REPORT PIVOT'!$C$8:$AU$119,6,FALSE)+VLOOKUP($B30,'[11]Net Post-Close Adjustments'!$A$3:$K$141,7,FALSE)</f>
        <v>7863.1600000000008</v>
      </c>
      <c r="N30" s="57">
        <f>VLOOKUP($B30,'[11]ANNUAL REPORT PIVOT'!$C$8:$AC$117,10,FALSE)</f>
        <v>0</v>
      </c>
      <c r="O30" s="57">
        <f>VLOOKUP($B30,'[11]ANNUAL REPORT PIVOT'!$C$8:$AC$117,15,FALSE)+VLOOKUP($B30,'[11]Net Post-Close Adjustments'!$A$3:$K$141,9,FALSE)</f>
        <v>56367.970000000008</v>
      </c>
      <c r="P30" s="57">
        <f>VLOOKUP($B30,'[11]ANNUAL REPORT PIVOT'!$C$8:$AC$117,12,FALSE)</f>
        <v>0</v>
      </c>
      <c r="Q30" s="57">
        <f>VLOOKUP($B30,'[11]ANNUAL REPORT PIVOT'!$C$8:$AC$117,18,FALSE)</f>
        <v>34115</v>
      </c>
      <c r="R30" s="57">
        <f>VLOOKUP($B30,'[11]ANNUAL REPORT PIVOT'!$C$8:$AC$117,21,FALSE)</f>
        <v>0</v>
      </c>
      <c r="S30" s="57">
        <f>VLOOKUP($B30,'[11]ANNUAL REPORT PIVOT'!$C$8:$AC$117,24,FALSE)+VLOOKUP($B30,'[11]Net Post-Close Adjustments'!$A$3:$K$141,8,FALSE)</f>
        <v>18312.689999999999</v>
      </c>
      <c r="T30" s="58"/>
      <c r="U30" s="58"/>
      <c r="V30" s="58"/>
      <c r="W30" s="58"/>
    </row>
    <row r="31" spans="1:23">
      <c r="A31" s="56" t="s">
        <v>74</v>
      </c>
      <c r="B31" s="56" t="s">
        <v>135</v>
      </c>
      <c r="C31" s="82" t="s">
        <v>136</v>
      </c>
      <c r="D31" s="56" t="s">
        <v>68</v>
      </c>
      <c r="E31" s="56" t="s">
        <v>132</v>
      </c>
      <c r="F31" s="56" t="s">
        <v>102</v>
      </c>
      <c r="G31" s="56" t="s">
        <v>102</v>
      </c>
      <c r="H31" s="57">
        <f>VLOOKUP($B31,[10]AR!$C$5:$I$109,7,FALSE)</f>
        <v>0</v>
      </c>
      <c r="I31" s="57">
        <f>VLOOKUP($B31,[10]AR!$C$5:$I$109,3,FALSE)</f>
        <v>0</v>
      </c>
      <c r="J31" s="57">
        <v>0</v>
      </c>
      <c r="K31" s="57">
        <f>VLOOKUP($B31,'[11]ANNUAL REPORT PIVOT'!$C$8:$AU$119,5,FALSE)</f>
        <v>0</v>
      </c>
      <c r="L31" s="57">
        <f>VLOOKUP($B31,'[11]ANNUAL REPORT PIVOT'!$C$8:$AU$119,3,FALSE)</f>
        <v>0</v>
      </c>
      <c r="M31" s="57">
        <f>VLOOKUP($B31,'[11]ANNUAL REPORT PIVOT'!$C$8:$AU$119,6,FALSE)+VLOOKUP($B31,'[11]Net Post-Close Adjustments'!$A$3:$K$141,7,FALSE)</f>
        <v>4425.0400000000009</v>
      </c>
      <c r="N31" s="57">
        <f>VLOOKUP($B31,'[11]ANNUAL REPORT PIVOT'!$C$8:$AC$117,10,FALSE)</f>
        <v>0</v>
      </c>
      <c r="O31" s="57">
        <f>VLOOKUP($B31,'[11]ANNUAL REPORT PIVOT'!$C$8:$AC$117,15,FALSE)+VLOOKUP($B31,'[11]Net Post-Close Adjustments'!$A$3:$K$141,9,FALSE)</f>
        <v>0</v>
      </c>
      <c r="P31" s="57">
        <f>VLOOKUP($B31,'[11]ANNUAL REPORT PIVOT'!$C$8:$AC$117,12,FALSE)</f>
        <v>0</v>
      </c>
      <c r="Q31" s="57">
        <f>VLOOKUP($B31,'[11]ANNUAL REPORT PIVOT'!$C$8:$AC$117,18,FALSE)</f>
        <v>0</v>
      </c>
      <c r="R31" s="57">
        <f>VLOOKUP($B31,'[11]ANNUAL REPORT PIVOT'!$C$8:$AC$117,21,FALSE)</f>
        <v>0</v>
      </c>
      <c r="S31" s="57">
        <f>VLOOKUP($B31,'[11]ANNUAL REPORT PIVOT'!$C$8:$AC$117,24,FALSE)+VLOOKUP($B31,'[11]Net Post-Close Adjustments'!$A$3:$K$141,8,FALSE)</f>
        <v>0</v>
      </c>
      <c r="T31" s="58"/>
      <c r="U31" s="58"/>
      <c r="V31" s="58"/>
      <c r="W31" s="58"/>
    </row>
    <row r="32" spans="1:23">
      <c r="A32" s="56" t="s">
        <v>74</v>
      </c>
      <c r="B32" s="56" t="s">
        <v>137</v>
      </c>
      <c r="C32" s="82" t="s">
        <v>138</v>
      </c>
      <c r="D32" s="56" t="s">
        <v>68</v>
      </c>
      <c r="E32" s="56" t="s">
        <v>132</v>
      </c>
      <c r="F32" s="56" t="s">
        <v>139</v>
      </c>
      <c r="G32" s="56" t="s">
        <v>139</v>
      </c>
      <c r="H32" s="57">
        <f>VLOOKUP($B32,[10]AR!$C$5:$I$109,7,FALSE)</f>
        <v>5138534.5357552608</v>
      </c>
      <c r="I32" s="57">
        <f>VLOOKUP($B32,[10]AR!$C$5:$I$109,3,FALSE)</f>
        <v>196111.5469136716</v>
      </c>
      <c r="J32" s="57">
        <v>0</v>
      </c>
      <c r="K32" s="57">
        <f>VLOOKUP($B32,'[11]ANNUAL REPORT PIVOT'!$C$8:$AU$119,5,FALSE)</f>
        <v>0</v>
      </c>
      <c r="L32" s="57">
        <f>VLOOKUP($B32,'[11]ANNUAL REPORT PIVOT'!$C$8:$AU$119,3,FALSE)</f>
        <v>0</v>
      </c>
      <c r="M32" s="57">
        <f>VLOOKUP($B32,'[11]ANNUAL REPORT PIVOT'!$C$8:$AU$119,6,FALSE)+VLOOKUP($B32,'[11]Net Post-Close Adjustments'!$A$3:$K$141,7,FALSE)</f>
        <v>348380.19999999984</v>
      </c>
      <c r="N32" s="57">
        <f>VLOOKUP($B32,'[11]ANNUAL REPORT PIVOT'!$C$8:$AC$117,10,FALSE)</f>
        <v>0</v>
      </c>
      <c r="O32" s="57">
        <f>VLOOKUP($B32,'[11]ANNUAL REPORT PIVOT'!$C$8:$AC$117,15,FALSE)+VLOOKUP($B32,'[11]Net Post-Close Adjustments'!$A$3:$K$141,9,FALSE)</f>
        <v>6816431.4099999992</v>
      </c>
      <c r="P32" s="57">
        <f>VLOOKUP($B32,'[11]ANNUAL REPORT PIVOT'!$C$8:$AC$117,12,FALSE)</f>
        <v>0</v>
      </c>
      <c r="Q32" s="57">
        <f>VLOOKUP($B32,'[11]ANNUAL REPORT PIVOT'!$C$8:$AC$117,18,FALSE)</f>
        <v>0</v>
      </c>
      <c r="R32" s="57">
        <f>VLOOKUP($B32,'[11]ANNUAL REPORT PIVOT'!$C$8:$AC$117,21,FALSE)</f>
        <v>0</v>
      </c>
      <c r="S32" s="57">
        <f>VLOOKUP($B32,'[11]ANNUAL REPORT PIVOT'!$C$8:$AC$117,24,FALSE)+VLOOKUP($B32,'[11]Net Post-Close Adjustments'!$A$3:$K$141,8,FALSE)</f>
        <v>0</v>
      </c>
      <c r="T32" s="58"/>
      <c r="U32" s="58"/>
      <c r="V32" s="58"/>
      <c r="W32" s="58"/>
    </row>
    <row r="33" spans="1:23">
      <c r="A33" s="56" t="s">
        <v>74</v>
      </c>
      <c r="B33" s="56" t="s">
        <v>140</v>
      </c>
      <c r="C33" s="82" t="s">
        <v>141</v>
      </c>
      <c r="D33" s="56" t="s">
        <v>68</v>
      </c>
      <c r="E33" s="56" t="s">
        <v>132</v>
      </c>
      <c r="F33" s="56" t="s">
        <v>139</v>
      </c>
      <c r="G33" s="56" t="s">
        <v>139</v>
      </c>
      <c r="H33" s="57">
        <f>VLOOKUP($B33,[10]AR!$C$5:$I$109,7,FALSE)</f>
        <v>3211584.0848470391</v>
      </c>
      <c r="I33" s="57">
        <f>VLOOKUP($B33,[10]AR!$C$5:$I$109,3,FALSE)</f>
        <v>122569.71682104477</v>
      </c>
      <c r="J33" s="57">
        <v>0</v>
      </c>
      <c r="K33" s="57">
        <f>VLOOKUP($B33,'[11]ANNUAL REPORT PIVOT'!$C$8:$AU$119,5,FALSE)</f>
        <v>0</v>
      </c>
      <c r="L33" s="57">
        <f>VLOOKUP($B33,'[11]ANNUAL REPORT PIVOT'!$C$8:$AU$119,3,FALSE)</f>
        <v>0</v>
      </c>
      <c r="M33" s="57">
        <f>VLOOKUP($B33,'[11]ANNUAL REPORT PIVOT'!$C$8:$AU$119,6,FALSE)+VLOOKUP($B33,'[11]Net Post-Close Adjustments'!$A$3:$K$141,7,FALSE)</f>
        <v>251131.78999999995</v>
      </c>
      <c r="N33" s="57">
        <f>VLOOKUP($B33,'[11]ANNUAL REPORT PIVOT'!$C$8:$AC$117,10,FALSE)</f>
        <v>0</v>
      </c>
      <c r="O33" s="57">
        <f>VLOOKUP($B33,'[11]ANNUAL REPORT PIVOT'!$C$8:$AC$117,15,FALSE)+VLOOKUP($B33,'[11]Net Post-Close Adjustments'!$A$3:$K$141,9,FALSE)</f>
        <v>7000458.3500000034</v>
      </c>
      <c r="P33" s="57">
        <f>VLOOKUP($B33,'[11]ANNUAL REPORT PIVOT'!$C$8:$AC$117,12,FALSE)</f>
        <v>0</v>
      </c>
      <c r="Q33" s="57">
        <f>VLOOKUP($B33,'[11]ANNUAL REPORT PIVOT'!$C$8:$AC$117,18,FALSE)</f>
        <v>0</v>
      </c>
      <c r="R33" s="57">
        <f>VLOOKUP($B33,'[11]ANNUAL REPORT PIVOT'!$C$8:$AC$117,21,FALSE)</f>
        <v>0</v>
      </c>
      <c r="S33" s="57">
        <f>VLOOKUP($B33,'[11]ANNUAL REPORT PIVOT'!$C$8:$AC$117,24,FALSE)+VLOOKUP($B33,'[11]Net Post-Close Adjustments'!$A$3:$K$141,8,FALSE)</f>
        <v>0</v>
      </c>
      <c r="T33" s="58"/>
      <c r="U33" s="58"/>
      <c r="V33" s="58"/>
      <c r="W33" s="58"/>
    </row>
    <row r="34" spans="1:23">
      <c r="A34" s="56" t="s">
        <v>74</v>
      </c>
      <c r="B34" s="56" t="s">
        <v>142</v>
      </c>
      <c r="C34" s="82" t="s">
        <v>143</v>
      </c>
      <c r="D34" s="56" t="s">
        <v>68</v>
      </c>
      <c r="E34" s="56" t="s">
        <v>132</v>
      </c>
      <c r="F34" s="56" t="s">
        <v>139</v>
      </c>
      <c r="G34" s="56" t="s">
        <v>139</v>
      </c>
      <c r="H34" s="57">
        <f>VLOOKUP($B34,[10]AR!$C$5:$I$109,7,FALSE)</f>
        <v>5138534.5357552608</v>
      </c>
      <c r="I34" s="57">
        <f>VLOOKUP($B34,[10]AR!$C$5:$I$109,3,FALSE)</f>
        <v>196111.5469136716</v>
      </c>
      <c r="J34" s="57">
        <v>0</v>
      </c>
      <c r="K34" s="57">
        <f>VLOOKUP($B34,'[11]ANNUAL REPORT PIVOT'!$C$8:$AU$119,5,FALSE)</f>
        <v>0</v>
      </c>
      <c r="L34" s="57">
        <f>VLOOKUP($B34,'[11]ANNUAL REPORT PIVOT'!$C$8:$AU$119,3,FALSE)</f>
        <v>0</v>
      </c>
      <c r="M34" s="57">
        <f>VLOOKUP($B34,'[11]ANNUAL REPORT PIVOT'!$C$8:$AU$119,6,FALSE)+VLOOKUP($B34,'[11]Net Post-Close Adjustments'!$A$3:$K$141,7,FALSE)</f>
        <v>315034.22000000009</v>
      </c>
      <c r="N34" s="57">
        <f>VLOOKUP($B34,'[11]ANNUAL REPORT PIVOT'!$C$8:$AC$117,10,FALSE)</f>
        <v>0</v>
      </c>
      <c r="O34" s="57">
        <f>VLOOKUP($B34,'[11]ANNUAL REPORT PIVOT'!$C$8:$AC$117,15,FALSE)+VLOOKUP($B34,'[11]Net Post-Close Adjustments'!$A$3:$K$141,9,FALSE)</f>
        <v>4938856.1100000003</v>
      </c>
      <c r="P34" s="57">
        <f>VLOOKUP($B34,'[11]ANNUAL REPORT PIVOT'!$C$8:$AC$117,12,FALSE)</f>
        <v>0</v>
      </c>
      <c r="Q34" s="57">
        <f>VLOOKUP($B34,'[11]ANNUAL REPORT PIVOT'!$C$8:$AC$117,18,FALSE)</f>
        <v>0</v>
      </c>
      <c r="R34" s="57">
        <f>VLOOKUP($B34,'[11]ANNUAL REPORT PIVOT'!$C$8:$AC$117,21,FALSE)</f>
        <v>0</v>
      </c>
      <c r="S34" s="57">
        <f>VLOOKUP($B34,'[11]ANNUAL REPORT PIVOT'!$C$8:$AC$117,24,FALSE)+VLOOKUP($B34,'[11]Net Post-Close Adjustments'!$A$3:$K$141,8,FALSE)</f>
        <v>0</v>
      </c>
      <c r="T34" s="58"/>
      <c r="U34" s="58"/>
      <c r="V34" s="58"/>
      <c r="W34" s="58"/>
    </row>
    <row r="35" spans="1:23">
      <c r="A35" s="56" t="s">
        <v>74</v>
      </c>
      <c r="B35" s="56" t="s">
        <v>144</v>
      </c>
      <c r="C35" s="82" t="s">
        <v>145</v>
      </c>
      <c r="D35" s="56" t="s">
        <v>68</v>
      </c>
      <c r="E35" s="56" t="s">
        <v>132</v>
      </c>
      <c r="F35" s="56" t="s">
        <v>139</v>
      </c>
      <c r="G35" s="56" t="s">
        <v>139</v>
      </c>
      <c r="H35" s="57">
        <f>VLOOKUP($B35,[10]AR!$C$5:$I$109,7,FALSE)</f>
        <v>770780.18036328955</v>
      </c>
      <c r="I35" s="57">
        <f>VLOOKUP($B35,[10]AR!$C$5:$I$109,3,FALSE)</f>
        <v>29416.732037050733</v>
      </c>
      <c r="J35" s="57">
        <v>0</v>
      </c>
      <c r="K35" s="57">
        <f>VLOOKUP($B35,'[11]ANNUAL REPORT PIVOT'!$C$8:$AU$119,5,FALSE)</f>
        <v>0</v>
      </c>
      <c r="L35" s="57">
        <f>VLOOKUP($B35,'[11]ANNUAL REPORT PIVOT'!$C$8:$AU$119,3,FALSE)</f>
        <v>0</v>
      </c>
      <c r="M35" s="57">
        <f>VLOOKUP($B35,'[11]ANNUAL REPORT PIVOT'!$C$8:$AU$119,6,FALSE)+VLOOKUP($B35,'[11]Net Post-Close Adjustments'!$A$3:$K$141,7,FALSE)</f>
        <v>14436.250000000002</v>
      </c>
      <c r="N35" s="57">
        <f>VLOOKUP($B35,'[11]ANNUAL REPORT PIVOT'!$C$8:$AC$117,10,FALSE)</f>
        <v>0</v>
      </c>
      <c r="O35" s="57">
        <f>VLOOKUP($B35,'[11]ANNUAL REPORT PIVOT'!$C$8:$AC$117,15,FALSE)+VLOOKUP($B35,'[11]Net Post-Close Adjustments'!$A$3:$K$141,9,FALSE)</f>
        <v>1151435.1500000001</v>
      </c>
      <c r="P35" s="57">
        <f>VLOOKUP($B35,'[11]ANNUAL REPORT PIVOT'!$C$8:$AC$117,12,FALSE)</f>
        <v>0</v>
      </c>
      <c r="Q35" s="57">
        <f>VLOOKUP($B35,'[11]ANNUAL REPORT PIVOT'!$C$8:$AC$117,18,FALSE)</f>
        <v>0</v>
      </c>
      <c r="R35" s="57">
        <f>VLOOKUP($B35,'[11]ANNUAL REPORT PIVOT'!$C$8:$AC$117,21,FALSE)</f>
        <v>0</v>
      </c>
      <c r="S35" s="57">
        <f>VLOOKUP($B35,'[11]ANNUAL REPORT PIVOT'!$C$8:$AC$117,24,FALSE)+VLOOKUP($B35,'[11]Net Post-Close Adjustments'!$A$3:$K$141,8,FALSE)</f>
        <v>0</v>
      </c>
      <c r="T35" s="58"/>
      <c r="U35" s="58"/>
      <c r="V35" s="58"/>
      <c r="W35" s="58"/>
    </row>
    <row r="36" spans="1:23">
      <c r="A36" s="56" t="s">
        <v>74</v>
      </c>
      <c r="B36" s="56" t="s">
        <v>146</v>
      </c>
      <c r="C36" s="82" t="s">
        <v>147</v>
      </c>
      <c r="D36" s="56" t="s">
        <v>68</v>
      </c>
      <c r="E36" s="56" t="s">
        <v>132</v>
      </c>
      <c r="F36" s="56" t="s">
        <v>139</v>
      </c>
      <c r="G36" s="56" t="s">
        <v>139</v>
      </c>
      <c r="H36" s="57">
        <f>VLOOKUP($B36,[10]AR!$C$5:$I$109,7,FALSE)</f>
        <v>770780.18036328955</v>
      </c>
      <c r="I36" s="57">
        <f>VLOOKUP($B36,[10]AR!$C$5:$I$109,3,FALSE)</f>
        <v>29416.732037050733</v>
      </c>
      <c r="J36" s="57">
        <v>0</v>
      </c>
      <c r="K36" s="57">
        <f>VLOOKUP($B36,'[11]ANNUAL REPORT PIVOT'!$C$8:$AU$119,5,FALSE)</f>
        <v>0</v>
      </c>
      <c r="L36" s="57">
        <f>VLOOKUP($B36,'[11]ANNUAL REPORT PIVOT'!$C$8:$AU$119,3,FALSE)</f>
        <v>0</v>
      </c>
      <c r="M36" s="57">
        <f>VLOOKUP($B36,'[11]ANNUAL REPORT PIVOT'!$C$8:$AU$119,6,FALSE)+VLOOKUP($B36,'[11]Net Post-Close Adjustments'!$A$3:$K$141,7,FALSE)</f>
        <v>12702.55</v>
      </c>
      <c r="N36" s="57">
        <f>VLOOKUP($B36,'[11]ANNUAL REPORT PIVOT'!$C$8:$AC$117,10,FALSE)</f>
        <v>0</v>
      </c>
      <c r="O36" s="57">
        <f>VLOOKUP($B36,'[11]ANNUAL REPORT PIVOT'!$C$8:$AC$117,15,FALSE)+VLOOKUP($B36,'[11]Net Post-Close Adjustments'!$A$3:$K$141,9,FALSE)</f>
        <v>961328.8</v>
      </c>
      <c r="P36" s="57">
        <f>VLOOKUP($B36,'[11]ANNUAL REPORT PIVOT'!$C$8:$AC$117,12,FALSE)</f>
        <v>0</v>
      </c>
      <c r="Q36" s="57">
        <f>VLOOKUP($B36,'[11]ANNUAL REPORT PIVOT'!$C$8:$AC$117,18,FALSE)</f>
        <v>0</v>
      </c>
      <c r="R36" s="57">
        <f>VLOOKUP($B36,'[11]ANNUAL REPORT PIVOT'!$C$8:$AC$117,21,FALSE)</f>
        <v>0</v>
      </c>
      <c r="S36" s="57">
        <f>VLOOKUP($B36,'[11]ANNUAL REPORT PIVOT'!$C$8:$AC$117,24,FALSE)+VLOOKUP($B36,'[11]Net Post-Close Adjustments'!$A$3:$K$141,8,FALSE)</f>
        <v>0</v>
      </c>
      <c r="T36" s="58"/>
      <c r="U36" s="58"/>
      <c r="V36" s="58"/>
      <c r="W36" s="58"/>
    </row>
    <row r="37" spans="1:23">
      <c r="A37" s="56" t="s">
        <v>74</v>
      </c>
      <c r="B37" s="56" t="s">
        <v>148</v>
      </c>
      <c r="C37" s="82" t="s">
        <v>149</v>
      </c>
      <c r="D37" s="56" t="s">
        <v>68</v>
      </c>
      <c r="E37" s="56" t="s">
        <v>132</v>
      </c>
      <c r="F37" s="56" t="s">
        <v>139</v>
      </c>
      <c r="G37" s="56" t="s">
        <v>139</v>
      </c>
      <c r="H37" s="57">
        <f>VLOOKUP($B37,[10]AR!$C$5:$I$109,7,FALSE)</f>
        <v>3853900.9018164468</v>
      </c>
      <c r="I37" s="57">
        <f>VLOOKUP($B37,[10]AR!$C$5:$I$109,3,FALSE)</f>
        <v>147083.66018525371</v>
      </c>
      <c r="J37" s="57">
        <v>0</v>
      </c>
      <c r="K37" s="57">
        <f>VLOOKUP($B37,'[11]ANNUAL REPORT PIVOT'!$C$8:$AU$119,5,FALSE)</f>
        <v>0</v>
      </c>
      <c r="L37" s="57">
        <f>VLOOKUP($B37,'[11]ANNUAL REPORT PIVOT'!$C$8:$AU$119,3,FALSE)</f>
        <v>0</v>
      </c>
      <c r="M37" s="57">
        <f>VLOOKUP($B37,'[11]ANNUAL REPORT PIVOT'!$C$8:$AU$119,6,FALSE)+VLOOKUP($B37,'[11]Net Post-Close Adjustments'!$A$3:$K$141,7,FALSE)</f>
        <v>270270.56000000011</v>
      </c>
      <c r="N37" s="57">
        <f>VLOOKUP($B37,'[11]ANNUAL REPORT PIVOT'!$C$8:$AC$117,10,FALSE)</f>
        <v>0</v>
      </c>
      <c r="O37" s="57">
        <f>VLOOKUP($B37,'[11]ANNUAL REPORT PIVOT'!$C$8:$AC$117,15,FALSE)+VLOOKUP($B37,'[11]Net Post-Close Adjustments'!$A$3:$K$141,9,FALSE)</f>
        <v>2751205.9899999993</v>
      </c>
      <c r="P37" s="57">
        <f>VLOOKUP($B37,'[11]ANNUAL REPORT PIVOT'!$C$8:$AC$117,12,FALSE)</f>
        <v>0</v>
      </c>
      <c r="Q37" s="57">
        <f>VLOOKUP($B37,'[11]ANNUAL REPORT PIVOT'!$C$8:$AC$117,18,FALSE)</f>
        <v>0</v>
      </c>
      <c r="R37" s="57">
        <f>VLOOKUP($B37,'[11]ANNUAL REPORT PIVOT'!$C$8:$AC$117,21,FALSE)</f>
        <v>0</v>
      </c>
      <c r="S37" s="57">
        <f>VLOOKUP($B37,'[11]ANNUAL REPORT PIVOT'!$C$8:$AC$117,24,FALSE)+VLOOKUP($B37,'[11]Net Post-Close Adjustments'!$A$3:$K$141,8,FALSE)</f>
        <v>0</v>
      </c>
      <c r="T37" s="58"/>
      <c r="U37" s="58"/>
      <c r="V37" s="58"/>
      <c r="W37" s="58"/>
    </row>
    <row r="38" spans="1:23">
      <c r="A38" s="56" t="s">
        <v>74</v>
      </c>
      <c r="B38" s="56" t="s">
        <v>150</v>
      </c>
      <c r="C38" s="82" t="s">
        <v>151</v>
      </c>
      <c r="D38" s="56" t="s">
        <v>68</v>
      </c>
      <c r="E38" s="56" t="s">
        <v>132</v>
      </c>
      <c r="F38" s="56" t="s">
        <v>139</v>
      </c>
      <c r="G38" s="56" t="s">
        <v>139</v>
      </c>
      <c r="H38" s="57">
        <f>VLOOKUP($B38,[10]AR!$C$5:$I$109,7,FALSE)</f>
        <v>1926950.4509082234</v>
      </c>
      <c r="I38" s="57">
        <f>VLOOKUP($B38,[10]AR!$C$5:$I$109,3,FALSE)</f>
        <v>73541.830092626857</v>
      </c>
      <c r="J38" s="57">
        <v>0</v>
      </c>
      <c r="K38" s="57">
        <f>VLOOKUP($B38,'[11]ANNUAL REPORT PIVOT'!$C$8:$AU$119,5,FALSE)</f>
        <v>0</v>
      </c>
      <c r="L38" s="57">
        <f>VLOOKUP($B38,'[11]ANNUAL REPORT PIVOT'!$C$8:$AU$119,3,FALSE)</f>
        <v>0</v>
      </c>
      <c r="M38" s="57">
        <f>VLOOKUP($B38,'[11]ANNUAL REPORT PIVOT'!$C$8:$AU$119,6,FALSE)+VLOOKUP($B38,'[11]Net Post-Close Adjustments'!$A$3:$K$141,7,FALSE)</f>
        <v>0</v>
      </c>
      <c r="N38" s="57">
        <f>VLOOKUP($B38,'[11]ANNUAL REPORT PIVOT'!$C$8:$AC$117,10,FALSE)</f>
        <v>0</v>
      </c>
      <c r="O38" s="57">
        <f>VLOOKUP($B38,'[11]ANNUAL REPORT PIVOT'!$C$8:$AC$117,15,FALSE)+VLOOKUP($B38,'[11]Net Post-Close Adjustments'!$A$3:$K$141,9,FALSE)</f>
        <v>961455.85000000009</v>
      </c>
      <c r="P38" s="57">
        <f>VLOOKUP($B38,'[11]ANNUAL REPORT PIVOT'!$C$8:$AC$117,12,FALSE)</f>
        <v>0</v>
      </c>
      <c r="Q38" s="57">
        <f>VLOOKUP($B38,'[11]ANNUAL REPORT PIVOT'!$C$8:$AC$117,18,FALSE)</f>
        <v>0</v>
      </c>
      <c r="R38" s="57">
        <f>VLOOKUP($B38,'[11]ANNUAL REPORT PIVOT'!$C$8:$AC$117,21,FALSE)</f>
        <v>0</v>
      </c>
      <c r="S38" s="57">
        <f>VLOOKUP($B38,'[11]ANNUAL REPORT PIVOT'!$C$8:$AC$117,24,FALSE)+VLOOKUP($B38,'[11]Net Post-Close Adjustments'!$A$3:$K$141,8,FALSE)</f>
        <v>0</v>
      </c>
      <c r="T38" s="58"/>
      <c r="U38" s="58"/>
      <c r="V38" s="58"/>
      <c r="W38" s="58"/>
    </row>
    <row r="39" spans="1:23">
      <c r="A39" s="56" t="s">
        <v>74</v>
      </c>
      <c r="B39" s="56" t="s">
        <v>152</v>
      </c>
      <c r="C39" s="82" t="s">
        <v>153</v>
      </c>
      <c r="D39" s="56" t="s">
        <v>68</v>
      </c>
      <c r="E39" s="56" t="s">
        <v>132</v>
      </c>
      <c r="F39" s="56" t="s">
        <v>102</v>
      </c>
      <c r="G39" s="56" t="s">
        <v>102</v>
      </c>
      <c r="H39" s="57">
        <f>VLOOKUP($B39,[10]AR!$C$5:$I$109,7,FALSE)</f>
        <v>1670317.8946297013</v>
      </c>
      <c r="I39" s="57">
        <f>VLOOKUP($B39,[10]AR!$C$5:$I$109,3,FALSE)</f>
        <v>68671.299977110291</v>
      </c>
      <c r="J39" s="57">
        <v>0</v>
      </c>
      <c r="K39" s="57">
        <f>VLOOKUP($B39,'[11]ANNUAL REPORT PIVOT'!$C$8:$AU$119,5,FALSE)</f>
        <v>0</v>
      </c>
      <c r="L39" s="57">
        <f>VLOOKUP($B39,'[11]ANNUAL REPORT PIVOT'!$C$8:$AU$119,3,FALSE)</f>
        <v>0</v>
      </c>
      <c r="M39" s="57">
        <f>VLOOKUP($B39,'[11]ANNUAL REPORT PIVOT'!$C$8:$AU$119,6,FALSE)+VLOOKUP($B39,'[11]Net Post-Close Adjustments'!$A$3:$K$141,7,FALSE)</f>
        <v>4791.6800000000012</v>
      </c>
      <c r="N39" s="57">
        <f>VLOOKUP($B39,'[11]ANNUAL REPORT PIVOT'!$C$8:$AC$117,10,FALSE)</f>
        <v>0</v>
      </c>
      <c r="O39" s="57">
        <f>VLOOKUP($B39,'[11]ANNUAL REPORT PIVOT'!$C$8:$AC$117,15,FALSE)+VLOOKUP($B39,'[11]Net Post-Close Adjustments'!$A$3:$K$141,9,FALSE)</f>
        <v>288749.85000000003</v>
      </c>
      <c r="P39" s="57">
        <f>VLOOKUP($B39,'[11]ANNUAL REPORT PIVOT'!$C$8:$AC$117,12,FALSE)</f>
        <v>0</v>
      </c>
      <c r="Q39" s="57">
        <f>VLOOKUP($B39,'[11]ANNUAL REPORT PIVOT'!$C$8:$AC$117,18,FALSE)</f>
        <v>0</v>
      </c>
      <c r="R39" s="57">
        <f>VLOOKUP($B39,'[11]ANNUAL REPORT PIVOT'!$C$8:$AC$117,21,FALSE)</f>
        <v>0</v>
      </c>
      <c r="S39" s="57">
        <f>VLOOKUP($B39,'[11]ANNUAL REPORT PIVOT'!$C$8:$AC$117,24,FALSE)+VLOOKUP($B39,'[11]Net Post-Close Adjustments'!$A$3:$K$141,8,FALSE)</f>
        <v>0</v>
      </c>
      <c r="T39" s="58"/>
      <c r="U39" s="58"/>
      <c r="V39" s="58"/>
      <c r="W39" s="58"/>
    </row>
    <row r="40" spans="1:23">
      <c r="A40" s="56" t="s">
        <v>74</v>
      </c>
      <c r="B40" s="56" t="s">
        <v>154</v>
      </c>
      <c r="C40" s="82" t="s">
        <v>155</v>
      </c>
      <c r="D40" s="56" t="s">
        <v>68</v>
      </c>
      <c r="E40" s="56" t="s">
        <v>132</v>
      </c>
      <c r="F40" s="56" t="s">
        <v>102</v>
      </c>
      <c r="G40" s="56" t="s">
        <v>102</v>
      </c>
      <c r="H40" s="57">
        <f>VLOOKUP($B40,[10]AR!$C$5:$I$109,7,FALSE)</f>
        <v>3991223.0826019617</v>
      </c>
      <c r="I40" s="57">
        <f>VLOOKUP($B40,[10]AR!$C$5:$I$109,3,FALSE)</f>
        <v>155924.24583037983</v>
      </c>
      <c r="J40" s="57">
        <v>0</v>
      </c>
      <c r="K40" s="57">
        <f>VLOOKUP($B40,'[11]ANNUAL REPORT PIVOT'!$C$8:$AU$119,5,FALSE)</f>
        <v>0</v>
      </c>
      <c r="L40" s="57">
        <f>VLOOKUP($B40,'[11]ANNUAL REPORT PIVOT'!$C$8:$AU$119,3,FALSE)</f>
        <v>0</v>
      </c>
      <c r="M40" s="57">
        <f>VLOOKUP($B40,'[11]ANNUAL REPORT PIVOT'!$C$8:$AU$119,6,FALSE)+VLOOKUP($B40,'[11]Net Post-Close Adjustments'!$A$3:$K$141,7,FALSE)</f>
        <v>421093.36999999988</v>
      </c>
      <c r="N40" s="57">
        <f>VLOOKUP($B40,'[11]ANNUAL REPORT PIVOT'!$C$8:$AC$117,10,FALSE)</f>
        <v>0</v>
      </c>
      <c r="O40" s="57">
        <f>VLOOKUP($B40,'[11]ANNUAL REPORT PIVOT'!$C$8:$AC$117,15,FALSE)+VLOOKUP($B40,'[11]Net Post-Close Adjustments'!$A$3:$K$141,9,FALSE)</f>
        <v>217214.06000000049</v>
      </c>
      <c r="P40" s="57">
        <f>VLOOKUP($B40,'[11]ANNUAL REPORT PIVOT'!$C$8:$AC$117,12,FALSE)</f>
        <v>0</v>
      </c>
      <c r="Q40" s="57">
        <f>VLOOKUP($B40,'[11]ANNUAL REPORT PIVOT'!$C$8:$AC$117,18,FALSE)</f>
        <v>0</v>
      </c>
      <c r="R40" s="57">
        <f>VLOOKUP($B40,'[11]ANNUAL REPORT PIVOT'!$C$8:$AC$117,21,FALSE)</f>
        <v>0</v>
      </c>
      <c r="S40" s="57">
        <f>VLOOKUP($B40,'[11]ANNUAL REPORT PIVOT'!$C$8:$AC$117,24,FALSE)+VLOOKUP($B40,'[11]Net Post-Close Adjustments'!$A$3:$K$141,8,FALSE)</f>
        <v>14.34</v>
      </c>
      <c r="T40" s="58"/>
      <c r="U40" s="58"/>
      <c r="V40" s="58"/>
      <c r="W40" s="58"/>
    </row>
    <row r="41" spans="1:23">
      <c r="A41" s="56" t="s">
        <v>74</v>
      </c>
      <c r="B41" s="56" t="s">
        <v>156</v>
      </c>
      <c r="C41" s="82" t="s">
        <v>157</v>
      </c>
      <c r="D41" s="56" t="s">
        <v>68</v>
      </c>
      <c r="E41" s="56" t="s">
        <v>132</v>
      </c>
      <c r="F41" s="56" t="s">
        <v>102</v>
      </c>
      <c r="G41" s="56" t="s">
        <v>102</v>
      </c>
      <c r="H41" s="57">
        <f>VLOOKUP($B41,[10]AR!$C$5:$I$109,7,FALSE)</f>
        <v>2099499.4744872418</v>
      </c>
      <c r="I41" s="57">
        <f>VLOOKUP($B41,[10]AR!$C$5:$I$109,3,FALSE)</f>
        <v>84829.252912900949</v>
      </c>
      <c r="J41" s="57">
        <v>0</v>
      </c>
      <c r="K41" s="57">
        <f>VLOOKUP($B41,'[11]ANNUAL REPORT PIVOT'!$C$8:$AU$119,5,FALSE)</f>
        <v>0</v>
      </c>
      <c r="L41" s="57">
        <f>VLOOKUP($B41,'[11]ANNUAL REPORT PIVOT'!$C$8:$AU$119,3,FALSE)</f>
        <v>0</v>
      </c>
      <c r="M41" s="57">
        <f>VLOOKUP($B41,'[11]ANNUAL REPORT PIVOT'!$C$8:$AU$119,6,FALSE)+VLOOKUP($B41,'[11]Net Post-Close Adjustments'!$A$3:$K$141,7,FALSE)</f>
        <v>-78609.349999999991</v>
      </c>
      <c r="N41" s="57">
        <f>VLOOKUP($B41,'[11]ANNUAL REPORT PIVOT'!$C$8:$AC$117,10,FALSE)</f>
        <v>0</v>
      </c>
      <c r="O41" s="57">
        <f>VLOOKUP($B41,'[11]ANNUAL REPORT PIVOT'!$C$8:$AC$117,15,FALSE)+VLOOKUP($B41,'[11]Net Post-Close Adjustments'!$A$3:$K$141,9,FALSE)</f>
        <v>1293217.8900000001</v>
      </c>
      <c r="P41" s="57">
        <f>VLOOKUP($B41,'[11]ANNUAL REPORT PIVOT'!$C$8:$AC$117,12,FALSE)</f>
        <v>0</v>
      </c>
      <c r="Q41" s="57">
        <f>VLOOKUP($B41,'[11]ANNUAL REPORT PIVOT'!$C$8:$AC$117,18,FALSE)</f>
        <v>0</v>
      </c>
      <c r="R41" s="57">
        <f>VLOOKUP($B41,'[11]ANNUAL REPORT PIVOT'!$C$8:$AC$117,21,FALSE)</f>
        <v>0</v>
      </c>
      <c r="S41" s="57">
        <f>VLOOKUP($B41,'[11]ANNUAL REPORT PIVOT'!$C$8:$AC$117,24,FALSE)+VLOOKUP($B41,'[11]Net Post-Close Adjustments'!$A$3:$K$141,8,FALSE)</f>
        <v>29852.07</v>
      </c>
      <c r="T41" s="58"/>
      <c r="U41" s="58"/>
      <c r="V41" s="58"/>
      <c r="W41" s="58"/>
    </row>
    <row r="42" spans="1:23">
      <c r="A42" s="56" t="s">
        <v>74</v>
      </c>
      <c r="B42" s="56" t="s">
        <v>158</v>
      </c>
      <c r="C42" s="82" t="s">
        <v>159</v>
      </c>
      <c r="D42" s="56" t="s">
        <v>68</v>
      </c>
      <c r="E42" s="56" t="s">
        <v>132</v>
      </c>
      <c r="F42" s="56" t="s">
        <v>102</v>
      </c>
      <c r="G42" s="56" t="s">
        <v>102</v>
      </c>
      <c r="H42" s="57">
        <v>0</v>
      </c>
      <c r="I42" s="57">
        <v>0</v>
      </c>
      <c r="J42" s="57">
        <v>0</v>
      </c>
      <c r="K42" s="57">
        <v>0</v>
      </c>
      <c r="L42" s="57">
        <v>0</v>
      </c>
      <c r="M42" s="57">
        <v>0</v>
      </c>
      <c r="N42" s="57">
        <v>0</v>
      </c>
      <c r="O42" s="57">
        <v>0</v>
      </c>
      <c r="P42" s="57">
        <v>0</v>
      </c>
      <c r="Q42" s="57">
        <v>0</v>
      </c>
      <c r="R42" s="57">
        <v>0</v>
      </c>
      <c r="S42" s="57">
        <v>0</v>
      </c>
      <c r="T42" s="58"/>
      <c r="U42" s="58"/>
      <c r="V42" s="58"/>
      <c r="W42" s="58"/>
    </row>
    <row r="43" spans="1:23">
      <c r="A43" s="56" t="s">
        <v>74</v>
      </c>
      <c r="B43" s="56" t="s">
        <v>160</v>
      </c>
      <c r="C43" s="82" t="s">
        <v>161</v>
      </c>
      <c r="D43" s="56" t="s">
        <v>68</v>
      </c>
      <c r="E43" s="56" t="s">
        <v>132</v>
      </c>
      <c r="F43" s="56" t="s">
        <v>102</v>
      </c>
      <c r="G43" s="56" t="s">
        <v>102</v>
      </c>
      <c r="H43" s="57">
        <f>VLOOKUP($B43,[10]AR!$C$5:$I$109,7,FALSE)</f>
        <v>8508956.7181954142</v>
      </c>
      <c r="I43" s="57">
        <f>VLOOKUP($B43,[10]AR!$C$5:$I$109,3,FALSE)</f>
        <v>254234.70346976322</v>
      </c>
      <c r="J43" s="57">
        <v>0</v>
      </c>
      <c r="K43" s="57">
        <f>VLOOKUP($B43,'[11]ANNUAL REPORT PIVOT'!$C$8:$AU$119,5,FALSE)</f>
        <v>0</v>
      </c>
      <c r="L43" s="57">
        <f>VLOOKUP($B43,'[11]ANNUAL REPORT PIVOT'!$C$8:$AU$119,3,FALSE)</f>
        <v>0</v>
      </c>
      <c r="M43" s="57">
        <f>VLOOKUP($B43,'[11]ANNUAL REPORT PIVOT'!$C$8:$AU$119,6,FALSE)+VLOOKUP($B43,'[11]Net Post-Close Adjustments'!$A$3:$K$141,7,FALSE)</f>
        <v>553998.60999999964</v>
      </c>
      <c r="N43" s="57">
        <f>VLOOKUP($B43,'[11]ANNUAL REPORT PIVOT'!$C$8:$AC$117,10,FALSE)</f>
        <v>0</v>
      </c>
      <c r="O43" s="57">
        <f>VLOOKUP($B43,'[11]ANNUAL REPORT PIVOT'!$C$8:$AC$117,15,FALSE)+VLOOKUP($B43,'[11]Net Post-Close Adjustments'!$A$3:$K$141,9,FALSE)</f>
        <v>5775968.9100000132</v>
      </c>
      <c r="P43" s="57">
        <f>VLOOKUP($B43,'[11]ANNUAL REPORT PIVOT'!$C$8:$AC$117,12,FALSE)</f>
        <v>0</v>
      </c>
      <c r="Q43" s="57">
        <f>VLOOKUP($B43,'[11]ANNUAL REPORT PIVOT'!$C$8:$AC$117,18,FALSE)</f>
        <v>0</v>
      </c>
      <c r="R43" s="57">
        <f>VLOOKUP($B43,'[11]ANNUAL REPORT PIVOT'!$C$8:$AC$117,21,FALSE)</f>
        <v>0</v>
      </c>
      <c r="S43" s="57">
        <f>VLOOKUP($B43,'[11]ANNUAL REPORT PIVOT'!$C$8:$AC$117,24,FALSE)+VLOOKUP($B43,'[11]Net Post-Close Adjustments'!$A$3:$K$141,8,FALSE)</f>
        <v>198110.38999999987</v>
      </c>
      <c r="T43" s="58"/>
      <c r="U43" s="58"/>
      <c r="V43" s="58"/>
      <c r="W43" s="58"/>
    </row>
    <row r="44" spans="1:23">
      <c r="A44" s="56" t="s">
        <v>74</v>
      </c>
      <c r="B44" s="56" t="s">
        <v>162</v>
      </c>
      <c r="C44" s="82" t="s">
        <v>163</v>
      </c>
      <c r="D44" s="56" t="s">
        <v>68</v>
      </c>
      <c r="E44" s="56" t="s">
        <v>132</v>
      </c>
      <c r="F44" s="56" t="s">
        <v>102</v>
      </c>
      <c r="G44" s="56" t="s">
        <v>102</v>
      </c>
      <c r="H44" s="57">
        <f>VLOOKUP($B44,[10]AR!$C$5:$I$109,7,FALSE)</f>
        <v>959913.87267989898</v>
      </c>
      <c r="I44" s="57">
        <f>VLOOKUP($B44,[10]AR!$C$5:$I$109,3,FALSE)</f>
        <v>34784.545493086305</v>
      </c>
      <c r="J44" s="57">
        <v>0</v>
      </c>
      <c r="K44" s="57">
        <f>VLOOKUP($B44,'[11]ANNUAL REPORT PIVOT'!$C$8:$AU$119,5,FALSE)</f>
        <v>0</v>
      </c>
      <c r="L44" s="57">
        <f>VLOOKUP($B44,'[11]ANNUAL REPORT PIVOT'!$C$8:$AU$119,3,FALSE)</f>
        <v>0</v>
      </c>
      <c r="M44" s="57">
        <f>VLOOKUP($B44,'[11]ANNUAL REPORT PIVOT'!$C$8:$AU$119,6,FALSE)+VLOOKUP($B44,'[11]Net Post-Close Adjustments'!$A$3:$K$141,7,FALSE)</f>
        <v>16128.699999999997</v>
      </c>
      <c r="N44" s="57">
        <f>VLOOKUP($B44,'[11]ANNUAL REPORT PIVOT'!$C$8:$AC$117,10,FALSE)</f>
        <v>0</v>
      </c>
      <c r="O44" s="57">
        <f>VLOOKUP($B44,'[11]ANNUAL REPORT PIVOT'!$C$8:$AC$117,15,FALSE)+VLOOKUP($B44,'[11]Net Post-Close Adjustments'!$A$3:$K$141,9,FALSE)</f>
        <v>713865.67</v>
      </c>
      <c r="P44" s="57">
        <f>VLOOKUP($B44,'[11]ANNUAL REPORT PIVOT'!$C$8:$AC$117,12,FALSE)</f>
        <v>0</v>
      </c>
      <c r="Q44" s="57">
        <f>VLOOKUP($B44,'[11]ANNUAL REPORT PIVOT'!$C$8:$AC$117,18,FALSE)</f>
        <v>0</v>
      </c>
      <c r="R44" s="57">
        <f>VLOOKUP($B44,'[11]ANNUAL REPORT PIVOT'!$C$8:$AC$117,21,FALSE)</f>
        <v>0</v>
      </c>
      <c r="S44" s="57">
        <f>VLOOKUP($B44,'[11]ANNUAL REPORT PIVOT'!$C$8:$AC$117,24,FALSE)+VLOOKUP($B44,'[11]Net Post-Close Adjustments'!$A$3:$K$141,8,FALSE)</f>
        <v>0</v>
      </c>
      <c r="T44" s="58"/>
      <c r="U44" s="58"/>
      <c r="V44" s="58"/>
      <c r="W44" s="58"/>
    </row>
    <row r="45" spans="1:23">
      <c r="A45" s="56" t="s">
        <v>74</v>
      </c>
      <c r="B45" s="56" t="s">
        <v>164</v>
      </c>
      <c r="C45" s="82" t="s">
        <v>165</v>
      </c>
      <c r="D45" s="56" t="s">
        <v>68</v>
      </c>
      <c r="E45" s="56" t="s">
        <v>132</v>
      </c>
      <c r="F45" s="56" t="s">
        <v>102</v>
      </c>
      <c r="G45" s="56" t="s">
        <v>102</v>
      </c>
      <c r="H45" s="57">
        <f>VLOOKUP($B45,[10]AR!$C$5:$I$109,7,FALSE)</f>
        <v>0</v>
      </c>
      <c r="I45" s="57">
        <f>VLOOKUP($B45,[10]AR!$C$5:$I$109,3,FALSE)</f>
        <v>0</v>
      </c>
      <c r="J45" s="57">
        <v>0</v>
      </c>
      <c r="K45" s="57">
        <f>VLOOKUP($B45,'[11]ANNUAL REPORT PIVOT'!$C$8:$AU$119,5,FALSE)</f>
        <v>0</v>
      </c>
      <c r="L45" s="57">
        <f>VLOOKUP($B45,'[11]ANNUAL REPORT PIVOT'!$C$8:$AU$119,3,FALSE)</f>
        <v>0</v>
      </c>
      <c r="M45" s="57">
        <f>VLOOKUP($B45,'[11]ANNUAL REPORT PIVOT'!$C$8:$AU$119,6,FALSE)+VLOOKUP($B45,'[11]Net Post-Close Adjustments'!$A$3:$K$141,7,FALSE)</f>
        <v>23.629999999999981</v>
      </c>
      <c r="N45" s="57">
        <f>VLOOKUP($B45,'[11]ANNUAL REPORT PIVOT'!$C$8:$AC$117,10,FALSE)</f>
        <v>0</v>
      </c>
      <c r="O45" s="57">
        <f>VLOOKUP($B45,'[11]ANNUAL REPORT PIVOT'!$C$8:$AC$117,15,FALSE)+VLOOKUP($B45,'[11]Net Post-Close Adjustments'!$A$3:$K$141,9,FALSE)</f>
        <v>-3053.76</v>
      </c>
      <c r="P45" s="57">
        <f>VLOOKUP($B45,'[11]ANNUAL REPORT PIVOT'!$C$8:$AC$117,12,FALSE)</f>
        <v>0</v>
      </c>
      <c r="Q45" s="57">
        <f>VLOOKUP($B45,'[11]ANNUAL REPORT PIVOT'!$C$8:$AC$117,18,FALSE)</f>
        <v>0</v>
      </c>
      <c r="R45" s="57">
        <f>VLOOKUP($B45,'[11]ANNUAL REPORT PIVOT'!$C$8:$AC$117,21,FALSE)</f>
        <v>0</v>
      </c>
      <c r="S45" s="57">
        <f>VLOOKUP($B45,'[11]ANNUAL REPORT PIVOT'!$C$8:$AC$117,24,FALSE)+VLOOKUP($B45,'[11]Net Post-Close Adjustments'!$A$3:$K$141,8,FALSE)</f>
        <v>0</v>
      </c>
      <c r="T45" s="58"/>
      <c r="U45" s="58"/>
      <c r="V45" s="58"/>
      <c r="W45" s="58"/>
    </row>
    <row r="46" spans="1:23">
      <c r="A46" s="56" t="s">
        <v>74</v>
      </c>
      <c r="B46" s="56" t="s">
        <v>166</v>
      </c>
      <c r="C46" s="82" t="s">
        <v>167</v>
      </c>
      <c r="D46" s="56" t="s">
        <v>68</v>
      </c>
      <c r="E46" s="56" t="s">
        <v>132</v>
      </c>
      <c r="F46" s="56" t="s">
        <v>102</v>
      </c>
      <c r="G46" s="56" t="s">
        <v>102</v>
      </c>
      <c r="H46" s="57">
        <f>VLOOKUP($B46,[10]AR!$C$5:$I$109,7,FALSE)</f>
        <v>273091.38593749644</v>
      </c>
      <c r="I46" s="57">
        <f>VLOOKUP($B46,[10]AR!$C$5:$I$109,3,FALSE)</f>
        <v>763.63722532342149</v>
      </c>
      <c r="J46" s="57">
        <v>0</v>
      </c>
      <c r="K46" s="57">
        <v>0</v>
      </c>
      <c r="L46" s="57">
        <v>0</v>
      </c>
      <c r="M46" s="57">
        <v>0</v>
      </c>
      <c r="N46" s="57">
        <v>0</v>
      </c>
      <c r="O46" s="57">
        <v>0</v>
      </c>
      <c r="P46" s="57">
        <v>0</v>
      </c>
      <c r="Q46" s="57">
        <v>0</v>
      </c>
      <c r="R46" s="57">
        <v>0</v>
      </c>
      <c r="S46" s="57">
        <v>0</v>
      </c>
      <c r="T46" s="58"/>
      <c r="U46" s="58"/>
      <c r="V46" s="58"/>
      <c r="W46" s="58"/>
    </row>
    <row r="47" spans="1:23">
      <c r="A47" s="56" t="s">
        <v>74</v>
      </c>
      <c r="B47" s="56" t="s">
        <v>168</v>
      </c>
      <c r="C47" s="82" t="s">
        <v>169</v>
      </c>
      <c r="D47" s="56" t="s">
        <v>68</v>
      </c>
      <c r="E47" s="56" t="s">
        <v>132</v>
      </c>
      <c r="F47" s="56" t="s">
        <v>102</v>
      </c>
      <c r="G47" s="56" t="s">
        <v>102</v>
      </c>
      <c r="H47" s="57">
        <f>VLOOKUP($B47,[10]AR!$C$5:$I$109,7,FALSE)</f>
        <v>0</v>
      </c>
      <c r="I47" s="57">
        <f>VLOOKUP($B47,[10]AR!$C$5:$I$109,3,FALSE)</f>
        <v>0</v>
      </c>
      <c r="J47" s="57">
        <v>0</v>
      </c>
      <c r="K47" s="57">
        <f>VLOOKUP($B47,'[11]ANNUAL REPORT PIVOT'!$C$8:$AU$119,5,FALSE)</f>
        <v>0</v>
      </c>
      <c r="L47" s="57">
        <f>VLOOKUP($B47,'[11]ANNUAL REPORT PIVOT'!$C$8:$AU$119,3,FALSE)</f>
        <v>0</v>
      </c>
      <c r="M47" s="57">
        <f>VLOOKUP($B47,'[11]ANNUAL REPORT PIVOT'!$C$8:$AU$119,6,FALSE)+VLOOKUP($B47,'[11]Net Post-Close Adjustments'!$A$3:$K$141,7,FALSE)</f>
        <v>17993.450000000004</v>
      </c>
      <c r="N47" s="57">
        <f>VLOOKUP($B47,'[11]ANNUAL REPORT PIVOT'!$C$8:$AC$117,10,FALSE)</f>
        <v>0</v>
      </c>
      <c r="O47" s="57">
        <f>VLOOKUP($B47,'[11]ANNUAL REPORT PIVOT'!$C$8:$AC$117,15,FALSE)+VLOOKUP($B47,'[11]Net Post-Close Adjustments'!$A$3:$K$141,9,FALSE)</f>
        <v>2283.1499999999987</v>
      </c>
      <c r="P47" s="57">
        <f>VLOOKUP($B47,'[11]ANNUAL REPORT PIVOT'!$C$8:$AC$117,12,FALSE)</f>
        <v>0</v>
      </c>
      <c r="Q47" s="57">
        <f>VLOOKUP($B47,'[11]ANNUAL REPORT PIVOT'!$C$8:$AC$117,18,FALSE)</f>
        <v>0</v>
      </c>
      <c r="R47" s="57">
        <f>VLOOKUP($B47,'[11]ANNUAL REPORT PIVOT'!$C$8:$AC$117,21,FALSE)</f>
        <v>0</v>
      </c>
      <c r="S47" s="57">
        <f>VLOOKUP($B47,'[11]ANNUAL REPORT PIVOT'!$C$8:$AC$117,24,FALSE)+VLOOKUP($B47,'[11]Net Post-Close Adjustments'!$A$3:$K$141,8,FALSE)</f>
        <v>0</v>
      </c>
      <c r="T47" s="58"/>
      <c r="U47" s="58"/>
      <c r="V47" s="58"/>
      <c r="W47" s="58"/>
    </row>
    <row r="48" spans="1:23">
      <c r="A48" s="56" t="s">
        <v>74</v>
      </c>
      <c r="B48" s="56" t="s">
        <v>170</v>
      </c>
      <c r="C48" s="82" t="s">
        <v>171</v>
      </c>
      <c r="D48" s="56" t="s">
        <v>68</v>
      </c>
      <c r="E48" s="56" t="s">
        <v>132</v>
      </c>
      <c r="F48" s="56" t="s">
        <v>78</v>
      </c>
      <c r="G48" s="56" t="s">
        <v>79</v>
      </c>
      <c r="H48" s="57">
        <f>VLOOKUP($B48,[10]AR!$C$5:$I$109,7,FALSE)</f>
        <v>5802331.1782740867</v>
      </c>
      <c r="I48" s="57">
        <f>VLOOKUP($B48,[10]AR!$C$5:$I$109,3,FALSE)</f>
        <v>58401.591917153455</v>
      </c>
      <c r="J48" s="57">
        <v>0</v>
      </c>
      <c r="K48" s="57">
        <f>VLOOKUP($B48,'[11]ANNUAL REPORT PIVOT'!$C$8:$AU$119,5,FALSE)</f>
        <v>0</v>
      </c>
      <c r="L48" s="57">
        <f>VLOOKUP($B48,'[11]ANNUAL REPORT PIVOT'!$C$8:$AU$119,3,FALSE)</f>
        <v>0</v>
      </c>
      <c r="M48" s="57">
        <f>VLOOKUP($B48,'[11]ANNUAL REPORT PIVOT'!$C$8:$AU$119,6,FALSE)+VLOOKUP($B48,'[11]Net Post-Close Adjustments'!$A$3:$K$141,7,FALSE)</f>
        <v>642325.36392051587</v>
      </c>
      <c r="N48" s="57">
        <f>VLOOKUP($B48,'[11]ANNUAL REPORT PIVOT'!$C$8:$AC$117,10,FALSE)</f>
        <v>0</v>
      </c>
      <c r="O48" s="57">
        <f>VLOOKUP($B48,'[11]ANNUAL REPORT PIVOT'!$C$8:$AC$117,15,FALSE)+VLOOKUP($B48,'[11]Net Post-Close Adjustments'!$A$3:$K$141,9,FALSE)</f>
        <v>2509671.2974489732</v>
      </c>
      <c r="P48" s="57">
        <f>VLOOKUP($B48,'[11]ANNUAL REPORT PIVOT'!$C$8:$AC$117,12,FALSE)</f>
        <v>0</v>
      </c>
      <c r="Q48" s="57">
        <f>VLOOKUP($B48,'[11]ANNUAL REPORT PIVOT'!$C$8:$AC$117,18,FALSE)</f>
        <v>0</v>
      </c>
      <c r="R48" s="57">
        <f>VLOOKUP($B48,'[11]ANNUAL REPORT PIVOT'!$C$8:$AC$117,21,FALSE)</f>
        <v>0</v>
      </c>
      <c r="S48" s="57">
        <f>VLOOKUP($B48,'[11]ANNUAL REPORT PIVOT'!$C$8:$AC$117,24,FALSE)+VLOOKUP($B48,'[11]Net Post-Close Adjustments'!$A$3:$K$141,8,FALSE)</f>
        <v>799377.99999999604</v>
      </c>
      <c r="T48" s="58"/>
      <c r="U48" s="58"/>
      <c r="V48" s="58"/>
      <c r="W48" s="58"/>
    </row>
    <row r="49" spans="1:23">
      <c r="A49" s="56" t="s">
        <v>74</v>
      </c>
      <c r="B49" s="56" t="s">
        <v>172</v>
      </c>
      <c r="C49" s="82" t="s">
        <v>173</v>
      </c>
      <c r="D49" s="56" t="s">
        <v>68</v>
      </c>
      <c r="E49" s="56" t="s">
        <v>132</v>
      </c>
      <c r="F49" s="56" t="s">
        <v>78</v>
      </c>
      <c r="G49" s="56" t="s">
        <v>79</v>
      </c>
      <c r="H49" s="57">
        <f>VLOOKUP($B49,[10]AR!$C$5:$I$109,7,FALSE)</f>
        <v>629253.32097203098</v>
      </c>
      <c r="I49" s="57">
        <f>VLOOKUP($B49,[10]AR!$C$5:$I$109,3,FALSE)</f>
        <v>339819.26721624087</v>
      </c>
      <c r="J49" s="57">
        <v>0</v>
      </c>
      <c r="K49" s="57">
        <f>VLOOKUP($B49,'[11]ANNUAL REPORT PIVOT'!$C$8:$AU$119,5,FALSE)</f>
        <v>0</v>
      </c>
      <c r="L49" s="57">
        <f>VLOOKUP($B49,'[11]ANNUAL REPORT PIVOT'!$C$8:$AU$119,3,FALSE)</f>
        <v>0</v>
      </c>
      <c r="M49" s="57">
        <f>VLOOKUP($B49,'[11]ANNUAL REPORT PIVOT'!$C$8:$AU$119,6,FALSE)+VLOOKUP($B49,'[11]Net Post-Close Adjustments'!$A$3:$K$141,7,FALSE)</f>
        <v>25822.06</v>
      </c>
      <c r="N49" s="57">
        <f>VLOOKUP($B49,'[11]ANNUAL REPORT PIVOT'!$C$8:$AC$117,10,FALSE)</f>
        <v>0</v>
      </c>
      <c r="O49" s="57">
        <f>VLOOKUP($B49,'[11]ANNUAL REPORT PIVOT'!$C$8:$AC$117,15,FALSE)+VLOOKUP($B49,'[11]Net Post-Close Adjustments'!$A$3:$K$141,9,FALSE)</f>
        <v>0</v>
      </c>
      <c r="P49" s="57">
        <f>VLOOKUP($B49,'[11]ANNUAL REPORT PIVOT'!$C$8:$AC$117,12,FALSE)</f>
        <v>0</v>
      </c>
      <c r="Q49" s="57">
        <f>VLOOKUP($B49,'[11]ANNUAL REPORT PIVOT'!$C$8:$AC$117,18,FALSE)</f>
        <v>0</v>
      </c>
      <c r="R49" s="57">
        <f>VLOOKUP($B49,'[11]ANNUAL REPORT PIVOT'!$C$8:$AC$117,21,FALSE)</f>
        <v>0</v>
      </c>
      <c r="S49" s="57">
        <f>VLOOKUP($B49,'[11]ANNUAL REPORT PIVOT'!$C$8:$AC$117,24,FALSE)+VLOOKUP($B49,'[11]Net Post-Close Adjustments'!$A$3:$K$141,8,FALSE)</f>
        <v>0</v>
      </c>
      <c r="T49" s="58"/>
      <c r="U49" s="58"/>
      <c r="V49" s="58"/>
      <c r="W49" s="58"/>
    </row>
    <row r="50" spans="1:23">
      <c r="A50" s="56" t="s">
        <v>74</v>
      </c>
      <c r="B50" s="56" t="s">
        <v>174</v>
      </c>
      <c r="C50" s="82" t="s">
        <v>175</v>
      </c>
      <c r="D50" s="56" t="s">
        <v>68</v>
      </c>
      <c r="E50" s="56" t="s">
        <v>132</v>
      </c>
      <c r="F50" s="56" t="s">
        <v>78</v>
      </c>
      <c r="G50" s="56" t="s">
        <v>79</v>
      </c>
      <c r="H50" s="57">
        <f>VLOOKUP($B50,[10]AR!$C$5:$I$109,7,FALSE)</f>
        <v>64982.467199999992</v>
      </c>
      <c r="I50" s="57">
        <f>VLOOKUP($B50,[10]AR!$C$5:$I$109,3,FALSE)</f>
        <v>0</v>
      </c>
      <c r="J50" s="57">
        <v>0</v>
      </c>
      <c r="K50" s="57">
        <f>VLOOKUP($B50,'[11]ANNUAL REPORT PIVOT'!$C$8:$AU$119,5,FALSE)</f>
        <v>0</v>
      </c>
      <c r="L50" s="57">
        <f>VLOOKUP($B50,'[11]ANNUAL REPORT PIVOT'!$C$8:$AU$119,3,FALSE)</f>
        <v>0</v>
      </c>
      <c r="M50" s="57">
        <f>VLOOKUP($B50,'[11]ANNUAL REPORT PIVOT'!$C$8:$AU$119,6,FALSE)+VLOOKUP($B50,'[11]Net Post-Close Adjustments'!$A$3:$K$141,7,FALSE)</f>
        <v>55179.400000000009</v>
      </c>
      <c r="N50" s="57">
        <f>VLOOKUP($B50,'[11]ANNUAL REPORT PIVOT'!$C$8:$AC$117,10,FALSE)</f>
        <v>0</v>
      </c>
      <c r="O50" s="57">
        <f>VLOOKUP($B50,'[11]ANNUAL REPORT PIVOT'!$C$8:$AC$117,15,FALSE)+VLOOKUP($B50,'[11]Net Post-Close Adjustments'!$A$3:$K$141,9,FALSE)</f>
        <v>5898.6799999999994</v>
      </c>
      <c r="P50" s="57">
        <f>VLOOKUP($B50,'[11]ANNUAL REPORT PIVOT'!$C$8:$AC$117,12,FALSE)</f>
        <v>0</v>
      </c>
      <c r="Q50" s="57">
        <f>VLOOKUP($B50,'[11]ANNUAL REPORT PIVOT'!$C$8:$AC$117,18,FALSE)</f>
        <v>0</v>
      </c>
      <c r="R50" s="57">
        <f>VLOOKUP($B50,'[11]ANNUAL REPORT PIVOT'!$C$8:$AC$117,21,FALSE)</f>
        <v>0</v>
      </c>
      <c r="S50" s="57">
        <f>VLOOKUP($B50,'[11]ANNUAL REPORT PIVOT'!$C$8:$AC$117,24,FALSE)+VLOOKUP($B50,'[11]Net Post-Close Adjustments'!$A$3:$K$141,8,FALSE)</f>
        <v>-4811.33</v>
      </c>
      <c r="T50" s="58"/>
      <c r="U50" s="58"/>
      <c r="V50" s="58"/>
      <c r="W50" s="58"/>
    </row>
    <row r="51" spans="1:23">
      <c r="A51" s="56" t="s">
        <v>74</v>
      </c>
      <c r="B51" s="56" t="s">
        <v>176</v>
      </c>
      <c r="C51" s="82" t="s">
        <v>177</v>
      </c>
      <c r="D51" s="56" t="s">
        <v>68</v>
      </c>
      <c r="E51" s="56" t="s">
        <v>132</v>
      </c>
      <c r="F51" s="56" t="s">
        <v>78</v>
      </c>
      <c r="G51" s="56" t="s">
        <v>79</v>
      </c>
      <c r="H51" s="57">
        <f>VLOOKUP($B51,[10]AR!$C$5:$I$109,7,FALSE)</f>
        <v>0</v>
      </c>
      <c r="I51" s="57">
        <f>VLOOKUP($B51,[10]AR!$C$5:$I$109,3,FALSE)</f>
        <v>0</v>
      </c>
      <c r="J51" s="57">
        <v>0</v>
      </c>
      <c r="K51" s="57">
        <f>VLOOKUP($B51,'[11]ANNUAL REPORT PIVOT'!$C$8:$AU$119,5,FALSE)</f>
        <v>0</v>
      </c>
      <c r="L51" s="57">
        <v>0</v>
      </c>
      <c r="M51" s="57">
        <v>0</v>
      </c>
      <c r="N51" s="57">
        <v>0</v>
      </c>
      <c r="O51" s="57">
        <v>0</v>
      </c>
      <c r="P51" s="57">
        <v>0</v>
      </c>
      <c r="Q51" s="57">
        <v>0</v>
      </c>
      <c r="R51" s="57">
        <v>0</v>
      </c>
      <c r="S51" s="57">
        <f>VLOOKUP($B51,'[11]ANNUAL REPORT PIVOT'!$C$8:$AC$117,24,FALSE)+VLOOKUP($B51,'[11]Net Post-Close Adjustments'!$A$3:$K$141,8,FALSE)</f>
        <v>0</v>
      </c>
      <c r="T51" s="58"/>
      <c r="U51" s="58"/>
      <c r="V51" s="58"/>
      <c r="W51" s="58"/>
    </row>
    <row r="52" spans="1:23">
      <c r="A52" s="56" t="s">
        <v>74</v>
      </c>
      <c r="B52" s="56"/>
      <c r="C52" s="82"/>
      <c r="D52" s="56"/>
      <c r="E52" s="56"/>
      <c r="F52" s="56"/>
      <c r="G52" s="56"/>
      <c r="H52" s="57"/>
      <c r="I52" s="57"/>
      <c r="J52" s="57"/>
      <c r="K52" s="57"/>
      <c r="L52" s="57"/>
      <c r="M52" s="57"/>
      <c r="N52" s="57"/>
      <c r="O52" s="57"/>
      <c r="P52" s="57"/>
      <c r="Q52" s="57"/>
      <c r="R52" s="57"/>
      <c r="S52" s="57"/>
      <c r="T52" s="58"/>
      <c r="U52" s="58"/>
      <c r="V52" s="58"/>
      <c r="W52" s="58"/>
    </row>
    <row r="53" spans="1:23">
      <c r="A53" s="56" t="s">
        <v>74</v>
      </c>
      <c r="B53" s="56"/>
      <c r="C53" s="216" t="s">
        <v>178</v>
      </c>
      <c r="D53" s="56"/>
      <c r="E53" s="56"/>
      <c r="F53" s="56"/>
      <c r="G53" s="56"/>
      <c r="H53" s="57"/>
      <c r="I53" s="57"/>
      <c r="J53" s="57"/>
      <c r="K53" s="57"/>
      <c r="L53" s="57"/>
      <c r="M53" s="57"/>
      <c r="N53" s="57"/>
      <c r="O53" s="57"/>
      <c r="P53" s="57"/>
      <c r="Q53" s="57"/>
      <c r="R53" s="57"/>
      <c r="S53" s="57"/>
      <c r="T53" s="58"/>
      <c r="U53" s="58"/>
      <c r="V53" s="58"/>
      <c r="W53" s="58"/>
    </row>
    <row r="54" spans="1:23">
      <c r="A54" s="56" t="s">
        <v>74</v>
      </c>
      <c r="B54" s="56" t="s">
        <v>179</v>
      </c>
      <c r="C54" s="82" t="s">
        <v>180</v>
      </c>
      <c r="D54" s="56" t="s">
        <v>181</v>
      </c>
      <c r="E54" s="56" t="s">
        <v>182</v>
      </c>
      <c r="F54" s="56" t="s">
        <v>78</v>
      </c>
      <c r="G54" s="56" t="s">
        <v>79</v>
      </c>
      <c r="H54" s="57">
        <f>VLOOKUP($B54,[10]AR!$C$5:$I$109,7,FALSE)</f>
        <v>1107619.9911234495</v>
      </c>
      <c r="I54" s="57">
        <f>VLOOKUP($B54,[10]AR!$C$5:$I$109,3,FALSE)</f>
        <v>76891.15984726719</v>
      </c>
      <c r="J54" s="57">
        <v>0</v>
      </c>
      <c r="K54" s="57">
        <f>VLOOKUP($B54,'[11]ANNUAL REPORT PIVOT'!$C$8:$AU$119,5,FALSE)</f>
        <v>0</v>
      </c>
      <c r="L54" s="57">
        <f>VLOOKUP($B54,'[11]ANNUAL REPORT PIVOT'!$C$8:$AU$119,3,FALSE)</f>
        <v>0</v>
      </c>
      <c r="M54" s="57">
        <f>VLOOKUP($B54,'[11]ANNUAL REPORT PIVOT'!$C$8:$AU$119,6,FALSE)+VLOOKUP($B54,'[11]Net Post-Close Adjustments'!$A$3:$K$141,7,FALSE)</f>
        <v>40759.648736412448</v>
      </c>
      <c r="N54" s="57">
        <f>VLOOKUP($B54,'[11]ANNUAL REPORT PIVOT'!$C$8:$AC$117,10,FALSE)</f>
        <v>0</v>
      </c>
      <c r="O54" s="57">
        <f>VLOOKUP($B54,'[11]ANNUAL REPORT PIVOT'!$C$8:$AC$117,15,FALSE)+VLOOKUP($B54,'[11]Net Post-Close Adjustments'!$A$3:$K$141,9,FALSE)</f>
        <v>783784.79900918365</v>
      </c>
      <c r="P54" s="57">
        <f>VLOOKUP($B54,'[11]ANNUAL REPORT PIVOT'!$C$8:$AC$117,12,FALSE)</f>
        <v>0</v>
      </c>
      <c r="Q54" s="57">
        <f>VLOOKUP($B54,'[11]ANNUAL REPORT PIVOT'!$C$8:$AC$117,18,FALSE)</f>
        <v>508290.19</v>
      </c>
      <c r="R54" s="57">
        <f>VLOOKUP($B54,'[11]ANNUAL REPORT PIVOT'!$C$8:$AC$117,21,FALSE)</f>
        <v>0</v>
      </c>
      <c r="S54" s="57">
        <f>VLOOKUP($B54,'[11]ANNUAL REPORT PIVOT'!$C$8:$AC$117,24,FALSE)+VLOOKUP($B54,'[11]Net Post-Close Adjustments'!$A$3:$K$141,8,FALSE)</f>
        <v>15.14</v>
      </c>
      <c r="T54" s="58"/>
      <c r="U54" s="58"/>
      <c r="V54" s="58"/>
      <c r="W54" s="58"/>
    </row>
    <row r="55" spans="1:23">
      <c r="A55" s="56" t="s">
        <v>74</v>
      </c>
      <c r="B55" s="56" t="s">
        <v>183</v>
      </c>
      <c r="C55" s="82" t="s">
        <v>184</v>
      </c>
      <c r="D55" s="56" t="s">
        <v>181</v>
      </c>
      <c r="E55" s="56" t="s">
        <v>182</v>
      </c>
      <c r="F55" s="56" t="s">
        <v>78</v>
      </c>
      <c r="G55" s="56" t="s">
        <v>79</v>
      </c>
      <c r="H55" s="57">
        <f>VLOOKUP($B55,[10]AR!$C$5:$I$109,7,FALSE)</f>
        <v>932487.89264213899</v>
      </c>
      <c r="I55" s="57">
        <f>VLOOKUP($B55,[10]AR!$C$5:$I$109,3,FALSE)</f>
        <v>64733.461099833774</v>
      </c>
      <c r="J55" s="57">
        <v>0</v>
      </c>
      <c r="K55" s="57">
        <f>VLOOKUP($B55,'[11]ANNUAL REPORT PIVOT'!$C$8:$AU$119,5,FALSE)</f>
        <v>37546.120000000003</v>
      </c>
      <c r="L55" s="57">
        <f>VLOOKUP($B55,'[11]ANNUAL REPORT PIVOT'!$C$8:$AU$119,3,FALSE)</f>
        <v>0</v>
      </c>
      <c r="M55" s="57">
        <f>VLOOKUP($B55,'[11]ANNUAL REPORT PIVOT'!$C$8:$AU$119,6,FALSE)+VLOOKUP($B55,'[11]Net Post-Close Adjustments'!$A$3:$K$141,7,FALSE)</f>
        <v>341618.01965805364</v>
      </c>
      <c r="N55" s="57">
        <f>VLOOKUP($B55,'[11]ANNUAL REPORT PIVOT'!$C$8:$AC$117,10,FALSE)</f>
        <v>0</v>
      </c>
      <c r="O55" s="57">
        <f>VLOOKUP($B55,'[11]ANNUAL REPORT PIVOT'!$C$8:$AC$117,15,FALSE)+VLOOKUP($B55,'[11]Net Post-Close Adjustments'!$A$3:$K$141,9,FALSE)</f>
        <v>554638.28621410183</v>
      </c>
      <c r="P55" s="57">
        <f>VLOOKUP($B55,'[11]ANNUAL REPORT PIVOT'!$C$8:$AC$117,12,FALSE)</f>
        <v>0</v>
      </c>
      <c r="Q55" s="57">
        <f>VLOOKUP($B55,'[11]ANNUAL REPORT PIVOT'!$C$8:$AC$117,18,FALSE)</f>
        <v>3248375.79</v>
      </c>
      <c r="R55" s="57">
        <f>VLOOKUP($B55,'[11]ANNUAL REPORT PIVOT'!$C$8:$AC$117,21,FALSE)</f>
        <v>0</v>
      </c>
      <c r="S55" s="57">
        <f>VLOOKUP($B55,'[11]ANNUAL REPORT PIVOT'!$C$8:$AC$117,24,FALSE)+VLOOKUP($B55,'[11]Net Post-Close Adjustments'!$A$3:$K$141,8,FALSE)</f>
        <v>39303.61</v>
      </c>
      <c r="T55" s="58"/>
      <c r="U55" s="58"/>
      <c r="V55" s="58"/>
      <c r="W55" s="58"/>
    </row>
    <row r="56" spans="1:23">
      <c r="A56" s="56" t="s">
        <v>74</v>
      </c>
      <c r="B56" s="56" t="s">
        <v>185</v>
      </c>
      <c r="C56" s="82" t="s">
        <v>186</v>
      </c>
      <c r="D56" s="56" t="s">
        <v>181</v>
      </c>
      <c r="E56" s="56" t="s">
        <v>182</v>
      </c>
      <c r="F56" s="56" t="s">
        <v>78</v>
      </c>
      <c r="G56" s="56" t="s">
        <v>79</v>
      </c>
      <c r="H56" s="57">
        <f>VLOOKUP($B56,[10]AR!$C$5:$I$109,7,FALSE)</f>
        <v>926894.92325672542</v>
      </c>
      <c r="I56" s="57">
        <f>VLOOKUP($B56,[10]AR!$C$5:$I$109,3,FALSE)</f>
        <v>64345.196255860981</v>
      </c>
      <c r="J56" s="57">
        <v>0</v>
      </c>
      <c r="K56" s="57">
        <f>VLOOKUP($B56,'[11]ANNUAL REPORT PIVOT'!$C$8:$AU$119,5,FALSE)</f>
        <v>-987.38</v>
      </c>
      <c r="L56" s="57">
        <f>VLOOKUP($B56,'[11]ANNUAL REPORT PIVOT'!$C$8:$AU$119,3,FALSE)</f>
        <v>0</v>
      </c>
      <c r="M56" s="57">
        <f>VLOOKUP($B56,'[11]ANNUAL REPORT PIVOT'!$C$8:$AU$119,6,FALSE)+VLOOKUP($B56,'[11]Net Post-Close Adjustments'!$A$3:$K$141,7,FALSE)</f>
        <v>2911.8878719999993</v>
      </c>
      <c r="N56" s="57">
        <f>VLOOKUP($B56,'[11]ANNUAL REPORT PIVOT'!$C$8:$AC$117,10,FALSE)</f>
        <v>0</v>
      </c>
      <c r="O56" s="57">
        <f>VLOOKUP($B56,'[11]ANNUAL REPORT PIVOT'!$C$8:$AC$117,15,FALSE)+VLOOKUP($B56,'[11]Net Post-Close Adjustments'!$A$3:$K$141,9,FALSE)</f>
        <v>-67255.176993999994</v>
      </c>
      <c r="P56" s="57">
        <f>VLOOKUP($B56,'[11]ANNUAL REPORT PIVOT'!$C$8:$AC$117,12,FALSE)</f>
        <v>0</v>
      </c>
      <c r="Q56" s="57">
        <f>VLOOKUP($B56,'[11]ANNUAL REPORT PIVOT'!$C$8:$AC$117,18,FALSE)</f>
        <v>69529.11</v>
      </c>
      <c r="R56" s="57">
        <f>VLOOKUP($B56,'[11]ANNUAL REPORT PIVOT'!$C$8:$AC$117,21,FALSE)</f>
        <v>0</v>
      </c>
      <c r="S56" s="57">
        <f>VLOOKUP($B56,'[11]ANNUAL REPORT PIVOT'!$C$8:$AC$117,24,FALSE)+VLOOKUP($B56,'[11]Net Post-Close Adjustments'!$A$3:$K$141,8,FALSE)</f>
        <v>0</v>
      </c>
      <c r="T56" s="58"/>
      <c r="U56" s="58"/>
      <c r="V56" s="58"/>
      <c r="W56" s="58"/>
    </row>
    <row r="57" spans="1:23">
      <c r="A57" s="56" t="s">
        <v>74</v>
      </c>
      <c r="B57" s="56" t="s">
        <v>187</v>
      </c>
      <c r="C57" s="82" t="s">
        <v>188</v>
      </c>
      <c r="D57" s="56" t="s">
        <v>181</v>
      </c>
      <c r="E57" s="56" t="s">
        <v>182</v>
      </c>
      <c r="F57" s="56" t="s">
        <v>78</v>
      </c>
      <c r="G57" s="56" t="s">
        <v>79</v>
      </c>
      <c r="H57" s="57">
        <f>VLOOKUP($B57,[10]AR!$C$5:$I$109,7,FALSE)</f>
        <v>1081206.3762857332</v>
      </c>
      <c r="I57" s="57">
        <f>VLOOKUP($B57,[10]AR!$C$5:$I$109,3,FALSE)</f>
        <v>75057.522411226513</v>
      </c>
      <c r="J57" s="57">
        <v>0</v>
      </c>
      <c r="K57" s="57">
        <f>VLOOKUP($B57,'[11]ANNUAL REPORT PIVOT'!$C$8:$AU$119,5,FALSE)</f>
        <v>-3272.11</v>
      </c>
      <c r="L57" s="57">
        <f>VLOOKUP($B57,'[11]ANNUAL REPORT PIVOT'!$C$8:$AU$119,3,FALSE)</f>
        <v>0</v>
      </c>
      <c r="M57" s="57">
        <f>VLOOKUP($B57,'[11]ANNUAL REPORT PIVOT'!$C$8:$AU$119,6,FALSE)+VLOOKUP($B57,'[11]Net Post-Close Adjustments'!$A$3:$K$141,7,FALSE)</f>
        <v>6435.5115199999991</v>
      </c>
      <c r="N57" s="57">
        <f>VLOOKUP($B57,'[11]ANNUAL REPORT PIVOT'!$C$8:$AC$117,10,FALSE)</f>
        <v>0</v>
      </c>
      <c r="O57" s="57">
        <f>VLOOKUP($B57,'[11]ANNUAL REPORT PIVOT'!$C$8:$AC$117,15,FALSE)+VLOOKUP($B57,'[11]Net Post-Close Adjustments'!$A$3:$K$141,9,FALSE)</f>
        <v>137351.73321000001</v>
      </c>
      <c r="P57" s="57">
        <f>VLOOKUP($B57,'[11]ANNUAL REPORT PIVOT'!$C$8:$AC$117,12,FALSE)</f>
        <v>0</v>
      </c>
      <c r="Q57" s="57">
        <f>VLOOKUP($B57,'[11]ANNUAL REPORT PIVOT'!$C$8:$AC$117,18,FALSE)</f>
        <v>172171.27</v>
      </c>
      <c r="R57" s="57">
        <f>VLOOKUP($B57,'[11]ANNUAL REPORT PIVOT'!$C$8:$AC$117,21,FALSE)</f>
        <v>0</v>
      </c>
      <c r="S57" s="57">
        <f>VLOOKUP($B57,'[11]ANNUAL REPORT PIVOT'!$C$8:$AC$117,24,FALSE)+VLOOKUP($B57,'[11]Net Post-Close Adjustments'!$A$3:$K$141,8,FALSE)</f>
        <v>11.39</v>
      </c>
      <c r="T57" s="58"/>
      <c r="U57" s="58"/>
      <c r="V57" s="58"/>
      <c r="W57" s="58"/>
    </row>
    <row r="58" spans="1:23">
      <c r="A58" s="56" t="s">
        <v>74</v>
      </c>
      <c r="B58" s="56" t="s">
        <v>189</v>
      </c>
      <c r="C58" s="82" t="s">
        <v>190</v>
      </c>
      <c r="D58" s="56" t="s">
        <v>181</v>
      </c>
      <c r="E58" s="56" t="s">
        <v>182</v>
      </c>
      <c r="F58" s="56" t="s">
        <v>78</v>
      </c>
      <c r="G58" s="56" t="s">
        <v>79</v>
      </c>
      <c r="H58" s="57">
        <f>VLOOKUP($B58,[10]AR!$C$5:$I$109,7,FALSE)</f>
        <v>0</v>
      </c>
      <c r="I58" s="57">
        <f>VLOOKUP($B58,[10]AR!$C$5:$I$109,3,FALSE)</f>
        <v>0</v>
      </c>
      <c r="J58" s="57">
        <v>0</v>
      </c>
      <c r="K58" s="57">
        <f>VLOOKUP($B58,'[11]ANNUAL REPORT PIVOT'!$C$8:$AU$119,5,FALSE)</f>
        <v>368790.03</v>
      </c>
      <c r="L58" s="57">
        <f>VLOOKUP($B58,'[11]ANNUAL REPORT PIVOT'!$C$8:$AU$119,3,FALSE)</f>
        <v>0</v>
      </c>
      <c r="M58" s="57">
        <f>VLOOKUP($B58,'[11]ANNUAL REPORT PIVOT'!$C$8:$AU$119,6,FALSE)+VLOOKUP($B58,'[11]Net Post-Close Adjustments'!$A$3:$K$141,7,FALSE)</f>
        <v>474030.85240000003</v>
      </c>
      <c r="N58" s="57">
        <f>VLOOKUP($B58,'[11]ANNUAL REPORT PIVOT'!$C$8:$AC$117,10,FALSE)</f>
        <v>0</v>
      </c>
      <c r="O58" s="57">
        <f>VLOOKUP($B58,'[11]ANNUAL REPORT PIVOT'!$C$8:$AC$117,15,FALSE)+VLOOKUP($B58,'[11]Net Post-Close Adjustments'!$A$3:$K$141,9,FALSE)</f>
        <v>1237119.2314500001</v>
      </c>
      <c r="P58" s="57">
        <f>VLOOKUP($B58,'[11]ANNUAL REPORT PIVOT'!$C$8:$AC$117,12,FALSE)</f>
        <v>0</v>
      </c>
      <c r="Q58" s="57">
        <f>VLOOKUP($B58,'[11]ANNUAL REPORT PIVOT'!$C$8:$AC$117,18,FALSE)</f>
        <v>1205491.7799999998</v>
      </c>
      <c r="R58" s="57">
        <f>VLOOKUP($B58,'[11]ANNUAL REPORT PIVOT'!$C$8:$AC$117,21,FALSE)</f>
        <v>0</v>
      </c>
      <c r="S58" s="57">
        <f>VLOOKUP($B58,'[11]ANNUAL REPORT PIVOT'!$C$8:$AC$117,24,FALSE)+VLOOKUP($B58,'[11]Net Post-Close Adjustments'!$A$3:$K$141,8,FALSE)</f>
        <v>115118.9</v>
      </c>
      <c r="T58" s="58"/>
      <c r="U58" s="58"/>
      <c r="V58" s="58"/>
      <c r="W58" s="58"/>
    </row>
    <row r="59" spans="1:23">
      <c r="A59" s="56" t="s">
        <v>74</v>
      </c>
      <c r="B59" s="56" t="s">
        <v>191</v>
      </c>
      <c r="C59" s="82" t="s">
        <v>192</v>
      </c>
      <c r="D59" s="56" t="s">
        <v>181</v>
      </c>
      <c r="E59" s="56" t="s">
        <v>182</v>
      </c>
      <c r="F59" s="56" t="s">
        <v>102</v>
      </c>
      <c r="G59" s="56" t="s">
        <v>102</v>
      </c>
      <c r="H59" s="57">
        <f>VLOOKUP($B59,[10]AR!$C$5:$I$109,7,FALSE)</f>
        <v>5535801.8047154481</v>
      </c>
      <c r="I59" s="57">
        <f>VLOOKUP($B59,[10]AR!$C$5:$I$109,3,FALSE)</f>
        <v>244513.29009697924</v>
      </c>
      <c r="J59" s="57">
        <v>0</v>
      </c>
      <c r="K59" s="57">
        <f>VLOOKUP($B59,'[11]ANNUAL REPORT PIVOT'!$C$8:$AU$119,5,FALSE)</f>
        <v>31764.969999999994</v>
      </c>
      <c r="L59" s="57">
        <f>VLOOKUP($B59,'[11]ANNUAL REPORT PIVOT'!$C$8:$AU$119,3,FALSE)</f>
        <v>0</v>
      </c>
      <c r="M59" s="57">
        <f>VLOOKUP($B59,'[11]ANNUAL REPORT PIVOT'!$C$8:$AU$119,6,FALSE)+VLOOKUP($B59,'[11]Net Post-Close Adjustments'!$A$3:$K$141,7,FALSE)</f>
        <v>444300.50149513176</v>
      </c>
      <c r="N59" s="57">
        <f>VLOOKUP($B59,'[11]ANNUAL REPORT PIVOT'!$C$8:$AC$117,10,FALSE)</f>
        <v>0</v>
      </c>
      <c r="O59" s="57">
        <f>VLOOKUP($B59,'[11]ANNUAL REPORT PIVOT'!$C$8:$AC$117,15,FALSE)+VLOOKUP($B59,'[11]Net Post-Close Adjustments'!$A$3:$K$141,9,FALSE)</f>
        <v>5215495.3431465505</v>
      </c>
      <c r="P59" s="57">
        <f>VLOOKUP($B59,'[11]ANNUAL REPORT PIVOT'!$C$8:$AC$117,12,FALSE)</f>
        <v>0</v>
      </c>
      <c r="Q59" s="57">
        <f>VLOOKUP($B59,'[11]ANNUAL REPORT PIVOT'!$C$8:$AC$117,18,FALSE)</f>
        <v>0</v>
      </c>
      <c r="R59" s="57">
        <f>VLOOKUP($B59,'[11]ANNUAL REPORT PIVOT'!$C$8:$AC$117,21,FALSE)</f>
        <v>0</v>
      </c>
      <c r="S59" s="57">
        <f>VLOOKUP($B59,'[11]ANNUAL REPORT PIVOT'!$C$8:$AC$117,24,FALSE)+VLOOKUP($B59,'[11]Net Post-Close Adjustments'!$A$3:$K$141,8,FALSE)</f>
        <v>77039.09</v>
      </c>
      <c r="T59" s="58"/>
      <c r="U59" s="58"/>
      <c r="V59" s="58"/>
      <c r="W59" s="58"/>
    </row>
    <row r="60" spans="1:23">
      <c r="A60" s="56" t="s">
        <v>74</v>
      </c>
      <c r="B60" s="56" t="s">
        <v>193</v>
      </c>
      <c r="C60" s="82" t="s">
        <v>194</v>
      </c>
      <c r="D60" s="56" t="s">
        <v>181</v>
      </c>
      <c r="E60" s="56" t="s">
        <v>182</v>
      </c>
      <c r="F60" s="56" t="s">
        <v>78</v>
      </c>
      <c r="G60" s="56" t="s">
        <v>79</v>
      </c>
      <c r="H60" s="57">
        <f>VLOOKUP($B60,[10]AR!$C$5:$I$109,7,FALSE)</f>
        <v>3557293.8132269471</v>
      </c>
      <c r="I60" s="57">
        <f>VLOOKUP($B60,[10]AR!$C$5:$I$109,3,FALSE)</f>
        <v>440031.74873419502</v>
      </c>
      <c r="J60" s="57">
        <v>0</v>
      </c>
      <c r="K60" s="57">
        <f>VLOOKUP($B60,'[11]ANNUAL REPORT PIVOT'!$C$8:$AU$119,5,FALSE)</f>
        <v>173822.73</v>
      </c>
      <c r="L60" s="57">
        <f>VLOOKUP($B60,'[11]ANNUAL REPORT PIVOT'!$C$8:$AU$119,3,FALSE)</f>
        <v>0</v>
      </c>
      <c r="M60" s="57">
        <f>VLOOKUP($B60,'[11]ANNUAL REPORT PIVOT'!$C$8:$AU$119,6,FALSE)+VLOOKUP($B60,'[11]Net Post-Close Adjustments'!$A$3:$K$141,7,FALSE)</f>
        <v>524850.83640577435</v>
      </c>
      <c r="N60" s="57">
        <f>VLOOKUP($B60,'[11]ANNUAL REPORT PIVOT'!$C$8:$AC$117,10,FALSE)</f>
        <v>0</v>
      </c>
      <c r="O60" s="57">
        <f>VLOOKUP($B60,'[11]ANNUAL REPORT PIVOT'!$C$8:$AC$117,15,FALSE)+VLOOKUP($B60,'[11]Net Post-Close Adjustments'!$A$3:$K$141,9,FALSE)</f>
        <v>1561928.526436571</v>
      </c>
      <c r="P60" s="57">
        <f>VLOOKUP($B60,'[11]ANNUAL REPORT PIVOT'!$C$8:$AC$117,12,FALSE)</f>
        <v>0</v>
      </c>
      <c r="Q60" s="57">
        <f>VLOOKUP($B60,'[11]ANNUAL REPORT PIVOT'!$C$8:$AC$117,18,FALSE)</f>
        <v>1094391.92</v>
      </c>
      <c r="R60" s="57">
        <f>VLOOKUP($B60,'[11]ANNUAL REPORT PIVOT'!$C$8:$AC$117,21,FALSE)</f>
        <v>0</v>
      </c>
      <c r="S60" s="57">
        <f>VLOOKUP($B60,'[11]ANNUAL REPORT PIVOT'!$C$8:$AC$117,24,FALSE)+VLOOKUP($B60,'[11]Net Post-Close Adjustments'!$A$3:$K$141,8,FALSE)</f>
        <v>236229.35</v>
      </c>
      <c r="T60" s="58"/>
      <c r="U60" s="58"/>
      <c r="V60" s="58"/>
      <c r="W60" s="58"/>
    </row>
    <row r="61" spans="1:23">
      <c r="A61" s="56" t="s">
        <v>74</v>
      </c>
      <c r="B61" s="56" t="s">
        <v>195</v>
      </c>
      <c r="C61" s="82" t="s">
        <v>196</v>
      </c>
      <c r="D61" s="56" t="s">
        <v>181</v>
      </c>
      <c r="E61" s="56" t="s">
        <v>182</v>
      </c>
      <c r="F61" s="56" t="s">
        <v>78</v>
      </c>
      <c r="G61" s="56" t="s">
        <v>79</v>
      </c>
      <c r="H61" s="57">
        <f>VLOOKUP($B61,[10]AR!$C$5:$I$109,7,FALSE)</f>
        <v>3172112.5262661432</v>
      </c>
      <c r="I61" s="57">
        <f>VLOOKUP($B61,[10]AR!$C$5:$I$109,3,FALSE)</f>
        <v>502013.48725712881</v>
      </c>
      <c r="J61" s="57">
        <v>0</v>
      </c>
      <c r="K61" s="57">
        <f>VLOOKUP($B61,'[11]ANNUAL REPORT PIVOT'!$C$8:$AU$119,5,FALSE)</f>
        <v>241514.32000000004</v>
      </c>
      <c r="L61" s="57">
        <f>VLOOKUP($B61,'[11]ANNUAL REPORT PIVOT'!$C$8:$AU$119,3,FALSE)</f>
        <v>0</v>
      </c>
      <c r="M61" s="57">
        <f>VLOOKUP($B61,'[11]ANNUAL REPORT PIVOT'!$C$8:$AU$119,6,FALSE)+VLOOKUP($B61,'[11]Net Post-Close Adjustments'!$A$3:$K$141,7,FALSE)</f>
        <v>605386.8617899206</v>
      </c>
      <c r="N61" s="57">
        <f>VLOOKUP($B61,'[11]ANNUAL REPORT PIVOT'!$C$8:$AC$117,10,FALSE)</f>
        <v>0</v>
      </c>
      <c r="O61" s="57">
        <f>VLOOKUP($B61,'[11]ANNUAL REPORT PIVOT'!$C$8:$AC$117,15,FALSE)+VLOOKUP($B61,'[11]Net Post-Close Adjustments'!$A$3:$K$141,9,FALSE)</f>
        <v>1283288.6248754489</v>
      </c>
      <c r="P61" s="57">
        <f>VLOOKUP($B61,'[11]ANNUAL REPORT PIVOT'!$C$8:$AC$117,12,FALSE)</f>
        <v>0</v>
      </c>
      <c r="Q61" s="57">
        <f>VLOOKUP($B61,'[11]ANNUAL REPORT PIVOT'!$C$8:$AC$117,18,FALSE)</f>
        <v>729317.95000000007</v>
      </c>
      <c r="R61" s="57">
        <f>VLOOKUP($B61,'[11]ANNUAL REPORT PIVOT'!$C$8:$AC$117,21,FALSE)</f>
        <v>0</v>
      </c>
      <c r="S61" s="57">
        <f>VLOOKUP($B61,'[11]ANNUAL REPORT PIVOT'!$C$8:$AC$117,24,FALSE)+VLOOKUP($B61,'[11]Net Post-Close Adjustments'!$A$3:$K$141,8,FALSE)</f>
        <v>117859.09</v>
      </c>
      <c r="T61" s="58"/>
      <c r="U61" s="58"/>
      <c r="V61" s="58"/>
      <c r="W61" s="58"/>
    </row>
    <row r="62" spans="1:23">
      <c r="A62" s="56" t="s">
        <v>74</v>
      </c>
      <c r="B62" s="56" t="s">
        <v>197</v>
      </c>
      <c r="C62" s="82" t="s">
        <v>198</v>
      </c>
      <c r="D62" s="56" t="s">
        <v>181</v>
      </c>
      <c r="E62" s="56" t="s">
        <v>182</v>
      </c>
      <c r="F62" s="56" t="s">
        <v>78</v>
      </c>
      <c r="G62" s="56" t="s">
        <v>79</v>
      </c>
      <c r="H62" s="57">
        <f>VLOOKUP($B62,[10]AR!$C$5:$I$109,7,FALSE)</f>
        <v>2744817.9705386409</v>
      </c>
      <c r="I62" s="57">
        <f>VLOOKUP($B62,[10]AR!$C$5:$I$109,3,FALSE)</f>
        <v>416625.01522740797</v>
      </c>
      <c r="J62" s="57">
        <v>0</v>
      </c>
      <c r="K62" s="57">
        <f>VLOOKUP($B62,'[11]ANNUAL REPORT PIVOT'!$C$8:$AU$119,5,FALSE)</f>
        <v>36229.660000000003</v>
      </c>
      <c r="L62" s="57">
        <f>VLOOKUP($B62,'[11]ANNUAL REPORT PIVOT'!$C$8:$AU$119,3,FALSE)</f>
        <v>0</v>
      </c>
      <c r="M62" s="57">
        <f>VLOOKUP($B62,'[11]ANNUAL REPORT PIVOT'!$C$8:$AU$119,6,FALSE)+VLOOKUP($B62,'[11]Net Post-Close Adjustments'!$A$3:$K$141,7,FALSE)</f>
        <v>252393.87403370132</v>
      </c>
      <c r="N62" s="57">
        <f>VLOOKUP($B62,'[11]ANNUAL REPORT PIVOT'!$C$8:$AC$117,10,FALSE)</f>
        <v>0</v>
      </c>
      <c r="O62" s="57">
        <f>VLOOKUP($B62,'[11]ANNUAL REPORT PIVOT'!$C$8:$AC$117,15,FALSE)+VLOOKUP($B62,'[11]Net Post-Close Adjustments'!$A$3:$K$141,9,FALSE)</f>
        <v>407131.19563963258</v>
      </c>
      <c r="P62" s="57">
        <f>VLOOKUP($B62,'[11]ANNUAL REPORT PIVOT'!$C$8:$AC$117,12,FALSE)</f>
        <v>0</v>
      </c>
      <c r="Q62" s="57">
        <f>VLOOKUP($B62,'[11]ANNUAL REPORT PIVOT'!$C$8:$AC$117,18,FALSE)</f>
        <v>199416.38</v>
      </c>
      <c r="R62" s="57">
        <f>VLOOKUP($B62,'[11]ANNUAL REPORT PIVOT'!$C$8:$AC$117,21,FALSE)</f>
        <v>0</v>
      </c>
      <c r="S62" s="57">
        <f>VLOOKUP($B62,'[11]ANNUAL REPORT PIVOT'!$C$8:$AC$117,24,FALSE)+VLOOKUP($B62,'[11]Net Post-Close Adjustments'!$A$3:$K$141,8,FALSE)</f>
        <v>27167.73</v>
      </c>
      <c r="T62" s="58"/>
      <c r="U62" s="58"/>
      <c r="V62" s="58"/>
      <c r="W62" s="58"/>
    </row>
    <row r="63" spans="1:23">
      <c r="A63" s="56" t="s">
        <v>74</v>
      </c>
      <c r="B63" s="56" t="s">
        <v>199</v>
      </c>
      <c r="C63" s="82" t="s">
        <v>200</v>
      </c>
      <c r="D63" s="56" t="s">
        <v>181</v>
      </c>
      <c r="E63" s="56" t="s">
        <v>182</v>
      </c>
      <c r="F63" s="56" t="s">
        <v>78</v>
      </c>
      <c r="G63" s="56" t="s">
        <v>79</v>
      </c>
      <c r="H63" s="57">
        <f>VLOOKUP($B63,[10]AR!$C$5:$I$109,7,FALSE)</f>
        <v>2312293.1844994347</v>
      </c>
      <c r="I63" s="57">
        <f>VLOOKUP($B63,[10]AR!$C$5:$I$109,3,FALSE)</f>
        <v>254445.91706140549</v>
      </c>
      <c r="J63" s="57">
        <v>0</v>
      </c>
      <c r="K63" s="57">
        <f>VLOOKUP($B63,'[11]ANNUAL REPORT PIVOT'!$C$8:$AU$119,5,FALSE)</f>
        <v>97352.25</v>
      </c>
      <c r="L63" s="57">
        <f>VLOOKUP($B63,'[11]ANNUAL REPORT PIVOT'!$C$8:$AU$119,3,FALSE)</f>
        <v>0</v>
      </c>
      <c r="M63" s="57">
        <f>VLOOKUP($B63,'[11]ANNUAL REPORT PIVOT'!$C$8:$AU$119,6,FALSE)+VLOOKUP($B63,'[11]Net Post-Close Adjustments'!$A$3:$K$141,7,FALSE)</f>
        <v>49031.954815123521</v>
      </c>
      <c r="N63" s="57">
        <f>VLOOKUP($B63,'[11]ANNUAL REPORT PIVOT'!$C$8:$AC$117,10,FALSE)</f>
        <v>0</v>
      </c>
      <c r="O63" s="57">
        <f>VLOOKUP($B63,'[11]ANNUAL REPORT PIVOT'!$C$8:$AC$117,15,FALSE)+VLOOKUP($B63,'[11]Net Post-Close Adjustments'!$A$3:$K$141,9,FALSE)</f>
        <v>898702.21150173445</v>
      </c>
      <c r="P63" s="57">
        <f>VLOOKUP($B63,'[11]ANNUAL REPORT PIVOT'!$C$8:$AC$117,12,FALSE)</f>
        <v>0</v>
      </c>
      <c r="Q63" s="57">
        <f>VLOOKUP($B63,'[11]ANNUAL REPORT PIVOT'!$C$8:$AC$117,18,FALSE)</f>
        <v>941060.02</v>
      </c>
      <c r="R63" s="57">
        <f>VLOOKUP($B63,'[11]ANNUAL REPORT PIVOT'!$C$8:$AC$117,21,FALSE)</f>
        <v>0</v>
      </c>
      <c r="S63" s="57">
        <f>VLOOKUP($B63,'[11]ANNUAL REPORT PIVOT'!$C$8:$AC$117,24,FALSE)+VLOOKUP($B63,'[11]Net Post-Close Adjustments'!$A$3:$K$141,8,FALSE)</f>
        <v>93075.88</v>
      </c>
      <c r="T63" s="58"/>
      <c r="U63" s="58"/>
      <c r="V63" s="58"/>
      <c r="W63" s="58"/>
    </row>
    <row r="64" spans="1:23">
      <c r="A64" s="56" t="s">
        <v>74</v>
      </c>
      <c r="B64" s="56" t="s">
        <v>201</v>
      </c>
      <c r="C64" s="82" t="s">
        <v>202</v>
      </c>
      <c r="D64" s="56" t="s">
        <v>181</v>
      </c>
      <c r="E64" s="56" t="s">
        <v>182</v>
      </c>
      <c r="F64" s="56" t="s">
        <v>78</v>
      </c>
      <c r="G64" s="56" t="s">
        <v>79</v>
      </c>
      <c r="H64" s="57">
        <f>VLOOKUP($B64,[10]AR!$C$5:$I$109,7,FALSE)</f>
        <v>298039.70849685324</v>
      </c>
      <c r="I64" s="57">
        <f>VLOOKUP($B64,[10]AR!$C$5:$I$109,3,FALSE)</f>
        <v>34939.320891546835</v>
      </c>
      <c r="J64" s="57">
        <v>0</v>
      </c>
      <c r="K64" s="57">
        <f>VLOOKUP($B64,'[11]ANNUAL REPORT PIVOT'!$C$8:$AU$119,5,FALSE)</f>
        <v>4808.25</v>
      </c>
      <c r="L64" s="57">
        <f>VLOOKUP($B64,'[11]ANNUAL REPORT PIVOT'!$C$8:$AU$119,3,FALSE)</f>
        <v>0</v>
      </c>
      <c r="M64" s="57">
        <f>VLOOKUP($B64,'[11]ANNUAL REPORT PIVOT'!$C$8:$AU$119,6,FALSE)+VLOOKUP($B64,'[11]Net Post-Close Adjustments'!$A$3:$K$141,7,FALSE)</f>
        <v>333.64</v>
      </c>
      <c r="N64" s="57">
        <f>VLOOKUP($B64,'[11]ANNUAL REPORT PIVOT'!$C$8:$AC$117,10,FALSE)</f>
        <v>0</v>
      </c>
      <c r="O64" s="57">
        <f>VLOOKUP($B64,'[11]ANNUAL REPORT PIVOT'!$C$8:$AC$117,15,FALSE)+VLOOKUP($B64,'[11]Net Post-Close Adjustments'!$A$3:$K$141,9,FALSE)</f>
        <v>26869.969999999998</v>
      </c>
      <c r="P64" s="57">
        <f>VLOOKUP($B64,'[11]ANNUAL REPORT PIVOT'!$C$8:$AC$117,12,FALSE)</f>
        <v>0</v>
      </c>
      <c r="Q64" s="57">
        <f>VLOOKUP($B64,'[11]ANNUAL REPORT PIVOT'!$C$8:$AC$117,18,FALSE)</f>
        <v>40201.629999999997</v>
      </c>
      <c r="R64" s="57">
        <f>VLOOKUP($B64,'[11]ANNUAL REPORT PIVOT'!$C$8:$AC$117,21,FALSE)</f>
        <v>0</v>
      </c>
      <c r="S64" s="57">
        <f>VLOOKUP($B64,'[11]ANNUAL REPORT PIVOT'!$C$8:$AC$117,24,FALSE)+VLOOKUP($B64,'[11]Net Post-Close Adjustments'!$A$3:$K$141,8,FALSE)</f>
        <v>4808.25</v>
      </c>
      <c r="T64" s="58"/>
      <c r="U64" s="58"/>
      <c r="V64" s="58"/>
      <c r="W64" s="58"/>
    </row>
    <row r="65" spans="1:23">
      <c r="A65" s="56" t="s">
        <v>74</v>
      </c>
      <c r="B65" s="56" t="s">
        <v>203</v>
      </c>
      <c r="C65" s="82" t="s">
        <v>204</v>
      </c>
      <c r="D65" s="56" t="s">
        <v>181</v>
      </c>
      <c r="E65" s="56" t="s">
        <v>182</v>
      </c>
      <c r="F65" s="56" t="s">
        <v>78</v>
      </c>
      <c r="G65" s="56" t="s">
        <v>79</v>
      </c>
      <c r="H65" s="57">
        <f>VLOOKUP($B65,[10]AR!$C$5:$I$109,7,FALSE)</f>
        <v>863849.32695932896</v>
      </c>
      <c r="I65" s="57">
        <f>VLOOKUP($B65,[10]AR!$C$5:$I$109,3,FALSE)</f>
        <v>116465.56071170428</v>
      </c>
      <c r="J65" s="57">
        <v>0</v>
      </c>
      <c r="K65" s="57">
        <f>VLOOKUP($B65,'[11]ANNUAL REPORT PIVOT'!$C$8:$AU$119,5,FALSE)</f>
        <v>7905.1599999999989</v>
      </c>
      <c r="L65" s="57">
        <f>VLOOKUP($B65,'[11]ANNUAL REPORT PIVOT'!$C$8:$AU$119,3,FALSE)</f>
        <v>0</v>
      </c>
      <c r="M65" s="57">
        <f>VLOOKUP($B65,'[11]ANNUAL REPORT PIVOT'!$C$8:$AU$119,6,FALSE)+VLOOKUP($B65,'[11]Net Post-Close Adjustments'!$A$3:$K$141,7,FALSE)</f>
        <v>63852.875295999998</v>
      </c>
      <c r="N65" s="57">
        <f>VLOOKUP($B65,'[11]ANNUAL REPORT PIVOT'!$C$8:$AC$117,10,FALSE)</f>
        <v>0</v>
      </c>
      <c r="O65" s="57">
        <f>VLOOKUP($B65,'[11]ANNUAL REPORT PIVOT'!$C$8:$AC$117,15,FALSE)+VLOOKUP($B65,'[11]Net Post-Close Adjustments'!$A$3:$K$141,9,FALSE)</f>
        <v>416426.10003300005</v>
      </c>
      <c r="P65" s="57">
        <f>VLOOKUP($B65,'[11]ANNUAL REPORT PIVOT'!$C$8:$AC$117,12,FALSE)</f>
        <v>0</v>
      </c>
      <c r="Q65" s="57">
        <f>VLOOKUP($B65,'[11]ANNUAL REPORT PIVOT'!$C$8:$AC$117,18,FALSE)</f>
        <v>123787.54999999999</v>
      </c>
      <c r="R65" s="57">
        <f>VLOOKUP($B65,'[11]ANNUAL REPORT PIVOT'!$C$8:$AC$117,21,FALSE)</f>
        <v>0</v>
      </c>
      <c r="S65" s="57">
        <f>VLOOKUP($B65,'[11]ANNUAL REPORT PIVOT'!$C$8:$AC$117,24,FALSE)+VLOOKUP($B65,'[11]Net Post-Close Adjustments'!$A$3:$K$141,8,FALSE)</f>
        <v>45653.11</v>
      </c>
      <c r="T65" s="58"/>
      <c r="U65" s="58"/>
      <c r="V65" s="58"/>
      <c r="W65" s="58"/>
    </row>
    <row r="66" spans="1:23">
      <c r="A66" s="56" t="s">
        <v>74</v>
      </c>
      <c r="B66" s="56" t="s">
        <v>205</v>
      </c>
      <c r="C66" s="82" t="s">
        <v>206</v>
      </c>
      <c r="D66" s="56" t="s">
        <v>181</v>
      </c>
      <c r="E66" s="56" t="s">
        <v>182</v>
      </c>
      <c r="F66" s="56" t="s">
        <v>78</v>
      </c>
      <c r="G66" s="56" t="s">
        <v>79</v>
      </c>
      <c r="H66" s="57">
        <f>VLOOKUP($B66,[10]AR!$C$5:$I$109,7,FALSE)</f>
        <v>534587.14191417408</v>
      </c>
      <c r="I66" s="57">
        <f>VLOOKUP($B66,[10]AR!$C$5:$I$109,3,FALSE)</f>
        <v>60481.541056101298</v>
      </c>
      <c r="J66" s="57">
        <v>0</v>
      </c>
      <c r="K66" s="57">
        <f>VLOOKUP($B66,'[11]ANNUAL REPORT PIVOT'!$C$8:$AU$119,5,FALSE)</f>
        <v>25412.25</v>
      </c>
      <c r="L66" s="57">
        <f>VLOOKUP($B66,'[11]ANNUAL REPORT PIVOT'!$C$8:$AU$119,3,FALSE)</f>
        <v>0</v>
      </c>
      <c r="M66" s="57">
        <f>VLOOKUP($B66,'[11]ANNUAL REPORT PIVOT'!$C$8:$AU$119,6,FALSE)+VLOOKUP($B66,'[11]Net Post-Close Adjustments'!$A$3:$K$141,7,FALSE)</f>
        <v>4891.3099999999995</v>
      </c>
      <c r="N66" s="57">
        <f>VLOOKUP($B66,'[11]ANNUAL REPORT PIVOT'!$C$8:$AC$117,10,FALSE)</f>
        <v>0</v>
      </c>
      <c r="O66" s="57">
        <f>VLOOKUP($B66,'[11]ANNUAL REPORT PIVOT'!$C$8:$AC$117,15,FALSE)+VLOOKUP($B66,'[11]Net Post-Close Adjustments'!$A$3:$K$141,9,FALSE)</f>
        <v>221122.15000000002</v>
      </c>
      <c r="P66" s="57">
        <f>VLOOKUP($B66,'[11]ANNUAL REPORT PIVOT'!$C$8:$AC$117,12,FALSE)</f>
        <v>0</v>
      </c>
      <c r="Q66" s="57">
        <f>VLOOKUP($B66,'[11]ANNUAL REPORT PIVOT'!$C$8:$AC$117,18,FALSE)</f>
        <v>97075.32</v>
      </c>
      <c r="R66" s="57">
        <f>VLOOKUP($B66,'[11]ANNUAL REPORT PIVOT'!$C$8:$AC$117,21,FALSE)</f>
        <v>0</v>
      </c>
      <c r="S66" s="57">
        <f>VLOOKUP($B66,'[11]ANNUAL REPORT PIVOT'!$C$8:$AC$117,24,FALSE)+VLOOKUP($B66,'[11]Net Post-Close Adjustments'!$A$3:$K$141,8,FALSE)</f>
        <v>12535.79</v>
      </c>
      <c r="T66" s="58"/>
      <c r="U66" s="58"/>
      <c r="V66" s="58"/>
      <c r="W66" s="58"/>
    </row>
    <row r="67" spans="1:23">
      <c r="A67" s="56" t="s">
        <v>74</v>
      </c>
      <c r="B67" s="56" t="s">
        <v>207</v>
      </c>
      <c r="C67" s="82" t="s">
        <v>208</v>
      </c>
      <c r="D67" s="56" t="s">
        <v>181</v>
      </c>
      <c r="E67" s="56" t="s">
        <v>182</v>
      </c>
      <c r="F67" s="56" t="s">
        <v>78</v>
      </c>
      <c r="G67" s="56" t="s">
        <v>79</v>
      </c>
      <c r="H67" s="57">
        <f>VLOOKUP($B67,[10]AR!$C$5:$I$109,7,FALSE)</f>
        <v>354775.61747000285</v>
      </c>
      <c r="I67" s="57">
        <f>VLOOKUP($B67,[10]AR!$C$5:$I$109,3,FALSE)</f>
        <v>42455.709117601546</v>
      </c>
      <c r="J67" s="57">
        <v>0</v>
      </c>
      <c r="K67" s="57">
        <f>VLOOKUP($B67,'[11]ANNUAL REPORT PIVOT'!$C$8:$AU$119,5,FALSE)</f>
        <v>12189.45</v>
      </c>
      <c r="L67" s="57">
        <f>VLOOKUP($B67,'[11]ANNUAL REPORT PIVOT'!$C$8:$AU$119,3,FALSE)</f>
        <v>0</v>
      </c>
      <c r="M67" s="57">
        <f>VLOOKUP($B67,'[11]ANNUAL REPORT PIVOT'!$C$8:$AU$119,6,FALSE)+VLOOKUP($B67,'[11]Net Post-Close Adjustments'!$A$3:$K$141,7,FALSE)</f>
        <v>5320.4500000000007</v>
      </c>
      <c r="N67" s="57">
        <f>VLOOKUP($B67,'[11]ANNUAL REPORT PIVOT'!$C$8:$AC$117,10,FALSE)</f>
        <v>0</v>
      </c>
      <c r="O67" s="57">
        <f>VLOOKUP($B67,'[11]ANNUAL REPORT PIVOT'!$C$8:$AC$117,15,FALSE)+VLOOKUP($B67,'[11]Net Post-Close Adjustments'!$A$3:$K$141,9,FALSE)</f>
        <v>148806.95000000001</v>
      </c>
      <c r="P67" s="57">
        <f>VLOOKUP($B67,'[11]ANNUAL REPORT PIVOT'!$C$8:$AC$117,12,FALSE)</f>
        <v>0</v>
      </c>
      <c r="Q67" s="57">
        <f>VLOOKUP($B67,'[11]ANNUAL REPORT PIVOT'!$C$8:$AC$117,18,FALSE)</f>
        <v>40357.879999999997</v>
      </c>
      <c r="R67" s="57">
        <f>VLOOKUP($B67,'[11]ANNUAL REPORT PIVOT'!$C$8:$AC$117,21,FALSE)</f>
        <v>0</v>
      </c>
      <c r="S67" s="57">
        <f>VLOOKUP($B67,'[11]ANNUAL REPORT PIVOT'!$C$8:$AC$117,24,FALSE)+VLOOKUP($B67,'[11]Net Post-Close Adjustments'!$A$3:$K$141,8,FALSE)</f>
        <v>3461.81</v>
      </c>
      <c r="T67" s="58"/>
      <c r="U67" s="58"/>
      <c r="V67" s="58"/>
      <c r="W67" s="58"/>
    </row>
    <row r="68" spans="1:23">
      <c r="A68" s="56" t="s">
        <v>74</v>
      </c>
      <c r="B68" s="56" t="s">
        <v>209</v>
      </c>
      <c r="C68" s="82" t="s">
        <v>210</v>
      </c>
      <c r="D68" s="56" t="s">
        <v>181</v>
      </c>
      <c r="E68" s="56" t="s">
        <v>182</v>
      </c>
      <c r="F68" s="56" t="s">
        <v>78</v>
      </c>
      <c r="G68" s="56" t="s">
        <v>79</v>
      </c>
      <c r="H68" s="57">
        <f>VLOOKUP($B68,[10]AR!$C$5:$I$109,7,FALSE)</f>
        <v>1220457.1238050512</v>
      </c>
      <c r="I68" s="57">
        <f>VLOOKUP($B68,[10]AR!$C$5:$I$109,3,FALSE)</f>
        <v>143959.81994172183</v>
      </c>
      <c r="J68" s="57">
        <v>0</v>
      </c>
      <c r="K68" s="57">
        <f>VLOOKUP($B68,'[11]ANNUAL REPORT PIVOT'!$C$8:$AU$119,5,FALSE)</f>
        <v>67531.33</v>
      </c>
      <c r="L68" s="57">
        <f>VLOOKUP($B68,'[11]ANNUAL REPORT PIVOT'!$C$8:$AU$119,3,FALSE)</f>
        <v>0</v>
      </c>
      <c r="M68" s="57">
        <f>VLOOKUP($B68,'[11]ANNUAL REPORT PIVOT'!$C$8:$AU$119,6,FALSE)+VLOOKUP($B68,'[11]Net Post-Close Adjustments'!$A$3:$K$141,7,FALSE)</f>
        <v>5596.2358399999994</v>
      </c>
      <c r="N68" s="57">
        <f>VLOOKUP($B68,'[11]ANNUAL REPORT PIVOT'!$C$8:$AC$117,10,FALSE)</f>
        <v>0</v>
      </c>
      <c r="O68" s="57">
        <f>VLOOKUP($B68,'[11]ANNUAL REPORT PIVOT'!$C$8:$AC$117,15,FALSE)+VLOOKUP($B68,'[11]Net Post-Close Adjustments'!$A$3:$K$141,9,FALSE)</f>
        <v>510120.561445</v>
      </c>
      <c r="P68" s="57">
        <f>VLOOKUP($B68,'[11]ANNUAL REPORT PIVOT'!$C$8:$AC$117,12,FALSE)</f>
        <v>0</v>
      </c>
      <c r="Q68" s="57">
        <f>VLOOKUP($B68,'[11]ANNUAL REPORT PIVOT'!$C$8:$AC$117,18,FALSE)</f>
        <v>356595.74000000005</v>
      </c>
      <c r="R68" s="57">
        <f>VLOOKUP($B68,'[11]ANNUAL REPORT PIVOT'!$C$8:$AC$117,21,FALSE)</f>
        <v>0</v>
      </c>
      <c r="S68" s="57">
        <f>VLOOKUP($B68,'[11]ANNUAL REPORT PIVOT'!$C$8:$AC$117,24,FALSE)+VLOOKUP($B68,'[11]Net Post-Close Adjustments'!$A$3:$K$141,8,FALSE)</f>
        <v>45940.25</v>
      </c>
      <c r="T68" s="58"/>
      <c r="U68" s="58"/>
      <c r="V68" s="58"/>
      <c r="W68" s="58"/>
    </row>
    <row r="69" spans="1:23">
      <c r="A69" s="56" t="s">
        <v>74</v>
      </c>
      <c r="B69" s="56" t="s">
        <v>211</v>
      </c>
      <c r="C69" s="82" t="s">
        <v>212</v>
      </c>
      <c r="D69" s="56" t="s">
        <v>181</v>
      </c>
      <c r="E69" s="56" t="s">
        <v>182</v>
      </c>
      <c r="F69" s="56" t="s">
        <v>78</v>
      </c>
      <c r="G69" s="56" t="s">
        <v>79</v>
      </c>
      <c r="H69" s="57">
        <f>VLOOKUP($B69,[10]AR!$C$5:$I$109,7,FALSE)</f>
        <v>984924.84556734655</v>
      </c>
      <c r="I69" s="57">
        <f>VLOOKUP($B69,[10]AR!$C$5:$I$109,3,FALSE)</f>
        <v>125746.63347846802</v>
      </c>
      <c r="J69" s="57">
        <v>0</v>
      </c>
      <c r="K69" s="57">
        <f>VLOOKUP($B69,'[11]ANNUAL REPORT PIVOT'!$C$8:$AU$119,5,FALSE)</f>
        <v>29262.2</v>
      </c>
      <c r="L69" s="57">
        <f>VLOOKUP($B69,'[11]ANNUAL REPORT PIVOT'!$C$8:$AU$119,3,FALSE)</f>
        <v>0</v>
      </c>
      <c r="M69" s="57">
        <f>VLOOKUP($B69,'[11]ANNUAL REPORT PIVOT'!$C$8:$AU$119,6,FALSE)+VLOOKUP($B69,'[11]Net Post-Close Adjustments'!$A$3:$K$141,7,FALSE)</f>
        <v>3520.0240159999994</v>
      </c>
      <c r="N69" s="57">
        <f>VLOOKUP($B69,'[11]ANNUAL REPORT PIVOT'!$C$8:$AC$117,10,FALSE)</f>
        <v>0</v>
      </c>
      <c r="O69" s="57">
        <f>VLOOKUP($B69,'[11]ANNUAL REPORT PIVOT'!$C$8:$AC$117,15,FALSE)+VLOOKUP($B69,'[11]Net Post-Close Adjustments'!$A$3:$K$141,9,FALSE)</f>
        <v>290254.32634299999</v>
      </c>
      <c r="P69" s="57">
        <f>VLOOKUP($B69,'[11]ANNUAL REPORT PIVOT'!$C$8:$AC$117,12,FALSE)</f>
        <v>0</v>
      </c>
      <c r="Q69" s="57">
        <f>VLOOKUP($B69,'[11]ANNUAL REPORT PIVOT'!$C$8:$AC$117,18,FALSE)</f>
        <v>211030.07</v>
      </c>
      <c r="R69" s="57">
        <f>VLOOKUP($B69,'[11]ANNUAL REPORT PIVOT'!$C$8:$AC$117,21,FALSE)</f>
        <v>0</v>
      </c>
      <c r="S69" s="57">
        <f>VLOOKUP($B69,'[11]ANNUAL REPORT PIVOT'!$C$8:$AC$117,24,FALSE)+VLOOKUP($B69,'[11]Net Post-Close Adjustments'!$A$3:$K$141,8,FALSE)</f>
        <v>25856.550000000003</v>
      </c>
      <c r="T69" s="58"/>
      <c r="U69" s="58"/>
      <c r="V69" s="58"/>
      <c r="W69" s="58"/>
    </row>
    <row r="70" spans="1:23">
      <c r="A70" s="56" t="s">
        <v>74</v>
      </c>
      <c r="B70" s="56" t="s">
        <v>213</v>
      </c>
      <c r="C70" s="82" t="s">
        <v>214</v>
      </c>
      <c r="D70" s="56" t="s">
        <v>181</v>
      </c>
      <c r="E70" s="56" t="s">
        <v>182</v>
      </c>
      <c r="F70" s="56" t="s">
        <v>78</v>
      </c>
      <c r="G70" s="56" t="s">
        <v>79</v>
      </c>
      <c r="H70" s="57">
        <f>VLOOKUP($B70,[10]AR!$C$5:$I$109,7,FALSE)</f>
        <v>1067717.777447402</v>
      </c>
      <c r="I70" s="57">
        <f>VLOOKUP($B70,[10]AR!$C$5:$I$109,3,FALSE)</f>
        <v>131212.20957405801</v>
      </c>
      <c r="J70" s="57">
        <v>0</v>
      </c>
      <c r="K70" s="57">
        <f>VLOOKUP($B70,'[11]ANNUAL REPORT PIVOT'!$C$8:$AU$119,5,FALSE)</f>
        <v>52004.179999999993</v>
      </c>
      <c r="L70" s="57">
        <f>VLOOKUP($B70,'[11]ANNUAL REPORT PIVOT'!$C$8:$AU$119,3,FALSE)</f>
        <v>0</v>
      </c>
      <c r="M70" s="57">
        <f>VLOOKUP($B70,'[11]ANNUAL REPORT PIVOT'!$C$8:$AU$119,6,FALSE)+VLOOKUP($B70,'[11]Net Post-Close Adjustments'!$A$3:$K$141,7,FALSE)</f>
        <v>9925.894175999998</v>
      </c>
      <c r="N70" s="57">
        <f>VLOOKUP($B70,'[11]ANNUAL REPORT PIVOT'!$C$8:$AC$117,10,FALSE)</f>
        <v>0</v>
      </c>
      <c r="O70" s="57">
        <f>VLOOKUP($B70,'[11]ANNUAL REPORT PIVOT'!$C$8:$AC$117,15,FALSE)+VLOOKUP($B70,'[11]Net Post-Close Adjustments'!$A$3:$K$141,9,FALSE)</f>
        <v>781642.05602299992</v>
      </c>
      <c r="P70" s="57">
        <f>VLOOKUP($B70,'[11]ANNUAL REPORT PIVOT'!$C$8:$AC$117,12,FALSE)</f>
        <v>0</v>
      </c>
      <c r="Q70" s="57">
        <f>VLOOKUP($B70,'[11]ANNUAL REPORT PIVOT'!$C$8:$AC$117,18,FALSE)</f>
        <v>224808.77</v>
      </c>
      <c r="R70" s="57">
        <f>VLOOKUP($B70,'[11]ANNUAL REPORT PIVOT'!$C$8:$AC$117,21,FALSE)</f>
        <v>0</v>
      </c>
      <c r="S70" s="57">
        <f>VLOOKUP($B70,'[11]ANNUAL REPORT PIVOT'!$C$8:$AC$117,24,FALSE)+VLOOKUP($B70,'[11]Net Post-Close Adjustments'!$A$3:$K$141,8,FALSE)</f>
        <v>64281.03</v>
      </c>
      <c r="T70" s="58"/>
      <c r="U70" s="58"/>
      <c r="V70" s="58"/>
      <c r="W70" s="58"/>
    </row>
    <row r="71" spans="1:23">
      <c r="A71" s="56" t="s">
        <v>74</v>
      </c>
      <c r="B71" s="56" t="s">
        <v>215</v>
      </c>
      <c r="C71" s="82" t="s">
        <v>216</v>
      </c>
      <c r="D71" s="56" t="s">
        <v>181</v>
      </c>
      <c r="E71" s="56" t="s">
        <v>182</v>
      </c>
      <c r="F71" s="56" t="s">
        <v>78</v>
      </c>
      <c r="G71" s="56" t="s">
        <v>79</v>
      </c>
      <c r="H71" s="57">
        <f>VLOOKUP($B71,[10]AR!$C$5:$I$109,7,FALSE)</f>
        <v>603721.65166404773</v>
      </c>
      <c r="I71" s="57">
        <f>VLOOKUP($B71,[10]AR!$C$5:$I$109,3,FALSE)</f>
        <v>66427.823340290939</v>
      </c>
      <c r="J71" s="57">
        <v>0</v>
      </c>
      <c r="K71" s="57">
        <f>VLOOKUP($B71,'[11]ANNUAL REPORT PIVOT'!$C$8:$AU$119,5,FALSE)</f>
        <v>37167.009999999995</v>
      </c>
      <c r="L71" s="57">
        <f>VLOOKUP($B71,'[11]ANNUAL REPORT PIVOT'!$C$8:$AU$119,3,FALSE)</f>
        <v>0</v>
      </c>
      <c r="M71" s="57">
        <f>VLOOKUP($B71,'[11]ANNUAL REPORT PIVOT'!$C$8:$AU$119,6,FALSE)+VLOOKUP($B71,'[11]Net Post-Close Adjustments'!$A$3:$K$141,7,FALSE)</f>
        <v>6553.7361279999996</v>
      </c>
      <c r="N71" s="57">
        <f>VLOOKUP($B71,'[11]ANNUAL REPORT PIVOT'!$C$8:$AC$117,10,FALSE)</f>
        <v>0</v>
      </c>
      <c r="O71" s="57">
        <f>VLOOKUP($B71,'[11]ANNUAL REPORT PIVOT'!$C$8:$AC$117,15,FALSE)+VLOOKUP($B71,'[11]Net Post-Close Adjustments'!$A$3:$K$141,9,FALSE)</f>
        <v>335471.24774399999</v>
      </c>
      <c r="P71" s="57">
        <f>VLOOKUP($B71,'[11]ANNUAL REPORT PIVOT'!$C$8:$AC$117,12,FALSE)</f>
        <v>0</v>
      </c>
      <c r="Q71" s="57">
        <f>VLOOKUP($B71,'[11]ANNUAL REPORT PIVOT'!$C$8:$AC$117,18,FALSE)</f>
        <v>261119.45</v>
      </c>
      <c r="R71" s="57">
        <f>VLOOKUP($B71,'[11]ANNUAL REPORT PIVOT'!$C$8:$AC$117,21,FALSE)</f>
        <v>0</v>
      </c>
      <c r="S71" s="57">
        <f>VLOOKUP($B71,'[11]ANNUAL REPORT PIVOT'!$C$8:$AC$117,24,FALSE)+VLOOKUP($B71,'[11]Net Post-Close Adjustments'!$A$3:$K$141,8,FALSE)</f>
        <v>38801.299999999996</v>
      </c>
      <c r="T71" s="58"/>
      <c r="U71" s="58"/>
      <c r="V71" s="58"/>
      <c r="W71" s="58"/>
    </row>
    <row r="72" spans="1:23">
      <c r="A72" s="56" t="s">
        <v>74</v>
      </c>
      <c r="B72" s="56" t="s">
        <v>217</v>
      </c>
      <c r="C72" s="82" t="s">
        <v>218</v>
      </c>
      <c r="D72" s="56" t="s">
        <v>181</v>
      </c>
      <c r="E72" s="56" t="s">
        <v>182</v>
      </c>
      <c r="F72" s="56" t="s">
        <v>78</v>
      </c>
      <c r="G72" s="56" t="s">
        <v>79</v>
      </c>
      <c r="H72" s="57">
        <f>VLOOKUP($B72,[10]AR!$C$5:$I$109,7,FALSE)</f>
        <v>939341.34462874266</v>
      </c>
      <c r="I72" s="57">
        <f>VLOOKUP($B72,[10]AR!$C$5:$I$109,3,FALSE)</f>
        <v>148365.12260827498</v>
      </c>
      <c r="J72" s="57">
        <v>0</v>
      </c>
      <c r="K72" s="57">
        <f>VLOOKUP($B72,'[11]ANNUAL REPORT PIVOT'!$C$8:$AU$119,5,FALSE)</f>
        <v>91016.42</v>
      </c>
      <c r="L72" s="57">
        <f>VLOOKUP($B72,'[11]ANNUAL REPORT PIVOT'!$C$8:$AU$119,3,FALSE)</f>
        <v>0</v>
      </c>
      <c r="M72" s="57">
        <f>VLOOKUP($B72,'[11]ANNUAL REPORT PIVOT'!$C$8:$AU$119,6,FALSE)+VLOOKUP($B72,'[11]Net Post-Close Adjustments'!$A$3:$K$141,7,FALSE)</f>
        <v>28252.647568000004</v>
      </c>
      <c r="N72" s="57">
        <f>VLOOKUP($B72,'[11]ANNUAL REPORT PIVOT'!$C$8:$AC$117,10,FALSE)</f>
        <v>0</v>
      </c>
      <c r="O72" s="57">
        <f>VLOOKUP($B72,'[11]ANNUAL REPORT PIVOT'!$C$8:$AC$117,15,FALSE)+VLOOKUP($B72,'[11]Net Post-Close Adjustments'!$A$3:$K$141,9,FALSE)</f>
        <v>568530.66111400002</v>
      </c>
      <c r="P72" s="57">
        <f>VLOOKUP($B72,'[11]ANNUAL REPORT PIVOT'!$C$8:$AC$117,12,FALSE)</f>
        <v>0</v>
      </c>
      <c r="Q72" s="57">
        <f>VLOOKUP($B72,'[11]ANNUAL REPORT PIVOT'!$C$8:$AC$117,18,FALSE)</f>
        <v>173095.77</v>
      </c>
      <c r="R72" s="57">
        <f>VLOOKUP($B72,'[11]ANNUAL REPORT PIVOT'!$C$8:$AC$117,21,FALSE)</f>
        <v>0</v>
      </c>
      <c r="S72" s="57">
        <f>VLOOKUP($B72,'[11]ANNUAL REPORT PIVOT'!$C$8:$AC$117,24,FALSE)+VLOOKUP($B72,'[11]Net Post-Close Adjustments'!$A$3:$K$141,8,FALSE)</f>
        <v>52911.4</v>
      </c>
      <c r="T72" s="58"/>
      <c r="U72" s="58"/>
      <c r="V72" s="58"/>
      <c r="W72" s="58"/>
    </row>
    <row r="73" spans="1:23">
      <c r="A73" s="56" t="s">
        <v>74</v>
      </c>
      <c r="B73" s="56" t="s">
        <v>219</v>
      </c>
      <c r="C73" s="82" t="s">
        <v>220</v>
      </c>
      <c r="D73" s="56" t="s">
        <v>181</v>
      </c>
      <c r="E73" s="56" t="s">
        <v>182</v>
      </c>
      <c r="F73" s="56" t="s">
        <v>78</v>
      </c>
      <c r="G73" s="56" t="s">
        <v>79</v>
      </c>
      <c r="H73" s="57">
        <f>VLOOKUP($B73,[10]AR!$C$5:$I$109,7,FALSE)</f>
        <v>1624259.7302716805</v>
      </c>
      <c r="I73" s="57">
        <f>VLOOKUP($B73,[10]AR!$C$5:$I$109,3,FALSE)</f>
        <v>178302.78037678485</v>
      </c>
      <c r="J73" s="57">
        <v>0</v>
      </c>
      <c r="K73" s="57">
        <f>VLOOKUP($B73,'[11]ANNUAL REPORT PIVOT'!$C$8:$AU$119,5,FALSE)</f>
        <v>80980.490000000005</v>
      </c>
      <c r="L73" s="57">
        <f>VLOOKUP($B73,'[11]ANNUAL REPORT PIVOT'!$C$8:$AU$119,3,FALSE)</f>
        <v>0</v>
      </c>
      <c r="M73" s="57">
        <f>VLOOKUP($B73,'[11]ANNUAL REPORT PIVOT'!$C$8:$AU$119,6,FALSE)+VLOOKUP($B73,'[11]Net Post-Close Adjustments'!$A$3:$K$141,7,FALSE)</f>
        <v>10797.421983999997</v>
      </c>
      <c r="N73" s="57">
        <f>VLOOKUP($B73,'[11]ANNUAL REPORT PIVOT'!$C$8:$AC$117,10,FALSE)</f>
        <v>0</v>
      </c>
      <c r="O73" s="57">
        <f>VLOOKUP($B73,'[11]ANNUAL REPORT PIVOT'!$C$8:$AC$117,15,FALSE)+VLOOKUP($B73,'[11]Net Post-Close Adjustments'!$A$3:$K$141,9,FALSE)</f>
        <v>588945.3047819999</v>
      </c>
      <c r="P73" s="57">
        <f>VLOOKUP($B73,'[11]ANNUAL REPORT PIVOT'!$C$8:$AC$117,12,FALSE)</f>
        <v>0</v>
      </c>
      <c r="Q73" s="57">
        <f>VLOOKUP($B73,'[11]ANNUAL REPORT PIVOT'!$C$8:$AC$117,18,FALSE)</f>
        <v>357338.92000000004</v>
      </c>
      <c r="R73" s="57">
        <f>VLOOKUP($B73,'[11]ANNUAL REPORT PIVOT'!$C$8:$AC$117,21,FALSE)</f>
        <v>0</v>
      </c>
      <c r="S73" s="57">
        <f>VLOOKUP($B73,'[11]ANNUAL REPORT PIVOT'!$C$8:$AC$117,24,FALSE)+VLOOKUP($B73,'[11]Net Post-Close Adjustments'!$A$3:$K$141,8,FALSE)</f>
        <v>49336.98</v>
      </c>
      <c r="T73" s="58"/>
      <c r="U73" s="58"/>
      <c r="V73" s="58"/>
      <c r="W73" s="58"/>
    </row>
    <row r="74" spans="1:23">
      <c r="A74" s="56" t="s">
        <v>74</v>
      </c>
      <c r="B74" s="56" t="s">
        <v>221</v>
      </c>
      <c r="C74" s="82" t="s">
        <v>222</v>
      </c>
      <c r="D74" s="56" t="s">
        <v>181</v>
      </c>
      <c r="E74" s="56" t="s">
        <v>182</v>
      </c>
      <c r="F74" s="56" t="s">
        <v>78</v>
      </c>
      <c r="G74" s="56" t="s">
        <v>79</v>
      </c>
      <c r="H74" s="57">
        <f>VLOOKUP($B74,[10]AR!$C$5:$I$109,7,FALSE)</f>
        <v>3091366.8596022073</v>
      </c>
      <c r="I74" s="57">
        <f>VLOOKUP($B74,[10]AR!$C$5:$I$109,3,FALSE)</f>
        <v>365663.62368026003</v>
      </c>
      <c r="J74" s="57">
        <v>0</v>
      </c>
      <c r="K74" s="57">
        <f>VLOOKUP($B74,'[11]ANNUAL REPORT PIVOT'!$C$8:$AU$119,5,FALSE)</f>
        <v>128564.97</v>
      </c>
      <c r="L74" s="57">
        <f>VLOOKUP($B74,'[11]ANNUAL REPORT PIVOT'!$C$8:$AU$119,3,FALSE)</f>
        <v>0</v>
      </c>
      <c r="M74" s="57">
        <f>VLOOKUP($B74,'[11]ANNUAL REPORT PIVOT'!$C$8:$AU$119,6,FALSE)+VLOOKUP($B74,'[11]Net Post-Close Adjustments'!$A$3:$K$141,7,FALSE)</f>
        <v>408344.61243734451</v>
      </c>
      <c r="N74" s="57">
        <f>VLOOKUP($B74,'[11]ANNUAL REPORT PIVOT'!$C$8:$AC$117,10,FALSE)</f>
        <v>0</v>
      </c>
      <c r="O74" s="57">
        <f>VLOOKUP($B74,'[11]ANNUAL REPORT PIVOT'!$C$8:$AC$117,15,FALSE)+VLOOKUP($B74,'[11]Net Post-Close Adjustments'!$A$3:$K$141,9,FALSE)</f>
        <v>1326663.6692567552</v>
      </c>
      <c r="P74" s="57">
        <f>VLOOKUP($B74,'[11]ANNUAL REPORT PIVOT'!$C$8:$AC$117,12,FALSE)</f>
        <v>0</v>
      </c>
      <c r="Q74" s="57">
        <f>VLOOKUP($B74,'[11]ANNUAL REPORT PIVOT'!$C$8:$AC$117,18,FALSE)</f>
        <v>685966.54</v>
      </c>
      <c r="R74" s="57">
        <f>VLOOKUP($B74,'[11]ANNUAL REPORT PIVOT'!$C$8:$AC$117,21,FALSE)</f>
        <v>0</v>
      </c>
      <c r="S74" s="57">
        <f>VLOOKUP($B74,'[11]ANNUAL REPORT PIVOT'!$C$8:$AC$117,24,FALSE)+VLOOKUP($B74,'[11]Net Post-Close Adjustments'!$A$3:$K$141,8,FALSE)</f>
        <v>109465.64</v>
      </c>
      <c r="T74" s="58"/>
      <c r="U74" s="58"/>
      <c r="V74" s="58"/>
      <c r="W74" s="58"/>
    </row>
    <row r="75" spans="1:23">
      <c r="A75" s="56" t="s">
        <v>74</v>
      </c>
      <c r="B75" s="56" t="s">
        <v>223</v>
      </c>
      <c r="C75" s="82" t="s">
        <v>224</v>
      </c>
      <c r="D75" s="56" t="s">
        <v>181</v>
      </c>
      <c r="E75" s="56" t="s">
        <v>182</v>
      </c>
      <c r="F75" s="56" t="s">
        <v>78</v>
      </c>
      <c r="G75" s="56" t="s">
        <v>79</v>
      </c>
      <c r="H75" s="57">
        <f>VLOOKUP($B75,[10]AR!$C$5:$I$109,7,FALSE)</f>
        <v>3763629.1871537915</v>
      </c>
      <c r="I75" s="57">
        <f>VLOOKUP($B75,[10]AR!$C$5:$I$109,3,FALSE)</f>
        <v>423671.75001758226</v>
      </c>
      <c r="J75" s="57">
        <v>0</v>
      </c>
      <c r="K75" s="57">
        <f>VLOOKUP($B75,'[11]ANNUAL REPORT PIVOT'!$C$8:$AU$119,5,FALSE)</f>
        <v>158383.03999999998</v>
      </c>
      <c r="L75" s="57">
        <f>VLOOKUP($B75,'[11]ANNUAL REPORT PIVOT'!$C$8:$AU$119,3,FALSE)</f>
        <v>0</v>
      </c>
      <c r="M75" s="57">
        <f>VLOOKUP($B75,'[11]ANNUAL REPORT PIVOT'!$C$8:$AU$119,6,FALSE)+VLOOKUP($B75,'[11]Net Post-Close Adjustments'!$A$3:$K$141,7,FALSE)</f>
        <v>729202.79754777241</v>
      </c>
      <c r="N75" s="57">
        <f>VLOOKUP($B75,'[11]ANNUAL REPORT PIVOT'!$C$8:$AC$117,10,FALSE)</f>
        <v>0</v>
      </c>
      <c r="O75" s="57">
        <f>VLOOKUP($B75,'[11]ANNUAL REPORT PIVOT'!$C$8:$AC$117,15,FALSE)+VLOOKUP($B75,'[11]Net Post-Close Adjustments'!$A$3:$K$141,9,FALSE)</f>
        <v>2422026.0409013671</v>
      </c>
      <c r="P75" s="57">
        <f>VLOOKUP($B75,'[11]ANNUAL REPORT PIVOT'!$C$8:$AC$117,12,FALSE)</f>
        <v>0</v>
      </c>
      <c r="Q75" s="57">
        <f>VLOOKUP($B75,'[11]ANNUAL REPORT PIVOT'!$C$8:$AC$117,18,FALSE)</f>
        <v>571811.12999999989</v>
      </c>
      <c r="R75" s="57">
        <f>VLOOKUP($B75,'[11]ANNUAL REPORT PIVOT'!$C$8:$AC$117,21,FALSE)</f>
        <v>0</v>
      </c>
      <c r="S75" s="57">
        <f>VLOOKUP($B75,'[11]ANNUAL REPORT PIVOT'!$C$8:$AC$117,24,FALSE)+VLOOKUP($B75,'[11]Net Post-Close Adjustments'!$A$3:$K$141,8,FALSE)</f>
        <v>444483.73</v>
      </c>
      <c r="T75" s="58"/>
      <c r="U75" s="58"/>
      <c r="V75" s="58"/>
      <c r="W75" s="58"/>
    </row>
    <row r="76" spans="1:23">
      <c r="A76" s="56" t="s">
        <v>74</v>
      </c>
      <c r="B76" s="56" t="s">
        <v>225</v>
      </c>
      <c r="C76" s="82" t="s">
        <v>226</v>
      </c>
      <c r="D76" s="56" t="s">
        <v>181</v>
      </c>
      <c r="E76" s="56" t="s">
        <v>182</v>
      </c>
      <c r="F76" s="56" t="s">
        <v>78</v>
      </c>
      <c r="G76" s="56" t="s">
        <v>79</v>
      </c>
      <c r="H76" s="57">
        <f>VLOOKUP($B76,[10]AR!$C$5:$I$109,7,FALSE)</f>
        <v>463996.69959567382</v>
      </c>
      <c r="I76" s="57">
        <f>VLOOKUP($B76,[10]AR!$C$5:$I$109,3,FALSE)</f>
        <v>52929.191636909673</v>
      </c>
      <c r="J76" s="57">
        <v>0</v>
      </c>
      <c r="K76" s="57">
        <f>VLOOKUP($B76,'[11]ANNUAL REPORT PIVOT'!$C$8:$AU$119,5,FALSE)</f>
        <v>13887.140000000001</v>
      </c>
      <c r="L76" s="57">
        <f>VLOOKUP($B76,'[11]ANNUAL REPORT PIVOT'!$C$8:$AU$119,3,FALSE)</f>
        <v>0</v>
      </c>
      <c r="M76" s="57">
        <f>VLOOKUP($B76,'[11]ANNUAL REPORT PIVOT'!$C$8:$AU$119,6,FALSE)+VLOOKUP($B76,'[11]Net Post-Close Adjustments'!$A$3:$K$141,7,FALSE)</f>
        <v>10201.685375999998</v>
      </c>
      <c r="N76" s="57">
        <f>VLOOKUP($B76,'[11]ANNUAL REPORT PIVOT'!$C$8:$AC$117,10,FALSE)</f>
        <v>0</v>
      </c>
      <c r="O76" s="57">
        <f>VLOOKUP($B76,'[11]ANNUAL REPORT PIVOT'!$C$8:$AC$117,15,FALSE)+VLOOKUP($B76,'[11]Net Post-Close Adjustments'!$A$3:$K$141,9,FALSE)</f>
        <v>222800.45987300001</v>
      </c>
      <c r="P76" s="57">
        <f>VLOOKUP($B76,'[11]ANNUAL REPORT PIVOT'!$C$8:$AC$117,12,FALSE)</f>
        <v>0</v>
      </c>
      <c r="Q76" s="57">
        <f>VLOOKUP($B76,'[11]ANNUAL REPORT PIVOT'!$C$8:$AC$117,18,FALSE)</f>
        <v>45268.79</v>
      </c>
      <c r="R76" s="57">
        <f>VLOOKUP($B76,'[11]ANNUAL REPORT PIVOT'!$C$8:$AC$117,21,FALSE)</f>
        <v>0</v>
      </c>
      <c r="S76" s="57">
        <f>VLOOKUP($B76,'[11]ANNUAL REPORT PIVOT'!$C$8:$AC$117,24,FALSE)+VLOOKUP($B76,'[11]Net Post-Close Adjustments'!$A$3:$K$141,8,FALSE)</f>
        <v>9005.01</v>
      </c>
      <c r="T76" s="58"/>
      <c r="U76" s="58"/>
      <c r="V76" s="58"/>
      <c r="W76" s="58"/>
    </row>
    <row r="77" spans="1:23">
      <c r="A77" s="56" t="s">
        <v>74</v>
      </c>
      <c r="B77" s="56" t="s">
        <v>227</v>
      </c>
      <c r="C77" s="82" t="s">
        <v>228</v>
      </c>
      <c r="D77" s="56" t="s">
        <v>181</v>
      </c>
      <c r="E77" s="56" t="s">
        <v>182</v>
      </c>
      <c r="F77" s="56" t="s">
        <v>78</v>
      </c>
      <c r="G77" s="56" t="s">
        <v>79</v>
      </c>
      <c r="H77" s="57">
        <f>VLOOKUP($B77,[10]AR!$C$5:$I$109,7,FALSE)</f>
        <v>154296.86749449107</v>
      </c>
      <c r="I77" s="57">
        <f>VLOOKUP($B77,[10]AR!$C$5:$I$109,3,FALSE)</f>
        <v>20603.537954567717</v>
      </c>
      <c r="J77" s="57">
        <v>0</v>
      </c>
      <c r="K77" s="57">
        <f>VLOOKUP($B77,'[11]ANNUAL REPORT PIVOT'!$C$8:$AU$119,5,FALSE)</f>
        <v>2447.7100000000005</v>
      </c>
      <c r="L77" s="57">
        <f>VLOOKUP($B77,'[11]ANNUAL REPORT PIVOT'!$C$8:$AU$119,3,FALSE)</f>
        <v>0</v>
      </c>
      <c r="M77" s="57">
        <f>VLOOKUP($B77,'[11]ANNUAL REPORT PIVOT'!$C$8:$AU$119,6,FALSE)+VLOOKUP($B77,'[11]Net Post-Close Adjustments'!$A$3:$K$141,7,FALSE)</f>
        <v>3679.44</v>
      </c>
      <c r="N77" s="57">
        <f>VLOOKUP($B77,'[11]ANNUAL REPORT PIVOT'!$C$8:$AC$117,10,FALSE)</f>
        <v>0</v>
      </c>
      <c r="O77" s="57">
        <f>VLOOKUP($B77,'[11]ANNUAL REPORT PIVOT'!$C$8:$AC$117,15,FALSE)+VLOOKUP($B77,'[11]Net Post-Close Adjustments'!$A$3:$K$141,9,FALSE)</f>
        <v>97188.27</v>
      </c>
      <c r="P77" s="57">
        <f>VLOOKUP($B77,'[11]ANNUAL REPORT PIVOT'!$C$8:$AC$117,12,FALSE)</f>
        <v>0</v>
      </c>
      <c r="Q77" s="57">
        <f>VLOOKUP($B77,'[11]ANNUAL REPORT PIVOT'!$C$8:$AC$117,18,FALSE)</f>
        <v>13634.63</v>
      </c>
      <c r="R77" s="57">
        <f>VLOOKUP($B77,'[11]ANNUAL REPORT PIVOT'!$C$8:$AC$117,21,FALSE)</f>
        <v>0</v>
      </c>
      <c r="S77" s="57">
        <f>VLOOKUP($B77,'[11]ANNUAL REPORT PIVOT'!$C$8:$AC$117,24,FALSE)+VLOOKUP($B77,'[11]Net Post-Close Adjustments'!$A$3:$K$141,8,FALSE)</f>
        <v>-6893.29</v>
      </c>
      <c r="T77" s="58"/>
      <c r="U77" s="58"/>
      <c r="V77" s="58"/>
      <c r="W77" s="58"/>
    </row>
    <row r="78" spans="1:23">
      <c r="A78" s="56" t="s">
        <v>74</v>
      </c>
      <c r="B78" s="56" t="s">
        <v>229</v>
      </c>
      <c r="C78" s="82" t="s">
        <v>230</v>
      </c>
      <c r="D78" s="56" t="s">
        <v>181</v>
      </c>
      <c r="E78" s="56" t="s">
        <v>182</v>
      </c>
      <c r="F78" s="56" t="s">
        <v>78</v>
      </c>
      <c r="G78" s="56" t="s">
        <v>79</v>
      </c>
      <c r="H78" s="57">
        <f>VLOOKUP($B78,[10]AR!$C$5:$I$109,7,FALSE)</f>
        <v>458505.91709421948</v>
      </c>
      <c r="I78" s="57">
        <f>VLOOKUP($B78,[10]AR!$C$5:$I$109,3,FALSE)</f>
        <v>49796.876482061511</v>
      </c>
      <c r="J78" s="57">
        <v>0</v>
      </c>
      <c r="K78" s="57">
        <f>VLOOKUP($B78,'[11]ANNUAL REPORT PIVOT'!$C$8:$AU$119,5,FALSE)</f>
        <v>5407.24</v>
      </c>
      <c r="L78" s="57">
        <f>VLOOKUP($B78,'[11]ANNUAL REPORT PIVOT'!$C$8:$AU$119,3,FALSE)</f>
        <v>0</v>
      </c>
      <c r="M78" s="57">
        <f>VLOOKUP($B78,'[11]ANNUAL REPORT PIVOT'!$C$8:$AU$119,6,FALSE)+VLOOKUP($B78,'[11]Net Post-Close Adjustments'!$A$3:$K$141,7,FALSE)</f>
        <v>1982.92</v>
      </c>
      <c r="N78" s="57">
        <f>VLOOKUP($B78,'[11]ANNUAL REPORT PIVOT'!$C$8:$AC$117,10,FALSE)</f>
        <v>0</v>
      </c>
      <c r="O78" s="57">
        <f>VLOOKUP($B78,'[11]ANNUAL REPORT PIVOT'!$C$8:$AC$117,15,FALSE)+VLOOKUP($B78,'[11]Net Post-Close Adjustments'!$A$3:$K$141,9,FALSE)</f>
        <v>52321.78</v>
      </c>
      <c r="P78" s="57">
        <f>VLOOKUP($B78,'[11]ANNUAL REPORT PIVOT'!$C$8:$AC$117,12,FALSE)</f>
        <v>0</v>
      </c>
      <c r="Q78" s="57">
        <f>VLOOKUP($B78,'[11]ANNUAL REPORT PIVOT'!$C$8:$AC$117,18,FALSE)</f>
        <v>21109.14</v>
      </c>
      <c r="R78" s="57">
        <f>VLOOKUP($B78,'[11]ANNUAL REPORT PIVOT'!$C$8:$AC$117,21,FALSE)</f>
        <v>0</v>
      </c>
      <c r="S78" s="57">
        <f>VLOOKUP($B78,'[11]ANNUAL REPORT PIVOT'!$C$8:$AC$117,24,FALSE)+VLOOKUP($B78,'[11]Net Post-Close Adjustments'!$A$3:$K$141,8,FALSE)</f>
        <v>3014.99</v>
      </c>
      <c r="T78" s="58"/>
      <c r="U78" s="58"/>
      <c r="V78" s="58"/>
      <c r="W78" s="58"/>
    </row>
    <row r="79" spans="1:23">
      <c r="A79" s="56" t="s">
        <v>74</v>
      </c>
      <c r="B79" s="56" t="s">
        <v>231</v>
      </c>
      <c r="C79" s="82" t="s">
        <v>232</v>
      </c>
      <c r="D79" s="56" t="s">
        <v>181</v>
      </c>
      <c r="E79" s="56" t="s">
        <v>182</v>
      </c>
      <c r="F79" s="56" t="s">
        <v>78</v>
      </c>
      <c r="G79" s="56" t="s">
        <v>79</v>
      </c>
      <c r="H79" s="57">
        <f>VLOOKUP($B79,[10]AR!$C$5:$I$109,7,FALSE)</f>
        <v>1130313.7256244856</v>
      </c>
      <c r="I79" s="57">
        <f>VLOOKUP($B79,[10]AR!$C$5:$I$109,3,FALSE)</f>
        <v>113716.69108286274</v>
      </c>
      <c r="J79" s="57">
        <v>0</v>
      </c>
      <c r="K79" s="57">
        <f>VLOOKUP($B79,'[11]ANNUAL REPORT PIVOT'!$C$8:$AU$119,5,FALSE)</f>
        <v>68898.81</v>
      </c>
      <c r="L79" s="57">
        <f>VLOOKUP($B79,'[11]ANNUAL REPORT PIVOT'!$C$8:$AU$119,3,FALSE)</f>
        <v>0</v>
      </c>
      <c r="M79" s="57">
        <f>VLOOKUP($B79,'[11]ANNUAL REPORT PIVOT'!$C$8:$AU$119,6,FALSE)+VLOOKUP($B79,'[11]Net Post-Close Adjustments'!$A$3:$K$141,7,FALSE)</f>
        <v>9734.4669439999998</v>
      </c>
      <c r="N79" s="57">
        <f>VLOOKUP($B79,'[11]ANNUAL REPORT PIVOT'!$C$8:$AC$117,10,FALSE)</f>
        <v>0</v>
      </c>
      <c r="O79" s="57">
        <f>VLOOKUP($B79,'[11]ANNUAL REPORT PIVOT'!$C$8:$AC$117,15,FALSE)+VLOOKUP($B79,'[11]Net Post-Close Adjustments'!$A$3:$K$141,9,FALSE)</f>
        <v>781448.77986199991</v>
      </c>
      <c r="P79" s="57">
        <f>VLOOKUP($B79,'[11]ANNUAL REPORT PIVOT'!$C$8:$AC$117,12,FALSE)</f>
        <v>0</v>
      </c>
      <c r="Q79" s="57">
        <f>VLOOKUP($B79,'[11]ANNUAL REPORT PIVOT'!$C$8:$AC$117,18,FALSE)</f>
        <v>498277.77</v>
      </c>
      <c r="R79" s="57">
        <f>VLOOKUP($B79,'[11]ANNUAL REPORT PIVOT'!$C$8:$AC$117,21,FALSE)</f>
        <v>0</v>
      </c>
      <c r="S79" s="57">
        <f>VLOOKUP($B79,'[11]ANNUAL REPORT PIVOT'!$C$8:$AC$117,24,FALSE)+VLOOKUP($B79,'[11]Net Post-Close Adjustments'!$A$3:$K$141,8,FALSE)</f>
        <v>36044.119999999995</v>
      </c>
      <c r="T79" s="58"/>
      <c r="U79" s="58"/>
      <c r="V79" s="58"/>
      <c r="W79" s="58"/>
    </row>
    <row r="80" spans="1:23">
      <c r="A80" s="56" t="s">
        <v>74</v>
      </c>
      <c r="B80" s="56" t="s">
        <v>233</v>
      </c>
      <c r="C80" s="82" t="s">
        <v>234</v>
      </c>
      <c r="D80" s="56" t="s">
        <v>181</v>
      </c>
      <c r="E80" s="56" t="s">
        <v>182</v>
      </c>
      <c r="F80" s="56" t="s">
        <v>78</v>
      </c>
      <c r="G80" s="56" t="s">
        <v>79</v>
      </c>
      <c r="H80" s="57">
        <f>VLOOKUP($B80,[10]AR!$C$5:$I$109,7,FALSE)</f>
        <v>976929.80129438452</v>
      </c>
      <c r="I80" s="57">
        <f>VLOOKUP($B80,[10]AR!$C$5:$I$109,3,FALSE)</f>
        <v>121152.60304746081</v>
      </c>
      <c r="J80" s="57">
        <v>0</v>
      </c>
      <c r="K80" s="57">
        <f>VLOOKUP($B80,'[11]ANNUAL REPORT PIVOT'!$C$8:$AU$119,5,FALSE)</f>
        <v>31452.68</v>
      </c>
      <c r="L80" s="57">
        <f>VLOOKUP($B80,'[11]ANNUAL REPORT PIVOT'!$C$8:$AU$119,3,FALSE)</f>
        <v>0</v>
      </c>
      <c r="M80" s="57">
        <f>VLOOKUP($B80,'[11]ANNUAL REPORT PIVOT'!$C$8:$AU$119,6,FALSE)+VLOOKUP($B80,'[11]Net Post-Close Adjustments'!$A$3:$K$141,7,FALSE)</f>
        <v>4527.831439999999</v>
      </c>
      <c r="N80" s="57">
        <f>VLOOKUP($B80,'[11]ANNUAL REPORT PIVOT'!$C$8:$AC$117,10,FALSE)</f>
        <v>0</v>
      </c>
      <c r="O80" s="57">
        <f>VLOOKUP($B80,'[11]ANNUAL REPORT PIVOT'!$C$8:$AC$117,15,FALSE)+VLOOKUP($B80,'[11]Net Post-Close Adjustments'!$A$3:$K$141,9,FALSE)</f>
        <v>242310.49336999998</v>
      </c>
      <c r="P80" s="57">
        <f>VLOOKUP($B80,'[11]ANNUAL REPORT PIVOT'!$C$8:$AC$117,12,FALSE)</f>
        <v>0</v>
      </c>
      <c r="Q80" s="57">
        <f>VLOOKUP($B80,'[11]ANNUAL REPORT PIVOT'!$C$8:$AC$117,18,FALSE)</f>
        <v>300484.69</v>
      </c>
      <c r="R80" s="57">
        <f>VLOOKUP($B80,'[11]ANNUAL REPORT PIVOT'!$C$8:$AC$117,21,FALSE)</f>
        <v>0</v>
      </c>
      <c r="S80" s="57">
        <f>VLOOKUP($B80,'[11]ANNUAL REPORT PIVOT'!$C$8:$AC$117,24,FALSE)+VLOOKUP($B80,'[11]Net Post-Close Adjustments'!$A$3:$K$141,8,FALSE)</f>
        <v>27638.920000000002</v>
      </c>
      <c r="T80" s="58"/>
      <c r="U80" s="58"/>
      <c r="V80" s="58"/>
      <c r="W80" s="58"/>
    </row>
    <row r="81" spans="1:23">
      <c r="A81" s="56" t="s">
        <v>74</v>
      </c>
      <c r="B81" s="56" t="s">
        <v>235</v>
      </c>
      <c r="C81" s="82" t="s">
        <v>236</v>
      </c>
      <c r="D81" s="56" t="s">
        <v>181</v>
      </c>
      <c r="E81" s="56" t="s">
        <v>182</v>
      </c>
      <c r="F81" s="56" t="s">
        <v>78</v>
      </c>
      <c r="G81" s="56" t="s">
        <v>79</v>
      </c>
      <c r="H81" s="57">
        <f>VLOOKUP($B81,[10]AR!$C$5:$I$109,7,FALSE)</f>
        <v>563588.66631179291</v>
      </c>
      <c r="I81" s="57">
        <f>VLOOKUP($B81,[10]AR!$C$5:$I$109,3,FALSE)</f>
        <v>62943.304073301493</v>
      </c>
      <c r="J81" s="57">
        <v>0</v>
      </c>
      <c r="K81" s="57">
        <f>VLOOKUP($B81,'[11]ANNUAL REPORT PIVOT'!$C$8:$AU$119,5,FALSE)</f>
        <v>20912.829999999998</v>
      </c>
      <c r="L81" s="57">
        <f>VLOOKUP($B81,'[11]ANNUAL REPORT PIVOT'!$C$8:$AU$119,3,FALSE)</f>
        <v>0</v>
      </c>
      <c r="M81" s="57">
        <f>VLOOKUP($B81,'[11]ANNUAL REPORT PIVOT'!$C$8:$AU$119,6,FALSE)+VLOOKUP($B81,'[11]Net Post-Close Adjustments'!$A$3:$K$141,7,FALSE)</f>
        <v>5092.1000000000004</v>
      </c>
      <c r="N81" s="57">
        <f>VLOOKUP($B81,'[11]ANNUAL REPORT PIVOT'!$C$8:$AC$117,10,FALSE)</f>
        <v>0</v>
      </c>
      <c r="O81" s="57">
        <f>VLOOKUP($B81,'[11]ANNUAL REPORT PIVOT'!$C$8:$AC$117,15,FALSE)+VLOOKUP($B81,'[11]Net Post-Close Adjustments'!$A$3:$K$141,9,FALSE)</f>
        <v>170792.57</v>
      </c>
      <c r="P81" s="57">
        <f>VLOOKUP($B81,'[11]ANNUAL REPORT PIVOT'!$C$8:$AC$117,12,FALSE)</f>
        <v>0</v>
      </c>
      <c r="Q81" s="57">
        <f>VLOOKUP($B81,'[11]ANNUAL REPORT PIVOT'!$C$8:$AC$117,18,FALSE)</f>
        <v>59332.78</v>
      </c>
      <c r="R81" s="57">
        <f>VLOOKUP($B81,'[11]ANNUAL REPORT PIVOT'!$C$8:$AC$117,21,FALSE)</f>
        <v>0</v>
      </c>
      <c r="S81" s="57">
        <f>VLOOKUP($B81,'[11]ANNUAL REPORT PIVOT'!$C$8:$AC$117,24,FALSE)+VLOOKUP($B81,'[11]Net Post-Close Adjustments'!$A$3:$K$141,8,FALSE)</f>
        <v>23904.66</v>
      </c>
      <c r="T81" s="58"/>
      <c r="U81" s="58"/>
      <c r="V81" s="58"/>
      <c r="W81" s="58"/>
    </row>
    <row r="82" spans="1:23">
      <c r="A82" s="56" t="s">
        <v>74</v>
      </c>
      <c r="B82" s="56"/>
      <c r="C82" s="82"/>
      <c r="D82" s="56"/>
      <c r="E82" s="56"/>
      <c r="F82" s="56"/>
      <c r="G82" s="56"/>
      <c r="H82" s="57"/>
      <c r="I82" s="57"/>
      <c r="J82" s="57"/>
      <c r="K82" s="57"/>
      <c r="L82" s="57"/>
      <c r="M82" s="57"/>
      <c r="N82" s="57"/>
      <c r="O82" s="57"/>
      <c r="P82" s="57"/>
      <c r="Q82" s="57"/>
      <c r="R82" s="57"/>
      <c r="S82" s="57"/>
      <c r="T82" s="58"/>
      <c r="U82" s="58"/>
      <c r="V82" s="58"/>
      <c r="W82" s="58"/>
    </row>
    <row r="83" spans="1:23">
      <c r="A83" s="56" t="s">
        <v>74</v>
      </c>
      <c r="B83" s="56"/>
      <c r="C83" s="216" t="s">
        <v>237</v>
      </c>
      <c r="D83" s="56"/>
      <c r="E83" s="56"/>
      <c r="F83" s="56"/>
      <c r="G83" s="56"/>
      <c r="H83" s="57"/>
      <c r="I83" s="57"/>
      <c r="J83" s="57"/>
      <c r="K83" s="57"/>
      <c r="L83" s="57"/>
      <c r="M83" s="57"/>
      <c r="N83" s="57"/>
      <c r="O83" s="57"/>
      <c r="P83" s="57"/>
      <c r="Q83" s="57"/>
      <c r="R83" s="57"/>
      <c r="S83" s="57"/>
      <c r="T83" s="58"/>
      <c r="U83" s="58"/>
      <c r="V83" s="58"/>
      <c r="W83" s="58"/>
    </row>
    <row r="84" spans="1:23">
      <c r="A84" s="56" t="s">
        <v>74</v>
      </c>
      <c r="B84" s="56" t="s">
        <v>238</v>
      </c>
      <c r="C84" s="82" t="s">
        <v>239</v>
      </c>
      <c r="D84" s="56" t="s">
        <v>240</v>
      </c>
      <c r="E84" s="56" t="s">
        <v>77</v>
      </c>
      <c r="F84" s="56" t="s">
        <v>78</v>
      </c>
      <c r="G84" s="56" t="s">
        <v>79</v>
      </c>
      <c r="H84" s="57">
        <f>VLOOKUP($B84,[10]AR!$C$5:$I$109,7,FALSE)</f>
        <v>14890537.412480609</v>
      </c>
      <c r="I84" s="57">
        <f>VLOOKUP($B84,[10]AR!$C$5:$I$109,3,FALSE)</f>
        <v>1796368.4944698131</v>
      </c>
      <c r="J84" s="57">
        <v>0</v>
      </c>
      <c r="K84" s="57">
        <f>VLOOKUP($B84,'[11]ANNUAL REPORT PIVOT'!$C$8:$AU$119,5,FALSE)</f>
        <v>580340.47</v>
      </c>
      <c r="L84" s="57">
        <f>VLOOKUP($B84,'[11]ANNUAL REPORT PIVOT'!$C$8:$AU$119,3,FALSE)</f>
        <v>0</v>
      </c>
      <c r="M84" s="57">
        <f>VLOOKUP($B84,'[11]ANNUAL REPORT PIVOT'!$C$8:$AU$119,6,FALSE)+VLOOKUP($B84,'[11]Net Post-Close Adjustments'!$A$3:$K$141,7,FALSE)</f>
        <v>826622.30999999994</v>
      </c>
      <c r="N84" s="57">
        <f>VLOOKUP($B84,'[11]ANNUAL REPORT PIVOT'!$C$8:$AC$117,10,FALSE)</f>
        <v>0</v>
      </c>
      <c r="O84" s="57">
        <f>VLOOKUP($B84,'[11]ANNUAL REPORT PIVOT'!$C$8:$AC$117,15,FALSE)+VLOOKUP($B84,'[11]Net Post-Close Adjustments'!$A$3:$K$141,9,FALSE)</f>
        <v>1777693.4396604798</v>
      </c>
      <c r="P84" s="57">
        <f>VLOOKUP($B84,'[11]ANNUAL REPORT PIVOT'!$C$8:$AC$117,12,FALSE)</f>
        <v>0</v>
      </c>
      <c r="Q84" s="57">
        <f>VLOOKUP($B84,'[11]ANNUAL REPORT PIVOT'!$C$8:$AC$117,18,FALSE)</f>
        <v>12877801.420000002</v>
      </c>
      <c r="R84" s="57">
        <f>VLOOKUP($B84,'[11]ANNUAL REPORT PIVOT'!$C$8:$AC$117,21,FALSE)</f>
        <v>0</v>
      </c>
      <c r="S84" s="57">
        <f>VLOOKUP($B84,'[11]ANNUAL REPORT PIVOT'!$C$8:$AC$117,24,FALSE)+VLOOKUP($B84,'[11]Net Post-Close Adjustments'!$A$3:$K$141,8,FALSE)</f>
        <v>370112.02</v>
      </c>
      <c r="T84" s="58"/>
      <c r="U84" s="58"/>
      <c r="V84" s="58"/>
      <c r="W84" s="58"/>
    </row>
    <row r="85" spans="1:23">
      <c r="A85" s="56" t="s">
        <v>74</v>
      </c>
      <c r="B85" s="56" t="s">
        <v>241</v>
      </c>
      <c r="C85" s="82" t="s">
        <v>242</v>
      </c>
      <c r="D85" s="56" t="s">
        <v>240</v>
      </c>
      <c r="E85" s="56" t="s">
        <v>77</v>
      </c>
      <c r="F85" s="56" t="s">
        <v>78</v>
      </c>
      <c r="G85" s="217" t="s">
        <v>84</v>
      </c>
      <c r="H85" s="57">
        <f>VLOOKUP($B85,[10]AR!$C$5:$I$109,7,FALSE)</f>
        <v>2036063.8044543576</v>
      </c>
      <c r="I85" s="57">
        <f>VLOOKUP($B85,[10]AR!$C$5:$I$109,3,FALSE)</f>
        <v>178341.24947535971</v>
      </c>
      <c r="J85" s="57">
        <v>0</v>
      </c>
      <c r="K85" s="57">
        <f>VLOOKUP($B85,'[11]ANNUAL REPORT PIVOT'!$C$8:$AU$119,5,FALSE)</f>
        <v>23776.82</v>
      </c>
      <c r="L85" s="57">
        <f>VLOOKUP($B85,'[11]ANNUAL REPORT PIVOT'!$C$8:$AU$119,3,FALSE)</f>
        <v>0</v>
      </c>
      <c r="M85" s="57">
        <f>VLOOKUP($B85,'[11]ANNUAL REPORT PIVOT'!$C$8:$AU$119,6,FALSE)+VLOOKUP($B85,'[11]Net Post-Close Adjustments'!$A$3:$K$141,7,FALSE)</f>
        <v>12780.18</v>
      </c>
      <c r="N85" s="57">
        <f>VLOOKUP($B85,'[11]ANNUAL REPORT PIVOT'!$C$8:$AC$117,10,FALSE)</f>
        <v>0</v>
      </c>
      <c r="O85" s="57">
        <f>VLOOKUP($B85,'[11]ANNUAL REPORT PIVOT'!$C$8:$AC$117,15,FALSE)+VLOOKUP($B85,'[11]Net Post-Close Adjustments'!$A$3:$K$141,9,FALSE)</f>
        <v>743100.82424626534</v>
      </c>
      <c r="P85" s="57">
        <f>VLOOKUP($B85,'[11]ANNUAL REPORT PIVOT'!$C$8:$AC$117,12,FALSE)</f>
        <v>0</v>
      </c>
      <c r="Q85" s="57">
        <f>VLOOKUP($B85,'[11]ANNUAL REPORT PIVOT'!$C$8:$AC$117,18,FALSE)</f>
        <v>835182</v>
      </c>
      <c r="R85" s="57">
        <f>VLOOKUP($B85,'[11]ANNUAL REPORT PIVOT'!$C$8:$AC$117,21,FALSE)</f>
        <v>0</v>
      </c>
      <c r="S85" s="57">
        <f>VLOOKUP($B85,'[11]ANNUAL REPORT PIVOT'!$C$8:$AC$117,24,FALSE)+VLOOKUP($B85,'[11]Net Post-Close Adjustments'!$A$3:$K$141,8,FALSE)</f>
        <v>107044.11</v>
      </c>
      <c r="T85" s="58"/>
      <c r="U85" s="58"/>
      <c r="V85" s="58"/>
      <c r="W85" s="58"/>
    </row>
    <row r="86" spans="1:23">
      <c r="A86" s="56" t="s">
        <v>74</v>
      </c>
      <c r="B86" s="56" t="s">
        <v>243</v>
      </c>
      <c r="C86" s="82" t="s">
        <v>244</v>
      </c>
      <c r="D86" s="56" t="s">
        <v>240</v>
      </c>
      <c r="E86" s="56" t="s">
        <v>77</v>
      </c>
      <c r="F86" s="56" t="s">
        <v>78</v>
      </c>
      <c r="G86" s="56" t="s">
        <v>79</v>
      </c>
      <c r="H86" s="57">
        <f>VLOOKUP($B86,[10]AR!$C$5:$I$109,7,FALSE)</f>
        <v>8295795.6370349731</v>
      </c>
      <c r="I86" s="57">
        <f>VLOOKUP($B86,[10]AR!$C$5:$I$109,3,FALSE)</f>
        <v>697558.97962377593</v>
      </c>
      <c r="J86" s="57">
        <v>0</v>
      </c>
      <c r="K86" s="57">
        <f>VLOOKUP($B86,'[11]ANNUAL REPORT PIVOT'!$C$8:$AU$119,5,FALSE)</f>
        <v>43973.34</v>
      </c>
      <c r="L86" s="57">
        <f>VLOOKUP($B86,'[11]ANNUAL REPORT PIVOT'!$C$8:$AU$119,3,FALSE)</f>
        <v>0</v>
      </c>
      <c r="M86" s="57">
        <f>VLOOKUP($B86,'[11]ANNUAL REPORT PIVOT'!$C$8:$AU$119,6,FALSE)+VLOOKUP($B86,'[11]Net Post-Close Adjustments'!$A$3:$K$141,7,FALSE)</f>
        <v>474932.29000000004</v>
      </c>
      <c r="N86" s="57">
        <f>VLOOKUP($B86,'[11]ANNUAL REPORT PIVOT'!$C$8:$AC$117,10,FALSE)</f>
        <v>0</v>
      </c>
      <c r="O86" s="57">
        <f>VLOOKUP($B86,'[11]ANNUAL REPORT PIVOT'!$C$8:$AC$117,15,FALSE)+VLOOKUP($B86,'[11]Net Post-Close Adjustments'!$A$3:$K$141,9,FALSE)</f>
        <v>893470.22328655503</v>
      </c>
      <c r="P86" s="57">
        <f>VLOOKUP($B86,'[11]ANNUAL REPORT PIVOT'!$C$8:$AC$117,12,FALSE)</f>
        <v>0</v>
      </c>
      <c r="Q86" s="57">
        <f>VLOOKUP($B86,'[11]ANNUAL REPORT PIVOT'!$C$8:$AC$117,18,FALSE)</f>
        <v>3858570</v>
      </c>
      <c r="R86" s="57">
        <f>VLOOKUP($B86,'[11]ANNUAL REPORT PIVOT'!$C$8:$AC$117,21,FALSE)</f>
        <v>0</v>
      </c>
      <c r="S86" s="57">
        <f>VLOOKUP($B86,'[11]ANNUAL REPORT PIVOT'!$C$8:$AC$117,24,FALSE)+VLOOKUP($B86,'[11]Net Post-Close Adjustments'!$A$3:$K$141,8,FALSE)</f>
        <v>79376.76999999999</v>
      </c>
      <c r="T86" s="58"/>
      <c r="U86" s="58"/>
      <c r="V86" s="58"/>
      <c r="W86" s="58"/>
    </row>
    <row r="87" spans="1:23">
      <c r="A87" s="56" t="s">
        <v>74</v>
      </c>
      <c r="B87" s="56" t="s">
        <v>245</v>
      </c>
      <c r="C87" s="227" t="s">
        <v>246</v>
      </c>
      <c r="D87" s="56" t="s">
        <v>240</v>
      </c>
      <c r="E87" s="56" t="s">
        <v>77</v>
      </c>
      <c r="F87" s="56" t="s">
        <v>78</v>
      </c>
      <c r="G87" s="56" t="s">
        <v>79</v>
      </c>
      <c r="H87" s="57">
        <f>VLOOKUP($B87,[10]AR!$C$5:$I$109,7,FALSE)</f>
        <v>6566064.307033496</v>
      </c>
      <c r="I87" s="57">
        <f>VLOOKUP($B87,[10]AR!$C$5:$I$109,3,FALSE)</f>
        <v>1149148.0742990547</v>
      </c>
      <c r="J87" s="57">
        <v>0</v>
      </c>
      <c r="K87" s="57">
        <f>VLOOKUP($B87,'[11]ANNUAL REPORT PIVOT'!$C$8:$AU$119,5,FALSE)</f>
        <v>506523.13999999996</v>
      </c>
      <c r="L87" s="57">
        <f>VLOOKUP($B87,'[11]ANNUAL REPORT PIVOT'!$C$8:$AU$119,3,FALSE)</f>
        <v>0</v>
      </c>
      <c r="M87" s="57">
        <f>VLOOKUP($B87,'[11]ANNUAL REPORT PIVOT'!$C$8:$AU$119,6,FALSE)+VLOOKUP($B87,'[11]Net Post-Close Adjustments'!$A$3:$K$141,7,FALSE)</f>
        <v>520835.82</v>
      </c>
      <c r="N87" s="57">
        <f>VLOOKUP($B87,'[11]ANNUAL REPORT PIVOT'!$C$8:$AC$117,10,FALSE)</f>
        <v>0</v>
      </c>
      <c r="O87" s="57">
        <f>VLOOKUP($B87,'[11]ANNUAL REPORT PIVOT'!$C$8:$AC$117,15,FALSE)+VLOOKUP($B87,'[11]Net Post-Close Adjustments'!$A$3:$K$141,9,FALSE)</f>
        <v>746953.30022181978</v>
      </c>
      <c r="P87" s="57">
        <f>VLOOKUP($B87,'[11]ANNUAL REPORT PIVOT'!$C$8:$AC$117,12,FALSE)</f>
        <v>0</v>
      </c>
      <c r="Q87" s="57">
        <f>VLOOKUP($B87,'[11]ANNUAL REPORT PIVOT'!$C$8:$AC$117,18,FALSE)</f>
        <v>3129611.5500000003</v>
      </c>
      <c r="R87" s="57">
        <f>VLOOKUP($B87,'[11]ANNUAL REPORT PIVOT'!$C$8:$AC$117,21,FALSE)</f>
        <v>0</v>
      </c>
      <c r="S87" s="57">
        <f>VLOOKUP($B87,'[11]ANNUAL REPORT PIVOT'!$C$8:$AC$117,24,FALSE)+VLOOKUP($B87,'[11]Net Post-Close Adjustments'!$A$3:$K$141,8,FALSE)</f>
        <v>542801.80000000005</v>
      </c>
      <c r="T87" s="58"/>
      <c r="U87" s="58"/>
      <c r="V87" s="58"/>
      <c r="W87" s="58"/>
    </row>
    <row r="88" spans="1:23">
      <c r="A88" s="56" t="s">
        <v>74</v>
      </c>
      <c r="B88" s="56" t="s">
        <v>247</v>
      </c>
      <c r="C88" s="82" t="s">
        <v>248</v>
      </c>
      <c r="D88" s="56" t="s">
        <v>240</v>
      </c>
      <c r="E88" s="56" t="s">
        <v>96</v>
      </c>
      <c r="F88" s="56" t="s">
        <v>78</v>
      </c>
      <c r="G88" s="56" t="s">
        <v>79</v>
      </c>
      <c r="H88" s="57">
        <f>VLOOKUP($B88,[10]AR!$C$5:$I$109,7,FALSE)</f>
        <v>2777901.9938589735</v>
      </c>
      <c r="I88" s="57">
        <f>VLOOKUP($B88,[10]AR!$C$5:$I$109,3,FALSE)</f>
        <v>206908.14017085623</v>
      </c>
      <c r="J88" s="57">
        <v>0</v>
      </c>
      <c r="K88" s="57">
        <f>VLOOKUP($B88,'[11]ANNUAL REPORT PIVOT'!$C$8:$AU$119,5,FALSE)</f>
        <v>16636.060000000001</v>
      </c>
      <c r="L88" s="57">
        <f>VLOOKUP($B88,'[11]ANNUAL REPORT PIVOT'!$C$8:$AU$119,3,FALSE)</f>
        <v>0</v>
      </c>
      <c r="M88" s="57">
        <f>VLOOKUP($B88,'[11]ANNUAL REPORT PIVOT'!$C$8:$AU$119,6,FALSE)+VLOOKUP($B88,'[11]Net Post-Close Adjustments'!$A$3:$K$141,7,FALSE)</f>
        <v>136332.95387200001</v>
      </c>
      <c r="N88" s="57">
        <f>VLOOKUP($B88,'[11]ANNUAL REPORT PIVOT'!$C$8:$AC$117,10,FALSE)</f>
        <v>0</v>
      </c>
      <c r="O88" s="57">
        <f>VLOOKUP($B88,'[11]ANNUAL REPORT PIVOT'!$C$8:$AC$117,15,FALSE)+VLOOKUP($B88,'[11]Net Post-Close Adjustments'!$A$3:$K$141,9,FALSE)</f>
        <v>636160.3580015297</v>
      </c>
      <c r="P88" s="57">
        <f>VLOOKUP($B88,'[11]ANNUAL REPORT PIVOT'!$C$8:$AC$117,12,FALSE)</f>
        <v>0</v>
      </c>
      <c r="Q88" s="57">
        <f>VLOOKUP($B88,'[11]ANNUAL REPORT PIVOT'!$C$8:$AC$117,18,FALSE)</f>
        <v>397981.33999999997</v>
      </c>
      <c r="R88" s="57">
        <f>VLOOKUP($B88,'[11]ANNUAL REPORT PIVOT'!$C$8:$AC$117,21,FALSE)</f>
        <v>0</v>
      </c>
      <c r="S88" s="57">
        <f>VLOOKUP($B88,'[11]ANNUAL REPORT PIVOT'!$C$8:$AC$117,24,FALSE)+VLOOKUP($B88,'[11]Net Post-Close Adjustments'!$A$3:$K$141,8,FALSE)</f>
        <v>25071.319999999996</v>
      </c>
      <c r="T88" s="58"/>
      <c r="U88" s="58"/>
      <c r="V88" s="58"/>
      <c r="W88" s="58"/>
    </row>
    <row r="89" spans="1:23">
      <c r="A89" s="56" t="s">
        <v>74</v>
      </c>
      <c r="B89" s="56" t="s">
        <v>249</v>
      </c>
      <c r="C89" s="82" t="s">
        <v>250</v>
      </c>
      <c r="D89" s="56" t="s">
        <v>240</v>
      </c>
      <c r="E89" s="56" t="s">
        <v>96</v>
      </c>
      <c r="F89" s="56" t="s">
        <v>78</v>
      </c>
      <c r="G89" s="56" t="s">
        <v>79</v>
      </c>
      <c r="H89" s="57">
        <v>0</v>
      </c>
      <c r="I89" s="57">
        <v>0</v>
      </c>
      <c r="J89" s="57">
        <v>0</v>
      </c>
      <c r="K89" s="57">
        <v>0</v>
      </c>
      <c r="L89" s="57">
        <v>0</v>
      </c>
      <c r="M89" s="57">
        <v>0</v>
      </c>
      <c r="N89" s="57">
        <v>0</v>
      </c>
      <c r="O89" s="57">
        <v>0</v>
      </c>
      <c r="P89" s="57">
        <v>0</v>
      </c>
      <c r="Q89" s="57">
        <v>0</v>
      </c>
      <c r="R89" s="57">
        <v>0</v>
      </c>
      <c r="S89" s="57">
        <v>0</v>
      </c>
      <c r="T89" s="58"/>
      <c r="U89" s="58"/>
      <c r="V89" s="58"/>
      <c r="W89" s="58"/>
    </row>
    <row r="90" spans="1:23">
      <c r="A90" s="56" t="s">
        <v>74</v>
      </c>
      <c r="B90" s="56" t="s">
        <v>251</v>
      </c>
      <c r="C90" s="82" t="s">
        <v>252</v>
      </c>
      <c r="D90" s="56" t="s">
        <v>240</v>
      </c>
      <c r="E90" s="56" t="s">
        <v>96</v>
      </c>
      <c r="F90" s="56" t="s">
        <v>78</v>
      </c>
      <c r="G90" s="56" t="s">
        <v>79</v>
      </c>
      <c r="H90" s="57">
        <f>VLOOKUP($B90,[10]AR!$C$5:$I$109,7,FALSE)</f>
        <v>0</v>
      </c>
      <c r="I90" s="57">
        <f>VLOOKUP($B90,[10]AR!$C$5:$I$109,3,FALSE)</f>
        <v>0</v>
      </c>
      <c r="J90" s="57">
        <v>0</v>
      </c>
      <c r="K90" s="57">
        <f>VLOOKUP($B90,'[11]ANNUAL REPORT PIVOT'!$C$8:$AU$119,5,FALSE)</f>
        <v>16028.12</v>
      </c>
      <c r="L90" s="57">
        <f>VLOOKUP($B90,'[11]ANNUAL REPORT PIVOT'!$C$8:$AU$119,3,FALSE)</f>
        <v>0</v>
      </c>
      <c r="M90" s="57">
        <f>VLOOKUP($B90,'[11]ANNUAL REPORT PIVOT'!$C$8:$AU$119,6,FALSE)+VLOOKUP($B90,'[11]Net Post-Close Adjustments'!$A$3:$K$141,7,FALSE)</f>
        <v>-58460.580000000009</v>
      </c>
      <c r="N90" s="57">
        <f>VLOOKUP($B90,'[11]ANNUAL REPORT PIVOT'!$C$8:$AC$117,10,FALSE)</f>
        <v>0</v>
      </c>
      <c r="O90" s="57">
        <f>VLOOKUP($B90,'[11]ANNUAL REPORT PIVOT'!$C$8:$AC$117,15,FALSE)+VLOOKUP($B90,'[11]Net Post-Close Adjustments'!$A$3:$K$141,9,FALSE)</f>
        <v>253815.72999999998</v>
      </c>
      <c r="P90" s="57">
        <f>VLOOKUP($B90,'[11]ANNUAL REPORT PIVOT'!$C$8:$AC$117,12,FALSE)</f>
        <v>0</v>
      </c>
      <c r="Q90" s="57">
        <f>VLOOKUP($B90,'[11]ANNUAL REPORT PIVOT'!$C$8:$AC$117,18,FALSE)</f>
        <v>221591.27</v>
      </c>
      <c r="R90" s="57">
        <f>VLOOKUP($B90,'[11]ANNUAL REPORT PIVOT'!$C$8:$AC$117,21,FALSE)</f>
        <v>0</v>
      </c>
      <c r="S90" s="57">
        <f>VLOOKUP($B90,'[11]ANNUAL REPORT PIVOT'!$C$8:$AC$117,24,FALSE)+VLOOKUP($B90,'[11]Net Post-Close Adjustments'!$A$3:$K$141,8,FALSE)</f>
        <v>10516.529999999999</v>
      </c>
      <c r="T90" s="58"/>
      <c r="U90" s="58"/>
      <c r="V90" s="58"/>
      <c r="W90" s="58"/>
    </row>
    <row r="91" spans="1:23">
      <c r="A91" s="56" t="s">
        <v>74</v>
      </c>
      <c r="B91" s="56" t="s">
        <v>253</v>
      </c>
      <c r="C91" s="82" t="s">
        <v>254</v>
      </c>
      <c r="D91" s="56" t="s">
        <v>240</v>
      </c>
      <c r="E91" s="56" t="s">
        <v>96</v>
      </c>
      <c r="F91" s="56" t="s">
        <v>78</v>
      </c>
      <c r="G91" s="56" t="s">
        <v>79</v>
      </c>
      <c r="H91" s="57">
        <f>VLOOKUP($B91,[10]AR!$C$5:$I$109,7,FALSE)</f>
        <v>2319572.8804302504</v>
      </c>
      <c r="I91" s="57">
        <f>VLOOKUP($B91,[10]AR!$C$5:$I$109,3,FALSE)</f>
        <v>198014.34333366153</v>
      </c>
      <c r="J91" s="57">
        <v>0</v>
      </c>
      <c r="K91" s="57">
        <f>VLOOKUP($B91,'[11]ANNUAL REPORT PIVOT'!$C$8:$AU$119,5,FALSE)</f>
        <v>77490.960000000006</v>
      </c>
      <c r="L91" s="57">
        <f>VLOOKUP($B91,'[11]ANNUAL REPORT PIVOT'!$C$8:$AU$119,3,FALSE)</f>
        <v>0</v>
      </c>
      <c r="M91" s="57">
        <f>VLOOKUP($B91,'[11]ANNUAL REPORT PIVOT'!$C$8:$AU$119,6,FALSE)+VLOOKUP($B91,'[11]Net Post-Close Adjustments'!$A$3:$K$141,7,FALSE)</f>
        <v>2979.16</v>
      </c>
      <c r="N91" s="57">
        <f>VLOOKUP($B91,'[11]ANNUAL REPORT PIVOT'!$C$8:$AC$117,10,FALSE)</f>
        <v>0</v>
      </c>
      <c r="O91" s="57">
        <f>VLOOKUP($B91,'[11]ANNUAL REPORT PIVOT'!$C$8:$AC$117,15,FALSE)+VLOOKUP($B91,'[11]Net Post-Close Adjustments'!$A$3:$K$141,9,FALSE)</f>
        <v>988045.62065640558</v>
      </c>
      <c r="P91" s="57">
        <f>VLOOKUP($B91,'[11]ANNUAL REPORT PIVOT'!$C$8:$AC$117,12,FALSE)</f>
        <v>0</v>
      </c>
      <c r="Q91" s="57">
        <f>VLOOKUP($B91,'[11]ANNUAL REPORT PIVOT'!$C$8:$AC$117,18,FALSE)</f>
        <v>853655.35</v>
      </c>
      <c r="R91" s="57">
        <f>VLOOKUP($B91,'[11]ANNUAL REPORT PIVOT'!$C$8:$AC$117,21,FALSE)</f>
        <v>0</v>
      </c>
      <c r="S91" s="57">
        <f>VLOOKUP($B91,'[11]ANNUAL REPORT PIVOT'!$C$8:$AC$117,24,FALSE)+VLOOKUP($B91,'[11]Net Post-Close Adjustments'!$A$3:$K$141,8,FALSE)</f>
        <v>143853.97</v>
      </c>
      <c r="T91" s="58"/>
      <c r="U91" s="58"/>
      <c r="V91" s="58"/>
      <c r="W91" s="58"/>
    </row>
    <row r="92" spans="1:23">
      <c r="A92" s="56" t="s">
        <v>74</v>
      </c>
      <c r="B92" s="56" t="s">
        <v>255</v>
      </c>
      <c r="C92" s="82" t="s">
        <v>256</v>
      </c>
      <c r="D92" s="56" t="s">
        <v>240</v>
      </c>
      <c r="E92" s="56" t="s">
        <v>96</v>
      </c>
      <c r="F92" s="217" t="s">
        <v>102</v>
      </c>
      <c r="G92" s="56" t="s">
        <v>79</v>
      </c>
      <c r="H92" s="57">
        <f>VLOOKUP($B92,[10]AR!$C$5:$I$109,7,FALSE)</f>
        <v>0</v>
      </c>
      <c r="I92" s="57">
        <f>VLOOKUP($B92,[10]AR!$C$5:$I$109,3,FALSE)</f>
        <v>0</v>
      </c>
      <c r="J92" s="57">
        <v>0</v>
      </c>
      <c r="K92" s="57">
        <f>VLOOKUP($B92,'[11]ANNUAL REPORT PIVOT'!$C$8:$AU$119,5,FALSE)</f>
        <v>794.75</v>
      </c>
      <c r="L92" s="57">
        <f>VLOOKUP($B92,'[11]ANNUAL REPORT PIVOT'!$C$8:$AU$119,3,FALSE)</f>
        <v>0</v>
      </c>
      <c r="M92" s="57">
        <f>VLOOKUP($B92,'[11]ANNUAL REPORT PIVOT'!$C$8:$AU$119,6,FALSE)+VLOOKUP($B92,'[11]Net Post-Close Adjustments'!$A$3:$K$141,7,FALSE)</f>
        <v>-16.59</v>
      </c>
      <c r="N92" s="57">
        <f>VLOOKUP($B92,'[11]ANNUAL REPORT PIVOT'!$C$8:$AC$117,10,FALSE)</f>
        <v>0</v>
      </c>
      <c r="O92" s="57">
        <f>VLOOKUP($B92,'[11]ANNUAL REPORT PIVOT'!$C$8:$AC$117,15,FALSE)+VLOOKUP($B92,'[11]Net Post-Close Adjustments'!$A$3:$K$141,9,FALSE)</f>
        <v>37328.659999999996</v>
      </c>
      <c r="P92" s="57">
        <f>VLOOKUP($B92,'[11]ANNUAL REPORT PIVOT'!$C$8:$AC$117,12,FALSE)</f>
        <v>0</v>
      </c>
      <c r="Q92" s="57">
        <f>VLOOKUP($B92,'[11]ANNUAL REPORT PIVOT'!$C$8:$AC$117,18,FALSE)</f>
        <v>0</v>
      </c>
      <c r="R92" s="57">
        <f>VLOOKUP($B92,'[11]ANNUAL REPORT PIVOT'!$C$8:$AC$117,21,FALSE)</f>
        <v>0</v>
      </c>
      <c r="S92" s="57">
        <f>VLOOKUP($B92,'[11]ANNUAL REPORT PIVOT'!$C$8:$AC$117,24,FALSE)+VLOOKUP($B92,'[11]Net Post-Close Adjustments'!$A$3:$K$141,8,FALSE)</f>
        <v>0</v>
      </c>
      <c r="T92" s="58"/>
      <c r="U92" s="58"/>
      <c r="V92" s="58"/>
      <c r="W92" s="58"/>
    </row>
    <row r="93" spans="1:23">
      <c r="A93" s="56" t="s">
        <v>74</v>
      </c>
      <c r="B93" s="56" t="s">
        <v>257</v>
      </c>
      <c r="C93" s="82" t="s">
        <v>258</v>
      </c>
      <c r="D93" s="56" t="s">
        <v>240</v>
      </c>
      <c r="E93" s="56" t="s">
        <v>96</v>
      </c>
      <c r="F93" s="56" t="s">
        <v>78</v>
      </c>
      <c r="G93" s="56" t="s">
        <v>79</v>
      </c>
      <c r="H93" s="57">
        <f>VLOOKUP($B93,[10]AR!$C$5:$I$109,7,FALSE)</f>
        <v>15944944.736350002</v>
      </c>
      <c r="I93" s="57">
        <f>VLOOKUP($B93,[10]AR!$C$5:$I$109,3,FALSE)</f>
        <v>2536722.7934365505</v>
      </c>
      <c r="J93" s="57">
        <v>0</v>
      </c>
      <c r="K93" s="57">
        <f>VLOOKUP($B93,'[11]ANNUAL REPORT PIVOT'!$C$8:$AU$119,5,FALSE)</f>
        <v>2282197.66</v>
      </c>
      <c r="L93" s="57">
        <f>VLOOKUP($B93,'[11]ANNUAL REPORT PIVOT'!$C$8:$AU$119,3,FALSE)</f>
        <v>0</v>
      </c>
      <c r="M93" s="57">
        <f>VLOOKUP($B93,'[11]ANNUAL REPORT PIVOT'!$C$8:$AU$119,6,FALSE)+VLOOKUP($B93,'[11]Net Post-Close Adjustments'!$A$3:$K$141,7,FALSE)</f>
        <v>881502.73861009651</v>
      </c>
      <c r="N93" s="57">
        <f>VLOOKUP($B93,'[11]ANNUAL REPORT PIVOT'!$C$8:$AC$117,10,FALSE)</f>
        <v>0</v>
      </c>
      <c r="O93" s="57">
        <f>VLOOKUP($B93,'[11]ANNUAL REPORT PIVOT'!$C$8:$AC$117,15,FALSE)+VLOOKUP($B93,'[11]Net Post-Close Adjustments'!$A$3:$K$141,9,FALSE)</f>
        <v>8500741.0126753449</v>
      </c>
      <c r="P93" s="57">
        <f>VLOOKUP($B93,'[11]ANNUAL REPORT PIVOT'!$C$8:$AC$117,12,FALSE)</f>
        <v>0</v>
      </c>
      <c r="Q93" s="57">
        <f>VLOOKUP($B93,'[11]ANNUAL REPORT PIVOT'!$C$8:$AC$117,18,FALSE)</f>
        <v>10060115.869999999</v>
      </c>
      <c r="R93" s="57">
        <f>VLOOKUP($B93,'[11]ANNUAL REPORT PIVOT'!$C$8:$AC$117,21,FALSE)</f>
        <v>0</v>
      </c>
      <c r="S93" s="57">
        <f>VLOOKUP($B93,'[11]ANNUAL REPORT PIVOT'!$C$8:$AC$117,24,FALSE)+VLOOKUP($B93,'[11]Net Post-Close Adjustments'!$A$3:$K$141,8,FALSE)</f>
        <v>1412815.3900000001</v>
      </c>
      <c r="T93" s="58"/>
      <c r="U93" s="58"/>
      <c r="V93" s="58"/>
      <c r="W93" s="58"/>
    </row>
    <row r="94" spans="1:23">
      <c r="A94" s="56" t="s">
        <v>74</v>
      </c>
      <c r="B94" s="56" t="s">
        <v>259</v>
      </c>
      <c r="C94" s="82" t="s">
        <v>260</v>
      </c>
      <c r="D94" s="56" t="s">
        <v>240</v>
      </c>
      <c r="E94" s="56" t="s">
        <v>96</v>
      </c>
      <c r="F94" s="56" t="s">
        <v>78</v>
      </c>
      <c r="G94" s="56" t="s">
        <v>79</v>
      </c>
      <c r="H94" s="57">
        <f>VLOOKUP($B94,[10]AR!$C$5:$I$109,7,FALSE)</f>
        <v>7832343.8808614826</v>
      </c>
      <c r="I94" s="57">
        <f>VLOOKUP($B94,[10]AR!$C$5:$I$109,3,FALSE)</f>
        <v>594519.0195735062</v>
      </c>
      <c r="J94" s="57">
        <v>0</v>
      </c>
      <c r="K94" s="57">
        <f>VLOOKUP($B94,'[11]ANNUAL REPORT PIVOT'!$C$8:$AU$119,5,FALSE)</f>
        <v>88032.41</v>
      </c>
      <c r="L94" s="57">
        <f>VLOOKUP($B94,'[11]ANNUAL REPORT PIVOT'!$C$8:$AU$119,3,FALSE)</f>
        <v>0</v>
      </c>
      <c r="M94" s="57">
        <f>VLOOKUP($B94,'[11]ANNUAL REPORT PIVOT'!$C$8:$AU$119,6,FALSE)+VLOOKUP($B94,'[11]Net Post-Close Adjustments'!$A$3:$K$141,7,FALSE)</f>
        <v>604086.42065091291</v>
      </c>
      <c r="N94" s="57">
        <f>VLOOKUP($B94,'[11]ANNUAL REPORT PIVOT'!$C$8:$AC$117,10,FALSE)</f>
        <v>0</v>
      </c>
      <c r="O94" s="57">
        <f>VLOOKUP($B94,'[11]ANNUAL REPORT PIVOT'!$C$8:$AC$117,15,FALSE)+VLOOKUP($B94,'[11]Net Post-Close Adjustments'!$A$3:$K$141,9,FALSE)</f>
        <v>3203182.5640925067</v>
      </c>
      <c r="P94" s="57">
        <f>VLOOKUP($B94,'[11]ANNUAL REPORT PIVOT'!$C$8:$AC$117,12,FALSE)</f>
        <v>0</v>
      </c>
      <c r="Q94" s="57">
        <f>VLOOKUP($B94,'[11]ANNUAL REPORT PIVOT'!$C$8:$AC$117,18,FALSE)</f>
        <v>845205.34</v>
      </c>
      <c r="R94" s="57">
        <f>VLOOKUP($B94,'[11]ANNUAL REPORT PIVOT'!$C$8:$AC$117,21,FALSE)</f>
        <v>0</v>
      </c>
      <c r="S94" s="57">
        <f>VLOOKUP($B94,'[11]ANNUAL REPORT PIVOT'!$C$8:$AC$117,24,FALSE)+VLOOKUP($B94,'[11]Net Post-Close Adjustments'!$A$3:$K$141,8,FALSE)</f>
        <v>179881.08000000002</v>
      </c>
      <c r="T94" s="58"/>
      <c r="U94" s="58"/>
      <c r="V94" s="58"/>
      <c r="W94" s="58"/>
    </row>
    <row r="95" spans="1:23">
      <c r="A95" s="56" t="s">
        <v>74</v>
      </c>
      <c r="B95" s="56" t="s">
        <v>261</v>
      </c>
      <c r="C95" s="82" t="s">
        <v>262</v>
      </c>
      <c r="D95" s="56" t="s">
        <v>240</v>
      </c>
      <c r="E95" s="56" t="s">
        <v>112</v>
      </c>
      <c r="F95" s="56" t="s">
        <v>78</v>
      </c>
      <c r="G95" s="56" t="s">
        <v>79</v>
      </c>
      <c r="H95" s="57">
        <f>VLOOKUP($B95,[10]AR!$C$5:$I$109,7,FALSE)</f>
        <v>2387317.0140251829</v>
      </c>
      <c r="I95" s="57">
        <f>VLOOKUP($B95,[10]AR!$C$5:$I$109,3,FALSE)</f>
        <v>181533.38991120903</v>
      </c>
      <c r="J95" s="57">
        <v>0</v>
      </c>
      <c r="K95" s="57">
        <f>VLOOKUP($B95,'[11]ANNUAL REPORT PIVOT'!$C$8:$AU$119,5,FALSE)</f>
        <v>1355.18</v>
      </c>
      <c r="L95" s="57">
        <f>VLOOKUP($B95,'[11]ANNUAL REPORT PIVOT'!$C$8:$AU$119,3,FALSE)</f>
        <v>0</v>
      </c>
      <c r="M95" s="57">
        <f>VLOOKUP($B95,'[11]ANNUAL REPORT PIVOT'!$C$8:$AU$119,6,FALSE)+VLOOKUP($B95,'[11]Net Post-Close Adjustments'!$A$3:$K$141,7,FALSE)</f>
        <v>43672.445544575748</v>
      </c>
      <c r="N95" s="57">
        <f>VLOOKUP($B95,'[11]ANNUAL REPORT PIVOT'!$C$8:$AC$117,10,FALSE)</f>
        <v>0</v>
      </c>
      <c r="O95" s="57">
        <f>VLOOKUP($B95,'[11]ANNUAL REPORT PIVOT'!$C$8:$AC$117,15,FALSE)+VLOOKUP($B95,'[11]Net Post-Close Adjustments'!$A$3:$K$141,9,FALSE)</f>
        <v>402680.61061925697</v>
      </c>
      <c r="P95" s="57">
        <f>VLOOKUP($B95,'[11]ANNUAL REPORT PIVOT'!$C$8:$AC$117,12,FALSE)</f>
        <v>0</v>
      </c>
      <c r="Q95" s="57">
        <f>VLOOKUP($B95,'[11]ANNUAL REPORT PIVOT'!$C$8:$AC$117,18,FALSE)</f>
        <v>73776.12</v>
      </c>
      <c r="R95" s="57">
        <f>VLOOKUP($B95,'[11]ANNUAL REPORT PIVOT'!$C$8:$AC$117,21,FALSE)</f>
        <v>0</v>
      </c>
      <c r="S95" s="57">
        <f>VLOOKUP($B95,'[11]ANNUAL REPORT PIVOT'!$C$8:$AC$117,24,FALSE)+VLOOKUP($B95,'[11]Net Post-Close Adjustments'!$A$3:$K$141,8,FALSE)</f>
        <v>187.22000000000003</v>
      </c>
      <c r="T95" s="58"/>
      <c r="U95" s="58"/>
      <c r="V95" s="58"/>
      <c r="W95" s="58"/>
    </row>
    <row r="96" spans="1:23">
      <c r="A96" s="56" t="s">
        <v>74</v>
      </c>
      <c r="B96" s="56" t="s">
        <v>263</v>
      </c>
      <c r="C96" s="82" t="s">
        <v>264</v>
      </c>
      <c r="D96" s="56" t="s">
        <v>240</v>
      </c>
      <c r="E96" s="56" t="s">
        <v>112</v>
      </c>
      <c r="F96" s="56" t="s">
        <v>78</v>
      </c>
      <c r="G96" s="56" t="s">
        <v>79</v>
      </c>
      <c r="H96" s="57">
        <f>VLOOKUP($B96,[10]AR!$C$5:$I$109,7,FALSE)</f>
        <v>2874547.5076241484</v>
      </c>
      <c r="I96" s="57">
        <f>VLOOKUP($B96,[10]AR!$C$5:$I$109,3,FALSE)</f>
        <v>269415.95604505826</v>
      </c>
      <c r="J96" s="57">
        <v>0</v>
      </c>
      <c r="K96" s="57">
        <f>VLOOKUP($B96,'[11]ANNUAL REPORT PIVOT'!$C$8:$AU$119,5,FALSE)</f>
        <v>21509.68</v>
      </c>
      <c r="L96" s="57">
        <f>VLOOKUP($B96,'[11]ANNUAL REPORT PIVOT'!$C$8:$AU$119,3,FALSE)</f>
        <v>0</v>
      </c>
      <c r="M96" s="57">
        <f>VLOOKUP($B96,'[11]ANNUAL REPORT PIVOT'!$C$8:$AU$119,6,FALSE)+VLOOKUP($B96,'[11]Net Post-Close Adjustments'!$A$3:$K$141,7,FALSE)</f>
        <v>168526.57</v>
      </c>
      <c r="N96" s="57">
        <f>VLOOKUP($B96,'[11]ANNUAL REPORT PIVOT'!$C$8:$AC$117,10,FALSE)</f>
        <v>0</v>
      </c>
      <c r="O96" s="57">
        <f>VLOOKUP($B96,'[11]ANNUAL REPORT PIVOT'!$C$8:$AC$117,15,FALSE)+VLOOKUP($B96,'[11]Net Post-Close Adjustments'!$A$3:$K$141,9,FALSE)</f>
        <v>192473.4447351743</v>
      </c>
      <c r="P96" s="57">
        <f>VLOOKUP($B96,'[11]ANNUAL REPORT PIVOT'!$C$8:$AC$117,12,FALSE)</f>
        <v>0</v>
      </c>
      <c r="Q96" s="57">
        <f>VLOOKUP($B96,'[11]ANNUAL REPORT PIVOT'!$C$8:$AC$117,18,FALSE)</f>
        <v>45403.86</v>
      </c>
      <c r="R96" s="57">
        <f>VLOOKUP($B96,'[11]ANNUAL REPORT PIVOT'!$C$8:$AC$117,21,FALSE)</f>
        <v>0</v>
      </c>
      <c r="S96" s="57">
        <f>VLOOKUP($B96,'[11]ANNUAL REPORT PIVOT'!$C$8:$AC$117,24,FALSE)+VLOOKUP($B96,'[11]Net Post-Close Adjustments'!$A$3:$K$141,8,FALSE)</f>
        <v>36684.240000000005</v>
      </c>
      <c r="T96" s="58"/>
      <c r="U96" s="58"/>
      <c r="V96" s="58"/>
      <c r="W96" s="58"/>
    </row>
    <row r="97" spans="1:23">
      <c r="A97" s="56" t="s">
        <v>74</v>
      </c>
      <c r="B97" s="56" t="s">
        <v>265</v>
      </c>
      <c r="C97" s="82" t="s">
        <v>266</v>
      </c>
      <c r="D97" s="56" t="s">
        <v>240</v>
      </c>
      <c r="E97" s="56" t="s">
        <v>112</v>
      </c>
      <c r="F97" s="56" t="s">
        <v>78</v>
      </c>
      <c r="G97" s="56" t="s">
        <v>79</v>
      </c>
      <c r="H97" s="57">
        <f>VLOOKUP($B97,[10]AR!$C$5:$I$109,7,FALSE)</f>
        <v>0</v>
      </c>
      <c r="I97" s="57">
        <f>VLOOKUP($B97,[10]AR!$C$5:$I$109,3,FALSE)</f>
        <v>0</v>
      </c>
      <c r="J97" s="57">
        <v>0</v>
      </c>
      <c r="K97" s="57">
        <f>VLOOKUP($B97,'[11]ANNUAL REPORT PIVOT'!$C$8:$AU$119,5,FALSE)</f>
        <v>1113.4000000000001</v>
      </c>
      <c r="L97" s="57">
        <f>VLOOKUP($B97,'[11]ANNUAL REPORT PIVOT'!$C$8:$AU$119,3,FALSE)</f>
        <v>0</v>
      </c>
      <c r="M97" s="57">
        <f>VLOOKUP($B97,'[11]ANNUAL REPORT PIVOT'!$C$8:$AU$119,6,FALSE)+VLOOKUP($B97,'[11]Net Post-Close Adjustments'!$A$3:$K$141,7,FALSE)</f>
        <v>685.82</v>
      </c>
      <c r="N97" s="57">
        <f>VLOOKUP($B97,'[11]ANNUAL REPORT PIVOT'!$C$8:$AC$117,10,FALSE)</f>
        <v>0</v>
      </c>
      <c r="O97" s="57">
        <f>VLOOKUP($B97,'[11]ANNUAL REPORT PIVOT'!$C$8:$AC$117,15,FALSE)+VLOOKUP($B97,'[11]Net Post-Close Adjustments'!$A$3:$K$141,9,FALSE)</f>
        <v>-57132.549999999996</v>
      </c>
      <c r="P97" s="57">
        <f>VLOOKUP($B97,'[11]ANNUAL REPORT PIVOT'!$C$8:$AC$117,12,FALSE)</f>
        <v>0</v>
      </c>
      <c r="Q97" s="57">
        <f>VLOOKUP($B97,'[11]ANNUAL REPORT PIVOT'!$C$8:$AC$117,18,FALSE)</f>
        <v>2466.25</v>
      </c>
      <c r="R97" s="57">
        <f>VLOOKUP($B97,'[11]ANNUAL REPORT PIVOT'!$C$8:$AC$117,21,FALSE)</f>
        <v>0</v>
      </c>
      <c r="S97" s="57">
        <f>VLOOKUP($B97,'[11]ANNUAL REPORT PIVOT'!$C$8:$AC$117,24,FALSE)+VLOOKUP($B97,'[11]Net Post-Close Adjustments'!$A$3:$K$141,8,FALSE)</f>
        <v>2221.65</v>
      </c>
      <c r="T97" s="58"/>
      <c r="U97" s="58"/>
      <c r="V97" s="58"/>
      <c r="W97" s="58"/>
    </row>
    <row r="98" spans="1:23">
      <c r="A98" s="56" t="s">
        <v>74</v>
      </c>
      <c r="B98" s="56" t="s">
        <v>267</v>
      </c>
      <c r="C98" s="82" t="s">
        <v>268</v>
      </c>
      <c r="D98" s="56" t="s">
        <v>240</v>
      </c>
      <c r="E98" s="56" t="s">
        <v>112</v>
      </c>
      <c r="F98" s="56" t="s">
        <v>78</v>
      </c>
      <c r="G98" s="56" t="s">
        <v>79</v>
      </c>
      <c r="H98" s="57">
        <f>VLOOKUP($B98,[10]AR!$C$5:$I$109,7,FALSE)</f>
        <v>520950.68117769074</v>
      </c>
      <c r="I98" s="57">
        <f>VLOOKUP($B98,[10]AR!$C$5:$I$109,3,FALSE)</f>
        <v>47122.241820846801</v>
      </c>
      <c r="J98" s="57">
        <v>0</v>
      </c>
      <c r="K98" s="57">
        <f>VLOOKUP($B98,'[11]ANNUAL REPORT PIVOT'!$C$8:$AU$119,5,FALSE)</f>
        <v>13690.500000000007</v>
      </c>
      <c r="L98" s="57">
        <f>VLOOKUP($B98,'[11]ANNUAL REPORT PIVOT'!$C$8:$AU$119,3,FALSE)</f>
        <v>0</v>
      </c>
      <c r="M98" s="57">
        <f>VLOOKUP($B98,'[11]ANNUAL REPORT PIVOT'!$C$8:$AU$119,6,FALSE)+VLOOKUP($B98,'[11]Net Post-Close Adjustments'!$A$3:$K$141,7,FALSE)</f>
        <v>7175.4099999999989</v>
      </c>
      <c r="N98" s="57">
        <f>VLOOKUP($B98,'[11]ANNUAL REPORT PIVOT'!$C$8:$AC$117,10,FALSE)</f>
        <v>0</v>
      </c>
      <c r="O98" s="57">
        <f>VLOOKUP($B98,'[11]ANNUAL REPORT PIVOT'!$C$8:$AC$117,15,FALSE)+VLOOKUP($B98,'[11]Net Post-Close Adjustments'!$A$3:$K$141,9,FALSE)</f>
        <v>149543.05409687644</v>
      </c>
      <c r="P98" s="57">
        <f>VLOOKUP($B98,'[11]ANNUAL REPORT PIVOT'!$C$8:$AC$117,12,FALSE)</f>
        <v>0</v>
      </c>
      <c r="Q98" s="57">
        <f>VLOOKUP($B98,'[11]ANNUAL REPORT PIVOT'!$C$8:$AC$117,18,FALSE)</f>
        <v>-415702.82</v>
      </c>
      <c r="R98" s="57">
        <f>VLOOKUP($B98,'[11]ANNUAL REPORT PIVOT'!$C$8:$AC$117,21,FALSE)</f>
        <v>0</v>
      </c>
      <c r="S98" s="57">
        <f>VLOOKUP($B98,'[11]ANNUAL REPORT PIVOT'!$C$8:$AC$117,24,FALSE)+VLOOKUP($B98,'[11]Net Post-Close Adjustments'!$A$3:$K$141,8,FALSE)</f>
        <v>8374.3000000000029</v>
      </c>
      <c r="T98" s="58"/>
      <c r="U98" s="58"/>
      <c r="V98" s="58"/>
      <c r="W98" s="58"/>
    </row>
    <row r="99" spans="1:23">
      <c r="A99" s="56" t="s">
        <v>74</v>
      </c>
      <c r="B99" s="56" t="s">
        <v>269</v>
      </c>
      <c r="C99" s="82" t="s">
        <v>270</v>
      </c>
      <c r="D99" s="56" t="s">
        <v>240</v>
      </c>
      <c r="E99" s="56" t="s">
        <v>112</v>
      </c>
      <c r="F99" s="56" t="s">
        <v>78</v>
      </c>
      <c r="G99" s="56" t="s">
        <v>79</v>
      </c>
      <c r="H99" s="57">
        <f>VLOOKUP($B99,[10]AR!$C$5:$I$109,7,FALSE)</f>
        <v>0</v>
      </c>
      <c r="I99" s="57">
        <f>VLOOKUP($B99,[10]AR!$C$5:$I$109,3,FALSE)</f>
        <v>0</v>
      </c>
      <c r="J99" s="57">
        <v>0</v>
      </c>
      <c r="K99" s="57">
        <f>VLOOKUP($B99,'[11]ANNUAL REPORT PIVOT'!$C$8:$AU$119,5,FALSE)</f>
        <v>0</v>
      </c>
      <c r="L99" s="57">
        <f>VLOOKUP($B99,'[11]ANNUAL REPORT PIVOT'!$C$8:$AU$119,3,FALSE)</f>
        <v>0</v>
      </c>
      <c r="M99" s="57">
        <f>VLOOKUP($B99,'[11]ANNUAL REPORT PIVOT'!$C$8:$AU$119,6,FALSE)+VLOOKUP($B99,'[11]Net Post-Close Adjustments'!$A$3:$K$141,7,FALSE)</f>
        <v>727.57</v>
      </c>
      <c r="N99" s="57">
        <f>VLOOKUP($B99,'[11]ANNUAL REPORT PIVOT'!$C$8:$AC$117,10,FALSE)</f>
        <v>0</v>
      </c>
      <c r="O99" s="57">
        <f>VLOOKUP($B99,'[11]ANNUAL REPORT PIVOT'!$C$8:$AC$117,15,FALSE)+VLOOKUP($B99,'[11]Net Post-Close Adjustments'!$A$3:$K$141,9,FALSE)</f>
        <v>6928.02</v>
      </c>
      <c r="P99" s="57">
        <f>VLOOKUP($B99,'[11]ANNUAL REPORT PIVOT'!$C$8:$AC$117,12,FALSE)</f>
        <v>0</v>
      </c>
      <c r="Q99" s="57">
        <f>VLOOKUP($B99,'[11]ANNUAL REPORT PIVOT'!$C$8:$AC$117,18,FALSE)</f>
        <v>0</v>
      </c>
      <c r="R99" s="57">
        <f>VLOOKUP($B99,'[11]ANNUAL REPORT PIVOT'!$C$8:$AC$117,21,FALSE)</f>
        <v>0</v>
      </c>
      <c r="S99" s="57">
        <f>VLOOKUP($B99,'[11]ANNUAL REPORT PIVOT'!$C$8:$AC$117,24,FALSE)+VLOOKUP($B99,'[11]Net Post-Close Adjustments'!$A$3:$K$141,8,FALSE)</f>
        <v>-5.4700000000000006</v>
      </c>
      <c r="T99" s="58"/>
      <c r="U99" s="58"/>
      <c r="V99" s="58"/>
      <c r="W99" s="58"/>
    </row>
    <row r="100" spans="1:23">
      <c r="A100" s="56" t="s">
        <v>74</v>
      </c>
      <c r="B100" s="56" t="s">
        <v>271</v>
      </c>
      <c r="C100" s="82" t="s">
        <v>272</v>
      </c>
      <c r="D100" s="56" t="s">
        <v>240</v>
      </c>
      <c r="E100" s="56" t="s">
        <v>112</v>
      </c>
      <c r="F100" s="56" t="s">
        <v>78</v>
      </c>
      <c r="G100" s="56" t="s">
        <v>79</v>
      </c>
      <c r="H100" s="57">
        <f>VLOOKUP($B100,[10]AR!$C$5:$I$109,7,FALSE)</f>
        <v>0</v>
      </c>
      <c r="I100" s="57">
        <f>VLOOKUP($B100,[10]AR!$C$5:$I$109,3,FALSE)</f>
        <v>0</v>
      </c>
      <c r="J100" s="57">
        <v>0</v>
      </c>
      <c r="K100" s="57">
        <f>VLOOKUP($B100,'[11]ANNUAL REPORT PIVOT'!$C$8:$AU$119,5,FALSE)</f>
        <v>0</v>
      </c>
      <c r="L100" s="57">
        <f>VLOOKUP($B100,'[11]ANNUAL REPORT PIVOT'!$C$8:$AU$119,3,FALSE)</f>
        <v>0</v>
      </c>
      <c r="M100" s="57">
        <f>VLOOKUP($B100,'[11]ANNUAL REPORT PIVOT'!$C$8:$AU$119,6,FALSE)+VLOOKUP($B100,'[11]Net Post-Close Adjustments'!$A$3:$K$141,7,FALSE)</f>
        <v>739.20000000000016</v>
      </c>
      <c r="N100" s="57">
        <f>VLOOKUP($B100,'[11]ANNUAL REPORT PIVOT'!$C$8:$AC$117,10,FALSE)</f>
        <v>0</v>
      </c>
      <c r="O100" s="57">
        <f>VLOOKUP($B100,'[11]ANNUAL REPORT PIVOT'!$C$8:$AC$117,15,FALSE)+VLOOKUP($B100,'[11]Net Post-Close Adjustments'!$A$3:$K$141,9,FALSE)</f>
        <v>-49134.17</v>
      </c>
      <c r="P100" s="57">
        <f>VLOOKUP($B100,'[11]ANNUAL REPORT PIVOT'!$C$8:$AC$117,12,FALSE)</f>
        <v>0</v>
      </c>
      <c r="Q100" s="57">
        <f>VLOOKUP($B100,'[11]ANNUAL REPORT PIVOT'!$C$8:$AC$117,18,FALSE)</f>
        <v>4871</v>
      </c>
      <c r="R100" s="57">
        <f>VLOOKUP($B100,'[11]ANNUAL REPORT PIVOT'!$C$8:$AC$117,21,FALSE)</f>
        <v>0</v>
      </c>
      <c r="S100" s="57">
        <f>VLOOKUP($B100,'[11]ANNUAL REPORT PIVOT'!$C$8:$AC$117,24,FALSE)+VLOOKUP($B100,'[11]Net Post-Close Adjustments'!$A$3:$K$141,8,FALSE)</f>
        <v>-3.9499999999999975</v>
      </c>
      <c r="T100" s="58"/>
      <c r="U100" s="58"/>
      <c r="V100" s="58"/>
      <c r="W100" s="58"/>
    </row>
    <row r="101" spans="1:23">
      <c r="A101" s="56" t="s">
        <v>74</v>
      </c>
      <c r="B101" s="56" t="s">
        <v>273</v>
      </c>
      <c r="C101" s="82" t="s">
        <v>274</v>
      </c>
      <c r="D101" s="56" t="s">
        <v>240</v>
      </c>
      <c r="E101" s="56" t="s">
        <v>112</v>
      </c>
      <c r="F101" s="56" t="s">
        <v>78</v>
      </c>
      <c r="G101" s="56" t="s">
        <v>79</v>
      </c>
      <c r="H101" s="57">
        <f>VLOOKUP($B101,[10]AR!$C$5:$I$109,7,FALSE)</f>
        <v>1871442.7113006485</v>
      </c>
      <c r="I101" s="57">
        <f>VLOOKUP($B101,[10]AR!$C$5:$I$109,3,FALSE)</f>
        <v>185925.641021894</v>
      </c>
      <c r="J101" s="57">
        <v>0</v>
      </c>
      <c r="K101" s="57">
        <f>VLOOKUP($B101,'[11]ANNUAL REPORT PIVOT'!$C$8:$AU$119,5,FALSE)</f>
        <v>11512.640000000001</v>
      </c>
      <c r="L101" s="57">
        <f>VLOOKUP($B101,'[11]ANNUAL REPORT PIVOT'!$C$8:$AU$119,3,FALSE)</f>
        <v>0</v>
      </c>
      <c r="M101" s="57">
        <f>VLOOKUP($B101,'[11]ANNUAL REPORT PIVOT'!$C$8:$AU$119,6,FALSE)+VLOOKUP($B101,'[11]Net Post-Close Adjustments'!$A$3:$K$141,7,FALSE)</f>
        <v>158269.01069387759</v>
      </c>
      <c r="N101" s="57">
        <f>VLOOKUP($B101,'[11]ANNUAL REPORT PIVOT'!$C$8:$AC$117,10,FALSE)</f>
        <v>0</v>
      </c>
      <c r="O101" s="57">
        <f>VLOOKUP($B101,'[11]ANNUAL REPORT PIVOT'!$C$8:$AC$117,15,FALSE)+VLOOKUP($B101,'[11]Net Post-Close Adjustments'!$A$3:$K$141,9,FALSE)</f>
        <v>320675.71058246866</v>
      </c>
      <c r="P101" s="57">
        <f>VLOOKUP($B101,'[11]ANNUAL REPORT PIVOT'!$C$8:$AC$117,12,FALSE)</f>
        <v>0</v>
      </c>
      <c r="Q101" s="57">
        <f>VLOOKUP($B101,'[11]ANNUAL REPORT PIVOT'!$C$8:$AC$117,18,FALSE)</f>
        <v>159241.44</v>
      </c>
      <c r="R101" s="57">
        <f>VLOOKUP($B101,'[11]ANNUAL REPORT PIVOT'!$C$8:$AC$117,21,FALSE)</f>
        <v>0</v>
      </c>
      <c r="S101" s="57">
        <f>VLOOKUP($B101,'[11]ANNUAL REPORT PIVOT'!$C$8:$AC$117,24,FALSE)+VLOOKUP($B101,'[11]Net Post-Close Adjustments'!$A$3:$K$141,8,FALSE)</f>
        <v>68956.399999999994</v>
      </c>
      <c r="T101" s="58"/>
      <c r="U101" s="58"/>
      <c r="V101" s="58"/>
      <c r="W101" s="58"/>
    </row>
    <row r="102" spans="1:23">
      <c r="A102" s="56" t="s">
        <v>74</v>
      </c>
      <c r="B102" s="56" t="s">
        <v>275</v>
      </c>
      <c r="C102" s="82" t="s">
        <v>276</v>
      </c>
      <c r="D102" s="56" t="s">
        <v>240</v>
      </c>
      <c r="E102" s="56" t="s">
        <v>112</v>
      </c>
      <c r="F102" s="56" t="s">
        <v>78</v>
      </c>
      <c r="G102" s="56" t="s">
        <v>79</v>
      </c>
      <c r="H102" s="57">
        <f>VLOOKUP($B102,[10]AR!$C$5:$I$109,7,FALSE)</f>
        <v>8726194.0264957994</v>
      </c>
      <c r="I102" s="57">
        <f>VLOOKUP($B102,[10]AR!$C$5:$I$109,3,FALSE)</f>
        <v>716627.67316437885</v>
      </c>
      <c r="J102" s="57">
        <v>0</v>
      </c>
      <c r="K102" s="57">
        <f>VLOOKUP($B102,'[11]ANNUAL REPORT PIVOT'!$C$8:$AU$119,5,FALSE)</f>
        <v>1402173.29</v>
      </c>
      <c r="L102" s="57">
        <f>VLOOKUP($B102,'[11]ANNUAL REPORT PIVOT'!$C$8:$AU$119,3,FALSE)</f>
        <v>0</v>
      </c>
      <c r="M102" s="57">
        <f>VLOOKUP($B102,'[11]ANNUAL REPORT PIVOT'!$C$8:$AU$119,6,FALSE)+VLOOKUP($B102,'[11]Net Post-Close Adjustments'!$A$3:$K$141,7,FALSE)</f>
        <v>1264334.5891965637</v>
      </c>
      <c r="N102" s="57">
        <f>VLOOKUP($B102,'[11]ANNUAL REPORT PIVOT'!$C$8:$AC$117,10,FALSE)</f>
        <v>0</v>
      </c>
      <c r="O102" s="57">
        <f>VLOOKUP($B102,'[11]ANNUAL REPORT PIVOT'!$C$8:$AC$117,15,FALSE)+VLOOKUP($B102,'[11]Net Post-Close Adjustments'!$A$3:$K$141,9,FALSE)</f>
        <v>9225422.9310166109</v>
      </c>
      <c r="P102" s="57">
        <f>VLOOKUP($B102,'[11]ANNUAL REPORT PIVOT'!$C$8:$AC$117,12,FALSE)</f>
        <v>0</v>
      </c>
      <c r="Q102" s="57">
        <f>VLOOKUP($B102,'[11]ANNUAL REPORT PIVOT'!$C$8:$AC$117,18,FALSE)</f>
        <v>1907875.68</v>
      </c>
      <c r="R102" s="57">
        <f>VLOOKUP($B102,'[11]ANNUAL REPORT PIVOT'!$C$8:$AC$117,21,FALSE)</f>
        <v>0</v>
      </c>
      <c r="S102" s="57">
        <f>VLOOKUP($B102,'[11]ANNUAL REPORT PIVOT'!$C$8:$AC$117,24,FALSE)+VLOOKUP($B102,'[11]Net Post-Close Adjustments'!$A$3:$K$141,8,FALSE)</f>
        <v>882182.95</v>
      </c>
      <c r="T102" s="58"/>
      <c r="U102" s="58"/>
      <c r="V102" s="58"/>
      <c r="W102" s="58"/>
    </row>
    <row r="103" spans="1:23">
      <c r="A103" s="56" t="s">
        <v>74</v>
      </c>
      <c r="B103" s="56" t="s">
        <v>277</v>
      </c>
      <c r="C103" s="82" t="s">
        <v>278</v>
      </c>
      <c r="D103" s="56" t="s">
        <v>240</v>
      </c>
      <c r="E103" s="56" t="s">
        <v>112</v>
      </c>
      <c r="F103" s="56" t="s">
        <v>78</v>
      </c>
      <c r="G103" s="56" t="s">
        <v>79</v>
      </c>
      <c r="H103" s="57">
        <f>VLOOKUP($B103,[10]AR!$C$5:$I$109,7,FALSE)</f>
        <v>0</v>
      </c>
      <c r="I103" s="57">
        <f>VLOOKUP($B103,[10]AR!$C$5:$I$109,3,FALSE)</f>
        <v>0</v>
      </c>
      <c r="J103" s="57">
        <v>0</v>
      </c>
      <c r="K103" s="57">
        <f>VLOOKUP($B103,'[11]ANNUAL REPORT PIVOT'!$C$8:$AU$119,5,FALSE)</f>
        <v>0</v>
      </c>
      <c r="L103" s="57">
        <f>VLOOKUP($B103,'[11]ANNUAL REPORT PIVOT'!$C$8:$AU$119,3,FALSE)</f>
        <v>0</v>
      </c>
      <c r="M103" s="57">
        <f>VLOOKUP($B103,'[11]ANNUAL REPORT PIVOT'!$C$8:$AU$119,6,FALSE)+VLOOKUP($B103,'[11]Net Post-Close Adjustments'!$A$3:$K$141,7,FALSE)</f>
        <v>1127.0700000000002</v>
      </c>
      <c r="N103" s="57">
        <f>VLOOKUP($B103,'[11]ANNUAL REPORT PIVOT'!$C$8:$AC$117,10,FALSE)</f>
        <v>0</v>
      </c>
      <c r="O103" s="57">
        <f>VLOOKUP($B103,'[11]ANNUAL REPORT PIVOT'!$C$8:$AC$117,15,FALSE)+VLOOKUP($B103,'[11]Net Post-Close Adjustments'!$A$3:$K$141,9,FALSE)</f>
        <v>10763.25</v>
      </c>
      <c r="P103" s="57">
        <f>VLOOKUP($B103,'[11]ANNUAL REPORT PIVOT'!$C$8:$AC$117,12,FALSE)</f>
        <v>0</v>
      </c>
      <c r="Q103" s="57">
        <f>VLOOKUP($B103,'[11]ANNUAL REPORT PIVOT'!$C$8:$AC$117,18,FALSE)</f>
        <v>-221415.77</v>
      </c>
      <c r="R103" s="57">
        <f>VLOOKUP($B103,'[11]ANNUAL REPORT PIVOT'!$C$8:$AC$117,21,FALSE)</f>
        <v>0</v>
      </c>
      <c r="S103" s="57">
        <f>VLOOKUP($B103,'[11]ANNUAL REPORT PIVOT'!$C$8:$AC$117,24,FALSE)+VLOOKUP($B103,'[11]Net Post-Close Adjustments'!$A$3:$K$141,8,FALSE)</f>
        <v>0</v>
      </c>
      <c r="T103" s="58"/>
      <c r="U103" s="58"/>
      <c r="V103" s="58"/>
      <c r="W103" s="58"/>
    </row>
    <row r="104" spans="1:23">
      <c r="A104" s="56" t="s">
        <v>74</v>
      </c>
      <c r="B104" s="56" t="s">
        <v>279</v>
      </c>
      <c r="C104" s="82" t="s">
        <v>280</v>
      </c>
      <c r="D104" s="56" t="s">
        <v>240</v>
      </c>
      <c r="E104" s="56" t="s">
        <v>123</v>
      </c>
      <c r="F104" s="56" t="s">
        <v>78</v>
      </c>
      <c r="G104" s="56" t="s">
        <v>79</v>
      </c>
      <c r="H104" s="57">
        <f>VLOOKUP($B104,[10]AR!$C$5:$I$109,7,FALSE)</f>
        <v>421156.89148795616</v>
      </c>
      <c r="I104" s="57">
        <f>VLOOKUP($B104,[10]AR!$C$5:$I$109,3,FALSE)</f>
        <v>34520.551748837497</v>
      </c>
      <c r="J104" s="57">
        <v>0</v>
      </c>
      <c r="K104" s="57">
        <f>VLOOKUP($B104,'[11]ANNUAL REPORT PIVOT'!$C$8:$AU$119,5,FALSE)</f>
        <v>802.26</v>
      </c>
      <c r="L104" s="57">
        <f>VLOOKUP($B104,'[11]ANNUAL REPORT PIVOT'!$C$8:$AU$119,3,FALSE)</f>
        <v>0</v>
      </c>
      <c r="M104" s="57">
        <f>VLOOKUP($B104,'[11]ANNUAL REPORT PIVOT'!$C$8:$AU$119,6,FALSE)+VLOOKUP($B104,'[11]Net Post-Close Adjustments'!$A$3:$K$141,7,FALSE)</f>
        <v>4385.6099999999997</v>
      </c>
      <c r="N104" s="57">
        <f>VLOOKUP($B104,'[11]ANNUAL REPORT PIVOT'!$C$8:$AC$117,10,FALSE)</f>
        <v>0</v>
      </c>
      <c r="O104" s="57">
        <f>VLOOKUP($B104,'[11]ANNUAL REPORT PIVOT'!$C$8:$AC$117,15,FALSE)+VLOOKUP($B104,'[11]Net Post-Close Adjustments'!$A$3:$K$141,9,FALSE)</f>
        <v>56562.452498868253</v>
      </c>
      <c r="P104" s="57">
        <f>VLOOKUP($B104,'[11]ANNUAL REPORT PIVOT'!$C$8:$AC$117,12,FALSE)</f>
        <v>0</v>
      </c>
      <c r="Q104" s="57">
        <f>VLOOKUP($B104,'[11]ANNUAL REPORT PIVOT'!$C$8:$AC$117,18,FALSE)</f>
        <v>12493.3</v>
      </c>
      <c r="R104" s="57">
        <f>VLOOKUP($B104,'[11]ANNUAL REPORT PIVOT'!$C$8:$AC$117,21,FALSE)</f>
        <v>0</v>
      </c>
      <c r="S104" s="57">
        <f>VLOOKUP($B104,'[11]ANNUAL REPORT PIVOT'!$C$8:$AC$117,24,FALSE)+VLOOKUP($B104,'[11]Net Post-Close Adjustments'!$A$3:$K$141,8,FALSE)</f>
        <v>3770.5</v>
      </c>
      <c r="T104" s="58"/>
      <c r="U104" s="58"/>
      <c r="V104" s="58"/>
      <c r="W104" s="58"/>
    </row>
    <row r="105" spans="1:23">
      <c r="A105" s="56" t="s">
        <v>74</v>
      </c>
      <c r="B105" s="56" t="s">
        <v>281</v>
      </c>
      <c r="C105" s="82" t="s">
        <v>282</v>
      </c>
      <c r="D105" s="56" t="s">
        <v>240</v>
      </c>
      <c r="E105" s="56" t="s">
        <v>123</v>
      </c>
      <c r="F105" s="56" t="s">
        <v>78</v>
      </c>
      <c r="G105" s="56" t="s">
        <v>79</v>
      </c>
      <c r="H105" s="57">
        <f>VLOOKUP($B105,[10]AR!$C$5:$I$109,7,FALSE)</f>
        <v>2289369.3701218329</v>
      </c>
      <c r="I105" s="57">
        <f>VLOOKUP($B105,[10]AR!$C$5:$I$109,3,FALSE)</f>
        <v>218476.53579588869</v>
      </c>
      <c r="J105" s="57">
        <v>0</v>
      </c>
      <c r="K105" s="57">
        <f>VLOOKUP($B105,'[11]ANNUAL REPORT PIVOT'!$C$8:$AU$119,5,FALSE)</f>
        <v>-12530.82</v>
      </c>
      <c r="L105" s="57">
        <f>VLOOKUP($B105,'[11]ANNUAL REPORT PIVOT'!$C$8:$AU$119,3,FALSE)</f>
        <v>0</v>
      </c>
      <c r="M105" s="57">
        <f>VLOOKUP($B105,'[11]ANNUAL REPORT PIVOT'!$C$8:$AU$119,6,FALSE)+VLOOKUP($B105,'[11]Net Post-Close Adjustments'!$A$3:$K$141,7,FALSE)</f>
        <v>129344.2751063373</v>
      </c>
      <c r="N105" s="57">
        <f>VLOOKUP($B105,'[11]ANNUAL REPORT PIVOT'!$C$8:$AC$117,10,FALSE)</f>
        <v>0</v>
      </c>
      <c r="O105" s="57">
        <f>VLOOKUP($B105,'[11]ANNUAL REPORT PIVOT'!$C$8:$AC$117,15,FALSE)+VLOOKUP($B105,'[11]Net Post-Close Adjustments'!$A$3:$K$141,9,FALSE)</f>
        <v>302206.69247732364</v>
      </c>
      <c r="P105" s="57">
        <f>VLOOKUP($B105,'[11]ANNUAL REPORT PIVOT'!$C$8:$AC$117,12,FALSE)</f>
        <v>0</v>
      </c>
      <c r="Q105" s="57">
        <f>VLOOKUP($B105,'[11]ANNUAL REPORT PIVOT'!$C$8:$AC$117,18,FALSE)</f>
        <v>242272.69</v>
      </c>
      <c r="R105" s="57">
        <f>VLOOKUP($B105,'[11]ANNUAL REPORT PIVOT'!$C$8:$AC$117,21,FALSE)</f>
        <v>0</v>
      </c>
      <c r="S105" s="57">
        <f>VLOOKUP($B105,'[11]ANNUAL REPORT PIVOT'!$C$8:$AC$117,24,FALSE)+VLOOKUP($B105,'[11]Net Post-Close Adjustments'!$A$3:$K$141,8,FALSE)</f>
        <v>-31083.63</v>
      </c>
      <c r="T105" s="58"/>
      <c r="U105" s="58"/>
      <c r="V105" s="58"/>
      <c r="W105" s="58"/>
    </row>
    <row r="106" spans="1:23">
      <c r="A106" s="56" t="s">
        <v>74</v>
      </c>
      <c r="B106" s="56" t="s">
        <v>283</v>
      </c>
      <c r="C106" s="82" t="s">
        <v>284</v>
      </c>
      <c r="D106" s="56" t="s">
        <v>240</v>
      </c>
      <c r="E106" s="56" t="s">
        <v>123</v>
      </c>
      <c r="F106" s="56" t="s">
        <v>78</v>
      </c>
      <c r="G106" s="56" t="s">
        <v>79</v>
      </c>
      <c r="H106" s="57">
        <f>VLOOKUP($B106,[10]AR!$C$5:$I$109,7,FALSE)</f>
        <v>164732.91999999998</v>
      </c>
      <c r="I106" s="57">
        <f>VLOOKUP($B106,[10]AR!$C$5:$I$109,3,FALSE)</f>
        <v>0</v>
      </c>
      <c r="J106" s="57">
        <v>0</v>
      </c>
      <c r="K106" s="57">
        <f>VLOOKUP($B106,'[11]ANNUAL REPORT PIVOT'!$C$8:$AU$119,5,FALSE)</f>
        <v>-1.9999999999963599E-2</v>
      </c>
      <c r="L106" s="57">
        <f>VLOOKUP($B106,'[11]ANNUAL REPORT PIVOT'!$C$8:$AU$119,3,FALSE)</f>
        <v>0</v>
      </c>
      <c r="M106" s="57">
        <f>VLOOKUP($B106,'[11]ANNUAL REPORT PIVOT'!$C$8:$AU$119,6,FALSE)+VLOOKUP($B106,'[11]Net Post-Close Adjustments'!$A$3:$K$141,7,FALSE)</f>
        <v>2620.92</v>
      </c>
      <c r="N106" s="57">
        <f>VLOOKUP($B106,'[11]ANNUAL REPORT PIVOT'!$C$8:$AC$117,10,FALSE)</f>
        <v>0</v>
      </c>
      <c r="O106" s="57">
        <f>VLOOKUP($B106,'[11]ANNUAL REPORT PIVOT'!$C$8:$AC$117,15,FALSE)+VLOOKUP($B106,'[11]Net Post-Close Adjustments'!$A$3:$K$141,9,FALSE)</f>
        <v>33309.119999999995</v>
      </c>
      <c r="P106" s="57">
        <f>VLOOKUP($B106,'[11]ANNUAL REPORT PIVOT'!$C$8:$AC$117,12,FALSE)</f>
        <v>0</v>
      </c>
      <c r="Q106" s="57">
        <f>VLOOKUP($B106,'[11]ANNUAL REPORT PIVOT'!$C$8:$AC$117,18,FALSE)</f>
        <v>162315.96</v>
      </c>
      <c r="R106" s="57">
        <f>VLOOKUP($B106,'[11]ANNUAL REPORT PIVOT'!$C$8:$AC$117,21,FALSE)</f>
        <v>0</v>
      </c>
      <c r="S106" s="57">
        <f>VLOOKUP($B106,'[11]ANNUAL REPORT PIVOT'!$C$8:$AC$117,24,FALSE)+VLOOKUP($B106,'[11]Net Post-Close Adjustments'!$A$3:$K$141,8,FALSE)</f>
        <v>-10.239999999999057</v>
      </c>
      <c r="T106" s="58"/>
      <c r="U106" s="58"/>
      <c r="V106" s="58"/>
      <c r="W106" s="58"/>
    </row>
    <row r="107" spans="1:23">
      <c r="A107" s="56" t="s">
        <v>74</v>
      </c>
      <c r="B107" s="56" t="s">
        <v>285</v>
      </c>
      <c r="C107" s="82" t="s">
        <v>286</v>
      </c>
      <c r="D107" s="56" t="s">
        <v>240</v>
      </c>
      <c r="E107" s="56" t="s">
        <v>123</v>
      </c>
      <c r="F107" s="56" t="s">
        <v>78</v>
      </c>
      <c r="G107" s="56" t="s">
        <v>79</v>
      </c>
      <c r="H107" s="57">
        <f>VLOOKUP($B107,[10]AR!$C$5:$I$109,7,FALSE)</f>
        <v>3246022.5286858822</v>
      </c>
      <c r="I107" s="57">
        <f>VLOOKUP($B107,[10]AR!$C$5:$I$109,3,FALSE)</f>
        <v>329433.64139104896</v>
      </c>
      <c r="J107" s="57">
        <v>0</v>
      </c>
      <c r="K107" s="57">
        <f>VLOOKUP($B107,'[11]ANNUAL REPORT PIVOT'!$C$8:$AU$119,5,FALSE)</f>
        <v>78328.17</v>
      </c>
      <c r="L107" s="57">
        <f>VLOOKUP($B107,'[11]ANNUAL REPORT PIVOT'!$C$8:$AU$119,3,FALSE)</f>
        <v>0</v>
      </c>
      <c r="M107" s="57">
        <f>VLOOKUP($B107,'[11]ANNUAL REPORT PIVOT'!$C$8:$AU$119,6,FALSE)+VLOOKUP($B107,'[11]Net Post-Close Adjustments'!$A$3:$K$141,7,FALSE)</f>
        <v>458422.25462513417</v>
      </c>
      <c r="N107" s="57">
        <f>VLOOKUP($B107,'[11]ANNUAL REPORT PIVOT'!$C$8:$AC$117,10,FALSE)</f>
        <v>0</v>
      </c>
      <c r="O107" s="57">
        <f>VLOOKUP($B107,'[11]ANNUAL REPORT PIVOT'!$C$8:$AC$117,15,FALSE)+VLOOKUP($B107,'[11]Net Post-Close Adjustments'!$A$3:$K$141,9,FALSE)</f>
        <v>1013369.9348757586</v>
      </c>
      <c r="P107" s="57">
        <f>VLOOKUP($B107,'[11]ANNUAL REPORT PIVOT'!$C$8:$AC$117,12,FALSE)</f>
        <v>0</v>
      </c>
      <c r="Q107" s="57">
        <f>VLOOKUP($B107,'[11]ANNUAL REPORT PIVOT'!$C$8:$AC$117,18,FALSE)</f>
        <v>144368.20000000001</v>
      </c>
      <c r="R107" s="57">
        <f>VLOOKUP($B107,'[11]ANNUAL REPORT PIVOT'!$C$8:$AC$117,21,FALSE)</f>
        <v>0</v>
      </c>
      <c r="S107" s="57">
        <f>VLOOKUP($B107,'[11]ANNUAL REPORT PIVOT'!$C$8:$AC$117,24,FALSE)+VLOOKUP($B107,'[11]Net Post-Close Adjustments'!$A$3:$K$141,8,FALSE)</f>
        <v>199889.45</v>
      </c>
      <c r="T107" s="58"/>
      <c r="U107" s="58"/>
      <c r="V107" s="58"/>
      <c r="W107" s="58"/>
    </row>
    <row r="108" spans="1:23">
      <c r="A108" s="56" t="s">
        <v>74</v>
      </c>
      <c r="B108" s="56"/>
      <c r="C108" s="82"/>
      <c r="D108" s="56"/>
      <c r="E108" s="56"/>
      <c r="F108" s="56"/>
      <c r="G108" s="56"/>
      <c r="H108" s="57"/>
      <c r="I108" s="57"/>
      <c r="J108" s="57"/>
      <c r="K108" s="57"/>
      <c r="L108" s="57"/>
      <c r="M108" s="57"/>
      <c r="N108" s="57"/>
      <c r="O108" s="57"/>
      <c r="P108" s="57"/>
      <c r="Q108" s="57"/>
      <c r="R108" s="57"/>
      <c r="S108" s="57"/>
      <c r="T108" s="58"/>
      <c r="U108" s="58"/>
      <c r="V108" s="58"/>
      <c r="W108" s="58"/>
    </row>
    <row r="109" spans="1:23">
      <c r="A109" s="56" t="s">
        <v>74</v>
      </c>
      <c r="B109" s="56"/>
      <c r="C109" s="216" t="s">
        <v>287</v>
      </c>
      <c r="D109" s="56"/>
      <c r="E109" s="56"/>
      <c r="F109" s="56"/>
      <c r="G109" s="56"/>
      <c r="H109" s="57"/>
      <c r="I109" s="57"/>
      <c r="J109" s="57"/>
      <c r="K109" s="57"/>
      <c r="L109" s="57"/>
      <c r="M109" s="57"/>
      <c r="N109" s="57"/>
      <c r="O109" s="57"/>
      <c r="P109" s="57"/>
      <c r="Q109" s="57"/>
      <c r="R109" s="57"/>
      <c r="S109" s="57"/>
      <c r="T109" s="58"/>
      <c r="U109" s="58"/>
      <c r="V109" s="58"/>
      <c r="W109" s="58"/>
    </row>
    <row r="110" spans="1:23">
      <c r="A110" s="56" t="s">
        <v>74</v>
      </c>
      <c r="B110" s="56" t="s">
        <v>288</v>
      </c>
      <c r="C110" s="82" t="s">
        <v>289</v>
      </c>
      <c r="D110" s="56" t="s">
        <v>290</v>
      </c>
      <c r="E110" s="56" t="s">
        <v>132</v>
      </c>
      <c r="F110" s="56" t="s">
        <v>291</v>
      </c>
      <c r="G110" s="56" t="s">
        <v>291</v>
      </c>
      <c r="H110" s="57">
        <f>VLOOKUP($B110,[10]AR!$C$5:$I$109,7,FALSE)</f>
        <v>23072475</v>
      </c>
      <c r="I110" s="57">
        <f>VLOOKUP($B110,[10]AR!$C$5:$I$109,3,FALSE)</f>
        <v>0</v>
      </c>
      <c r="J110" s="57">
        <v>0</v>
      </c>
      <c r="K110" s="57">
        <f>VLOOKUP($B110,'[11]ANNUAL REPORT PIVOT'!$C$8:$AU$119,5,FALSE)</f>
        <v>7727.5499999999493</v>
      </c>
      <c r="L110" s="57">
        <f>VLOOKUP($B110,'[11]ANNUAL REPORT PIVOT'!$C$8:$AU$119,3,FALSE)</f>
        <v>0</v>
      </c>
      <c r="M110" s="57">
        <f>VLOOKUP($B110,'[11]ANNUAL REPORT PIVOT'!$C$8:$AU$119,6,FALSE)</f>
        <v>0</v>
      </c>
      <c r="N110" s="57">
        <f>VLOOKUP($B110,'[11]ANNUAL REPORT PIVOT'!$C$8:$AC$117,10,FALSE)</f>
        <v>0</v>
      </c>
      <c r="O110" s="57">
        <f>VLOOKUP($B110,'[11]ANNUAL REPORT PIVOT'!$C$8:$AC$117,15,FALSE)</f>
        <v>11429698.270000001</v>
      </c>
      <c r="P110" s="57">
        <f>VLOOKUP($B110,'[11]ANNUAL REPORT PIVOT'!$C$8:$AC$117,12,FALSE)</f>
        <v>0</v>
      </c>
      <c r="Q110" s="57">
        <f>VLOOKUP($B110,'[11]ANNUAL REPORT PIVOT'!$C$8:$AC$117,18,FALSE)</f>
        <v>8896830</v>
      </c>
      <c r="R110" s="57">
        <f>VLOOKUP($B110,'[11]ANNUAL REPORT PIVOT'!$C$8:$AC$117,21,FALSE)</f>
        <v>0</v>
      </c>
      <c r="S110" s="57">
        <f>VLOOKUP($B110,'[11]ANNUAL REPORT PIVOT'!$C$8:$AC$117,24,FALSE)</f>
        <v>29938.19</v>
      </c>
      <c r="T110" s="58"/>
      <c r="U110" s="58"/>
      <c r="V110" s="58"/>
      <c r="W110" s="58"/>
    </row>
    <row r="111" spans="1:23">
      <c r="A111" s="56" t="s">
        <v>74</v>
      </c>
      <c r="B111" s="56" t="s">
        <v>292</v>
      </c>
      <c r="C111" s="82" t="s">
        <v>293</v>
      </c>
      <c r="D111" s="56" t="s">
        <v>290</v>
      </c>
      <c r="E111" s="56" t="s">
        <v>132</v>
      </c>
      <c r="F111" s="56" t="s">
        <v>291</v>
      </c>
      <c r="G111" s="56" t="s">
        <v>291</v>
      </c>
      <c r="H111" s="57">
        <f>VLOOKUP($B111,[10]AR!$C$5:$I$109,7,FALSE)</f>
        <v>961353.12999999896</v>
      </c>
      <c r="I111" s="57">
        <v>0</v>
      </c>
      <c r="J111" s="57">
        <v>0</v>
      </c>
      <c r="K111" s="57">
        <f>VLOOKUP($B111,'[11]ANNUAL REPORT PIVOT'!$C$8:$AU$119,5,FALSE)</f>
        <v>0</v>
      </c>
      <c r="L111" s="57">
        <f>VLOOKUP($B111,'[11]ANNUAL REPORT PIVOT'!$C$8:$AU$119,3,FALSE)</f>
        <v>0</v>
      </c>
      <c r="M111" s="57">
        <f>VLOOKUP($B111,'[11]ANNUAL REPORT PIVOT'!$C$8:$AU$119,6,FALSE)</f>
        <v>0</v>
      </c>
      <c r="N111" s="57">
        <f>VLOOKUP($B111,'[11]ANNUAL REPORT PIVOT'!$C$8:$AC$117,10,FALSE)</f>
        <v>0</v>
      </c>
      <c r="O111" s="57">
        <f>VLOOKUP($B111,'[11]ANNUAL REPORT PIVOT'!$C$8:$AC$117,15,FALSE)</f>
        <v>0</v>
      </c>
      <c r="P111" s="57">
        <f>VLOOKUP($B111,'[11]ANNUAL REPORT PIVOT'!$C$8:$AC$117,12,FALSE)</f>
        <v>0</v>
      </c>
      <c r="Q111" s="57">
        <f>VLOOKUP($B111,'[11]ANNUAL REPORT PIVOT'!$C$8:$AC$117,18,FALSE)</f>
        <v>0</v>
      </c>
      <c r="R111" s="57">
        <f>VLOOKUP($B111,'[11]ANNUAL REPORT PIVOT'!$C$8:$AC$117,21,FALSE)</f>
        <v>0</v>
      </c>
      <c r="S111" s="57">
        <f>VLOOKUP($B111,'[11]ANNUAL REPORT PIVOT'!$C$8:$AC$117,24,FALSE)</f>
        <v>0</v>
      </c>
      <c r="T111" s="58"/>
      <c r="U111" s="58"/>
      <c r="V111" s="215">
        <f>VLOOKUP($B111,'[11]ANNUAL REPORT PIVOT'!$C$8:$AQ$117,32,FALSE)</f>
        <v>679647.5</v>
      </c>
      <c r="W111" s="58"/>
    </row>
    <row r="112" spans="1:23">
      <c r="A112" s="56" t="s">
        <v>74</v>
      </c>
      <c r="B112" s="56" t="s">
        <v>294</v>
      </c>
      <c r="C112" s="82" t="s">
        <v>295</v>
      </c>
      <c r="D112" s="56" t="s">
        <v>290</v>
      </c>
      <c r="E112" s="56" t="s">
        <v>132</v>
      </c>
      <c r="F112" s="56" t="s">
        <v>291</v>
      </c>
      <c r="G112" s="56" t="s">
        <v>291</v>
      </c>
      <c r="H112" s="57">
        <f>VLOOKUP($B112,[10]AR!$C$5:$I$109,7,FALSE)</f>
        <v>6668561</v>
      </c>
      <c r="I112" s="57">
        <f>VLOOKUP($B112,[10]AR!$C$5:$I$109,3,FALSE)</f>
        <v>0</v>
      </c>
      <c r="J112" s="57">
        <v>0</v>
      </c>
      <c r="K112" s="57">
        <f>VLOOKUP($B112,'[11]ANNUAL REPORT PIVOT'!$C$8:$AU$119,5,FALSE)</f>
        <v>-52.449999999999996</v>
      </c>
      <c r="L112" s="57">
        <f>VLOOKUP($B112,'[11]ANNUAL REPORT PIVOT'!$C$8:$AU$119,3,FALSE)</f>
        <v>0</v>
      </c>
      <c r="M112" s="57">
        <f>VLOOKUP($B112,'[11]ANNUAL REPORT PIVOT'!$C$8:$AU$119,6,FALSE)</f>
        <v>0</v>
      </c>
      <c r="N112" s="57">
        <f>VLOOKUP($B112,'[11]ANNUAL REPORT PIVOT'!$C$8:$AC$117,10,FALSE)</f>
        <v>0</v>
      </c>
      <c r="O112" s="57">
        <f>VLOOKUP($B112,'[11]ANNUAL REPORT PIVOT'!$C$8:$AC$117,15,FALSE)</f>
        <v>7679772.2299999986</v>
      </c>
      <c r="P112" s="57">
        <f>VLOOKUP($B112,'[11]ANNUAL REPORT PIVOT'!$C$8:$AC$117,12,FALSE)</f>
        <v>0</v>
      </c>
      <c r="Q112" s="57">
        <f>VLOOKUP($B112,'[11]ANNUAL REPORT PIVOT'!$C$8:$AC$117,18,FALSE)</f>
        <v>0</v>
      </c>
      <c r="R112" s="57">
        <f>VLOOKUP($B112,'[11]ANNUAL REPORT PIVOT'!$C$8:$AC$117,21,FALSE)</f>
        <v>0</v>
      </c>
      <c r="S112" s="57">
        <f>VLOOKUP($B112,'[11]ANNUAL REPORT PIVOT'!$C$8:$AC$117,24,FALSE)</f>
        <v>0</v>
      </c>
      <c r="T112" s="58"/>
      <c r="U112" s="58"/>
      <c r="V112" s="58"/>
      <c r="W112" s="58"/>
    </row>
    <row r="113" spans="1:24">
      <c r="A113" s="56" t="s">
        <v>74</v>
      </c>
      <c r="B113" s="56" t="s">
        <v>296</v>
      </c>
      <c r="C113" s="82" t="s">
        <v>297</v>
      </c>
      <c r="D113" s="56" t="s">
        <v>290</v>
      </c>
      <c r="E113" s="56" t="s">
        <v>132</v>
      </c>
      <c r="F113" s="56" t="s">
        <v>291</v>
      </c>
      <c r="G113" s="56" t="s">
        <v>291</v>
      </c>
      <c r="H113" s="57">
        <f>VLOOKUP($B113,[10]AR!$C$5:$I$109,7,FALSE)</f>
        <v>277856.69999999925</v>
      </c>
      <c r="I113" s="57">
        <v>0</v>
      </c>
      <c r="J113" s="57">
        <v>0</v>
      </c>
      <c r="K113" s="57">
        <v>0</v>
      </c>
      <c r="L113" s="57">
        <v>0</v>
      </c>
      <c r="M113" s="57">
        <v>0</v>
      </c>
      <c r="N113" s="57">
        <v>0</v>
      </c>
      <c r="O113" s="57">
        <v>0</v>
      </c>
      <c r="P113" s="57">
        <v>0</v>
      </c>
      <c r="Q113" s="57">
        <v>0</v>
      </c>
      <c r="R113" s="57">
        <v>0</v>
      </c>
      <c r="S113" s="57">
        <v>0</v>
      </c>
      <c r="T113" s="58"/>
      <c r="U113" s="58"/>
      <c r="V113" s="58"/>
      <c r="W113" s="58"/>
    </row>
    <row r="114" spans="1:24">
      <c r="A114" s="56" t="s">
        <v>74</v>
      </c>
      <c r="B114" s="56" t="s">
        <v>298</v>
      </c>
      <c r="C114" s="82" t="s">
        <v>299</v>
      </c>
      <c r="D114" s="56" t="s">
        <v>290</v>
      </c>
      <c r="E114" s="56" t="s">
        <v>132</v>
      </c>
      <c r="F114" s="56" t="s">
        <v>291</v>
      </c>
      <c r="G114" s="56" t="s">
        <v>291</v>
      </c>
      <c r="H114" s="57">
        <f>VLOOKUP($B114,[10]AR!$C$5:$I$109,7,FALSE)</f>
        <v>2719766.4</v>
      </c>
      <c r="I114" s="57">
        <f>VLOOKUP($B114,[10]AR!$C$5:$I$109,3,FALSE)</f>
        <v>0</v>
      </c>
      <c r="J114" s="57">
        <v>0</v>
      </c>
      <c r="K114" s="57">
        <f>VLOOKUP($B114,'[11]ANNUAL REPORT PIVOT'!$C$8:$AU$119,5,FALSE)</f>
        <v>-606.67999999999972</v>
      </c>
      <c r="L114" s="57">
        <f>VLOOKUP($B114,'[11]ANNUAL REPORT PIVOT'!$C$8:$AU$119,3,FALSE)</f>
        <v>0</v>
      </c>
      <c r="M114" s="57">
        <f>VLOOKUP($B114,'[11]ANNUAL REPORT PIVOT'!$C$8:$AU$119,6,FALSE)</f>
        <v>0</v>
      </c>
      <c r="N114" s="57">
        <f>VLOOKUP($B114,'[11]ANNUAL REPORT PIVOT'!$C$8:$AC$117,10,FALSE)</f>
        <v>0</v>
      </c>
      <c r="O114" s="57">
        <f>VLOOKUP($B114,'[11]ANNUAL REPORT PIVOT'!$C$8:$AC$117,15,FALSE)</f>
        <v>413244.22</v>
      </c>
      <c r="P114" s="57">
        <f>VLOOKUP($B114,'[11]ANNUAL REPORT PIVOT'!$C$8:$AC$117,12,FALSE)</f>
        <v>0</v>
      </c>
      <c r="Q114" s="57">
        <f>VLOOKUP($B114,'[11]ANNUAL REPORT PIVOT'!$C$8:$AC$117,18,FALSE)</f>
        <v>0</v>
      </c>
      <c r="R114" s="57">
        <f>VLOOKUP($B114,'[11]ANNUAL REPORT PIVOT'!$C$8:$AC$117,21,FALSE)</f>
        <v>0</v>
      </c>
      <c r="S114" s="57">
        <f>VLOOKUP($B114,'[11]ANNUAL REPORT PIVOT'!$C$8:$AC$117,24,FALSE)</f>
        <v>0</v>
      </c>
      <c r="T114" s="58"/>
      <c r="U114" s="58"/>
      <c r="V114" s="58"/>
      <c r="W114" s="58"/>
    </row>
    <row r="115" spans="1:24">
      <c r="A115" s="56" t="s">
        <v>74</v>
      </c>
      <c r="B115" s="56" t="s">
        <v>300</v>
      </c>
      <c r="C115" s="82" t="s">
        <v>301</v>
      </c>
      <c r="D115" s="56" t="s">
        <v>290</v>
      </c>
      <c r="E115" s="56" t="s">
        <v>132</v>
      </c>
      <c r="F115" s="56" t="s">
        <v>291</v>
      </c>
      <c r="G115" s="56" t="s">
        <v>291</v>
      </c>
      <c r="H115" s="57">
        <f>VLOOKUP($B115,[10]AR!$C$5:$I$109,7,FALSE)</f>
        <v>113323.75</v>
      </c>
      <c r="I115" s="57">
        <v>0</v>
      </c>
      <c r="J115" s="57">
        <v>0</v>
      </c>
      <c r="K115" s="57">
        <v>0</v>
      </c>
      <c r="L115" s="57">
        <v>0</v>
      </c>
      <c r="M115" s="57">
        <v>0</v>
      </c>
      <c r="N115" s="57">
        <v>0</v>
      </c>
      <c r="O115" s="57">
        <v>0</v>
      </c>
      <c r="P115" s="57">
        <v>0</v>
      </c>
      <c r="Q115" s="57">
        <v>0</v>
      </c>
      <c r="R115" s="57">
        <v>0</v>
      </c>
      <c r="S115" s="57">
        <v>0</v>
      </c>
      <c r="T115" s="58"/>
      <c r="U115" s="58"/>
      <c r="V115" s="58"/>
      <c r="W115" s="58"/>
    </row>
    <row r="116" spans="1:24" ht="16.149999999999999" thickBot="1">
      <c r="A116" s="213"/>
      <c r="B116" s="213"/>
      <c r="C116" s="214"/>
      <c r="D116" s="317"/>
      <c r="E116" s="87"/>
      <c r="F116" s="213"/>
      <c r="G116" s="317"/>
      <c r="H116" s="212"/>
      <c r="I116" s="212"/>
      <c r="J116" s="212"/>
      <c r="K116" s="212"/>
      <c r="L116" s="212"/>
      <c r="M116" s="212"/>
      <c r="N116" s="212"/>
      <c r="O116" s="212"/>
      <c r="P116" s="212"/>
      <c r="Q116" s="212"/>
      <c r="R116" s="212"/>
      <c r="S116" s="212"/>
      <c r="T116" s="211"/>
      <c r="U116" s="211"/>
      <c r="V116" s="211"/>
      <c r="W116" s="211"/>
    </row>
    <row r="117" spans="1:24" ht="16.149999999999999" thickBot="1">
      <c r="A117" s="210"/>
      <c r="B117" s="210"/>
      <c r="C117" s="209" t="s">
        <v>302</v>
      </c>
      <c r="D117" s="236"/>
      <c r="E117" s="85"/>
      <c r="F117" s="208"/>
      <c r="G117" s="237"/>
      <c r="H117" s="206">
        <f t="shared" ref="H117:W117" si="0">SUM(H7:H116)</f>
        <v>327044567.69462973</v>
      </c>
      <c r="I117" s="206">
        <f t="shared" si="0"/>
        <v>23418788.032280609</v>
      </c>
      <c r="J117" s="206">
        <f t="shared" si="0"/>
        <v>0</v>
      </c>
      <c r="K117" s="206">
        <f t="shared" si="0"/>
        <v>6981808.1799999997</v>
      </c>
      <c r="L117" s="206">
        <f t="shared" si="0"/>
        <v>0</v>
      </c>
      <c r="M117" s="207">
        <f t="shared" si="0"/>
        <v>23911055.359999999</v>
      </c>
      <c r="N117" s="206">
        <f t="shared" si="0"/>
        <v>0</v>
      </c>
      <c r="O117" s="206">
        <f t="shared" si="0"/>
        <v>137805601.06999999</v>
      </c>
      <c r="P117" s="206">
        <f t="shared" si="0"/>
        <v>-25</v>
      </c>
      <c r="Q117" s="206">
        <f t="shared" si="0"/>
        <v>119265085.12999997</v>
      </c>
      <c r="R117" s="206">
        <f t="shared" si="0"/>
        <v>0</v>
      </c>
      <c r="S117" s="206">
        <f t="shared" si="0"/>
        <v>13045961.089999998</v>
      </c>
      <c r="T117" s="205">
        <f t="shared" si="0"/>
        <v>0</v>
      </c>
      <c r="U117" s="205">
        <f t="shared" si="0"/>
        <v>0</v>
      </c>
      <c r="V117" s="205">
        <f t="shared" si="0"/>
        <v>679647.5</v>
      </c>
      <c r="W117" s="205">
        <f t="shared" si="0"/>
        <v>0</v>
      </c>
    </row>
    <row r="118" spans="1:24">
      <c r="A118" s="56" t="s">
        <v>74</v>
      </c>
      <c r="B118" s="204" t="s">
        <v>303</v>
      </c>
      <c r="C118" s="204" t="s">
        <v>304</v>
      </c>
      <c r="D118" s="86" t="s">
        <v>68</v>
      </c>
      <c r="E118" s="86" t="s">
        <v>132</v>
      </c>
      <c r="F118" s="86" t="s">
        <v>291</v>
      </c>
      <c r="G118" s="86"/>
      <c r="H118" s="203">
        <f>VLOOKUP($B118,[10]AR!$C$5:$I$109,7,FALSE)</f>
        <v>3514628.6967301317</v>
      </c>
      <c r="I118" s="203">
        <f>VLOOKUP($B118,[10]AR!$C$5:$I$109,3,FALSE)</f>
        <v>0</v>
      </c>
      <c r="J118" s="203"/>
      <c r="K118" s="203"/>
      <c r="L118" s="203"/>
      <c r="M118" s="203"/>
      <c r="N118" s="203"/>
      <c r="O118" s="203"/>
      <c r="P118" s="203"/>
      <c r="Q118" s="203"/>
      <c r="R118" s="203"/>
      <c r="S118" s="203"/>
      <c r="T118" s="203"/>
      <c r="U118" s="57">
        <f>VLOOKUP($B118,'[11]ANNUAL REPORT PIVOT'!$C$8:$AQ$117,29,FALSE)</f>
        <v>151145.16</v>
      </c>
      <c r="V118" s="57">
        <f>VLOOKUP($B118,'[11]ANNUAL REPORT PIVOT'!$C$8:$AQ$117,32,FALSE)</f>
        <v>2478378.270000007</v>
      </c>
      <c r="W118" s="203"/>
    </row>
    <row r="119" spans="1:24" ht="16.149999999999999" thickBot="1">
      <c r="A119" s="56" t="s">
        <v>74</v>
      </c>
      <c r="B119" s="59" t="s">
        <v>305</v>
      </c>
      <c r="C119" s="59" t="s">
        <v>306</v>
      </c>
      <c r="D119" s="60" t="s">
        <v>68</v>
      </c>
      <c r="E119" s="60" t="s">
        <v>132</v>
      </c>
      <c r="F119" s="60" t="s">
        <v>291</v>
      </c>
      <c r="G119" s="60"/>
      <c r="H119" s="61">
        <f>VLOOKUP($B119,[10]AR!$C$5:$I$109,7,FALSE)</f>
        <v>9265839.2913794369</v>
      </c>
      <c r="I119" s="61">
        <f>VLOOKUP($B119,[10]AR!$C$5:$I$109,3,FALSE)</f>
        <v>0</v>
      </c>
      <c r="J119" s="61"/>
      <c r="K119" s="61"/>
      <c r="L119" s="61"/>
      <c r="M119" s="61"/>
      <c r="N119" s="61"/>
      <c r="O119" s="61"/>
      <c r="P119" s="61"/>
      <c r="Q119" s="61"/>
      <c r="R119" s="61"/>
      <c r="S119" s="61"/>
      <c r="T119" s="61"/>
      <c r="U119" s="62">
        <f>VLOOKUP($B119,'[11]ANNUAL REPORT PIVOT'!$C$8:$AQ$117,29,FALSE)</f>
        <v>0</v>
      </c>
      <c r="V119" s="62">
        <f>VLOOKUP($B119,'[11]ANNUAL REPORT PIVOT'!$C$8:$AQ$117,32,FALSE)</f>
        <v>11938217.459999999</v>
      </c>
      <c r="W119" s="61"/>
    </row>
    <row r="120" spans="1:24" ht="16.899999999999999" thickTop="1" thickBot="1">
      <c r="A120" s="317" t="s">
        <v>74</v>
      </c>
      <c r="B120" s="317" t="s">
        <v>307</v>
      </c>
      <c r="C120" s="63" t="s">
        <v>308</v>
      </c>
      <c r="D120" s="318" t="s">
        <v>68</v>
      </c>
      <c r="E120" s="318" t="s">
        <v>132</v>
      </c>
      <c r="F120" s="318" t="s">
        <v>291</v>
      </c>
      <c r="G120" s="318"/>
      <c r="H120" s="319">
        <f>VLOOKUP($B120,[10]AR!$C$5:$I$109,7,FALSE)</f>
        <v>13500000</v>
      </c>
      <c r="I120" s="319">
        <f>VLOOKUP($B120,[10]AR!$C$5:$I$109,3,FALSE)</f>
        <v>0</v>
      </c>
      <c r="J120" s="319"/>
      <c r="K120" s="319"/>
      <c r="L120" s="319"/>
      <c r="M120" s="319"/>
      <c r="N120" s="319"/>
      <c r="O120" s="319"/>
      <c r="P120" s="319"/>
      <c r="Q120" s="319"/>
      <c r="R120" s="319"/>
      <c r="S120" s="319"/>
      <c r="T120" s="319"/>
      <c r="U120" s="319"/>
      <c r="V120" s="319"/>
      <c r="W120" s="320">
        <f>VLOOKUP($B120,'[11]ANNUAL REPORT PIVOT'!$C$8:$AQ$117,38,FALSE)</f>
        <v>31071807.989999998</v>
      </c>
    </row>
    <row r="121" spans="1:24" ht="16.899999999999999" thickTop="1" thickBot="1">
      <c r="A121" s="64"/>
      <c r="B121" s="64"/>
      <c r="C121" s="65" t="s">
        <v>309</v>
      </c>
      <c r="D121" s="64"/>
      <c r="E121" s="64"/>
      <c r="F121" s="64"/>
      <c r="G121" s="64"/>
      <c r="H121" s="66">
        <f t="shared" ref="H121:W121" si="1">SUM(H117:H120)</f>
        <v>353325035.68273932</v>
      </c>
      <c r="I121" s="66">
        <f t="shared" si="1"/>
        <v>23418788.032280609</v>
      </c>
      <c r="J121" s="66">
        <f t="shared" si="1"/>
        <v>0</v>
      </c>
      <c r="K121" s="66">
        <f t="shared" si="1"/>
        <v>6981808.1799999997</v>
      </c>
      <c r="L121" s="66">
        <f t="shared" si="1"/>
        <v>0</v>
      </c>
      <c r="M121" s="66">
        <f t="shared" si="1"/>
        <v>23911055.359999999</v>
      </c>
      <c r="N121" s="66">
        <f t="shared" si="1"/>
        <v>0</v>
      </c>
      <c r="O121" s="66">
        <f t="shared" si="1"/>
        <v>137805601.06999999</v>
      </c>
      <c r="P121" s="66">
        <f t="shared" si="1"/>
        <v>-25</v>
      </c>
      <c r="Q121" s="66">
        <f t="shared" si="1"/>
        <v>119265085.12999997</v>
      </c>
      <c r="R121" s="66">
        <f t="shared" si="1"/>
        <v>0</v>
      </c>
      <c r="S121" s="66">
        <f t="shared" si="1"/>
        <v>13045961.089999998</v>
      </c>
      <c r="T121" s="66">
        <f t="shared" si="1"/>
        <v>0</v>
      </c>
      <c r="U121" s="66">
        <f t="shared" si="1"/>
        <v>151145.16</v>
      </c>
      <c r="V121" s="66">
        <f t="shared" si="1"/>
        <v>15096243.230000006</v>
      </c>
      <c r="W121" s="66">
        <f t="shared" si="1"/>
        <v>31071807.989999998</v>
      </c>
    </row>
    <row r="122" spans="1:24">
      <c r="A122" s="238" t="s">
        <v>74</v>
      </c>
      <c r="B122" s="238"/>
      <c r="C122" s="239" t="s">
        <v>310</v>
      </c>
      <c r="D122" s="238" t="s">
        <v>68</v>
      </c>
      <c r="E122" s="238" t="s">
        <v>132</v>
      </c>
      <c r="F122" s="238" t="s">
        <v>291</v>
      </c>
      <c r="G122" s="238"/>
      <c r="H122" s="240">
        <v>6867174.7400000002</v>
      </c>
      <c r="I122" s="240"/>
      <c r="J122" s="240">
        <v>0</v>
      </c>
      <c r="K122" s="240">
        <v>0</v>
      </c>
      <c r="L122" s="240">
        <v>0</v>
      </c>
      <c r="M122" s="240">
        <v>0</v>
      </c>
      <c r="N122" s="240"/>
      <c r="O122" s="240"/>
      <c r="P122" s="240"/>
      <c r="Q122" s="240"/>
      <c r="R122" s="240"/>
      <c r="S122" s="240"/>
      <c r="T122" s="240">
        <f>(7778169.43*0.600442)</f>
        <v>4670339.6088880599</v>
      </c>
      <c r="U122" s="240"/>
      <c r="V122" s="240"/>
      <c r="W122" s="240"/>
    </row>
    <row r="123" spans="1:24">
      <c r="A123" s="83" t="s">
        <v>74</v>
      </c>
      <c r="B123" s="83"/>
      <c r="C123" s="68" t="s">
        <v>311</v>
      </c>
      <c r="D123" s="83" t="s">
        <v>68</v>
      </c>
      <c r="E123" s="83" t="s">
        <v>132</v>
      </c>
      <c r="F123" s="83" t="s">
        <v>291</v>
      </c>
      <c r="G123" s="83"/>
      <c r="H123" s="84">
        <f>[12]SUMMARY!$D$11</f>
        <v>269081352.24645412</v>
      </c>
      <c r="I123" s="84"/>
      <c r="J123" s="84">
        <v>0</v>
      </c>
      <c r="K123" s="84">
        <v>0</v>
      </c>
      <c r="L123" s="84">
        <v>0</v>
      </c>
      <c r="M123" s="84">
        <f>[12]SUMMARY!$G$11</f>
        <v>170951067.42000005</v>
      </c>
      <c r="N123" s="84"/>
      <c r="O123" s="84"/>
      <c r="P123" s="84"/>
      <c r="Q123" s="84"/>
      <c r="R123" s="84"/>
      <c r="S123" s="84"/>
      <c r="T123" s="84"/>
      <c r="U123" s="84"/>
      <c r="V123" s="84"/>
      <c r="W123" s="84"/>
    </row>
    <row r="124" spans="1:24">
      <c r="A124" s="83" t="s">
        <v>74</v>
      </c>
      <c r="B124" s="83"/>
      <c r="C124" s="68" t="s">
        <v>312</v>
      </c>
      <c r="D124" s="83" t="s">
        <v>68</v>
      </c>
      <c r="E124" s="83" t="s">
        <v>132</v>
      </c>
      <c r="F124" s="83" t="s">
        <v>291</v>
      </c>
      <c r="G124" s="83"/>
      <c r="H124" s="84">
        <v>0</v>
      </c>
      <c r="I124" s="84"/>
      <c r="J124" s="84">
        <v>0</v>
      </c>
      <c r="K124" s="84">
        <v>0</v>
      </c>
      <c r="L124" s="84">
        <v>0</v>
      </c>
      <c r="M124" s="84"/>
      <c r="N124" s="84"/>
      <c r="O124" s="84"/>
      <c r="P124" s="84"/>
      <c r="Q124" s="84"/>
      <c r="R124" s="84"/>
      <c r="S124" s="84"/>
      <c r="T124" s="84"/>
      <c r="U124" s="84"/>
      <c r="V124" s="84"/>
      <c r="W124" s="84"/>
    </row>
    <row r="125" spans="1:24">
      <c r="A125" s="67" t="s">
        <v>74</v>
      </c>
      <c r="B125" s="67" t="s">
        <v>176</v>
      </c>
      <c r="C125" s="68" t="s">
        <v>313</v>
      </c>
      <c r="D125" s="83" t="s">
        <v>68</v>
      </c>
      <c r="E125" s="67" t="s">
        <v>132</v>
      </c>
      <c r="F125" s="67" t="s">
        <v>291</v>
      </c>
      <c r="G125" s="67"/>
      <c r="H125" s="69">
        <v>3036859.82</v>
      </c>
      <c r="I125" s="84"/>
      <c r="J125" s="69">
        <v>0</v>
      </c>
      <c r="K125" s="69">
        <v>0</v>
      </c>
      <c r="L125" s="69">
        <f>VLOOKUP($B125,'[11]ANNUAL REPORT PIVOT'!$C$8:$AU$119,3,FALSE)</f>
        <v>44831.729999999996</v>
      </c>
      <c r="M125" s="69">
        <f>VLOOKUP($B125,'[11]ANNUAL REPORT PIVOT'!$C$8:$AU$119,6,FALSE)</f>
        <v>0</v>
      </c>
      <c r="N125" s="69">
        <f>VLOOKUP($B125,'[11]ANNUAL REPORT PIVOT'!$C$8:$AC$117,10,FALSE)+VLOOKUP($B125,'[11]ANNUAL REPORT PIVOT'!$C$8:$AQ$117,35,FALSE)</f>
        <v>1497092.0899999999</v>
      </c>
      <c r="O125" s="69">
        <v>0</v>
      </c>
      <c r="P125" s="69">
        <f>VLOOKUP($B125,'[11]ANNUAL REPORT PIVOT'!$C$8:$AC$117,12,FALSE)</f>
        <v>0</v>
      </c>
      <c r="Q125" s="69">
        <v>0</v>
      </c>
      <c r="R125" s="69">
        <f>VLOOKUP($B125,'[11]ANNUAL REPORT PIVOT'!$C$8:$AC$117,21,FALSE)</f>
        <v>333647.03999999998</v>
      </c>
      <c r="S125" s="69">
        <f>VLOOKUP($B125,'[11]ANNUAL REPORT PIVOT'!$C$8:$AC$117,24,FALSE)</f>
        <v>0</v>
      </c>
      <c r="T125" s="69"/>
      <c r="U125" s="69"/>
      <c r="V125" s="69"/>
      <c r="W125" s="69">
        <v>350000</v>
      </c>
    </row>
    <row r="126" spans="1:24">
      <c r="C126" s="448"/>
      <c r="J126" s="71"/>
      <c r="K126" s="71"/>
      <c r="L126" s="71"/>
      <c r="M126" s="71"/>
      <c r="N126" s="71"/>
      <c r="O126" s="71"/>
      <c r="P126" s="71"/>
      <c r="Q126" s="71"/>
      <c r="R126" s="71"/>
      <c r="S126" s="71"/>
      <c r="T126" s="71"/>
      <c r="U126" s="71"/>
      <c r="V126" s="71"/>
      <c r="W126" s="71"/>
      <c r="X126" s="1"/>
    </row>
    <row r="127" spans="1:24" ht="16.5" customHeight="1">
      <c r="A127" s="360" t="s">
        <v>314</v>
      </c>
      <c r="B127" s="360"/>
      <c r="C127" s="360"/>
      <c r="D127" s="360"/>
      <c r="E127" s="360"/>
      <c r="F127" s="360"/>
      <c r="G127" s="360"/>
      <c r="H127" s="360"/>
      <c r="I127" s="353"/>
      <c r="J127" s="202"/>
      <c r="K127" s="192"/>
      <c r="L127" s="192"/>
      <c r="M127" s="192"/>
      <c r="N127" s="192"/>
      <c r="O127" s="192"/>
      <c r="P127" s="192"/>
      <c r="Q127" s="192"/>
      <c r="R127" s="192"/>
      <c r="S127" s="192"/>
      <c r="T127" s="192"/>
      <c r="U127" s="192"/>
      <c r="V127" s="192"/>
      <c r="W127" s="192"/>
      <c r="X127" s="191"/>
    </row>
    <row r="128" spans="1:24">
      <c r="A128" s="360"/>
      <c r="B128" s="360"/>
      <c r="C128" s="360"/>
      <c r="D128" s="360"/>
      <c r="E128" s="360"/>
      <c r="F128" s="360"/>
      <c r="G128" s="360"/>
      <c r="H128" s="360"/>
      <c r="I128" s="353"/>
      <c r="J128" s="202"/>
      <c r="K128" s="192"/>
      <c r="L128" s="192"/>
      <c r="M128" s="192"/>
      <c r="N128" s="192"/>
      <c r="O128" s="192"/>
      <c r="P128" s="192"/>
      <c r="Q128" s="192"/>
      <c r="R128" s="192"/>
      <c r="S128" s="192"/>
      <c r="T128" s="192"/>
      <c r="U128" s="192"/>
      <c r="V128" s="192"/>
      <c r="W128" s="192"/>
      <c r="X128" s="191"/>
    </row>
    <row r="129" spans="1:24" ht="15.75" customHeight="1">
      <c r="A129" s="360"/>
      <c r="B129" s="360"/>
      <c r="C129" s="360"/>
      <c r="D129" s="360"/>
      <c r="E129" s="360"/>
      <c r="F129" s="360"/>
      <c r="G129" s="360"/>
      <c r="H129" s="360"/>
      <c r="I129" s="353"/>
      <c r="J129" s="202"/>
      <c r="K129" s="192"/>
      <c r="L129" s="192"/>
      <c r="M129" s="192"/>
      <c r="N129" s="192"/>
      <c r="O129" s="192"/>
      <c r="P129" s="192"/>
      <c r="Q129" s="192"/>
      <c r="R129" s="192"/>
      <c r="S129" s="192"/>
      <c r="T129" s="192"/>
      <c r="U129" s="192"/>
      <c r="V129" s="192"/>
      <c r="W129" s="192"/>
      <c r="X129" s="191"/>
    </row>
    <row r="130" spans="1:24">
      <c r="A130" s="360"/>
      <c r="B130" s="360"/>
      <c r="C130" s="360"/>
      <c r="D130" s="360"/>
      <c r="E130" s="360"/>
      <c r="F130" s="360"/>
      <c r="G130" s="360"/>
      <c r="H130" s="360"/>
      <c r="I130" s="353"/>
      <c r="J130" s="202"/>
      <c r="K130" s="192"/>
      <c r="L130" s="192"/>
      <c r="M130" s="192"/>
      <c r="N130" s="192"/>
      <c r="O130" s="201"/>
      <c r="P130" s="192"/>
      <c r="Q130" s="201"/>
      <c r="R130" s="192"/>
      <c r="S130" s="192"/>
      <c r="T130" s="192"/>
      <c r="U130" s="192"/>
      <c r="V130" s="192"/>
      <c r="W130" s="192"/>
      <c r="X130" s="191"/>
    </row>
    <row r="131" spans="1:24">
      <c r="A131" s="199" t="s">
        <v>315</v>
      </c>
      <c r="B131" s="196"/>
      <c r="C131" s="193"/>
      <c r="D131" s="193"/>
      <c r="E131" s="193"/>
      <c r="F131" s="193"/>
      <c r="G131" s="193"/>
      <c r="H131" s="193"/>
      <c r="I131" s="193"/>
      <c r="J131" s="192"/>
      <c r="K131" s="192"/>
      <c r="L131" s="192"/>
      <c r="M131" s="192"/>
      <c r="N131" s="192"/>
      <c r="O131" s="192"/>
      <c r="P131" s="200"/>
      <c r="Q131" s="192"/>
      <c r="R131" s="192"/>
      <c r="S131" s="192"/>
      <c r="T131" s="198"/>
      <c r="U131" s="192"/>
      <c r="V131" s="192"/>
      <c r="W131" s="192"/>
      <c r="X131" s="191"/>
    </row>
    <row r="132" spans="1:24" s="191" customFormat="1" ht="19.149999999999999" customHeight="1">
      <c r="A132" s="199" t="s">
        <v>316</v>
      </c>
      <c r="B132" s="196"/>
      <c r="C132" s="193"/>
      <c r="D132" s="193"/>
      <c r="E132" s="193"/>
      <c r="F132" s="193"/>
      <c r="G132" s="193"/>
      <c r="H132" s="193"/>
      <c r="I132" s="193"/>
      <c r="J132" s="193"/>
      <c r="K132" s="192"/>
      <c r="L132" s="192"/>
      <c r="M132" s="192"/>
      <c r="N132" s="192"/>
      <c r="O132" s="192"/>
      <c r="P132" s="192"/>
      <c r="Q132" s="192"/>
      <c r="R132" s="192"/>
      <c r="S132" s="192"/>
      <c r="T132" s="198"/>
      <c r="U132" s="192"/>
      <c r="V132" s="192"/>
      <c r="W132" s="192"/>
    </row>
    <row r="133" spans="1:24" ht="19.149999999999999" customHeight="1">
      <c r="A133" s="199" t="s">
        <v>317</v>
      </c>
      <c r="B133" s="196"/>
      <c r="C133" s="193"/>
      <c r="D133" s="193"/>
      <c r="E133" s="193"/>
      <c r="F133" s="196"/>
      <c r="G133" s="196"/>
      <c r="H133" s="196"/>
      <c r="I133" s="196"/>
      <c r="J133" s="193"/>
      <c r="K133" s="192"/>
      <c r="L133" s="192"/>
      <c r="M133" s="192"/>
      <c r="N133" s="192"/>
      <c r="O133" s="192"/>
      <c r="P133" s="192"/>
      <c r="Q133" s="192"/>
      <c r="R133" s="192"/>
      <c r="S133" s="192"/>
      <c r="T133" s="198"/>
      <c r="U133" s="192"/>
      <c r="V133" s="192"/>
      <c r="W133" s="192"/>
      <c r="X133" s="191"/>
    </row>
    <row r="134" spans="1:24" ht="19.149999999999999" customHeight="1">
      <c r="A134" s="197" t="s">
        <v>318</v>
      </c>
      <c r="B134" s="196"/>
      <c r="C134" s="196"/>
      <c r="D134" s="196"/>
      <c r="E134" s="196"/>
      <c r="F134" s="196"/>
      <c r="G134" s="196"/>
      <c r="H134" s="195"/>
      <c r="I134" s="194"/>
      <c r="J134" s="193"/>
      <c r="K134" s="192"/>
      <c r="L134" s="192"/>
      <c r="M134" s="192"/>
      <c r="N134" s="192"/>
      <c r="O134" s="192"/>
      <c r="P134" s="192"/>
      <c r="Q134" s="192"/>
      <c r="R134" s="192"/>
      <c r="S134" s="192"/>
      <c r="T134" s="192"/>
      <c r="U134" s="192"/>
      <c r="V134" s="192"/>
      <c r="W134" s="192"/>
      <c r="X134" s="191"/>
    </row>
  </sheetData>
  <mergeCells count="23">
    <mergeCell ref="A2:F2"/>
    <mergeCell ref="H2:I2"/>
    <mergeCell ref="J2:W2"/>
    <mergeCell ref="A3:A5"/>
    <mergeCell ref="B3:B5"/>
    <mergeCell ref="C3:C5"/>
    <mergeCell ref="D3:D5"/>
    <mergeCell ref="E3:E5"/>
    <mergeCell ref="F3:F5"/>
    <mergeCell ref="G3:G5"/>
    <mergeCell ref="N3:Q3"/>
    <mergeCell ref="R3:S4"/>
    <mergeCell ref="A127:H130"/>
    <mergeCell ref="U3:V4"/>
    <mergeCell ref="W3:W5"/>
    <mergeCell ref="J4:K4"/>
    <mergeCell ref="L4:M4"/>
    <mergeCell ref="N4:O4"/>
    <mergeCell ref="P4:Q4"/>
    <mergeCell ref="H3:H5"/>
    <mergeCell ref="I3:I5"/>
    <mergeCell ref="J3:M3"/>
    <mergeCell ref="T3:T5"/>
  </mergeCells>
  <pageMargins left="0.75" right="0.75" top="1" bottom="1" header="0.5" footer="0.5"/>
  <pageSetup paperSize="5" scale="90" fitToHeight="0" orientation="landscape" horizontalDpi="1200" verticalDpi="1200" r:id="rId1"/>
  <headerFooter alignWithMargins="0">
    <oddFooter>&amp;L&amp;Z&amp;F</oddFooter>
  </headerFooter>
  <extLst>
    <ext xmlns:x14="http://schemas.microsoft.com/office/spreadsheetml/2009/9/main" uri="{CCE6A557-97BC-4b89-ADB6-D9C93CAAB3DF}">
      <x14:dataValidations xmlns:xm="http://schemas.microsoft.com/office/excel/2006/main" count="2">
        <x14:dataValidation type="list" showInputMessage="1" showErrorMessage="1" error="Use values from the list:_x000a_Resource_x000a_Non-Resource" xr:uid="{FECD450E-96D4-44CF-A84E-77F8F6B1B315}">
          <x14:formula1>
            <xm:f>'\\fairfield08\mps\PIA\Portfolio Governance\EE Annual Reports\2019 filed in 2020\[Annual Report_2019_Annual_Report_Guidance_Document.xlsx]Sheet1'!#REF!</xm:f>
          </x14:formula1>
          <xm:sqref>F133:F134 G16 G110:G115 G32:G47 F6:F126</xm:sqref>
        </x14:dataValidation>
        <x14:dataValidation type="list" allowBlank="1" showInputMessage="1" showErrorMessage="1" xr:uid="{9BC73030-B0A9-47CD-A206-44C4BEB95B01}">
          <x14:formula1>
            <xm:f>'\\fairfield08\mps\PIA\Portfolio Governance\EE Annual Reports\2019 filed in 2020\[Annual Report_2019_Annual_Report_Guidance_Document.xlsx]Sheet1'!#REF!</xm:f>
          </x14:formula1>
          <xm:sqref>G17:G31 G6:G15 G48:G109 D6:E125 A6:A125 G116:G126 G133:I134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3"/>
  <sheetViews>
    <sheetView tabSelected="1" zoomScaleNormal="100" workbookViewId="0">
      <selection activeCell="B3" sqref="B3"/>
    </sheetView>
  </sheetViews>
  <sheetFormatPr defaultColWidth="9.140625" defaultRowHeight="14.45"/>
  <cols>
    <col min="1" max="1" width="19.7109375" style="161" customWidth="1"/>
    <col min="2" max="4" width="17.28515625" style="167" bestFit="1" customWidth="1"/>
    <col min="5" max="5" width="8.7109375" style="161" bestFit="1" customWidth="1"/>
    <col min="6" max="6" width="15.85546875" style="161" customWidth="1"/>
    <col min="7" max="7" width="11.28515625" style="161" bestFit="1" customWidth="1"/>
    <col min="8" max="8" width="8.85546875" style="161" customWidth="1"/>
    <col min="9" max="9" width="10.42578125" style="161" customWidth="1"/>
    <col min="10" max="10" width="11.28515625" style="161" customWidth="1"/>
    <col min="11" max="16384" width="9.140625" style="161"/>
  </cols>
  <sheetData>
    <row r="1" spans="1:10" ht="15.6">
      <c r="A1" s="25" t="s">
        <v>319</v>
      </c>
      <c r="B1" s="95"/>
      <c r="C1" s="95"/>
      <c r="D1" s="95"/>
      <c r="E1" s="1"/>
      <c r="F1" s="1"/>
      <c r="G1" s="26"/>
      <c r="H1" s="1"/>
      <c r="I1" s="1"/>
      <c r="J1" s="1"/>
    </row>
    <row r="2" spans="1:10" ht="17.45" thickBot="1">
      <c r="A2" s="165" t="s">
        <v>320</v>
      </c>
      <c r="B2" s="95"/>
      <c r="C2" s="95"/>
      <c r="D2" s="95"/>
      <c r="E2" s="1"/>
      <c r="F2" s="1"/>
      <c r="G2" s="1"/>
      <c r="H2" s="1"/>
      <c r="I2" s="1"/>
      <c r="J2" s="1"/>
    </row>
    <row r="3" spans="1:10" ht="94.5">
      <c r="A3" s="241" t="s">
        <v>6</v>
      </c>
      <c r="B3" s="242" t="s">
        <v>321</v>
      </c>
      <c r="C3" s="242" t="s">
        <v>322</v>
      </c>
      <c r="D3" s="242" t="s">
        <v>323</v>
      </c>
      <c r="E3" s="243" t="s">
        <v>324</v>
      </c>
      <c r="F3" s="243" t="s">
        <v>325</v>
      </c>
      <c r="G3" s="243" t="s">
        <v>326</v>
      </c>
      <c r="H3" s="243" t="s">
        <v>327</v>
      </c>
      <c r="I3" s="243" t="s">
        <v>328</v>
      </c>
      <c r="J3" s="244" t="s">
        <v>329</v>
      </c>
    </row>
    <row r="4" spans="1:10" ht="16.149999999999999" thickBot="1">
      <c r="A4" s="325" t="s">
        <v>330</v>
      </c>
      <c r="B4" s="321">
        <v>831787592.14312959</v>
      </c>
      <c r="C4" s="321">
        <v>1094123816.9511404</v>
      </c>
      <c r="D4" s="321">
        <f>C4-B4</f>
        <v>262336224.80801082</v>
      </c>
      <c r="E4" s="322">
        <f>C4/B4</f>
        <v>1.3153884805279343</v>
      </c>
      <c r="F4" s="323">
        <v>309054729.89018106</v>
      </c>
      <c r="G4" s="322">
        <f>C4/F4</f>
        <v>3.5402267337565885</v>
      </c>
      <c r="H4" s="322"/>
      <c r="I4" s="324">
        <v>1.7334342885514047E-2</v>
      </c>
      <c r="J4" s="326">
        <v>0.20109223069848897</v>
      </c>
    </row>
    <row r="5" spans="1:10" ht="16.149999999999999" thickBot="1">
      <c r="A5" s="153" t="s">
        <v>331</v>
      </c>
      <c r="B5" s="140">
        <f>B4</f>
        <v>831787592.14312959</v>
      </c>
      <c r="C5" s="140">
        <f t="shared" ref="C5:J5" si="0">C4</f>
        <v>1094123816.9511404</v>
      </c>
      <c r="D5" s="140">
        <f t="shared" si="0"/>
        <v>262336224.80801082</v>
      </c>
      <c r="E5" s="141">
        <f t="shared" si="0"/>
        <v>1.3153884805279343</v>
      </c>
      <c r="F5" s="140">
        <f t="shared" si="0"/>
        <v>309054729.89018106</v>
      </c>
      <c r="G5" s="141">
        <f t="shared" si="0"/>
        <v>3.5402267337565885</v>
      </c>
      <c r="H5" s="140">
        <f>H4</f>
        <v>0</v>
      </c>
      <c r="I5" s="141">
        <f t="shared" si="0"/>
        <v>1.7334342885514047E-2</v>
      </c>
      <c r="J5" s="142">
        <f t="shared" si="0"/>
        <v>0.20109223069848897</v>
      </c>
    </row>
    <row r="6" spans="1:10">
      <c r="A6" s="163" t="s">
        <v>332</v>
      </c>
      <c r="B6" s="166"/>
    </row>
    <row r="7" spans="1:10">
      <c r="A7" s="163" t="s">
        <v>333</v>
      </c>
      <c r="B7" s="166"/>
    </row>
    <row r="8" spans="1:10">
      <c r="A8" s="163" t="s">
        <v>334</v>
      </c>
      <c r="B8" s="166"/>
    </row>
    <row r="9" spans="1:10">
      <c r="A9" s="163" t="s">
        <v>335</v>
      </c>
      <c r="B9" s="166"/>
    </row>
    <row r="10" spans="1:10">
      <c r="A10" s="163" t="s">
        <v>336</v>
      </c>
      <c r="B10" s="166"/>
    </row>
    <row r="11" spans="1:10">
      <c r="A11" s="163" t="s">
        <v>337</v>
      </c>
      <c r="B11" s="166"/>
    </row>
    <row r="12" spans="1:10">
      <c r="A12" s="163" t="s">
        <v>338</v>
      </c>
      <c r="B12" s="166"/>
    </row>
    <row r="13" spans="1:10">
      <c r="A13" s="163" t="s">
        <v>339</v>
      </c>
      <c r="B13" s="166"/>
    </row>
    <row r="14" spans="1:10">
      <c r="A14" s="163" t="s">
        <v>340</v>
      </c>
      <c r="B14" s="166"/>
    </row>
    <row r="15" spans="1:10">
      <c r="A15" s="163" t="s">
        <v>341</v>
      </c>
      <c r="B15" s="166"/>
    </row>
    <row r="16" spans="1:10">
      <c r="A16" s="163" t="s">
        <v>342</v>
      </c>
      <c r="B16" s="166"/>
    </row>
    <row r="17" spans="1:4">
      <c r="A17" s="163" t="s">
        <v>343</v>
      </c>
      <c r="B17" s="166"/>
    </row>
    <row r="18" spans="1:4">
      <c r="A18" s="163" t="s">
        <v>344</v>
      </c>
      <c r="B18" s="166"/>
    </row>
    <row r="19" spans="1:4">
      <c r="A19" s="163" t="s">
        <v>345</v>
      </c>
      <c r="B19" s="166"/>
    </row>
    <row r="20" spans="1:4">
      <c r="A20" s="163"/>
      <c r="B20" s="166"/>
    </row>
    <row r="22" spans="1:4">
      <c r="B22" s="161"/>
      <c r="C22" s="161"/>
      <c r="D22" s="161"/>
    </row>
    <row r="23" spans="1:4">
      <c r="B23" s="161"/>
      <c r="C23" s="161"/>
      <c r="D23" s="161"/>
    </row>
  </sheetData>
  <pageMargins left="0.7" right="0.7" top="0.75" bottom="0.75" header="0.3" footer="0.3"/>
  <pageSetup scale="90" fitToHeight="0" orientation="landscape" r:id="rId1"/>
  <headerFooter>
    <oddHeader>&amp;CPacific Gas and Electric Company EE Programs 2019 Annual Report - May 2020</oddHeader>
    <oddFooter>&amp;C4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18"/>
  <sheetViews>
    <sheetView showGridLines="0" topLeftCell="A4" zoomScaleNormal="100" zoomScaleSheetLayoutView="100" workbookViewId="0">
      <selection activeCell="A2" sqref="A2"/>
    </sheetView>
  </sheetViews>
  <sheetFormatPr defaultColWidth="8" defaultRowHeight="13.15"/>
  <cols>
    <col min="1" max="1" width="19.28515625" bestFit="1" customWidth="1"/>
    <col min="2" max="2" width="25" bestFit="1" customWidth="1"/>
    <col min="3" max="3" width="27.28515625" bestFit="1" customWidth="1"/>
    <col min="4" max="4" width="21.85546875" bestFit="1" customWidth="1"/>
    <col min="5" max="5" width="25.5703125" bestFit="1" customWidth="1"/>
    <col min="6" max="6" width="17.28515625" customWidth="1"/>
    <col min="7" max="8" width="16.5703125" bestFit="1" customWidth="1"/>
  </cols>
  <sheetData>
    <row r="1" spans="1:6" ht="15.6">
      <c r="A1" s="12" t="s">
        <v>0</v>
      </c>
      <c r="B1" s="19"/>
      <c r="C1" s="19"/>
      <c r="D1" s="12" t="s">
        <v>1</v>
      </c>
      <c r="E1" s="12" t="s">
        <v>2</v>
      </c>
      <c r="F1" s="1"/>
    </row>
    <row r="2" spans="1:6" ht="16.899999999999999">
      <c r="A2" s="18" t="s">
        <v>346</v>
      </c>
      <c r="B2" s="20"/>
      <c r="C2" s="20"/>
      <c r="D2" s="1"/>
      <c r="E2" s="1"/>
      <c r="F2" s="1"/>
    </row>
    <row r="3" spans="1:6" ht="16.149999999999999" thickBot="1">
      <c r="A3" s="21" t="s">
        <v>347</v>
      </c>
      <c r="B3" s="22"/>
      <c r="C3" s="22"/>
      <c r="D3" s="1"/>
      <c r="E3" s="1"/>
      <c r="F3" s="1"/>
    </row>
    <row r="4" spans="1:6" ht="51" thickBot="1">
      <c r="A4" s="245">
        <v>2019</v>
      </c>
      <c r="B4" s="131" t="s">
        <v>348</v>
      </c>
      <c r="C4" s="131" t="s">
        <v>349</v>
      </c>
      <c r="D4" s="132" t="s">
        <v>350</v>
      </c>
      <c r="E4" s="133" t="s">
        <v>351</v>
      </c>
      <c r="F4" s="1"/>
    </row>
    <row r="5" spans="1:6" ht="16.899999999999999" hidden="1">
      <c r="A5" s="23" t="s">
        <v>74</v>
      </c>
      <c r="B5" s="134"/>
      <c r="C5" s="134"/>
      <c r="D5" s="135"/>
      <c r="E5" s="24"/>
      <c r="F5" s="1"/>
    </row>
    <row r="6" spans="1:6" ht="16.899999999999999" hidden="1">
      <c r="A6" s="23" t="s">
        <v>12</v>
      </c>
      <c r="B6" s="134"/>
      <c r="C6" s="134"/>
      <c r="D6" s="135"/>
      <c r="E6" s="24"/>
      <c r="F6" s="1"/>
    </row>
    <row r="7" spans="1:6" ht="16.899999999999999">
      <c r="A7" s="136" t="s">
        <v>352</v>
      </c>
      <c r="B7" s="48">
        <v>0.21099999999999999</v>
      </c>
      <c r="C7" s="48">
        <v>1.6144999999999998</v>
      </c>
      <c r="D7" s="246">
        <f>('T-1 Savings&amp;DemandRedx(Net)'!B5*'T-5 RatepayerImpcts'!B7+'T-1 Savings&amp;DemandRedx(Net)'!B23*'T-5 RatepayerImpcts'!C7)*1000000</f>
        <v>309849612.35198438</v>
      </c>
      <c r="E7" s="247">
        <f>('T-1 Savings&amp;DemandRedx(Net)'!B14*'T-5 RatepayerImpcts'!B7+'T-1 Savings&amp;DemandRedx(Net)'!B32*'T-5 RatepayerImpcts'!C7) *1000000</f>
        <v>3548692045.6239505</v>
      </c>
      <c r="F7" s="1"/>
    </row>
    <row r="8" spans="1:6" ht="16.899999999999999" hidden="1">
      <c r="A8" s="136" t="s">
        <v>14</v>
      </c>
      <c r="B8" s="48"/>
      <c r="C8" s="48"/>
      <c r="D8" s="49"/>
      <c r="E8" s="137"/>
      <c r="F8" s="1"/>
    </row>
    <row r="9" spans="1:6" ht="17.45" thickBot="1">
      <c r="A9" s="138" t="s">
        <v>352</v>
      </c>
      <c r="B9" s="139">
        <f>B7</f>
        <v>0.21099999999999999</v>
      </c>
      <c r="C9" s="139">
        <f t="shared" ref="C9:E9" si="0">C7</f>
        <v>1.6144999999999998</v>
      </c>
      <c r="D9" s="155">
        <f t="shared" si="0"/>
        <v>309849612.35198438</v>
      </c>
      <c r="E9" s="156">
        <f t="shared" si="0"/>
        <v>3548692045.6239505</v>
      </c>
      <c r="F9" s="1"/>
    </row>
    <row r="10" spans="1:6" ht="15.6">
      <c r="A10" s="1" t="s">
        <v>353</v>
      </c>
      <c r="B10" s="1"/>
      <c r="C10" s="1"/>
      <c r="D10" s="1"/>
      <c r="E10" s="1"/>
      <c r="F10" s="1"/>
    </row>
    <row r="11" spans="1:6">
      <c r="A11" s="112" t="s">
        <v>354</v>
      </c>
    </row>
    <row r="12" spans="1:6">
      <c r="A12" s="112" t="s">
        <v>355</v>
      </c>
    </row>
    <row r="13" spans="1:6">
      <c r="A13" t="s">
        <v>356</v>
      </c>
    </row>
    <row r="14" spans="1:6">
      <c r="A14" t="s">
        <v>357</v>
      </c>
    </row>
    <row r="15" spans="1:6">
      <c r="A15" t="s">
        <v>358</v>
      </c>
    </row>
    <row r="16" spans="1:6">
      <c r="A16" t="s">
        <v>359</v>
      </c>
    </row>
    <row r="17" spans="1:1">
      <c r="A17" t="s">
        <v>360</v>
      </c>
    </row>
    <row r="18" spans="1:1">
      <c r="A18" t="s">
        <v>361</v>
      </c>
    </row>
  </sheetData>
  <printOptions horizontalCentered="1"/>
  <pageMargins left="0.75" right="0.75" top="1" bottom="1" header="0.5" footer="0.5"/>
  <pageSetup fitToHeight="0" orientation="landscape" horizontalDpi="1200" verticalDpi="1200" r:id="rId1"/>
  <headerFooter alignWithMargins="0">
    <oddHeader>&amp;CPacific Gas and Electric Company EE Programs 2019 Annual Report - May 2020</oddHeader>
    <oddFooter>&amp;C5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9"/>
  <sheetViews>
    <sheetView zoomScaleNormal="100" workbookViewId="0"/>
  </sheetViews>
  <sheetFormatPr defaultColWidth="9.140625" defaultRowHeight="13.15"/>
  <cols>
    <col min="1" max="1" width="35.7109375" style="112" customWidth="1"/>
    <col min="2" max="6" width="9.140625" style="112"/>
    <col min="7" max="7" width="10.85546875" style="112" customWidth="1"/>
    <col min="8" max="10" width="9.140625" style="112"/>
    <col min="11" max="11" width="10.28515625" style="112" bestFit="1" customWidth="1"/>
    <col min="12" max="16384" width="9.140625" style="112"/>
  </cols>
  <sheetData>
    <row r="1" spans="1:11">
      <c r="A1" s="47" t="s">
        <v>362</v>
      </c>
    </row>
    <row r="2" spans="1:11" ht="15.6">
      <c r="A2" s="96" t="s">
        <v>363</v>
      </c>
      <c r="B2" s="168"/>
      <c r="C2" s="168"/>
      <c r="D2" s="168"/>
      <c r="E2" s="168"/>
      <c r="F2" s="168"/>
      <c r="G2" s="168"/>
    </row>
    <row r="3" spans="1:11">
      <c r="A3" s="168"/>
      <c r="B3" s="168"/>
      <c r="C3" s="168"/>
      <c r="D3" s="168"/>
      <c r="E3" s="168"/>
      <c r="G3" s="168"/>
    </row>
    <row r="4" spans="1:11">
      <c r="A4" s="168"/>
      <c r="B4" s="168"/>
      <c r="C4" s="168"/>
      <c r="D4" s="168"/>
      <c r="E4" s="33"/>
      <c r="G4" s="33"/>
    </row>
    <row r="5" spans="1:11" ht="13.9" thickBot="1">
      <c r="A5" s="97" t="s">
        <v>364</v>
      </c>
      <c r="B5" s="98" t="s">
        <v>365</v>
      </c>
      <c r="C5" s="98" t="s">
        <v>366</v>
      </c>
      <c r="D5" s="99" t="s">
        <v>367</v>
      </c>
      <c r="E5" s="99" t="s">
        <v>366</v>
      </c>
      <c r="F5" s="100" t="s">
        <v>368</v>
      </c>
      <c r="G5" s="99" t="s">
        <v>366</v>
      </c>
    </row>
    <row r="6" spans="1:11">
      <c r="A6" s="112" t="s">
        <v>369</v>
      </c>
      <c r="B6" s="157">
        <v>108.409864247759</v>
      </c>
      <c r="C6" s="158">
        <f>B6/$B$24</f>
        <v>8.6281448363323784E-2</v>
      </c>
      <c r="D6" s="157">
        <v>15.890989179168098</v>
      </c>
      <c r="E6" s="126">
        <f>D6/$D$24</f>
        <v>6.2600343850124737E-2</v>
      </c>
      <c r="F6" s="157">
        <v>-0.13385525231083897</v>
      </c>
      <c r="G6" s="126">
        <f>F6/$F$24</f>
        <v>-4.8308882866577264E-3</v>
      </c>
    </row>
    <row r="7" spans="1:11">
      <c r="A7" s="112" t="s">
        <v>370</v>
      </c>
      <c r="B7" s="157">
        <v>18.436793621016001</v>
      </c>
      <c r="C7" s="158">
        <f t="shared" ref="C7:C23" si="0">B7/$B$24</f>
        <v>1.4673510273580411E-2</v>
      </c>
      <c r="D7" s="157">
        <v>3.2823788757103096</v>
      </c>
      <c r="E7" s="126">
        <f t="shared" ref="E7:E23" si="1">D7/$D$24</f>
        <v>1.2930475500871754E-2</v>
      </c>
      <c r="F7" s="157">
        <v>0.8799964082881101</v>
      </c>
      <c r="G7" s="126">
        <f t="shared" ref="G7:G23" si="2">F7/$F$24</f>
        <v>3.1759413752609704E-2</v>
      </c>
    </row>
    <row r="8" spans="1:11">
      <c r="A8" s="112" t="s">
        <v>371</v>
      </c>
      <c r="B8" s="157">
        <v>2.3860836599594801</v>
      </c>
      <c r="C8" s="158">
        <f t="shared" si="0"/>
        <v>1.8990407886394919E-3</v>
      </c>
      <c r="D8" s="157">
        <v>2.544990435E-3</v>
      </c>
      <c r="E8" s="126">
        <f t="shared" si="1"/>
        <v>1.0025636197344568E-5</v>
      </c>
      <c r="F8" s="157">
        <v>0</v>
      </c>
      <c r="G8" s="126">
        <f t="shared" si="2"/>
        <v>0</v>
      </c>
    </row>
    <row r="9" spans="1:11">
      <c r="A9" s="112" t="s">
        <v>372</v>
      </c>
      <c r="B9" s="157">
        <v>29.522846995713103</v>
      </c>
      <c r="C9" s="158">
        <f t="shared" si="0"/>
        <v>2.3496699458800261E-2</v>
      </c>
      <c r="D9" s="157">
        <v>4.1590623794560502</v>
      </c>
      <c r="E9" s="126">
        <f t="shared" si="1"/>
        <v>1.6384048350456218E-2</v>
      </c>
      <c r="F9" s="157">
        <v>-0.103569220547364</v>
      </c>
      <c r="G9" s="126">
        <f t="shared" si="2"/>
        <v>-3.737853582604745E-3</v>
      </c>
    </row>
    <row r="10" spans="1:11">
      <c r="A10" s="112" t="s">
        <v>373</v>
      </c>
      <c r="B10" s="157">
        <v>26.858833914845999</v>
      </c>
      <c r="C10" s="158">
        <f t="shared" si="0"/>
        <v>2.1376459675538976E-2</v>
      </c>
      <c r="D10" s="157">
        <v>3.4256169609846703</v>
      </c>
      <c r="E10" s="126">
        <f t="shared" si="1"/>
        <v>1.3494742035164233E-2</v>
      </c>
      <c r="F10" s="157">
        <v>-3.5462995905825303E-4</v>
      </c>
      <c r="G10" s="126">
        <f t="shared" si="2"/>
        <v>-1.2798733600188348E-5</v>
      </c>
      <c r="J10" s="171"/>
      <c r="K10" s="171"/>
    </row>
    <row r="11" spans="1:11">
      <c r="A11" s="112" t="s">
        <v>374</v>
      </c>
      <c r="B11" s="157">
        <v>1.0729666373461302</v>
      </c>
      <c r="C11" s="158">
        <f t="shared" si="0"/>
        <v>8.5395472227669546E-4</v>
      </c>
      <c r="D11" s="157">
        <v>0.17520778129598699</v>
      </c>
      <c r="E11" s="126">
        <f t="shared" si="1"/>
        <v>6.902067096442654E-4</v>
      </c>
      <c r="F11" s="157">
        <v>0.36255568084367201</v>
      </c>
      <c r="G11" s="126">
        <f t="shared" si="2"/>
        <v>1.3084775992066817E-2</v>
      </c>
      <c r="J11" s="171"/>
      <c r="K11" s="171"/>
    </row>
    <row r="12" spans="1:11">
      <c r="A12" s="112" t="s">
        <v>375</v>
      </c>
      <c r="B12" s="157">
        <v>118.437039575732</v>
      </c>
      <c r="C12" s="158">
        <f t="shared" si="0"/>
        <v>9.4261895680491065E-2</v>
      </c>
      <c r="D12" s="157">
        <v>41.557908704613105</v>
      </c>
      <c r="E12" s="126">
        <f t="shared" si="1"/>
        <v>0.16371160695341083</v>
      </c>
      <c r="F12" s="157">
        <v>4.3199478331605903</v>
      </c>
      <c r="G12" s="126">
        <f t="shared" si="2"/>
        <v>0.15590860295661355</v>
      </c>
      <c r="J12" s="171"/>
      <c r="K12" s="171"/>
    </row>
    <row r="13" spans="1:11">
      <c r="A13" s="112" t="s">
        <v>376</v>
      </c>
      <c r="B13" s="157">
        <v>10.150903716250001</v>
      </c>
      <c r="C13" s="158">
        <f t="shared" si="0"/>
        <v>8.0789205014874903E-3</v>
      </c>
      <c r="D13" s="157">
        <v>6.1076659623850098</v>
      </c>
      <c r="E13" s="126">
        <f t="shared" si="1"/>
        <v>2.4060301410828881E-2</v>
      </c>
      <c r="F13" s="157">
        <v>0</v>
      </c>
      <c r="G13" s="126">
        <f t="shared" si="2"/>
        <v>0</v>
      </c>
      <c r="J13" s="171"/>
      <c r="K13" s="171"/>
    </row>
    <row r="14" spans="1:11">
      <c r="A14" s="112" t="s">
        <v>377</v>
      </c>
      <c r="B14" s="157">
        <v>533.54272804892287</v>
      </c>
      <c r="C14" s="158">
        <f t="shared" si="0"/>
        <v>0.42463699829539869</v>
      </c>
      <c r="D14" s="157">
        <v>85.100938229892904</v>
      </c>
      <c r="E14" s="126">
        <f t="shared" si="1"/>
        <v>0.33524332155126491</v>
      </c>
      <c r="F14" s="157">
        <v>-5.0633632322594897</v>
      </c>
      <c r="G14" s="126">
        <f t="shared" si="2"/>
        <v>-0.18273875479322579</v>
      </c>
      <c r="J14" s="171"/>
      <c r="K14" s="171"/>
    </row>
    <row r="15" spans="1:11">
      <c r="A15" s="112" t="s">
        <v>378</v>
      </c>
      <c r="B15" s="157">
        <v>0</v>
      </c>
      <c r="C15" s="158">
        <f t="shared" si="0"/>
        <v>0</v>
      </c>
      <c r="D15" s="157">
        <v>0</v>
      </c>
      <c r="E15" s="126">
        <f t="shared" si="1"/>
        <v>0</v>
      </c>
      <c r="F15" s="157">
        <v>0</v>
      </c>
      <c r="G15" s="126">
        <f t="shared" si="2"/>
        <v>0</v>
      </c>
      <c r="J15" s="171"/>
      <c r="K15" s="171"/>
    </row>
    <row r="16" spans="1:11">
      <c r="A16" s="112" t="s">
        <v>379</v>
      </c>
      <c r="B16" s="157">
        <v>12.743370339013</v>
      </c>
      <c r="C16" s="158">
        <f t="shared" si="0"/>
        <v>1.0142217753980729E-2</v>
      </c>
      <c r="D16" s="157">
        <v>0.42480717609347002</v>
      </c>
      <c r="E16" s="126">
        <f t="shared" si="1"/>
        <v>1.673468844111558E-3</v>
      </c>
      <c r="F16" s="157">
        <v>1.6083989999999999E-2</v>
      </c>
      <c r="G16" s="126">
        <f t="shared" si="2"/>
        <v>5.8047747512577979E-4</v>
      </c>
      <c r="J16" s="171"/>
      <c r="K16" s="171"/>
    </row>
    <row r="17" spans="1:11">
      <c r="A17" s="112" t="s">
        <v>380</v>
      </c>
      <c r="B17" s="157">
        <v>0</v>
      </c>
      <c r="C17" s="158">
        <f t="shared" si="0"/>
        <v>0</v>
      </c>
      <c r="D17" s="157">
        <v>0</v>
      </c>
      <c r="E17" s="126">
        <f t="shared" si="1"/>
        <v>0</v>
      </c>
      <c r="F17" s="157">
        <v>0</v>
      </c>
      <c r="G17" s="126">
        <f t="shared" si="2"/>
        <v>0</v>
      </c>
      <c r="J17" s="171"/>
      <c r="K17" s="171"/>
    </row>
    <row r="18" spans="1:11">
      <c r="A18" s="112" t="s">
        <v>381</v>
      </c>
      <c r="B18" s="157">
        <v>1.83306093422074</v>
      </c>
      <c r="C18" s="158">
        <f t="shared" si="0"/>
        <v>1.458900012837736E-3</v>
      </c>
      <c r="D18" s="157">
        <v>0.17067005399799901</v>
      </c>
      <c r="E18" s="126">
        <f t="shared" si="1"/>
        <v>6.723309634619868E-4</v>
      </c>
      <c r="F18" s="157">
        <v>1.7068864120869298</v>
      </c>
      <c r="G18" s="126">
        <f t="shared" si="2"/>
        <v>6.1602196644907285E-2</v>
      </c>
      <c r="J18" s="171"/>
      <c r="K18" s="171"/>
    </row>
    <row r="19" spans="1:11">
      <c r="A19" s="112" t="s">
        <v>382</v>
      </c>
      <c r="B19" s="157">
        <v>2.7489831524999997</v>
      </c>
      <c r="C19" s="158">
        <f t="shared" si="0"/>
        <v>2.1878659250233194E-3</v>
      </c>
      <c r="D19" s="157">
        <v>0.43246253009600599</v>
      </c>
      <c r="E19" s="126">
        <f t="shared" si="1"/>
        <v>1.7036260475083995E-3</v>
      </c>
      <c r="F19" s="157">
        <v>0</v>
      </c>
      <c r="G19" s="126">
        <f t="shared" si="2"/>
        <v>0</v>
      </c>
      <c r="J19" s="171"/>
      <c r="K19" s="171"/>
    </row>
    <row r="20" spans="1:11">
      <c r="A20" s="112" t="s">
        <v>383</v>
      </c>
      <c r="B20" s="157">
        <v>13.3832576205963</v>
      </c>
      <c r="C20" s="158">
        <f t="shared" si="0"/>
        <v>1.06514924572319E-2</v>
      </c>
      <c r="D20" s="157">
        <v>2.76673752187402</v>
      </c>
      <c r="E20" s="126">
        <f t="shared" si="1"/>
        <v>1.0899178034769936E-2</v>
      </c>
      <c r="F20" s="157">
        <v>5.9514566145381406E-2</v>
      </c>
      <c r="G20" s="126">
        <f t="shared" si="2"/>
        <v>2.1479039149662001E-3</v>
      </c>
      <c r="J20" s="171"/>
      <c r="K20" s="171"/>
    </row>
    <row r="21" spans="1:11">
      <c r="A21" s="112" t="s">
        <v>384</v>
      </c>
      <c r="B21" s="157">
        <v>6.1678537929561053</v>
      </c>
      <c r="C21" s="158">
        <f t="shared" si="0"/>
        <v>4.9088831744429915E-3</v>
      </c>
      <c r="D21" s="157">
        <v>0.83277915309760098</v>
      </c>
      <c r="E21" s="126">
        <f t="shared" si="1"/>
        <v>3.2806177606279538E-3</v>
      </c>
      <c r="F21" s="157">
        <v>0.25090881393188902</v>
      </c>
      <c r="G21" s="126">
        <f t="shared" si="2"/>
        <v>9.0553970002460217E-3</v>
      </c>
      <c r="J21" s="171"/>
      <c r="K21" s="171"/>
    </row>
    <row r="22" spans="1:11">
      <c r="A22" s="112" t="s">
        <v>385</v>
      </c>
      <c r="B22" s="157">
        <v>19.251816902238204</v>
      </c>
      <c r="C22" s="158">
        <f t="shared" si="0"/>
        <v>1.5322172548380131E-2</v>
      </c>
      <c r="D22" s="157">
        <v>1.0050333107307299</v>
      </c>
      <c r="E22" s="126">
        <f t="shared" si="1"/>
        <v>3.9591890802524983E-3</v>
      </c>
      <c r="F22" s="157">
        <v>14.8696235156659</v>
      </c>
      <c r="G22" s="126">
        <f t="shared" si="2"/>
        <v>0.53665051485636728</v>
      </c>
      <c r="J22" s="171"/>
      <c r="K22" s="171"/>
    </row>
    <row r="23" spans="1:11">
      <c r="A23" s="112" t="s">
        <v>386</v>
      </c>
      <c r="B23" s="157">
        <v>351.52142746025902</v>
      </c>
      <c r="C23" s="158">
        <f t="shared" si="0"/>
        <v>0.27976954036856633</v>
      </c>
      <c r="D23" s="157">
        <v>88.513470247800711</v>
      </c>
      <c r="E23" s="126">
        <f t="shared" si="1"/>
        <v>0.34868651727130451</v>
      </c>
      <c r="F23" s="157">
        <v>10.54383204669589</v>
      </c>
      <c r="G23" s="126">
        <f t="shared" si="2"/>
        <v>0.38053101280318585</v>
      </c>
      <c r="J23" s="171"/>
      <c r="K23" s="171"/>
    </row>
    <row r="24" spans="1:11" ht="13.9" thickBot="1">
      <c r="A24" s="129" t="s">
        <v>387</v>
      </c>
      <c r="B24" s="127">
        <f t="shared" ref="B24:G24" si="3">SUM(B6:B23)</f>
        <v>1256.467830619328</v>
      </c>
      <c r="C24" s="128">
        <f t="shared" si="3"/>
        <v>1</v>
      </c>
      <c r="D24" s="127">
        <f t="shared" si="3"/>
        <v>253.84827305763167</v>
      </c>
      <c r="E24" s="128">
        <f t="shared" si="3"/>
        <v>0.99999999999999989</v>
      </c>
      <c r="F24" s="159">
        <f t="shared" si="3"/>
        <v>27.708206931741611</v>
      </c>
      <c r="G24" s="128">
        <f t="shared" si="3"/>
        <v>1</v>
      </c>
      <c r="J24" s="171"/>
      <c r="K24" s="171"/>
    </row>
    <row r="25" spans="1:11">
      <c r="A25" s="112" t="s">
        <v>27</v>
      </c>
    </row>
    <row r="26" spans="1:11">
      <c r="A26" s="112" t="s">
        <v>388</v>
      </c>
    </row>
    <row r="27" spans="1:11">
      <c r="A27" s="112" t="s">
        <v>389</v>
      </c>
    </row>
    <row r="28" spans="1:11">
      <c r="A28" s="112" t="s">
        <v>390</v>
      </c>
    </row>
    <row r="29" spans="1:11">
      <c r="A29" s="112" t="s">
        <v>391</v>
      </c>
    </row>
  </sheetData>
  <pageMargins left="0.7" right="0.7" top="0.75" bottom="0.75" header="0.3" footer="0.3"/>
  <pageSetup orientation="portrait" r:id="rId1"/>
  <headerFooter>
    <oddHeader>&amp;CPacific Gas and Electric Company EE Programs 2019 Annual Report - May 2020</oddHeader>
    <oddFooter>&amp;C6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9"/>
  <sheetViews>
    <sheetView topLeftCell="A28" zoomScaleNormal="100" workbookViewId="0">
      <selection activeCell="A38" sqref="A38"/>
    </sheetView>
  </sheetViews>
  <sheetFormatPr defaultRowHeight="13.15"/>
  <cols>
    <col min="1" max="1" width="23.28515625" customWidth="1"/>
    <col min="2" max="2" width="18.28515625" customWidth="1"/>
    <col min="3" max="3" width="20.5703125" customWidth="1"/>
    <col min="4" max="4" width="16.5703125" customWidth="1"/>
    <col min="5" max="5" width="31.42578125" customWidth="1"/>
    <col min="7" max="7" width="12.85546875" bestFit="1" customWidth="1"/>
  </cols>
  <sheetData>
    <row r="1" spans="1:6" ht="14.45">
      <c r="A1" s="34"/>
      <c r="B1" s="34"/>
      <c r="C1" s="34"/>
      <c r="D1" s="34"/>
      <c r="E1" s="34"/>
      <c r="F1" s="34"/>
    </row>
    <row r="2" spans="1:6" ht="14.45">
      <c r="A2" s="34"/>
      <c r="B2" s="34"/>
      <c r="C2" s="34"/>
      <c r="D2" s="34"/>
      <c r="E2" s="34"/>
      <c r="F2" s="34"/>
    </row>
    <row r="3" spans="1:6" ht="15.6">
      <c r="A3" s="35" t="s">
        <v>392</v>
      </c>
      <c r="B3" s="34"/>
      <c r="C3" s="34"/>
      <c r="D3" s="34"/>
      <c r="E3" s="34"/>
      <c r="F3" s="34"/>
    </row>
    <row r="4" spans="1:6" ht="18" thickBot="1">
      <c r="A4" s="103" t="s">
        <v>393</v>
      </c>
      <c r="B4" s="34"/>
      <c r="C4" s="34"/>
      <c r="D4" s="34"/>
      <c r="E4" s="34"/>
      <c r="F4" s="34"/>
    </row>
    <row r="5" spans="1:6" ht="14.45">
      <c r="A5" s="399" t="s">
        <v>394</v>
      </c>
      <c r="B5" s="400"/>
      <c r="C5" s="400"/>
      <c r="D5" s="400"/>
      <c r="E5" s="401"/>
      <c r="F5" s="34"/>
    </row>
    <row r="6" spans="1:6" ht="15" thickBot="1">
      <c r="A6" s="404"/>
      <c r="B6" s="405"/>
      <c r="C6" s="405"/>
      <c r="D6" s="405"/>
      <c r="E6" s="406"/>
      <c r="F6" s="34"/>
    </row>
    <row r="7" spans="1:6" ht="18" customHeight="1">
      <c r="A7" s="105"/>
      <c r="B7" s="355" t="s">
        <v>395</v>
      </c>
      <c r="C7" s="407" t="s">
        <v>396</v>
      </c>
      <c r="D7" s="407"/>
      <c r="E7" s="408"/>
      <c r="F7" s="34"/>
    </row>
    <row r="8" spans="1:6" ht="16.899999999999999">
      <c r="A8" s="106" t="s">
        <v>397</v>
      </c>
      <c r="B8" s="355" t="s">
        <v>398</v>
      </c>
      <c r="C8" s="107" t="s">
        <v>365</v>
      </c>
      <c r="D8" s="107" t="s">
        <v>367</v>
      </c>
      <c r="E8" s="108" t="s">
        <v>399</v>
      </c>
      <c r="F8" s="34"/>
    </row>
    <row r="9" spans="1:6" ht="14.45">
      <c r="A9" s="113" t="s">
        <v>78</v>
      </c>
      <c r="B9" s="90" t="s">
        <v>41</v>
      </c>
      <c r="C9" s="90" t="s">
        <v>41</v>
      </c>
      <c r="D9" s="90" t="s">
        <v>41</v>
      </c>
      <c r="E9" s="114" t="s">
        <v>41</v>
      </c>
      <c r="F9" s="34"/>
    </row>
    <row r="10" spans="1:6" ht="14.45">
      <c r="A10" s="113" t="s">
        <v>102</v>
      </c>
      <c r="B10" s="90" t="s">
        <v>41</v>
      </c>
      <c r="C10" s="90" t="s">
        <v>41</v>
      </c>
      <c r="D10" s="90" t="s">
        <v>41</v>
      </c>
      <c r="E10" s="114" t="s">
        <v>41</v>
      </c>
      <c r="F10" s="34"/>
    </row>
    <row r="11" spans="1:6" ht="14.45">
      <c r="A11" s="113" t="s">
        <v>373</v>
      </c>
      <c r="B11" s="90" t="s">
        <v>41</v>
      </c>
      <c r="C11" s="90" t="s">
        <v>41</v>
      </c>
      <c r="D11" s="90" t="s">
        <v>41</v>
      </c>
      <c r="E11" s="114" t="s">
        <v>41</v>
      </c>
      <c r="F11" s="34"/>
    </row>
    <row r="12" spans="1:6" ht="14.45">
      <c r="A12" s="104" t="s">
        <v>400</v>
      </c>
      <c r="B12" s="91" t="s">
        <v>41</v>
      </c>
      <c r="C12" s="92" t="s">
        <v>41</v>
      </c>
      <c r="D12" s="92" t="s">
        <v>41</v>
      </c>
      <c r="E12" s="115" t="s">
        <v>41</v>
      </c>
      <c r="F12" s="34"/>
    </row>
    <row r="13" spans="1:6" ht="15" thickBot="1">
      <c r="A13" s="36"/>
      <c r="B13" s="116"/>
      <c r="C13" s="88"/>
      <c r="D13" s="88"/>
      <c r="E13" s="89"/>
      <c r="F13" s="34"/>
    </row>
    <row r="14" spans="1:6" ht="14.45">
      <c r="A14" s="399" t="s">
        <v>401</v>
      </c>
      <c r="B14" s="400"/>
      <c r="C14" s="400"/>
      <c r="D14" s="400"/>
      <c r="E14" s="401"/>
      <c r="F14" s="34"/>
    </row>
    <row r="15" spans="1:6" ht="17.45">
      <c r="A15" s="117"/>
      <c r="B15" s="354" t="s">
        <v>402</v>
      </c>
      <c r="C15" s="402" t="s">
        <v>396</v>
      </c>
      <c r="D15" s="402"/>
      <c r="E15" s="403"/>
      <c r="F15" s="34"/>
    </row>
    <row r="16" spans="1:6" ht="16.899999999999999">
      <c r="A16" s="113" t="s">
        <v>403</v>
      </c>
      <c r="B16" s="354" t="s">
        <v>398</v>
      </c>
      <c r="C16" s="90" t="s">
        <v>365</v>
      </c>
      <c r="D16" s="90" t="s">
        <v>367</v>
      </c>
      <c r="E16" s="114" t="s">
        <v>399</v>
      </c>
      <c r="F16" s="34"/>
    </row>
    <row r="17" spans="1:6" ht="14.45">
      <c r="A17" s="113" t="s">
        <v>78</v>
      </c>
      <c r="B17" s="90" t="s">
        <v>41</v>
      </c>
      <c r="C17" s="90" t="s">
        <v>41</v>
      </c>
      <c r="D17" s="90" t="s">
        <v>41</v>
      </c>
      <c r="E17" s="114" t="s">
        <v>41</v>
      </c>
      <c r="F17" s="34"/>
    </row>
    <row r="18" spans="1:6" ht="14.45">
      <c r="A18" s="113" t="s">
        <v>102</v>
      </c>
      <c r="B18" s="90" t="s">
        <v>41</v>
      </c>
      <c r="C18" s="90" t="s">
        <v>41</v>
      </c>
      <c r="D18" s="90" t="s">
        <v>41</v>
      </c>
      <c r="E18" s="114" t="s">
        <v>41</v>
      </c>
      <c r="F18" s="34"/>
    </row>
    <row r="19" spans="1:6" ht="14.45">
      <c r="A19" s="113" t="s">
        <v>373</v>
      </c>
      <c r="B19" s="90" t="s">
        <v>41</v>
      </c>
      <c r="C19" s="90" t="s">
        <v>41</v>
      </c>
      <c r="D19" s="90" t="s">
        <v>41</v>
      </c>
      <c r="E19" s="114" t="s">
        <v>41</v>
      </c>
      <c r="F19" s="34"/>
    </row>
    <row r="20" spans="1:6" ht="14.45">
      <c r="A20" s="118" t="s">
        <v>400</v>
      </c>
      <c r="B20" s="91" t="s">
        <v>41</v>
      </c>
      <c r="C20" s="92" t="s">
        <v>41</v>
      </c>
      <c r="D20" s="92" t="s">
        <v>41</v>
      </c>
      <c r="E20" s="115" t="s">
        <v>41</v>
      </c>
      <c r="F20" s="34"/>
    </row>
    <row r="21" spans="1:6" ht="15" thickBot="1">
      <c r="A21" s="119"/>
      <c r="B21" s="94"/>
      <c r="C21" s="88"/>
      <c r="D21" s="88"/>
      <c r="E21" s="89"/>
      <c r="F21" s="34"/>
    </row>
    <row r="22" spans="1:6" ht="14.45">
      <c r="A22" s="399" t="s">
        <v>404</v>
      </c>
      <c r="B22" s="400"/>
      <c r="C22" s="400"/>
      <c r="D22" s="400"/>
      <c r="E22" s="401"/>
      <c r="F22" s="34"/>
    </row>
    <row r="23" spans="1:6" ht="17.25" customHeight="1">
      <c r="A23" s="120"/>
      <c r="B23" s="354" t="s">
        <v>405</v>
      </c>
      <c r="C23" s="402" t="s">
        <v>396</v>
      </c>
      <c r="D23" s="402"/>
      <c r="E23" s="403"/>
      <c r="F23" s="34"/>
    </row>
    <row r="24" spans="1:6" ht="16.899999999999999">
      <c r="A24" s="113" t="s">
        <v>406</v>
      </c>
      <c r="B24" s="354" t="s">
        <v>398</v>
      </c>
      <c r="C24" s="90" t="s">
        <v>365</v>
      </c>
      <c r="D24" s="90" t="s">
        <v>367</v>
      </c>
      <c r="E24" s="114" t="s">
        <v>399</v>
      </c>
      <c r="F24" s="34"/>
    </row>
    <row r="25" spans="1:6" ht="14.45">
      <c r="A25" s="113" t="s">
        <v>78</v>
      </c>
      <c r="B25" s="90" t="s">
        <v>41</v>
      </c>
      <c r="C25" s="90" t="s">
        <v>41</v>
      </c>
      <c r="D25" s="90" t="s">
        <v>41</v>
      </c>
      <c r="E25" s="114" t="s">
        <v>41</v>
      </c>
      <c r="F25" s="34"/>
    </row>
    <row r="26" spans="1:6" ht="14.45">
      <c r="A26" s="113" t="s">
        <v>102</v>
      </c>
      <c r="B26" s="90" t="s">
        <v>41</v>
      </c>
      <c r="C26" s="90" t="s">
        <v>41</v>
      </c>
      <c r="D26" s="90" t="s">
        <v>41</v>
      </c>
      <c r="E26" s="114" t="s">
        <v>41</v>
      </c>
      <c r="F26" s="34"/>
    </row>
    <row r="27" spans="1:6" ht="14.45">
      <c r="A27" s="113" t="s">
        <v>373</v>
      </c>
      <c r="B27" s="90" t="s">
        <v>41</v>
      </c>
      <c r="C27" s="90" t="s">
        <v>41</v>
      </c>
      <c r="D27" s="90" t="s">
        <v>41</v>
      </c>
      <c r="E27" s="114" t="s">
        <v>41</v>
      </c>
      <c r="F27" s="34"/>
    </row>
    <row r="28" spans="1:6" ht="14.45">
      <c r="A28" s="113" t="s">
        <v>400</v>
      </c>
      <c r="B28" s="93" t="s">
        <v>41</v>
      </c>
      <c r="C28" s="93" t="s">
        <v>41</v>
      </c>
      <c r="D28" s="93" t="s">
        <v>41</v>
      </c>
      <c r="E28" s="115" t="s">
        <v>41</v>
      </c>
      <c r="F28" s="34"/>
    </row>
    <row r="29" spans="1:6" ht="15" thickBot="1">
      <c r="A29" s="121"/>
      <c r="B29" s="122"/>
      <c r="C29" s="123"/>
      <c r="D29" s="123"/>
      <c r="E29" s="124"/>
      <c r="F29" s="34"/>
    </row>
    <row r="30" spans="1:6" ht="14.45">
      <c r="A30" s="399" t="s">
        <v>407</v>
      </c>
      <c r="B30" s="400"/>
      <c r="C30" s="400"/>
      <c r="D30" s="400"/>
      <c r="E30" s="401"/>
      <c r="F30" s="34"/>
    </row>
    <row r="31" spans="1:6" ht="16.149999999999999">
      <c r="A31" s="120"/>
      <c r="B31" s="354" t="s">
        <v>405</v>
      </c>
      <c r="C31" s="402" t="s">
        <v>396</v>
      </c>
      <c r="D31" s="402"/>
      <c r="E31" s="403"/>
      <c r="F31" s="34"/>
    </row>
    <row r="32" spans="1:6" ht="16.899999999999999">
      <c r="A32" s="106" t="s">
        <v>408</v>
      </c>
      <c r="B32" s="354" t="s">
        <v>398</v>
      </c>
      <c r="C32" s="90" t="s">
        <v>365</v>
      </c>
      <c r="D32" s="90" t="s">
        <v>367</v>
      </c>
      <c r="E32" s="114" t="s">
        <v>399</v>
      </c>
      <c r="F32" s="34"/>
    </row>
    <row r="33" spans="1:8" ht="14.45">
      <c r="A33" s="113" t="s">
        <v>78</v>
      </c>
      <c r="B33" s="151">
        <v>33862198.530000001</v>
      </c>
      <c r="C33" s="151">
        <v>87.023984346694974</v>
      </c>
      <c r="D33" s="151">
        <v>12.972391580999998</v>
      </c>
      <c r="E33" s="152">
        <v>5.3387653071690009</v>
      </c>
      <c r="F33" s="34"/>
    </row>
    <row r="34" spans="1:8" ht="14.45">
      <c r="A34" s="113" t="s">
        <v>102</v>
      </c>
      <c r="B34" s="90" t="s">
        <v>41</v>
      </c>
      <c r="C34" s="90" t="s">
        <v>41</v>
      </c>
      <c r="D34" s="90" t="s">
        <v>41</v>
      </c>
      <c r="E34" s="114" t="s">
        <v>41</v>
      </c>
      <c r="F34" s="34"/>
    </row>
    <row r="35" spans="1:8" ht="14.45">
      <c r="A35" s="113" t="s">
        <v>373</v>
      </c>
      <c r="B35" s="90" t="s">
        <v>41</v>
      </c>
      <c r="C35" s="90" t="s">
        <v>41</v>
      </c>
      <c r="D35" s="90" t="s">
        <v>41</v>
      </c>
      <c r="E35" s="114" t="s">
        <v>41</v>
      </c>
      <c r="F35" s="34"/>
      <c r="H35" s="37"/>
    </row>
    <row r="36" spans="1:8" ht="15" thickBot="1">
      <c r="A36" s="125" t="s">
        <v>400</v>
      </c>
      <c r="B36" s="109">
        <f>SUM(B33:B35)</f>
        <v>33862198.530000001</v>
      </c>
      <c r="C36" s="110">
        <f>SUM(C33:C35)</f>
        <v>87.023984346694974</v>
      </c>
      <c r="D36" s="110">
        <f>SUM(D33:D35)</f>
        <v>12.972391580999998</v>
      </c>
      <c r="E36" s="111">
        <f>SUM(E33:E35)</f>
        <v>5.3387653071690009</v>
      </c>
      <c r="F36" s="34"/>
    </row>
    <row r="37" spans="1:8" ht="14.45">
      <c r="A37" s="39"/>
      <c r="B37" s="39"/>
      <c r="C37" s="34"/>
      <c r="D37" s="34"/>
      <c r="E37" s="34"/>
      <c r="F37" s="34"/>
    </row>
    <row r="38" spans="1:8" ht="16.149999999999999">
      <c r="A38" s="169" t="s">
        <v>409</v>
      </c>
      <c r="B38" s="169"/>
      <c r="C38" s="38"/>
      <c r="D38" s="38"/>
      <c r="E38" s="38"/>
      <c r="F38" s="34"/>
    </row>
    <row r="39" spans="1:8" ht="14.45">
      <c r="A39" s="169" t="s">
        <v>410</v>
      </c>
      <c r="B39" s="169"/>
      <c r="C39" s="38"/>
      <c r="D39" s="38"/>
      <c r="E39" s="38"/>
      <c r="F39" s="34"/>
    </row>
    <row r="40" spans="1:8" ht="14.45">
      <c r="A40" s="170"/>
      <c r="B40" s="170"/>
      <c r="C40" s="34"/>
      <c r="D40" s="34"/>
      <c r="E40" s="34"/>
      <c r="F40" s="34"/>
    </row>
    <row r="41" spans="1:8" ht="16.149999999999999">
      <c r="A41" s="169" t="s">
        <v>411</v>
      </c>
      <c r="B41" s="170"/>
      <c r="C41" s="34"/>
      <c r="D41" s="34"/>
      <c r="E41" s="34"/>
      <c r="F41" s="34"/>
    </row>
    <row r="42" spans="1:8" ht="14.45">
      <c r="A42" s="169" t="s">
        <v>412</v>
      </c>
      <c r="B42" s="170"/>
      <c r="C42" s="34"/>
      <c r="D42" s="34"/>
      <c r="E42" s="34"/>
      <c r="F42" s="34"/>
    </row>
    <row r="43" spans="1:8">
      <c r="A43" s="112"/>
      <c r="B43" s="112"/>
    </row>
    <row r="44" spans="1:8">
      <c r="A44" s="47" t="s">
        <v>413</v>
      </c>
      <c r="B44" s="47"/>
      <c r="C44" s="47"/>
      <c r="D44" s="47"/>
      <c r="E44" s="47"/>
    </row>
    <row r="45" spans="1:8">
      <c r="A45" s="47" t="s">
        <v>412</v>
      </c>
      <c r="B45" s="47"/>
      <c r="C45" s="47"/>
      <c r="D45" s="47"/>
      <c r="E45" s="47"/>
    </row>
    <row r="46" spans="1:8">
      <c r="A46" s="112" t="s">
        <v>414</v>
      </c>
      <c r="B46" s="112"/>
      <c r="C46" s="130"/>
    </row>
    <row r="47" spans="1:8">
      <c r="A47" s="112" t="s">
        <v>415</v>
      </c>
      <c r="B47" s="112"/>
      <c r="C47" s="130"/>
    </row>
    <row r="48" spans="1:8">
      <c r="A48" s="112"/>
      <c r="B48" s="112"/>
      <c r="C48" s="130"/>
    </row>
    <row r="49" spans="1:3" ht="15.6">
      <c r="A49" s="164" t="s">
        <v>416</v>
      </c>
      <c r="B49" s="112"/>
      <c r="C49" s="130"/>
    </row>
  </sheetData>
  <mergeCells count="8">
    <mergeCell ref="A30:E30"/>
    <mergeCell ref="C31:E31"/>
    <mergeCell ref="C23:E23"/>
    <mergeCell ref="A5:E6"/>
    <mergeCell ref="C7:E7"/>
    <mergeCell ref="A14:E14"/>
    <mergeCell ref="C15:E15"/>
    <mergeCell ref="A22:E22"/>
  </mergeCells>
  <pageMargins left="0.7" right="0.7" top="0.75" bottom="0.75" header="0.3" footer="0.3"/>
  <pageSetup orientation="landscape" r:id="rId1"/>
  <headerFooter>
    <oddHeader>&amp;CPacific Gas and Electric Company EE Programs 2019 Annual Report - May 2020</oddHeader>
    <oddFooter>&amp;C7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0BC27-0084-4AB3-B12E-D0DF0824100A}">
  <sheetPr>
    <pageSetUpPr fitToPage="1"/>
  </sheetPr>
  <dimension ref="A1:S27"/>
  <sheetViews>
    <sheetView zoomScaleNormal="100" workbookViewId="0">
      <selection activeCell="E6" sqref="E6:F7"/>
    </sheetView>
  </sheetViews>
  <sheetFormatPr defaultColWidth="9.140625" defaultRowHeight="14.45"/>
  <cols>
    <col min="1" max="1" width="16.7109375" style="344" customWidth="1"/>
    <col min="2" max="7" width="13.28515625" style="344" customWidth="1"/>
    <col min="8" max="8" width="11.85546875" style="344" bestFit="1" customWidth="1"/>
    <col min="9" max="17" width="9.140625" style="344"/>
    <col min="18" max="19" width="13.28515625" style="344" bestFit="1" customWidth="1"/>
    <col min="20" max="16384" width="9.140625" style="344"/>
  </cols>
  <sheetData>
    <row r="1" spans="1:15" ht="17.45">
      <c r="A1" s="344" t="s">
        <v>417</v>
      </c>
      <c r="C1" s="352"/>
    </row>
    <row r="2" spans="1:15">
      <c r="A2" s="344" t="s">
        <v>418</v>
      </c>
    </row>
    <row r="3" spans="1:15" ht="15">
      <c r="A3" s="351"/>
    </row>
    <row r="4" spans="1:15" s="350" customFormat="1" ht="16.149999999999999">
      <c r="A4" s="350" t="s">
        <v>419</v>
      </c>
      <c r="B4" s="350">
        <v>2013</v>
      </c>
      <c r="C4" s="350" t="s">
        <v>420</v>
      </c>
      <c r="D4" s="350" t="s">
        <v>421</v>
      </c>
      <c r="E4" s="350" t="s">
        <v>422</v>
      </c>
      <c r="F4" s="350" t="s">
        <v>423</v>
      </c>
      <c r="G4" s="350" t="s">
        <v>424</v>
      </c>
      <c r="H4" s="350" t="s">
        <v>425</v>
      </c>
      <c r="I4" s="447">
        <v>2020</v>
      </c>
    </row>
    <row r="5" spans="1:15">
      <c r="A5" s="344" t="s">
        <v>426</v>
      </c>
      <c r="B5" s="349"/>
      <c r="C5" s="349"/>
      <c r="D5" s="348"/>
      <c r="E5" s="349"/>
      <c r="F5" s="348"/>
      <c r="G5" s="348"/>
      <c r="H5" s="348"/>
    </row>
    <row r="6" spans="1:15">
      <c r="A6" s="344" t="s">
        <v>427</v>
      </c>
      <c r="B6" s="348"/>
      <c r="C6" s="348"/>
      <c r="D6" s="348"/>
      <c r="E6" s="348"/>
      <c r="F6" s="349"/>
      <c r="G6" s="349"/>
      <c r="H6" s="349"/>
    </row>
    <row r="7" spans="1:15">
      <c r="B7" s="344" t="s">
        <v>428</v>
      </c>
      <c r="E7" s="348"/>
    </row>
    <row r="9" spans="1:15">
      <c r="A9" s="344" t="s">
        <v>429</v>
      </c>
    </row>
    <row r="10" spans="1:15">
      <c r="A10" s="344" t="s">
        <v>430</v>
      </c>
    </row>
    <row r="13" spans="1:15">
      <c r="A13" s="344" t="s">
        <v>431</v>
      </c>
    </row>
    <row r="14" spans="1:15" ht="16.149999999999999">
      <c r="A14" s="347" t="s">
        <v>432</v>
      </c>
      <c r="B14" s="410" t="s">
        <v>433</v>
      </c>
      <c r="C14" s="410"/>
      <c r="D14" s="410"/>
      <c r="E14" s="410"/>
      <c r="F14" s="410"/>
      <c r="G14" s="410"/>
      <c r="H14" s="410"/>
      <c r="I14" s="410"/>
      <c r="J14" s="410"/>
      <c r="K14" s="410"/>
      <c r="L14" s="410"/>
      <c r="M14" s="410"/>
      <c r="N14" s="410"/>
      <c r="O14" s="410"/>
    </row>
    <row r="15" spans="1:15" ht="34.5" customHeight="1">
      <c r="A15" s="346" t="s">
        <v>434</v>
      </c>
      <c r="B15" s="410" t="s">
        <v>435</v>
      </c>
      <c r="C15" s="410"/>
      <c r="D15" s="410"/>
      <c r="E15" s="410"/>
      <c r="F15" s="410"/>
      <c r="G15" s="410"/>
      <c r="H15" s="410"/>
      <c r="I15" s="410"/>
      <c r="J15" s="410"/>
      <c r="K15" s="410"/>
      <c r="L15" s="410"/>
      <c r="M15" s="410"/>
      <c r="N15" s="410"/>
      <c r="O15" s="410"/>
    </row>
    <row r="16" spans="1:15" ht="35.25" customHeight="1">
      <c r="A16" s="346" t="s">
        <v>436</v>
      </c>
      <c r="B16" s="410" t="s">
        <v>437</v>
      </c>
      <c r="C16" s="410"/>
      <c r="D16" s="410"/>
      <c r="E16" s="410"/>
      <c r="F16" s="410"/>
      <c r="G16" s="410"/>
      <c r="H16" s="410"/>
      <c r="I16" s="410"/>
      <c r="J16" s="410"/>
      <c r="K16" s="410"/>
      <c r="L16" s="410"/>
      <c r="M16" s="410"/>
      <c r="N16" s="410"/>
      <c r="O16" s="410"/>
    </row>
    <row r="17" spans="1:19" ht="35.25" customHeight="1">
      <c r="A17" s="346" t="s">
        <v>438</v>
      </c>
      <c r="B17" s="410" t="s">
        <v>439</v>
      </c>
      <c r="C17" s="410"/>
      <c r="D17" s="410"/>
      <c r="E17" s="410"/>
      <c r="F17" s="410"/>
      <c r="G17" s="410"/>
      <c r="H17" s="410"/>
      <c r="I17" s="410"/>
      <c r="J17" s="410"/>
      <c r="K17" s="410"/>
      <c r="L17" s="410"/>
      <c r="M17" s="410"/>
      <c r="N17" s="410"/>
      <c r="O17" s="410"/>
    </row>
    <row r="18" spans="1:19" ht="34.5" customHeight="1">
      <c r="A18" s="346" t="s">
        <v>440</v>
      </c>
      <c r="B18" s="409" t="s">
        <v>441</v>
      </c>
      <c r="C18" s="410"/>
      <c r="D18" s="410"/>
      <c r="E18" s="410"/>
      <c r="F18" s="410"/>
      <c r="G18" s="410"/>
      <c r="H18" s="410"/>
      <c r="I18" s="410"/>
      <c r="J18" s="410"/>
      <c r="K18" s="410"/>
      <c r="L18" s="410"/>
      <c r="M18" s="410"/>
      <c r="N18" s="410"/>
      <c r="O18" s="410"/>
    </row>
    <row r="19" spans="1:19" ht="33" customHeight="1">
      <c r="A19" s="346" t="s">
        <v>442</v>
      </c>
      <c r="B19" s="409" t="s">
        <v>443</v>
      </c>
      <c r="C19" s="410"/>
      <c r="D19" s="410"/>
      <c r="E19" s="410"/>
      <c r="F19" s="410"/>
      <c r="G19" s="410"/>
      <c r="H19" s="410"/>
      <c r="I19" s="410"/>
      <c r="J19" s="410"/>
      <c r="K19" s="410"/>
      <c r="L19" s="410"/>
      <c r="M19" s="410"/>
      <c r="N19" s="410"/>
      <c r="O19" s="410"/>
    </row>
    <row r="20" spans="1:19" ht="33.75" customHeight="1">
      <c r="A20" s="346" t="s">
        <v>444</v>
      </c>
      <c r="B20" s="409" t="s">
        <v>445</v>
      </c>
      <c r="C20" s="410"/>
      <c r="D20" s="410"/>
      <c r="E20" s="410"/>
      <c r="F20" s="410"/>
      <c r="G20" s="410"/>
      <c r="H20" s="410"/>
      <c r="I20" s="410"/>
      <c r="J20" s="410"/>
      <c r="K20" s="410"/>
      <c r="L20" s="410"/>
      <c r="M20" s="410"/>
      <c r="N20" s="410"/>
      <c r="O20" s="410"/>
    </row>
    <row r="21" spans="1:19" ht="30" customHeight="1">
      <c r="A21" s="346" t="s">
        <v>446</v>
      </c>
      <c r="B21" s="409" t="s">
        <v>447</v>
      </c>
      <c r="C21" s="410"/>
      <c r="D21" s="410"/>
      <c r="E21" s="410"/>
      <c r="F21" s="410"/>
      <c r="G21" s="410"/>
      <c r="H21" s="410"/>
      <c r="I21" s="410"/>
      <c r="J21" s="410"/>
      <c r="K21" s="410"/>
      <c r="L21" s="410"/>
      <c r="M21" s="410"/>
      <c r="N21" s="410"/>
      <c r="O21" s="410"/>
    </row>
    <row r="27" spans="1:19">
      <c r="Q27" s="345"/>
      <c r="R27" s="345"/>
      <c r="S27" s="345"/>
    </row>
  </sheetData>
  <mergeCells count="8">
    <mergeCell ref="B20:O20"/>
    <mergeCell ref="B21:O21"/>
    <mergeCell ref="B14:O14"/>
    <mergeCell ref="B15:O15"/>
    <mergeCell ref="B16:O16"/>
    <mergeCell ref="B17:O17"/>
    <mergeCell ref="B18:O18"/>
    <mergeCell ref="B19:O19"/>
  </mergeCells>
  <pageMargins left="0.7" right="0.7" top="0.75" bottom="0.75" header="0.3" footer="0.3"/>
  <pageSetup scale="81" orientation="landscape" r:id="rId1"/>
  <headerFooter>
    <oddHeader>&amp;CPacific Gas and Electric Company EE Programs 2019 Annual Report - May 2020</oddHeader>
    <oddFooter>&amp;C8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43951-12A5-44B5-A29C-8E2CD6289677}">
  <sheetPr>
    <pageSetUpPr fitToPage="1"/>
  </sheetPr>
  <dimension ref="A1:AB342"/>
  <sheetViews>
    <sheetView zoomScaleNormal="100" zoomScalePageLayoutView="125" workbookViewId="0">
      <pane xSplit="1" ySplit="4" topLeftCell="P7" activePane="bottomRight" state="frozen"/>
      <selection pane="bottomRight" activeCell="R1" sqref="R1:R1048576"/>
      <selection pane="bottomLeft" activeCell="A5" sqref="A5"/>
      <selection pane="topRight" activeCell="B1" sqref="B1"/>
    </sheetView>
  </sheetViews>
  <sheetFormatPr defaultColWidth="51.28515625" defaultRowHeight="14.45"/>
  <cols>
    <col min="1" max="1" width="5.85546875" style="292" customWidth="1"/>
    <col min="2" max="2" width="8.28515625" style="292" customWidth="1"/>
    <col min="3" max="3" width="7.42578125" style="292" customWidth="1"/>
    <col min="4" max="4" width="7.28515625" style="292" customWidth="1"/>
    <col min="5" max="5" width="8.140625" style="292" customWidth="1"/>
    <col min="6" max="6" width="12.5703125" style="293" customWidth="1"/>
    <col min="7" max="7" width="14.85546875" style="293" customWidth="1"/>
    <col min="8" max="8" width="11.5703125" style="293" customWidth="1"/>
    <col min="9" max="9" width="45.7109375" style="294" customWidth="1"/>
    <col min="10" max="10" width="22.140625" style="294" customWidth="1"/>
    <col min="11" max="11" width="12.85546875" style="294" customWidth="1"/>
    <col min="12" max="12" width="8.42578125" style="292" customWidth="1"/>
    <col min="13" max="13" width="30.7109375" style="295" customWidth="1"/>
    <col min="14" max="14" width="18.7109375" style="295" customWidth="1"/>
    <col min="15" max="15" width="16.7109375" style="295" customWidth="1"/>
    <col min="16" max="16" width="27.7109375" style="296" bestFit="1" customWidth="1"/>
    <col min="17" max="17" width="27.7109375" style="296" customWidth="1"/>
    <col min="18" max="18" width="15.28515625" style="295" customWidth="1"/>
    <col min="19" max="19" width="15" style="295" customWidth="1"/>
    <col min="20" max="20" width="15.140625" style="295" customWidth="1"/>
    <col min="21" max="21" width="18" style="295" customWidth="1"/>
    <col min="22" max="22" width="15.85546875" style="295" customWidth="1"/>
    <col min="23" max="25" width="30.7109375" style="295" customWidth="1"/>
    <col min="26" max="26" width="50.7109375" style="294" customWidth="1"/>
    <col min="27" max="28" width="75.7109375" style="294" customWidth="1"/>
    <col min="29" max="16384" width="51.28515625" style="248"/>
  </cols>
  <sheetData>
    <row r="1" spans="1:28" ht="15">
      <c r="A1" s="419" t="s">
        <v>448</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20"/>
    </row>
    <row r="2" spans="1:28" ht="60" customHeight="1">
      <c r="A2" s="421" t="s">
        <v>449</v>
      </c>
      <c r="B2" s="449"/>
      <c r="C2" s="449"/>
      <c r="D2" s="449"/>
      <c r="E2" s="449"/>
      <c r="F2" s="449"/>
      <c r="G2" s="449"/>
      <c r="H2" s="449"/>
      <c r="I2" s="449"/>
      <c r="J2" s="449"/>
      <c r="K2" s="449"/>
      <c r="L2" s="449"/>
      <c r="M2" s="449"/>
      <c r="N2" s="449"/>
      <c r="O2" s="449"/>
      <c r="P2" s="446"/>
      <c r="Q2" s="446"/>
      <c r="R2" s="449"/>
      <c r="S2" s="449"/>
      <c r="T2" s="449"/>
      <c r="U2" s="449"/>
      <c r="V2" s="449"/>
      <c r="W2" s="449"/>
      <c r="X2" s="449"/>
      <c r="Y2" s="449"/>
      <c r="Z2" s="449"/>
      <c r="AA2" s="449"/>
      <c r="AB2" s="422"/>
    </row>
    <row r="3" spans="1:28" s="249" customFormat="1" ht="15" customHeight="1">
      <c r="A3" s="411" t="s">
        <v>450</v>
      </c>
      <c r="B3" s="411" t="s">
        <v>451</v>
      </c>
      <c r="C3" s="411" t="s">
        <v>452</v>
      </c>
      <c r="D3" s="411" t="s">
        <v>453</v>
      </c>
      <c r="E3" s="411" t="s">
        <v>454</v>
      </c>
      <c r="F3" s="411" t="s">
        <v>455</v>
      </c>
      <c r="G3" s="411" t="s">
        <v>456</v>
      </c>
      <c r="H3" s="411" t="s">
        <v>457</v>
      </c>
      <c r="I3" s="411" t="s">
        <v>458</v>
      </c>
      <c r="J3" s="411" t="s">
        <v>459</v>
      </c>
      <c r="K3" s="411" t="s">
        <v>460</v>
      </c>
      <c r="L3" s="423" t="s">
        <v>461</v>
      </c>
      <c r="M3" s="425" t="s">
        <v>462</v>
      </c>
      <c r="N3" s="412" t="s">
        <v>463</v>
      </c>
      <c r="O3" s="412" t="s">
        <v>464</v>
      </c>
      <c r="P3" s="414" t="s">
        <v>465</v>
      </c>
      <c r="Q3" s="414" t="s">
        <v>466</v>
      </c>
      <c r="R3" s="416" t="s">
        <v>467</v>
      </c>
      <c r="S3" s="416"/>
      <c r="T3" s="416"/>
      <c r="U3" s="416" t="s">
        <v>468</v>
      </c>
      <c r="V3" s="416" t="s">
        <v>469</v>
      </c>
      <c r="W3" s="417" t="s">
        <v>470</v>
      </c>
      <c r="X3" s="417" t="s">
        <v>471</v>
      </c>
      <c r="Y3" s="417" t="s">
        <v>472</v>
      </c>
      <c r="Z3" s="411" t="s">
        <v>473</v>
      </c>
      <c r="AA3" s="411" t="s">
        <v>474</v>
      </c>
      <c r="AB3" s="411" t="s">
        <v>475</v>
      </c>
    </row>
    <row r="4" spans="1:28" s="249" customFormat="1" ht="15" customHeight="1">
      <c r="A4" s="411"/>
      <c r="B4" s="411"/>
      <c r="C4" s="411"/>
      <c r="D4" s="411"/>
      <c r="E4" s="411"/>
      <c r="F4" s="411"/>
      <c r="G4" s="411"/>
      <c r="H4" s="411"/>
      <c r="I4" s="411"/>
      <c r="J4" s="411"/>
      <c r="K4" s="411"/>
      <c r="L4" s="424"/>
      <c r="M4" s="425"/>
      <c r="N4" s="413"/>
      <c r="O4" s="413"/>
      <c r="P4" s="415"/>
      <c r="Q4" s="415"/>
      <c r="R4" s="356" t="s">
        <v>476</v>
      </c>
      <c r="S4" s="356" t="s">
        <v>477</v>
      </c>
      <c r="T4" s="356" t="s">
        <v>478</v>
      </c>
      <c r="U4" s="416"/>
      <c r="V4" s="416"/>
      <c r="W4" s="418"/>
      <c r="X4" s="418"/>
      <c r="Y4" s="418"/>
      <c r="Z4" s="411"/>
      <c r="AA4" s="411"/>
      <c r="AB4" s="411"/>
    </row>
    <row r="5" spans="1:28" s="256" customFormat="1" ht="90">
      <c r="A5" s="250">
        <v>0</v>
      </c>
      <c r="B5" s="250" t="s">
        <v>11</v>
      </c>
      <c r="C5" s="250" t="s">
        <v>479</v>
      </c>
      <c r="D5" s="250" t="s">
        <v>480</v>
      </c>
      <c r="E5" s="250" t="s">
        <v>481</v>
      </c>
      <c r="F5" s="251" t="s">
        <v>482</v>
      </c>
      <c r="G5" s="251" t="s">
        <v>483</v>
      </c>
      <c r="H5" s="251" t="s">
        <v>459</v>
      </c>
      <c r="I5" s="252" t="s">
        <v>484</v>
      </c>
      <c r="J5" s="252" t="s">
        <v>485</v>
      </c>
      <c r="K5" s="253" t="s">
        <v>486</v>
      </c>
      <c r="L5" s="250">
        <v>2016</v>
      </c>
      <c r="M5" s="254">
        <v>563033.42208088574</v>
      </c>
      <c r="N5" s="254" t="s">
        <v>41</v>
      </c>
      <c r="O5" s="254" t="s">
        <v>41</v>
      </c>
      <c r="P5" s="254">
        <v>569554.39077273093</v>
      </c>
      <c r="Q5" s="254">
        <v>137821.63941177691</v>
      </c>
      <c r="R5" s="254">
        <v>433280.1906071906</v>
      </c>
      <c r="S5" s="254">
        <v>475652.75179503084</v>
      </c>
      <c r="T5" s="254">
        <v>474409.31351206958</v>
      </c>
      <c r="U5" s="254">
        <v>508241.05650241819</v>
      </c>
      <c r="V5" s="254">
        <v>520441.96976992622</v>
      </c>
      <c r="W5" s="254">
        <v>127572.30170591897</v>
      </c>
      <c r="X5" s="254" t="s">
        <v>41</v>
      </c>
      <c r="Y5" s="254" t="s">
        <v>41</v>
      </c>
      <c r="Z5" s="255" t="s">
        <v>487</v>
      </c>
      <c r="AA5" s="255" t="s">
        <v>488</v>
      </c>
      <c r="AB5" s="255"/>
    </row>
    <row r="6" spans="1:28" s="256" customFormat="1" ht="90">
      <c r="A6" s="250">
        <v>1</v>
      </c>
      <c r="B6" s="250" t="s">
        <v>11</v>
      </c>
      <c r="C6" s="250" t="s">
        <v>489</v>
      </c>
      <c r="D6" s="250" t="s">
        <v>480</v>
      </c>
      <c r="E6" s="250" t="s">
        <v>490</v>
      </c>
      <c r="F6" s="251" t="s">
        <v>491</v>
      </c>
      <c r="G6" s="251" t="s">
        <v>492</v>
      </c>
      <c r="H6" s="251" t="s">
        <v>459</v>
      </c>
      <c r="I6" s="252" t="s">
        <v>493</v>
      </c>
      <c r="J6" s="252" t="s">
        <v>491</v>
      </c>
      <c r="K6" s="253" t="s">
        <v>486</v>
      </c>
      <c r="L6" s="250">
        <v>2016</v>
      </c>
      <c r="M6" s="254">
        <f>292.190341884892*10^3</f>
        <v>292190.34188489203</v>
      </c>
      <c r="N6" s="254" t="s">
        <v>41</v>
      </c>
      <c r="O6" s="254" t="s">
        <v>41</v>
      </c>
      <c r="P6" s="254">
        <v>320131.14805029985</v>
      </c>
      <c r="Q6" s="254">
        <v>358183.70837241592</v>
      </c>
      <c r="R6" s="254">
        <f>224.594606840936*10^3</f>
        <v>224594.606840936</v>
      </c>
      <c r="S6" s="254">
        <f>244.025547389895*10^3</f>
        <v>244025.54738989499</v>
      </c>
      <c r="T6" s="254">
        <f>255.705192015651*10^3</f>
        <v>255705.192015651</v>
      </c>
      <c r="U6" s="254">
        <f>303.778466455655*10^3</f>
        <v>303778.466455655</v>
      </c>
      <c r="V6" s="254">
        <f>320.719674091642*10^3</f>
        <v>320719.67409164197</v>
      </c>
      <c r="W6" s="254">
        <v>270352.12118145858</v>
      </c>
      <c r="X6" s="254" t="s">
        <v>41</v>
      </c>
      <c r="Y6" s="254" t="s">
        <v>41</v>
      </c>
      <c r="Z6" s="255" t="s">
        <v>494</v>
      </c>
      <c r="AA6" s="255" t="s">
        <v>495</v>
      </c>
      <c r="AB6" s="255"/>
    </row>
    <row r="7" spans="1:28" s="256" customFormat="1" ht="90">
      <c r="A7" s="250">
        <v>2</v>
      </c>
      <c r="B7" s="250" t="s">
        <v>11</v>
      </c>
      <c r="C7" s="250" t="s">
        <v>489</v>
      </c>
      <c r="D7" s="250" t="s">
        <v>480</v>
      </c>
      <c r="E7" s="250" t="s">
        <v>490</v>
      </c>
      <c r="F7" s="251" t="s">
        <v>496</v>
      </c>
      <c r="G7" s="251" t="s">
        <v>492</v>
      </c>
      <c r="H7" s="251" t="s">
        <v>459</v>
      </c>
      <c r="I7" s="252" t="s">
        <v>493</v>
      </c>
      <c r="J7" s="252" t="s">
        <v>496</v>
      </c>
      <c r="K7" s="253" t="s">
        <v>486</v>
      </c>
      <c r="L7" s="250">
        <v>2016</v>
      </c>
      <c r="M7" s="254">
        <f>260.502455002306*10^3</f>
        <v>260502.45500230603</v>
      </c>
      <c r="N7" s="254" t="s">
        <v>41</v>
      </c>
      <c r="O7" s="254" t="s">
        <v>41</v>
      </c>
      <c r="P7" s="254">
        <v>292711.72354458197</v>
      </c>
      <c r="Q7" s="254">
        <v>342670.42786386178</v>
      </c>
      <c r="R7" s="254">
        <f>203.693529500951*10^3</f>
        <v>203693.529500951</v>
      </c>
      <c r="S7" s="254">
        <f>221.114521745481*10^3</f>
        <v>221114.521745481</v>
      </c>
      <c r="T7" s="254">
        <f>234.07840183689*10^3</f>
        <v>234078.40183689</v>
      </c>
      <c r="U7" s="254">
        <f>279.688268615871*10^3</f>
        <v>279688.26861587097</v>
      </c>
      <c r="V7" s="254">
        <f>296.883931699598*10^3</f>
        <v>296883.93169959803</v>
      </c>
      <c r="W7" s="254">
        <v>253848.27305762572</v>
      </c>
      <c r="X7" s="254" t="s">
        <v>41</v>
      </c>
      <c r="Y7" s="254" t="s">
        <v>41</v>
      </c>
      <c r="Z7" s="255" t="s">
        <v>494</v>
      </c>
      <c r="AA7" s="255" t="s">
        <v>495</v>
      </c>
      <c r="AB7" s="255"/>
    </row>
    <row r="8" spans="1:28" s="256" customFormat="1" ht="90">
      <c r="A8" s="250">
        <v>3</v>
      </c>
      <c r="B8" s="250" t="s">
        <v>11</v>
      </c>
      <c r="C8" s="250" t="s">
        <v>489</v>
      </c>
      <c r="D8" s="250" t="s">
        <v>480</v>
      </c>
      <c r="E8" s="250" t="s">
        <v>490</v>
      </c>
      <c r="F8" s="251" t="s">
        <v>497</v>
      </c>
      <c r="G8" s="251" t="s">
        <v>492</v>
      </c>
      <c r="H8" s="251" t="s">
        <v>459</v>
      </c>
      <c r="I8" s="252" t="s">
        <v>493</v>
      </c>
      <c r="J8" s="252" t="s">
        <v>497</v>
      </c>
      <c r="K8" s="253" t="s">
        <v>486</v>
      </c>
      <c r="L8" s="250">
        <v>2016</v>
      </c>
      <c r="M8" s="254">
        <f>1406.1091781555*10^6</f>
        <v>1406109178.1555002</v>
      </c>
      <c r="N8" s="254" t="s">
        <v>41</v>
      </c>
      <c r="O8" s="254" t="s">
        <v>41</v>
      </c>
      <c r="P8" s="254">
        <v>1486933632.5589788</v>
      </c>
      <c r="Q8" s="254">
        <v>1369921779.3278871</v>
      </c>
      <c r="R8" s="254">
        <f>1098.82035984959*10^6</f>
        <v>1098820359.8495901</v>
      </c>
      <c r="S8" s="254">
        <f>1204.32433832564*10^6</f>
        <v>1204324338.32564</v>
      </c>
      <c r="T8" s="254">
        <f>1197.45579296099*10^6</f>
        <v>1197455792.96099</v>
      </c>
      <c r="U8" s="254">
        <f>1285.23209279542*10^6</f>
        <v>1285232092.7954199</v>
      </c>
      <c r="V8" s="254">
        <f>1312.08100120599*10^6</f>
        <v>1312081001.2059901</v>
      </c>
      <c r="W8" s="254">
        <v>1322044331.2207849</v>
      </c>
      <c r="X8" s="254" t="s">
        <v>41</v>
      </c>
      <c r="Y8" s="254" t="s">
        <v>41</v>
      </c>
      <c r="Z8" s="255" t="s">
        <v>494</v>
      </c>
      <c r="AA8" s="255" t="s">
        <v>495</v>
      </c>
      <c r="AB8" s="255"/>
    </row>
    <row r="9" spans="1:28" s="256" customFormat="1" ht="90">
      <c r="A9" s="250">
        <v>4</v>
      </c>
      <c r="B9" s="250" t="s">
        <v>11</v>
      </c>
      <c r="C9" s="250" t="s">
        <v>489</v>
      </c>
      <c r="D9" s="250" t="s">
        <v>480</v>
      </c>
      <c r="E9" s="250" t="s">
        <v>490</v>
      </c>
      <c r="F9" s="251" t="s">
        <v>498</v>
      </c>
      <c r="G9" s="251" t="s">
        <v>492</v>
      </c>
      <c r="H9" s="251" t="s">
        <v>459</v>
      </c>
      <c r="I9" s="252" t="s">
        <v>493</v>
      </c>
      <c r="J9" s="252" t="s">
        <v>498</v>
      </c>
      <c r="K9" s="253" t="s">
        <v>486</v>
      </c>
      <c r="L9" s="250">
        <v>2016</v>
      </c>
      <c r="M9" s="254">
        <f>1277.13084154168*10^6</f>
        <v>1277130841.5416799</v>
      </c>
      <c r="N9" s="254" t="s">
        <v>41</v>
      </c>
      <c r="O9" s="254" t="s">
        <v>41</v>
      </c>
      <c r="P9" s="254">
        <v>1343224213.9077668</v>
      </c>
      <c r="Q9" s="254">
        <v>1287987963.4130349</v>
      </c>
      <c r="R9" s="254">
        <f>982.811095668856*10^6</f>
        <v>982811095.66885591</v>
      </c>
      <c r="S9" s="254">
        <f>1078.92493652772*10^6</f>
        <v>1078924936.52772</v>
      </c>
      <c r="T9" s="254">
        <f>1076.10444076593*10^6</f>
        <v>1076104440.7659299</v>
      </c>
      <c r="U9" s="254">
        <f>1152.84511139326*10^6</f>
        <v>1152845111.39326</v>
      </c>
      <c r="V9" s="254">
        <f>1180.52048912007*10^6</f>
        <v>1180520489.12007</v>
      </c>
      <c r="W9" s="254">
        <v>1256467830.6193457</v>
      </c>
      <c r="X9" s="254" t="s">
        <v>41</v>
      </c>
      <c r="Y9" s="254" t="s">
        <v>41</v>
      </c>
      <c r="Z9" s="255" t="s">
        <v>494</v>
      </c>
      <c r="AA9" s="255" t="s">
        <v>495</v>
      </c>
      <c r="AB9" s="255"/>
    </row>
    <row r="10" spans="1:28" s="256" customFormat="1" ht="90">
      <c r="A10" s="250">
        <v>5</v>
      </c>
      <c r="B10" s="250" t="s">
        <v>11</v>
      </c>
      <c r="C10" s="250" t="s">
        <v>489</v>
      </c>
      <c r="D10" s="250" t="s">
        <v>480</v>
      </c>
      <c r="E10" s="250" t="s">
        <v>490</v>
      </c>
      <c r="F10" s="251" t="s">
        <v>499</v>
      </c>
      <c r="G10" s="251" t="s">
        <v>492</v>
      </c>
      <c r="H10" s="251" t="s">
        <v>459</v>
      </c>
      <c r="I10" s="252" t="s">
        <v>493</v>
      </c>
      <c r="J10" s="252" t="s">
        <v>499</v>
      </c>
      <c r="K10" s="253" t="s">
        <v>486</v>
      </c>
      <c r="L10" s="250">
        <v>2016</v>
      </c>
      <c r="M10" s="254">
        <f>23.5933243634647*10^6</f>
        <v>23593324.363464698</v>
      </c>
      <c r="N10" s="254" t="s">
        <v>41</v>
      </c>
      <c r="O10" s="254" t="s">
        <v>41</v>
      </c>
      <c r="P10" s="254">
        <v>33240605.015414249</v>
      </c>
      <c r="Q10" s="254">
        <v>33248177.1237868</v>
      </c>
      <c r="R10" s="254">
        <f>32.7435475044693*10^6</f>
        <v>32743547.504469298</v>
      </c>
      <c r="S10" s="254">
        <f>35.9326463965693*10^6</f>
        <v>35932646.396569297</v>
      </c>
      <c r="T10" s="254">
        <f>37.7255030468139*10^6</f>
        <v>37725503.046813898</v>
      </c>
      <c r="U10" s="254">
        <f>47.6905862741121*10^6</f>
        <v>47690586.274112098</v>
      </c>
      <c r="V10" s="254">
        <f>50.1288819211748*10^6</f>
        <v>50128881.921174802</v>
      </c>
      <c r="W10" s="254">
        <v>32253282.705841247</v>
      </c>
      <c r="X10" s="254" t="s">
        <v>41</v>
      </c>
      <c r="Y10" s="254" t="s">
        <v>41</v>
      </c>
      <c r="Z10" s="255" t="s">
        <v>494</v>
      </c>
      <c r="AA10" s="255" t="s">
        <v>495</v>
      </c>
      <c r="AB10" s="255"/>
    </row>
    <row r="11" spans="1:28" s="256" customFormat="1" ht="90">
      <c r="A11" s="250">
        <v>6</v>
      </c>
      <c r="B11" s="250" t="s">
        <v>11</v>
      </c>
      <c r="C11" s="250" t="s">
        <v>489</v>
      </c>
      <c r="D11" s="250" t="s">
        <v>480</v>
      </c>
      <c r="E11" s="250" t="s">
        <v>490</v>
      </c>
      <c r="F11" s="251" t="s">
        <v>500</v>
      </c>
      <c r="G11" s="251" t="s">
        <v>492</v>
      </c>
      <c r="H11" s="251" t="s">
        <v>459</v>
      </c>
      <c r="I11" s="252" t="s">
        <v>493</v>
      </c>
      <c r="J11" s="252" t="s">
        <v>500</v>
      </c>
      <c r="K11" s="253" t="s">
        <v>486</v>
      </c>
      <c r="L11" s="250">
        <v>2016</v>
      </c>
      <c r="M11" s="254">
        <f>21.221406388845*10^6</f>
        <v>21221406.388845</v>
      </c>
      <c r="N11" s="254" t="s">
        <v>41</v>
      </c>
      <c r="O11" s="254" t="s">
        <v>41</v>
      </c>
      <c r="P11" s="254">
        <v>28046992.129069645</v>
      </c>
      <c r="Q11" s="254">
        <v>29965470.171432424</v>
      </c>
      <c r="R11" s="254">
        <f>30.8992414738063*10^6</f>
        <v>30899241.473806299</v>
      </c>
      <c r="S11" s="254">
        <f>33.5818728480564*10^6</f>
        <v>33581872.848056398</v>
      </c>
      <c r="T11" s="254">
        <f>35.7877810463268*10^6</f>
        <v>35787781.046326801</v>
      </c>
      <c r="U11" s="254">
        <f>41.9792752828291*10^6</f>
        <v>41979275.282829098</v>
      </c>
      <c r="V11" s="254">
        <f>43.920086727405*10^6</f>
        <v>43920086.727404997</v>
      </c>
      <c r="W11" s="254">
        <v>27708206.931745086</v>
      </c>
      <c r="X11" s="254" t="s">
        <v>41</v>
      </c>
      <c r="Y11" s="254" t="s">
        <v>41</v>
      </c>
      <c r="Z11" s="255" t="s">
        <v>494</v>
      </c>
      <c r="AA11" s="255" t="s">
        <v>495</v>
      </c>
      <c r="AB11" s="255"/>
    </row>
    <row r="12" spans="1:28" s="256" customFormat="1" ht="90">
      <c r="A12" s="250">
        <v>7</v>
      </c>
      <c r="B12" s="250" t="s">
        <v>11</v>
      </c>
      <c r="C12" s="250" t="s">
        <v>489</v>
      </c>
      <c r="D12" s="250" t="s">
        <v>480</v>
      </c>
      <c r="E12" s="250" t="s">
        <v>490</v>
      </c>
      <c r="F12" s="251" t="s">
        <v>501</v>
      </c>
      <c r="G12" s="251" t="s">
        <v>492</v>
      </c>
      <c r="H12" s="251" t="s">
        <v>459</v>
      </c>
      <c r="I12" s="252" t="s">
        <v>502</v>
      </c>
      <c r="J12" s="252" t="s">
        <v>501</v>
      </c>
      <c r="K12" s="253" t="s">
        <v>486</v>
      </c>
      <c r="L12" s="250">
        <v>2016</v>
      </c>
      <c r="M12" s="254">
        <f>2914.36144546297*10^3</f>
        <v>2914361.4454629701</v>
      </c>
      <c r="N12" s="254" t="s">
        <v>41</v>
      </c>
      <c r="O12" s="254" t="s">
        <v>41</v>
      </c>
      <c r="P12" s="254">
        <v>4128745.368999606</v>
      </c>
      <c r="Q12" s="254">
        <v>4665514.8324605739</v>
      </c>
      <c r="R12" s="254">
        <f>2240.1488660224*10^3</f>
        <v>2240148.8660224001</v>
      </c>
      <c r="S12" s="254">
        <f>2433.95672298188*10^3</f>
        <v>2433956.72298188</v>
      </c>
      <c r="T12" s="254">
        <f>2550.45169599992*10^3</f>
        <v>2550451.6959999199</v>
      </c>
      <c r="U12" s="254">
        <f>3029.94358023305*10^3</f>
        <v>3029943.58023305</v>
      </c>
      <c r="V12" s="254">
        <f>3198.91837267623*10^3</f>
        <v>3198918.37267623</v>
      </c>
      <c r="W12" s="254">
        <v>3260989.1956318142</v>
      </c>
      <c r="X12" s="254" t="s">
        <v>41</v>
      </c>
      <c r="Y12" s="254" t="s">
        <v>41</v>
      </c>
      <c r="Z12" s="255" t="s">
        <v>503</v>
      </c>
      <c r="AA12" s="255" t="s">
        <v>495</v>
      </c>
      <c r="AB12" s="255"/>
    </row>
    <row r="13" spans="1:28" s="256" customFormat="1" ht="90">
      <c r="A13" s="250">
        <v>8</v>
      </c>
      <c r="B13" s="250" t="s">
        <v>11</v>
      </c>
      <c r="C13" s="250" t="s">
        <v>489</v>
      </c>
      <c r="D13" s="250" t="s">
        <v>480</v>
      </c>
      <c r="E13" s="250" t="s">
        <v>490</v>
      </c>
      <c r="F13" s="251" t="s">
        <v>504</v>
      </c>
      <c r="G13" s="251" t="s">
        <v>492</v>
      </c>
      <c r="H13" s="251" t="s">
        <v>459</v>
      </c>
      <c r="I13" s="252" t="s">
        <v>493</v>
      </c>
      <c r="J13" s="252" t="s">
        <v>504</v>
      </c>
      <c r="K13" s="253" t="s">
        <v>486</v>
      </c>
      <c r="L13" s="250">
        <v>2016</v>
      </c>
      <c r="M13" s="254">
        <f>2630.79990447903*10^3</f>
        <v>2630799.9044790301</v>
      </c>
      <c r="N13" s="254" t="s">
        <v>41</v>
      </c>
      <c r="O13" s="254" t="s">
        <v>41</v>
      </c>
      <c r="P13" s="254">
        <v>3879634.2343650879</v>
      </c>
      <c r="Q13" s="254">
        <v>4546855.5796316629</v>
      </c>
      <c r="R13" s="254">
        <f>1997.20591517484*10^3</f>
        <v>1997205.91517484</v>
      </c>
      <c r="S13" s="254">
        <f>2169.99541331839*10^3</f>
        <v>2169995.41331839</v>
      </c>
      <c r="T13" s="254">
        <f>2273.85656858745*10^3</f>
        <v>2273856.5685874498</v>
      </c>
      <c r="U13" s="254">
        <f>2701.34781347472*10^3</f>
        <v>2701347.8134747203</v>
      </c>
      <c r="V13" s="254">
        <f>2851.99737971636*10^3</f>
        <v>2851997.3797163595</v>
      </c>
      <c r="W13" s="254">
        <v>3092774.6135005411</v>
      </c>
      <c r="X13" s="254" t="s">
        <v>41</v>
      </c>
      <c r="Y13" s="254" t="s">
        <v>41</v>
      </c>
      <c r="Z13" s="255" t="s">
        <v>503</v>
      </c>
      <c r="AA13" s="255" t="s">
        <v>495</v>
      </c>
      <c r="AB13" s="255"/>
    </row>
    <row r="14" spans="1:28" s="256" customFormat="1" ht="90">
      <c r="A14" s="250">
        <v>9</v>
      </c>
      <c r="B14" s="250" t="s">
        <v>11</v>
      </c>
      <c r="C14" s="250" t="s">
        <v>489</v>
      </c>
      <c r="D14" s="250" t="s">
        <v>480</v>
      </c>
      <c r="E14" s="250" t="s">
        <v>490</v>
      </c>
      <c r="F14" s="251" t="s">
        <v>505</v>
      </c>
      <c r="G14" s="251" t="s">
        <v>492</v>
      </c>
      <c r="H14" s="251" t="s">
        <v>459</v>
      </c>
      <c r="I14" s="252" t="s">
        <v>493</v>
      </c>
      <c r="J14" s="252" t="s">
        <v>505</v>
      </c>
      <c r="K14" s="253" t="s">
        <v>486</v>
      </c>
      <c r="L14" s="250">
        <v>2016</v>
      </c>
      <c r="M14" s="254">
        <f>14130.908390816*10^6</f>
        <v>14130908390.816</v>
      </c>
      <c r="N14" s="254" t="s">
        <v>41</v>
      </c>
      <c r="O14" s="254" t="s">
        <v>41</v>
      </c>
      <c r="P14" s="254">
        <v>16136479778.74913</v>
      </c>
      <c r="Q14" s="254">
        <v>16109235038.973198</v>
      </c>
      <c r="R14" s="254">
        <f>11042.7625992503*10^6</f>
        <v>11042762599.250299</v>
      </c>
      <c r="S14" s="254">
        <f>12103.0409032915*10^6</f>
        <v>12103040903.2915</v>
      </c>
      <c r="T14" s="254">
        <f>12034.0144103038*10^6</f>
        <v>12034014410.303801</v>
      </c>
      <c r="U14" s="254">
        <f>12916.1357072234*10^6</f>
        <v>12916135707.2234</v>
      </c>
      <c r="V14" s="254">
        <f>13185.9579024251*10^6</f>
        <v>13185957902.4251</v>
      </c>
      <c r="W14" s="254">
        <v>15424505378.390938</v>
      </c>
      <c r="X14" s="254" t="s">
        <v>41</v>
      </c>
      <c r="Y14" s="254" t="s">
        <v>41</v>
      </c>
      <c r="Z14" s="255" t="s">
        <v>503</v>
      </c>
      <c r="AA14" s="255" t="s">
        <v>495</v>
      </c>
      <c r="AB14" s="255"/>
    </row>
    <row r="15" spans="1:28" s="256" customFormat="1" ht="90">
      <c r="A15" s="250">
        <v>10</v>
      </c>
      <c r="B15" s="250" t="s">
        <v>11</v>
      </c>
      <c r="C15" s="250" t="s">
        <v>489</v>
      </c>
      <c r="D15" s="250" t="s">
        <v>480</v>
      </c>
      <c r="E15" s="250" t="s">
        <v>490</v>
      </c>
      <c r="F15" s="251" t="s">
        <v>506</v>
      </c>
      <c r="G15" s="251" t="s">
        <v>492</v>
      </c>
      <c r="H15" s="251" t="s">
        <v>459</v>
      </c>
      <c r="I15" s="252" t="s">
        <v>493</v>
      </c>
      <c r="J15" s="252" t="s">
        <v>506</v>
      </c>
      <c r="K15" s="253" t="s">
        <v>486</v>
      </c>
      <c r="L15" s="250">
        <v>2016</v>
      </c>
      <c r="M15" s="254">
        <f>12720.2044389454*10^6</f>
        <v>12720204438.9454</v>
      </c>
      <c r="N15" s="254" t="s">
        <v>41</v>
      </c>
      <c r="O15" s="254" t="s">
        <v>41</v>
      </c>
      <c r="P15" s="254">
        <v>14579938771.065662</v>
      </c>
      <c r="Q15" s="254">
        <v>15268203695.721153</v>
      </c>
      <c r="R15" s="254">
        <f>10029.8418575331*10^6</f>
        <v>10029841857.5331</v>
      </c>
      <c r="S15" s="254">
        <f>10992.8638929094*10^6</f>
        <v>10992863892.909399</v>
      </c>
      <c r="T15" s="254">
        <f>10930.1690008998*10^6</f>
        <v>10930169000.899799</v>
      </c>
      <c r="U15" s="254">
        <f>11731.3758572228*10^6</f>
        <v>11731375857.222799</v>
      </c>
      <c r="V15" s="254">
        <f>11976.4480412168*10^6</f>
        <v>11976448041.216799</v>
      </c>
      <c r="W15" s="254">
        <v>14718206559.242004</v>
      </c>
      <c r="X15" s="254" t="s">
        <v>41</v>
      </c>
      <c r="Y15" s="254" t="s">
        <v>41</v>
      </c>
      <c r="Z15" s="255" t="s">
        <v>503</v>
      </c>
      <c r="AA15" s="255" t="s">
        <v>495</v>
      </c>
      <c r="AB15" s="255"/>
    </row>
    <row r="16" spans="1:28" s="256" customFormat="1" ht="90">
      <c r="A16" s="250">
        <v>11</v>
      </c>
      <c r="B16" s="250" t="s">
        <v>11</v>
      </c>
      <c r="C16" s="250" t="s">
        <v>489</v>
      </c>
      <c r="D16" s="250" t="s">
        <v>480</v>
      </c>
      <c r="E16" s="250" t="s">
        <v>490</v>
      </c>
      <c r="F16" s="251" t="s">
        <v>507</v>
      </c>
      <c r="G16" s="251" t="s">
        <v>492</v>
      </c>
      <c r="H16" s="251" t="s">
        <v>459</v>
      </c>
      <c r="I16" s="252" t="s">
        <v>493</v>
      </c>
      <c r="J16" s="252" t="s">
        <v>507</v>
      </c>
      <c r="K16" s="253" t="s">
        <v>486</v>
      </c>
      <c r="L16" s="250">
        <v>2016</v>
      </c>
      <c r="M16" s="254">
        <f>275.401152894767*10^6</f>
        <v>275401152.89476699</v>
      </c>
      <c r="N16" s="254" t="s">
        <v>41</v>
      </c>
      <c r="O16" s="254" t="s">
        <v>41</v>
      </c>
      <c r="P16" s="254">
        <v>406818446.01677322</v>
      </c>
      <c r="Q16" s="254">
        <v>362416433.08853626</v>
      </c>
      <c r="R16" s="254">
        <f>382.210263957528*10^6</f>
        <v>382210263.957528</v>
      </c>
      <c r="S16" s="254">
        <f>419.436112169907*10^6</f>
        <v>419436112.16990703</v>
      </c>
      <c r="T16" s="254">
        <f>440.36384498305*10^6</f>
        <v>440363844.98304999</v>
      </c>
      <c r="U16" s="254">
        <f>556.684689269837*10^6</f>
        <v>556684689.26983702</v>
      </c>
      <c r="V16" s="254">
        <f>585.146529659707*10^6</f>
        <v>585146529.65970695</v>
      </c>
      <c r="W16" s="254">
        <v>324309824.40762216</v>
      </c>
      <c r="X16" s="254" t="s">
        <v>41</v>
      </c>
      <c r="Y16" s="254" t="s">
        <v>41</v>
      </c>
      <c r="Z16" s="255" t="s">
        <v>503</v>
      </c>
      <c r="AA16" s="255" t="s">
        <v>495</v>
      </c>
      <c r="AB16" s="255"/>
    </row>
    <row r="17" spans="1:28" s="256" customFormat="1" ht="90">
      <c r="A17" s="250">
        <v>12</v>
      </c>
      <c r="B17" s="250" t="s">
        <v>11</v>
      </c>
      <c r="C17" s="250" t="s">
        <v>489</v>
      </c>
      <c r="D17" s="250" t="s">
        <v>480</v>
      </c>
      <c r="E17" s="250" t="s">
        <v>490</v>
      </c>
      <c r="F17" s="251" t="s">
        <v>508</v>
      </c>
      <c r="G17" s="251" t="s">
        <v>492</v>
      </c>
      <c r="H17" s="251" t="s">
        <v>459</v>
      </c>
      <c r="I17" s="252" t="s">
        <v>493</v>
      </c>
      <c r="J17" s="252" t="s">
        <v>508</v>
      </c>
      <c r="K17" s="253" t="s">
        <v>486</v>
      </c>
      <c r="L17" s="250">
        <v>2016</v>
      </c>
      <c r="M17" s="254">
        <f>243.906851088203*10^6</f>
        <v>243906851.08820301</v>
      </c>
      <c r="N17" s="254" t="s">
        <v>41</v>
      </c>
      <c r="O17" s="254" t="s">
        <v>41</v>
      </c>
      <c r="P17" s="254">
        <v>342579552.26299834</v>
      </c>
      <c r="Q17" s="254">
        <v>321002503.55259776</v>
      </c>
      <c r="R17" s="254">
        <f>343.785352690303*10^6</f>
        <v>343785352.69030303</v>
      </c>
      <c r="S17" s="254">
        <f>377.268758458575*10^6</f>
        <v>377268758.45857501</v>
      </c>
      <c r="T17" s="254">
        <f>396.09255437572*10^6</f>
        <v>396092554.37572002</v>
      </c>
      <c r="U17" s="254">
        <f>500.719264460122*10^6</f>
        <v>500719264.46012205</v>
      </c>
      <c r="V17" s="254">
        <f>526.319738229015*10^6</f>
        <v>526319738.22901499</v>
      </c>
      <c r="W17" s="254">
        <v>274481549.47283214</v>
      </c>
      <c r="X17" s="254" t="s">
        <v>41</v>
      </c>
      <c r="Y17" s="254" t="s">
        <v>41</v>
      </c>
      <c r="Z17" s="255" t="s">
        <v>503</v>
      </c>
      <c r="AA17" s="255" t="s">
        <v>495</v>
      </c>
      <c r="AB17" s="255"/>
    </row>
    <row r="18" spans="1:28" s="256" customFormat="1" ht="38.25">
      <c r="A18" s="250">
        <v>13</v>
      </c>
      <c r="B18" s="250" t="s">
        <v>11</v>
      </c>
      <c r="C18" s="250" t="s">
        <v>489</v>
      </c>
      <c r="D18" s="250" t="s">
        <v>509</v>
      </c>
      <c r="E18" s="250" t="s">
        <v>510</v>
      </c>
      <c r="F18" s="251" t="s">
        <v>491</v>
      </c>
      <c r="G18" s="251" t="s">
        <v>511</v>
      </c>
      <c r="H18" s="251" t="s">
        <v>459</v>
      </c>
      <c r="I18" s="252" t="s">
        <v>512</v>
      </c>
      <c r="J18" s="252" t="s">
        <v>513</v>
      </c>
      <c r="K18" s="253" t="s">
        <v>486</v>
      </c>
      <c r="L18" s="250">
        <v>2016</v>
      </c>
      <c r="M18" s="254">
        <f>28.388466587282*10^3</f>
        <v>28388.466587282001</v>
      </c>
      <c r="N18" s="257" t="s">
        <v>41</v>
      </c>
      <c r="O18" s="257" t="s">
        <v>41</v>
      </c>
      <c r="P18" s="254">
        <v>21120</v>
      </c>
      <c r="Q18" s="254">
        <v>14756.92</v>
      </c>
      <c r="R18" s="254">
        <f>21.8210377894674*10^3</f>
        <v>21821.037789467402</v>
      </c>
      <c r="S18" s="254">
        <f>23.7088982949693*10^3</f>
        <v>23708.898294969298</v>
      </c>
      <c r="T18" s="254">
        <f>24.8436627059718*10^3</f>
        <v>24843.662705971798</v>
      </c>
      <c r="U18" s="254">
        <f>29.5143391437266*10^3</f>
        <v>29514.3391437266</v>
      </c>
      <c r="V18" s="254">
        <f>31.1603035647953*10^3</f>
        <v>31160.3035647953</v>
      </c>
      <c r="W18" s="254">
        <v>15312</v>
      </c>
      <c r="X18" s="254" t="s">
        <v>41</v>
      </c>
      <c r="Y18" s="254" t="s">
        <v>41</v>
      </c>
      <c r="Z18" s="255" t="s">
        <v>514</v>
      </c>
      <c r="AA18" s="255" t="s">
        <v>515</v>
      </c>
      <c r="AB18" s="255"/>
    </row>
    <row r="19" spans="1:28" s="256" customFormat="1" ht="38.25">
      <c r="A19" s="250">
        <v>14</v>
      </c>
      <c r="B19" s="250" t="s">
        <v>11</v>
      </c>
      <c r="C19" s="250" t="s">
        <v>489</v>
      </c>
      <c r="D19" s="250" t="s">
        <v>509</v>
      </c>
      <c r="E19" s="250" t="s">
        <v>510</v>
      </c>
      <c r="F19" s="251" t="s">
        <v>496</v>
      </c>
      <c r="G19" s="251" t="s">
        <v>511</v>
      </c>
      <c r="H19" s="251" t="s">
        <v>459</v>
      </c>
      <c r="I19" s="252" t="s">
        <v>512</v>
      </c>
      <c r="J19" s="252" t="s">
        <v>516</v>
      </c>
      <c r="K19" s="253" t="s">
        <v>486</v>
      </c>
      <c r="L19" s="250">
        <v>2016</v>
      </c>
      <c r="M19" s="254">
        <f>19.5087920307272*10^3</f>
        <v>19508.7920307272</v>
      </c>
      <c r="N19" s="257" t="s">
        <v>41</v>
      </c>
      <c r="O19" s="257" t="s">
        <v>41</v>
      </c>
      <c r="P19" s="254">
        <v>13440</v>
      </c>
      <c r="Q19" s="254">
        <v>10430.58</v>
      </c>
      <c r="R19" s="254">
        <f>15.2544232452768*10^3</f>
        <v>15254.423245276801</v>
      </c>
      <c r="S19" s="254">
        <f>16.5590655169377*10^3</f>
        <v>16559.065516937699</v>
      </c>
      <c r="T19" s="254">
        <f>17.5299187114396*10^3</f>
        <v>17529.918711439601</v>
      </c>
      <c r="U19" s="254">
        <f>20.9456001703051*10^3</f>
        <v>20945.600170305097</v>
      </c>
      <c r="V19" s="254">
        <f>22.2333677459616*10^3</f>
        <v>22233.367745961601</v>
      </c>
      <c r="W19" s="254">
        <v>10030</v>
      </c>
      <c r="X19" s="254" t="s">
        <v>41</v>
      </c>
      <c r="Y19" s="254" t="s">
        <v>41</v>
      </c>
      <c r="Z19" s="255" t="s">
        <v>514</v>
      </c>
      <c r="AA19" s="255" t="s">
        <v>515</v>
      </c>
      <c r="AB19" s="255"/>
    </row>
    <row r="20" spans="1:28" s="256" customFormat="1" ht="38.25">
      <c r="A20" s="250">
        <v>15</v>
      </c>
      <c r="B20" s="250" t="s">
        <v>11</v>
      </c>
      <c r="C20" s="250" t="s">
        <v>489</v>
      </c>
      <c r="D20" s="250" t="s">
        <v>509</v>
      </c>
      <c r="E20" s="250" t="s">
        <v>510</v>
      </c>
      <c r="F20" s="251" t="s">
        <v>497</v>
      </c>
      <c r="G20" s="251" t="s">
        <v>511</v>
      </c>
      <c r="H20" s="251" t="s">
        <v>459</v>
      </c>
      <c r="I20" s="252" t="s">
        <v>512</v>
      </c>
      <c r="J20" s="252" t="s">
        <v>517</v>
      </c>
      <c r="K20" s="253" t="s">
        <v>486</v>
      </c>
      <c r="L20" s="250">
        <v>2016</v>
      </c>
      <c r="M20" s="254">
        <f>104.888728350196*10^6</f>
        <v>104888728.350196</v>
      </c>
      <c r="N20" s="257" t="s">
        <v>41</v>
      </c>
      <c r="O20" s="257" t="s">
        <v>41</v>
      </c>
      <c r="P20" s="254">
        <v>93840000</v>
      </c>
      <c r="Q20" s="254">
        <v>78056147.950000003</v>
      </c>
      <c r="R20" s="254">
        <f>81.9665158441792*10^6</f>
        <v>81966515.844179198</v>
      </c>
      <c r="S20" s="254">
        <f>89.8365861844888*10^6</f>
        <v>89836586.184488788</v>
      </c>
      <c r="T20" s="254">
        <f>89.3242269736213*10^6</f>
        <v>89324226.973621294</v>
      </c>
      <c r="U20" s="254">
        <f>95.8719009465599*10^6</f>
        <v>95871900.946559906</v>
      </c>
      <c r="V20" s="254">
        <f>97.8746955406967*10^6</f>
        <v>97874695.54069671</v>
      </c>
      <c r="W20" s="254">
        <v>69622484</v>
      </c>
      <c r="X20" s="254" t="s">
        <v>41</v>
      </c>
      <c r="Y20" s="254" t="s">
        <v>41</v>
      </c>
      <c r="Z20" s="255" t="s">
        <v>514</v>
      </c>
      <c r="AA20" s="255" t="s">
        <v>515</v>
      </c>
      <c r="AB20" s="255"/>
    </row>
    <row r="21" spans="1:28" s="256" customFormat="1" ht="38.25">
      <c r="A21" s="250">
        <v>16</v>
      </c>
      <c r="B21" s="250" t="s">
        <v>11</v>
      </c>
      <c r="C21" s="250" t="s">
        <v>489</v>
      </c>
      <c r="D21" s="250" t="s">
        <v>509</v>
      </c>
      <c r="E21" s="250" t="s">
        <v>510</v>
      </c>
      <c r="F21" s="251" t="s">
        <v>498</v>
      </c>
      <c r="G21" s="251" t="s">
        <v>511</v>
      </c>
      <c r="H21" s="251" t="s">
        <v>459</v>
      </c>
      <c r="I21" s="252" t="s">
        <v>512</v>
      </c>
      <c r="J21" s="252" t="s">
        <v>518</v>
      </c>
      <c r="K21" s="253" t="s">
        <v>486</v>
      </c>
      <c r="L21" s="250">
        <v>2016</v>
      </c>
      <c r="M21" s="254">
        <f>72.2434929599991*10^6</f>
        <v>72243492.959999099</v>
      </c>
      <c r="N21" s="257" t="s">
        <v>41</v>
      </c>
      <c r="O21" s="257" t="s">
        <v>41</v>
      </c>
      <c r="P21" s="254">
        <v>58850000</v>
      </c>
      <c r="Q21" s="254">
        <v>58813141.829999998</v>
      </c>
      <c r="R21" s="254">
        <f>55.5947003716963*10^6</f>
        <v>55594700.371696301</v>
      </c>
      <c r="S21" s="254">
        <f>61.0315744644586*10^6</f>
        <v>61031574.4644586</v>
      </c>
      <c r="T21" s="254">
        <f>60.872027408603*10^6</f>
        <v>60872027.408603005</v>
      </c>
      <c r="U21" s="254">
        <f>65.2130188856536*10^6</f>
        <v>65213018.8856536</v>
      </c>
      <c r="V21" s="254">
        <f>66.778532684975*10^6</f>
        <v>66778532.684975006</v>
      </c>
      <c r="W21" s="254">
        <v>49326216</v>
      </c>
      <c r="X21" s="254" t="s">
        <v>41</v>
      </c>
      <c r="Y21" s="254" t="s">
        <v>41</v>
      </c>
      <c r="Z21" s="255" t="s">
        <v>514</v>
      </c>
      <c r="AA21" s="255" t="s">
        <v>515</v>
      </c>
      <c r="AB21" s="255"/>
    </row>
    <row r="22" spans="1:28" s="256" customFormat="1" ht="38.25">
      <c r="A22" s="250">
        <v>17</v>
      </c>
      <c r="B22" s="250" t="s">
        <v>11</v>
      </c>
      <c r="C22" s="250" t="s">
        <v>489</v>
      </c>
      <c r="D22" s="250" t="s">
        <v>509</v>
      </c>
      <c r="E22" s="250" t="s">
        <v>510</v>
      </c>
      <c r="F22" s="251" t="s">
        <v>499</v>
      </c>
      <c r="G22" s="251" t="s">
        <v>511</v>
      </c>
      <c r="H22" s="251" t="s">
        <v>459</v>
      </c>
      <c r="I22" s="252" t="s">
        <v>512</v>
      </c>
      <c r="J22" s="252" t="s">
        <v>519</v>
      </c>
      <c r="K22" s="253" t="s">
        <v>486</v>
      </c>
      <c r="L22" s="250">
        <v>2016</v>
      </c>
      <c r="M22" s="254">
        <f>1.1900837818107*10^6</f>
        <v>1190083.7818107</v>
      </c>
      <c r="N22" s="257" t="s">
        <v>41</v>
      </c>
      <c r="O22" s="257" t="s">
        <v>41</v>
      </c>
      <c r="P22" s="254">
        <v>2040000</v>
      </c>
      <c r="Q22" s="254">
        <v>3914307.79</v>
      </c>
      <c r="R22" s="254">
        <f>1.65163519323119*10^6</f>
        <v>1651635.1932311899</v>
      </c>
      <c r="S22" s="254">
        <f>1.81249827516109*10^6</f>
        <v>1812498.2751610901</v>
      </c>
      <c r="T22" s="254">
        <f>1.90293273830404*10^6</f>
        <v>1902932.7383040399</v>
      </c>
      <c r="U22" s="254">
        <f>2.40558695313636*10^6</f>
        <v>2405586.9531363603</v>
      </c>
      <c r="V22" s="254">
        <f>2.52857835782888*10^6</f>
        <v>2528578.3578288797</v>
      </c>
      <c r="W22" s="254">
        <v>5600820</v>
      </c>
      <c r="X22" s="254" t="s">
        <v>41</v>
      </c>
      <c r="Y22" s="254" t="s">
        <v>41</v>
      </c>
      <c r="Z22" s="255" t="s">
        <v>514</v>
      </c>
      <c r="AA22" s="255" t="s">
        <v>515</v>
      </c>
      <c r="AB22" s="255"/>
    </row>
    <row r="23" spans="1:28" s="256" customFormat="1" ht="38.25">
      <c r="A23" s="250">
        <v>18</v>
      </c>
      <c r="B23" s="250" t="s">
        <v>11</v>
      </c>
      <c r="C23" s="250" t="s">
        <v>489</v>
      </c>
      <c r="D23" s="250" t="s">
        <v>509</v>
      </c>
      <c r="E23" s="250" t="s">
        <v>510</v>
      </c>
      <c r="F23" s="251" t="s">
        <v>500</v>
      </c>
      <c r="G23" s="251" t="s">
        <v>511</v>
      </c>
      <c r="H23" s="251" t="s">
        <v>459</v>
      </c>
      <c r="I23" s="252" t="s">
        <v>512</v>
      </c>
      <c r="J23" s="252" t="s">
        <v>520</v>
      </c>
      <c r="K23" s="253" t="s">
        <v>486</v>
      </c>
      <c r="L23" s="250">
        <v>2016</v>
      </c>
      <c r="M23" s="254">
        <f>0.833221960743845*10^6</f>
        <v>833221.96074384497</v>
      </c>
      <c r="N23" s="257" t="s">
        <v>41</v>
      </c>
      <c r="O23" s="257" t="s">
        <v>41</v>
      </c>
      <c r="P23" s="254">
        <v>1180000</v>
      </c>
      <c r="Q23" s="254">
        <v>2621066.38</v>
      </c>
      <c r="R23" s="254">
        <f>1.21320548198143*10^6</f>
        <v>1213205.48198143</v>
      </c>
      <c r="S23" s="254">
        <f>1.31853438114339*10^6</f>
        <v>1318534.38114339</v>
      </c>
      <c r="T23" s="254">
        <f>1.40514556611885*10^6</f>
        <v>1405145.5661188501</v>
      </c>
      <c r="U23" s="254">
        <f>1.64824392035349*10^6</f>
        <v>1648243.9203534899</v>
      </c>
      <c r="V23" s="254">
        <f>1.72444653801476*10^6</f>
        <v>1724446.53801476</v>
      </c>
      <c r="W23" s="254">
        <v>3312030</v>
      </c>
      <c r="X23" s="254" t="s">
        <v>41</v>
      </c>
      <c r="Y23" s="254" t="s">
        <v>41</v>
      </c>
      <c r="Z23" s="255" t="s">
        <v>514</v>
      </c>
      <c r="AA23" s="255" t="s">
        <v>515</v>
      </c>
      <c r="AB23" s="255"/>
    </row>
    <row r="24" spans="1:28" s="256" customFormat="1" ht="38.25">
      <c r="A24" s="250">
        <v>19</v>
      </c>
      <c r="B24" s="250" t="s">
        <v>11</v>
      </c>
      <c r="C24" s="250" t="s">
        <v>489</v>
      </c>
      <c r="D24" s="250" t="s">
        <v>509</v>
      </c>
      <c r="E24" s="250" t="s">
        <v>510</v>
      </c>
      <c r="F24" s="251" t="s">
        <v>501</v>
      </c>
      <c r="G24" s="251" t="s">
        <v>511</v>
      </c>
      <c r="H24" s="251" t="s">
        <v>459</v>
      </c>
      <c r="I24" s="252" t="s">
        <v>512</v>
      </c>
      <c r="J24" s="252" t="s">
        <v>521</v>
      </c>
      <c r="K24" s="253" t="s">
        <v>486</v>
      </c>
      <c r="L24" s="250">
        <v>2016</v>
      </c>
      <c r="M24" s="254">
        <f>240.674238080086*10^3</f>
        <v>240674.23808008601</v>
      </c>
      <c r="N24" s="257" t="s">
        <v>41</v>
      </c>
      <c r="O24" s="257" t="s">
        <v>41</v>
      </c>
      <c r="P24" s="254">
        <v>205010</v>
      </c>
      <c r="Q24" s="254">
        <v>778291285.86000001</v>
      </c>
      <c r="R24" s="254">
        <f>184.996312778994*10^3</f>
        <v>184996.312778994</v>
      </c>
      <c r="S24" s="254">
        <f>201.001382562041*10^3</f>
        <v>201001.38256204099</v>
      </c>
      <c r="T24" s="254">
        <f>210.621788059419*10^3</f>
        <v>210621.78805941899</v>
      </c>
      <c r="U24" s="254">
        <f>250.21925943108*10^3</f>
        <v>250219.25943107999</v>
      </c>
      <c r="V24" s="254">
        <f>264.173561320887*10^3</f>
        <v>264173.56132088701</v>
      </c>
      <c r="W24" s="254">
        <v>123839</v>
      </c>
      <c r="X24" s="254" t="s">
        <v>41</v>
      </c>
      <c r="Y24" s="254" t="s">
        <v>41</v>
      </c>
      <c r="Z24" s="255" t="s">
        <v>514</v>
      </c>
      <c r="AA24" s="255" t="s">
        <v>515</v>
      </c>
      <c r="AB24" s="255" t="s">
        <v>522</v>
      </c>
    </row>
    <row r="25" spans="1:28" s="256" customFormat="1" ht="38.25">
      <c r="A25" s="250">
        <v>20</v>
      </c>
      <c r="B25" s="250" t="s">
        <v>11</v>
      </c>
      <c r="C25" s="250" t="s">
        <v>489</v>
      </c>
      <c r="D25" s="250" t="s">
        <v>509</v>
      </c>
      <c r="E25" s="250" t="s">
        <v>510</v>
      </c>
      <c r="F25" s="251" t="s">
        <v>504</v>
      </c>
      <c r="G25" s="251" t="s">
        <v>511</v>
      </c>
      <c r="H25" s="251" t="s">
        <v>459</v>
      </c>
      <c r="I25" s="252" t="s">
        <v>512</v>
      </c>
      <c r="J25" s="252" t="s">
        <v>523</v>
      </c>
      <c r="K25" s="253" t="s">
        <v>486</v>
      </c>
      <c r="L25" s="250">
        <v>2016</v>
      </c>
      <c r="M25" s="254">
        <f>164.623651487906*10^3</f>
        <v>164623.651487906</v>
      </c>
      <c r="N25" s="257" t="s">
        <v>41</v>
      </c>
      <c r="O25" s="257" t="s">
        <v>41</v>
      </c>
      <c r="P25" s="254">
        <v>132130</v>
      </c>
      <c r="Q25" s="254">
        <v>616661199.72000003</v>
      </c>
      <c r="R25" s="254">
        <f>124.97618308772*10^3</f>
        <v>124976.18308772</v>
      </c>
      <c r="S25" s="254">
        <f>135.788574434825*10^3</f>
        <v>135788.57443482499</v>
      </c>
      <c r="T25" s="254">
        <f>142.287739422263*10^3</f>
        <v>142287.739422263</v>
      </c>
      <c r="U25" s="254">
        <f>169.03822302713*10^3</f>
        <v>169038.22302712998</v>
      </c>
      <c r="V25" s="254">
        <f>178.465196795658*10^3</f>
        <v>178465.19679565798</v>
      </c>
      <c r="W25" s="254">
        <v>82357</v>
      </c>
      <c r="X25" s="254" t="s">
        <v>41</v>
      </c>
      <c r="Y25" s="254" t="s">
        <v>41</v>
      </c>
      <c r="Z25" s="255" t="s">
        <v>514</v>
      </c>
      <c r="AA25" s="255" t="s">
        <v>515</v>
      </c>
      <c r="AB25" s="255" t="s">
        <v>524</v>
      </c>
    </row>
    <row r="26" spans="1:28" s="256" customFormat="1" ht="38.25">
      <c r="A26" s="250">
        <v>21</v>
      </c>
      <c r="B26" s="250" t="s">
        <v>11</v>
      </c>
      <c r="C26" s="250" t="s">
        <v>489</v>
      </c>
      <c r="D26" s="250" t="s">
        <v>509</v>
      </c>
      <c r="E26" s="250" t="s">
        <v>510</v>
      </c>
      <c r="F26" s="251" t="s">
        <v>505</v>
      </c>
      <c r="G26" s="251" t="s">
        <v>511</v>
      </c>
      <c r="H26" s="251" t="s">
        <v>459</v>
      </c>
      <c r="I26" s="252" t="s">
        <v>512</v>
      </c>
      <c r="J26" s="252" t="s">
        <v>525</v>
      </c>
      <c r="K26" s="253" t="s">
        <v>486</v>
      </c>
      <c r="L26" s="250">
        <v>2016</v>
      </c>
      <c r="M26" s="254">
        <f>970.453492337495*10^6</f>
        <v>970453492.33749509</v>
      </c>
      <c r="N26" s="257" t="s">
        <v>41</v>
      </c>
      <c r="O26" s="257" t="s">
        <v>41</v>
      </c>
      <c r="P26" s="254">
        <v>1044750000</v>
      </c>
      <c r="Q26" s="254">
        <v>140213.26999999999</v>
      </c>
      <c r="R26" s="254">
        <f>758.372160735341*10^6</f>
        <v>758372160.73534107</v>
      </c>
      <c r="S26" s="254">
        <f>831.187775595266*10^6</f>
        <v>831187775.59526598</v>
      </c>
      <c r="T26" s="254">
        <f>826.447315935411*10^6</f>
        <v>826447315.93541098</v>
      </c>
      <c r="U26" s="254">
        <f>887.027829911235*10^6</f>
        <v>887027829.91123497</v>
      </c>
      <c r="V26" s="254">
        <f>905.558124242057*10^6</f>
        <v>905558124.24205709</v>
      </c>
      <c r="W26" s="254">
        <v>693583096</v>
      </c>
      <c r="X26" s="254" t="s">
        <v>41</v>
      </c>
      <c r="Y26" s="254" t="s">
        <v>41</v>
      </c>
      <c r="Z26" s="255" t="s">
        <v>514</v>
      </c>
      <c r="AA26" s="255" t="s">
        <v>515</v>
      </c>
      <c r="AB26" s="255" t="s">
        <v>526</v>
      </c>
    </row>
    <row r="27" spans="1:28" s="256" customFormat="1" ht="38.25">
      <c r="A27" s="250">
        <v>22</v>
      </c>
      <c r="B27" s="250" t="s">
        <v>11</v>
      </c>
      <c r="C27" s="250" t="s">
        <v>489</v>
      </c>
      <c r="D27" s="250" t="s">
        <v>509</v>
      </c>
      <c r="E27" s="250" t="s">
        <v>510</v>
      </c>
      <c r="F27" s="251" t="s">
        <v>506</v>
      </c>
      <c r="G27" s="251" t="s">
        <v>511</v>
      </c>
      <c r="H27" s="251" t="s">
        <v>459</v>
      </c>
      <c r="I27" s="252" t="s">
        <v>512</v>
      </c>
      <c r="J27" s="252" t="s">
        <v>527</v>
      </c>
      <c r="K27" s="253" t="s">
        <v>486</v>
      </c>
      <c r="L27" s="250">
        <v>2016</v>
      </c>
      <c r="M27" s="254">
        <f>657.271636030864*10^6</f>
        <v>657271636.030864</v>
      </c>
      <c r="N27" s="257" t="s">
        <v>41</v>
      </c>
      <c r="O27" s="257" t="s">
        <v>41</v>
      </c>
      <c r="P27" s="254">
        <v>652530000</v>
      </c>
      <c r="Q27" s="254">
        <v>105151.02</v>
      </c>
      <c r="R27" s="254">
        <f>518.256652121714*10^6</f>
        <v>518256652.12171394</v>
      </c>
      <c r="S27" s="254">
        <f>568.017414361322*10^6</f>
        <v>568017414.36132205</v>
      </c>
      <c r="T27" s="254">
        <f>564.777877257992*10^6</f>
        <v>564777877.25799203</v>
      </c>
      <c r="U27" s="254">
        <f>606.177411658728*10^6</f>
        <v>606177411.658728</v>
      </c>
      <c r="V27" s="254">
        <f>618.840651160307*10^6</f>
        <v>618840651.16030693</v>
      </c>
      <c r="W27" s="254">
        <v>496721197</v>
      </c>
      <c r="X27" s="254" t="s">
        <v>41</v>
      </c>
      <c r="Y27" s="254" t="s">
        <v>41</v>
      </c>
      <c r="Z27" s="255" t="s">
        <v>514</v>
      </c>
      <c r="AA27" s="255" t="s">
        <v>515</v>
      </c>
      <c r="AB27" s="255" t="s">
        <v>528</v>
      </c>
    </row>
    <row r="28" spans="1:28" s="256" customFormat="1" ht="38.25">
      <c r="A28" s="250">
        <v>23</v>
      </c>
      <c r="B28" s="250" t="s">
        <v>11</v>
      </c>
      <c r="C28" s="250" t="s">
        <v>489</v>
      </c>
      <c r="D28" s="250" t="s">
        <v>509</v>
      </c>
      <c r="E28" s="250" t="s">
        <v>510</v>
      </c>
      <c r="F28" s="251" t="s">
        <v>507</v>
      </c>
      <c r="G28" s="251" t="s">
        <v>511</v>
      </c>
      <c r="H28" s="251" t="s">
        <v>459</v>
      </c>
      <c r="I28" s="252" t="s">
        <v>512</v>
      </c>
      <c r="J28" s="252" t="s">
        <v>529</v>
      </c>
      <c r="K28" s="253" t="s">
        <v>486</v>
      </c>
      <c r="L28" s="250">
        <v>2016</v>
      </c>
      <c r="M28" s="254">
        <f>13.0853171586081*10^6</f>
        <v>13085317.158608101</v>
      </c>
      <c r="N28" s="257" t="s">
        <v>41</v>
      </c>
      <c r="O28" s="257" t="s">
        <v>41</v>
      </c>
      <c r="P28" s="254">
        <v>26320000</v>
      </c>
      <c r="Q28" s="254">
        <v>27512355.82</v>
      </c>
      <c r="R28" s="254">
        <f>18.160209108023*10^6</f>
        <v>18160209.108022999</v>
      </c>
      <c r="S28" s="254">
        <f>19.9289454594765*10^6</f>
        <v>19928945.459476497</v>
      </c>
      <c r="T28" s="254">
        <f>20.9232986725701*10^6</f>
        <v>20923298.672570098</v>
      </c>
      <c r="U28" s="254">
        <f>26.4501278947821*10^6</f>
        <v>26450127.8947821</v>
      </c>
      <c r="V28" s="254">
        <f>27.8024541450699*10^6</f>
        <v>27802454.145069897</v>
      </c>
      <c r="W28" s="254">
        <v>52217493</v>
      </c>
      <c r="X28" s="254" t="s">
        <v>41</v>
      </c>
      <c r="Y28" s="254" t="s">
        <v>41</v>
      </c>
      <c r="Z28" s="255" t="s">
        <v>514</v>
      </c>
      <c r="AA28" s="255" t="s">
        <v>515</v>
      </c>
      <c r="AB28" s="255"/>
    </row>
    <row r="29" spans="1:28" s="256" customFormat="1" ht="38.25">
      <c r="A29" s="250">
        <v>24</v>
      </c>
      <c r="B29" s="250" t="s">
        <v>11</v>
      </c>
      <c r="C29" s="250" t="s">
        <v>489</v>
      </c>
      <c r="D29" s="250" t="s">
        <v>509</v>
      </c>
      <c r="E29" s="250" t="s">
        <v>510</v>
      </c>
      <c r="F29" s="251" t="s">
        <v>508</v>
      </c>
      <c r="G29" s="251" t="s">
        <v>511</v>
      </c>
      <c r="H29" s="251" t="s">
        <v>459</v>
      </c>
      <c r="I29" s="252" t="s">
        <v>512</v>
      </c>
      <c r="J29" s="252" t="s">
        <v>530</v>
      </c>
      <c r="K29" s="253" t="s">
        <v>486</v>
      </c>
      <c r="L29" s="250">
        <v>2016</v>
      </c>
      <c r="M29" s="254">
        <f>8.53655626754681*10^6</f>
        <v>8536556.2675468102</v>
      </c>
      <c r="N29" s="257" t="s">
        <v>41</v>
      </c>
      <c r="O29" s="257" t="s">
        <v>41</v>
      </c>
      <c r="P29" s="254">
        <v>15230000</v>
      </c>
      <c r="Q29" s="254">
        <v>17966608.890000001</v>
      </c>
      <c r="R29" s="254">
        <f>12.0322286729778*10^6</f>
        <v>12032228.6729778</v>
      </c>
      <c r="S29" s="254">
        <f>13.2041226812629*10^6</f>
        <v>13204122.681262901</v>
      </c>
      <c r="T29" s="254">
        <f>13.8629413749511*10^6</f>
        <v>13862941.3749511</v>
      </c>
      <c r="U29" s="254">
        <f>17.5247975046127*10^6</f>
        <v>17524797.504612699</v>
      </c>
      <c r="V29" s="254">
        <f>18.4207948242*10^6</f>
        <v>18420794.824200001</v>
      </c>
      <c r="W29" s="254">
        <v>30498092</v>
      </c>
      <c r="X29" s="254" t="s">
        <v>41</v>
      </c>
      <c r="Y29" s="254" t="s">
        <v>41</v>
      </c>
      <c r="Z29" s="255" t="s">
        <v>514</v>
      </c>
      <c r="AA29" s="255" t="s">
        <v>515</v>
      </c>
      <c r="AB29" s="255"/>
    </row>
    <row r="30" spans="1:28" s="256" customFormat="1" ht="90">
      <c r="A30" s="250">
        <v>25</v>
      </c>
      <c r="B30" s="250" t="s">
        <v>11</v>
      </c>
      <c r="C30" s="250" t="s">
        <v>489</v>
      </c>
      <c r="D30" s="250" t="s">
        <v>531</v>
      </c>
      <c r="E30" s="250" t="s">
        <v>532</v>
      </c>
      <c r="F30" s="251" t="s">
        <v>491</v>
      </c>
      <c r="G30" s="251" t="s">
        <v>533</v>
      </c>
      <c r="H30" s="251" t="s">
        <v>459</v>
      </c>
      <c r="I30" s="252" t="s">
        <v>534</v>
      </c>
      <c r="J30" s="252" t="s">
        <v>535</v>
      </c>
      <c r="K30" s="253" t="s">
        <v>486</v>
      </c>
      <c r="L30" s="250">
        <v>2016</v>
      </c>
      <c r="M30" s="254">
        <f>51.1804679866425*10^3</f>
        <v>51180.467986642499</v>
      </c>
      <c r="N30" s="257" t="s">
        <v>41</v>
      </c>
      <c r="O30" s="257" t="s">
        <v>41</v>
      </c>
      <c r="P30" s="254">
        <v>35780</v>
      </c>
      <c r="Q30" s="254">
        <v>2899.21</v>
      </c>
      <c r="R30" s="254">
        <f>39.3403047179549*10^3</f>
        <v>39340.304717954903</v>
      </c>
      <c r="S30" s="254">
        <f>42.7438553770938*10^3</f>
        <v>42743.855377093802</v>
      </c>
      <c r="T30" s="254">
        <f>44.7896782267052*10^3</f>
        <v>44789.678226705197</v>
      </c>
      <c r="U30" s="254">
        <f>53.2102600557206*10^3</f>
        <v>53210.260055720602</v>
      </c>
      <c r="V30" s="254">
        <f>56.1777056238231*10^3</f>
        <v>56177.705623823102</v>
      </c>
      <c r="W30" s="254">
        <v>3483</v>
      </c>
      <c r="X30" s="254" t="s">
        <v>41</v>
      </c>
      <c r="Y30" s="254" t="s">
        <v>41</v>
      </c>
      <c r="Z30" s="255" t="s">
        <v>514</v>
      </c>
      <c r="AA30" s="255" t="s">
        <v>536</v>
      </c>
      <c r="AB30" s="255" t="s">
        <v>537</v>
      </c>
    </row>
    <row r="31" spans="1:28" s="256" customFormat="1" ht="90">
      <c r="A31" s="250">
        <v>26</v>
      </c>
      <c r="B31" s="250" t="s">
        <v>11</v>
      </c>
      <c r="C31" s="250" t="s">
        <v>489</v>
      </c>
      <c r="D31" s="250" t="s">
        <v>531</v>
      </c>
      <c r="E31" s="250" t="s">
        <v>532</v>
      </c>
      <c r="F31" s="251" t="s">
        <v>496</v>
      </c>
      <c r="G31" s="251" t="s">
        <v>533</v>
      </c>
      <c r="H31" s="251" t="s">
        <v>459</v>
      </c>
      <c r="I31" s="252" t="s">
        <v>534</v>
      </c>
      <c r="J31" s="252" t="s">
        <v>538</v>
      </c>
      <c r="K31" s="253" t="s">
        <v>486</v>
      </c>
      <c r="L31" s="250">
        <v>2016</v>
      </c>
      <c r="M31" s="254">
        <f>35.0915789640574*10^3</f>
        <v>35091.5789640574</v>
      </c>
      <c r="N31" s="257" t="s">
        <v>41</v>
      </c>
      <c r="O31" s="257" t="s">
        <v>41</v>
      </c>
      <c r="P31" s="254">
        <v>22660</v>
      </c>
      <c r="Q31" s="254">
        <v>2081.9299999999998</v>
      </c>
      <c r="R31" s="254">
        <f>27.4390027337243*10^3</f>
        <v>27439.002733724301</v>
      </c>
      <c r="S31" s="254">
        <f>29.7857373354223*10^3</f>
        <v>29785.737335422302</v>
      </c>
      <c r="T31" s="254">
        <f>31.5320664512236*10^3</f>
        <v>31532.0664512236</v>
      </c>
      <c r="U31" s="254">
        <f>37.676047864376*10^3</f>
        <v>37676.047864376</v>
      </c>
      <c r="V31" s="254">
        <f>39.9924289861455*10^3</f>
        <v>39992.428986145496</v>
      </c>
      <c r="W31" s="254">
        <v>2822</v>
      </c>
      <c r="X31" s="254" t="s">
        <v>41</v>
      </c>
      <c r="Y31" s="254" t="s">
        <v>41</v>
      </c>
      <c r="Z31" s="255" t="s">
        <v>514</v>
      </c>
      <c r="AA31" s="255" t="s">
        <v>536</v>
      </c>
      <c r="AB31" s="255" t="s">
        <v>537</v>
      </c>
    </row>
    <row r="32" spans="1:28" s="256" customFormat="1" ht="90">
      <c r="A32" s="250">
        <v>27</v>
      </c>
      <c r="B32" s="250" t="s">
        <v>11</v>
      </c>
      <c r="C32" s="250" t="s">
        <v>489</v>
      </c>
      <c r="D32" s="250" t="s">
        <v>531</v>
      </c>
      <c r="E32" s="250" t="s">
        <v>532</v>
      </c>
      <c r="F32" s="251" t="s">
        <v>497</v>
      </c>
      <c r="G32" s="251" t="s">
        <v>533</v>
      </c>
      <c r="H32" s="251" t="s">
        <v>459</v>
      </c>
      <c r="I32" s="252" t="s">
        <v>534</v>
      </c>
      <c r="J32" s="252" t="s">
        <v>539</v>
      </c>
      <c r="K32" s="253" t="s">
        <v>486</v>
      </c>
      <c r="L32" s="250">
        <v>2016</v>
      </c>
      <c r="M32" s="254">
        <f>188.154981636176*10^6</f>
        <v>188154981.63617599</v>
      </c>
      <c r="N32" s="257" t="s">
        <v>41</v>
      </c>
      <c r="O32" s="257" t="s">
        <v>41</v>
      </c>
      <c r="P32" s="254">
        <v>166790000</v>
      </c>
      <c r="Q32" s="254">
        <v>16158316.07</v>
      </c>
      <c r="R32" s="254">
        <f>147.035897241041*10^6</f>
        <v>147035897.241041</v>
      </c>
      <c r="S32" s="254">
        <f>161.153648153345*10^6</f>
        <v>161153648.15334499</v>
      </c>
      <c r="T32" s="254">
        <f>160.234550940248*10^6</f>
        <v>160234550.94024801</v>
      </c>
      <c r="U32" s="254">
        <f>171.98011688919*10^6</f>
        <v>171980116.88918999</v>
      </c>
      <c r="V32" s="254">
        <f>175.57283639307*10^6</f>
        <v>175572836.39306998</v>
      </c>
      <c r="W32" s="254">
        <v>20784124</v>
      </c>
      <c r="X32" s="254" t="s">
        <v>41</v>
      </c>
      <c r="Y32" s="254" t="s">
        <v>41</v>
      </c>
      <c r="Z32" s="255" t="s">
        <v>514</v>
      </c>
      <c r="AA32" s="255" t="s">
        <v>536</v>
      </c>
      <c r="AB32" s="255" t="s">
        <v>537</v>
      </c>
    </row>
    <row r="33" spans="1:28" s="256" customFormat="1" ht="90">
      <c r="A33" s="250">
        <v>28</v>
      </c>
      <c r="B33" s="250" t="s">
        <v>11</v>
      </c>
      <c r="C33" s="250" t="s">
        <v>489</v>
      </c>
      <c r="D33" s="250" t="s">
        <v>531</v>
      </c>
      <c r="E33" s="250" t="s">
        <v>532</v>
      </c>
      <c r="F33" s="251" t="s">
        <v>498</v>
      </c>
      <c r="G33" s="251" t="s">
        <v>533</v>
      </c>
      <c r="H33" s="251" t="s">
        <v>459</v>
      </c>
      <c r="I33" s="252" t="s">
        <v>534</v>
      </c>
      <c r="J33" s="252" t="s">
        <v>540</v>
      </c>
      <c r="K33" s="253" t="s">
        <v>486</v>
      </c>
      <c r="L33" s="250">
        <v>2016</v>
      </c>
      <c r="M33" s="254">
        <f>129.080994286338*10^6</f>
        <v>129080994.28633802</v>
      </c>
      <c r="N33" s="257" t="s">
        <v>41</v>
      </c>
      <c r="O33" s="257" t="s">
        <v>41</v>
      </c>
      <c r="P33" s="254">
        <v>105290000</v>
      </c>
      <c r="Q33" s="254">
        <v>12638604.34</v>
      </c>
      <c r="R33" s="254">
        <f>99.3337795142746*10^6</f>
        <v>99333779.514274597</v>
      </c>
      <c r="S33" s="254">
        <f>109.048109275323*10^6</f>
        <v>109048109.275323</v>
      </c>
      <c r="T33" s="254">
        <f>108.76303872071*10^6</f>
        <v>108763038.72070999</v>
      </c>
      <c r="U33" s="254">
        <f>116.519301230836*10^6</f>
        <v>116519301.230836</v>
      </c>
      <c r="V33" s="254">
        <f>119.316481565088*10^6</f>
        <v>119316481.565088</v>
      </c>
      <c r="W33" s="254">
        <v>18739736</v>
      </c>
      <c r="X33" s="254" t="s">
        <v>41</v>
      </c>
      <c r="Y33" s="254" t="s">
        <v>41</v>
      </c>
      <c r="Z33" s="255" t="s">
        <v>514</v>
      </c>
      <c r="AA33" s="255" t="s">
        <v>536</v>
      </c>
      <c r="AB33" s="255" t="s">
        <v>537</v>
      </c>
    </row>
    <row r="34" spans="1:28" s="256" customFormat="1" ht="90">
      <c r="A34" s="250">
        <v>29</v>
      </c>
      <c r="B34" s="250" t="s">
        <v>11</v>
      </c>
      <c r="C34" s="250" t="s">
        <v>489</v>
      </c>
      <c r="D34" s="250" t="s">
        <v>531</v>
      </c>
      <c r="E34" s="250" t="s">
        <v>532</v>
      </c>
      <c r="F34" s="251" t="s">
        <v>499</v>
      </c>
      <c r="G34" s="251" t="s">
        <v>533</v>
      </c>
      <c r="H34" s="251" t="s">
        <v>459</v>
      </c>
      <c r="I34" s="252" t="s">
        <v>534</v>
      </c>
      <c r="J34" s="252" t="s">
        <v>541</v>
      </c>
      <c r="K34" s="253" t="s">
        <v>486</v>
      </c>
      <c r="L34" s="250">
        <v>2016</v>
      </c>
      <c r="M34" s="254">
        <f>1.5381514232317*10^6</f>
        <v>1538151.4232317</v>
      </c>
      <c r="N34" s="257" t="s">
        <v>41</v>
      </c>
      <c r="O34" s="257" t="s">
        <v>41</v>
      </c>
      <c r="P34" s="254">
        <v>5570000</v>
      </c>
      <c r="Q34" s="254">
        <v>-4682.7</v>
      </c>
      <c r="R34" s="254">
        <f>2.13469426435072*10^6</f>
        <v>2134694.2643507202</v>
      </c>
      <c r="S34" s="254">
        <f>2.34260549060022*10^6</f>
        <v>2342605.4906002199</v>
      </c>
      <c r="T34" s="254">
        <f>2.45948961280958*10^6</f>
        <v>2459489.6128095798</v>
      </c>
      <c r="U34" s="254">
        <f>3.10915672680166*10^6</f>
        <v>3109156.7268016604</v>
      </c>
      <c r="V34" s="254">
        <f>3.26811982424446*10^6</f>
        <v>3268119.8242444596</v>
      </c>
      <c r="W34" s="254">
        <v>-60085</v>
      </c>
      <c r="X34" s="254" t="s">
        <v>41</v>
      </c>
      <c r="Y34" s="254" t="s">
        <v>41</v>
      </c>
      <c r="Z34" s="255" t="s">
        <v>514</v>
      </c>
      <c r="AA34" s="255" t="s">
        <v>536</v>
      </c>
      <c r="AB34" s="255" t="s">
        <v>537</v>
      </c>
    </row>
    <row r="35" spans="1:28" s="256" customFormat="1" ht="90">
      <c r="A35" s="250">
        <v>30</v>
      </c>
      <c r="B35" s="250" t="s">
        <v>11</v>
      </c>
      <c r="C35" s="250" t="s">
        <v>489</v>
      </c>
      <c r="D35" s="250" t="s">
        <v>531</v>
      </c>
      <c r="E35" s="250" t="s">
        <v>532</v>
      </c>
      <c r="F35" s="251" t="s">
        <v>500</v>
      </c>
      <c r="G35" s="251" t="s">
        <v>533</v>
      </c>
      <c r="H35" s="251" t="s">
        <v>459</v>
      </c>
      <c r="I35" s="252" t="s">
        <v>534</v>
      </c>
      <c r="J35" s="252" t="s">
        <v>542</v>
      </c>
      <c r="K35" s="253" t="s">
        <v>486</v>
      </c>
      <c r="L35" s="250">
        <v>2016</v>
      </c>
      <c r="M35" s="254">
        <f>1.11727149517329*10^6</f>
        <v>1117271.4951732901</v>
      </c>
      <c r="N35" s="257" t="s">
        <v>41</v>
      </c>
      <c r="O35" s="257" t="s">
        <v>41</v>
      </c>
      <c r="P35" s="254">
        <v>3260000</v>
      </c>
      <c r="Q35" s="254">
        <v>-6965.28</v>
      </c>
      <c r="R35" s="254">
        <f>1.62679329958579*10^6</f>
        <v>1626793.2995857901</v>
      </c>
      <c r="S35" s="254">
        <f>1.768029347357*10^6</f>
        <v>1768029.347357</v>
      </c>
      <c r="T35" s="254">
        <f>1.88416671854424*10^6</f>
        <v>1884166.7185442399</v>
      </c>
      <c r="U35" s="254">
        <f>2.21013851778418*10^6</f>
        <v>2210138.5177841801</v>
      </c>
      <c r="V35" s="254">
        <f>2.31231898899322*10^6</f>
        <v>2312318.98899322</v>
      </c>
      <c r="W35" s="254">
        <v>-54742</v>
      </c>
      <c r="X35" s="254" t="s">
        <v>41</v>
      </c>
      <c r="Y35" s="254" t="s">
        <v>41</v>
      </c>
      <c r="Z35" s="255" t="s">
        <v>514</v>
      </c>
      <c r="AA35" s="255" t="s">
        <v>536</v>
      </c>
      <c r="AB35" s="255" t="s">
        <v>537</v>
      </c>
    </row>
    <row r="36" spans="1:28" s="256" customFormat="1" ht="101.25">
      <c r="A36" s="250">
        <v>31</v>
      </c>
      <c r="B36" s="250" t="s">
        <v>11</v>
      </c>
      <c r="C36" s="250" t="s">
        <v>489</v>
      </c>
      <c r="D36" s="250" t="s">
        <v>531</v>
      </c>
      <c r="E36" s="250" t="s">
        <v>532</v>
      </c>
      <c r="F36" s="251" t="s">
        <v>501</v>
      </c>
      <c r="G36" s="251" t="s">
        <v>533</v>
      </c>
      <c r="H36" s="251" t="s">
        <v>459</v>
      </c>
      <c r="I36" s="252" t="s">
        <v>534</v>
      </c>
      <c r="J36" s="252" t="s">
        <v>543</v>
      </c>
      <c r="K36" s="253" t="s">
        <v>486</v>
      </c>
      <c r="L36" s="250">
        <v>2016</v>
      </c>
      <c r="M36" s="254">
        <f>410.277912957244*10^3</f>
        <v>410277.91295724397</v>
      </c>
      <c r="N36" s="257" t="s">
        <v>41</v>
      </c>
      <c r="O36" s="257" t="s">
        <v>41</v>
      </c>
      <c r="P36" s="254">
        <v>568830</v>
      </c>
      <c r="Q36" s="254">
        <v>135705080.83000001</v>
      </c>
      <c r="R36" s="254">
        <f>315.363628933542*10^3</f>
        <v>315363.628933542</v>
      </c>
      <c r="S36" s="254">
        <f>342.647507256816*10^3</f>
        <v>342647.50725681602</v>
      </c>
      <c r="T36" s="254">
        <f>359.047434065571*10^3</f>
        <v>359047.434065571</v>
      </c>
      <c r="U36" s="254">
        <f>426.549332242739*10^3</f>
        <v>426549.33224273904</v>
      </c>
      <c r="V36" s="254">
        <f>450.337261943051*10^3</f>
        <v>450337.26194305095</v>
      </c>
      <c r="W36" s="254">
        <v>23397</v>
      </c>
      <c r="X36" s="254" t="s">
        <v>41</v>
      </c>
      <c r="Y36" s="254" t="s">
        <v>41</v>
      </c>
      <c r="Z36" s="255" t="s">
        <v>514</v>
      </c>
      <c r="AA36" s="255" t="s">
        <v>536</v>
      </c>
      <c r="AB36" s="255" t="s">
        <v>544</v>
      </c>
    </row>
    <row r="37" spans="1:28" s="256" customFormat="1" ht="101.25">
      <c r="A37" s="250">
        <v>32</v>
      </c>
      <c r="B37" s="250" t="s">
        <v>11</v>
      </c>
      <c r="C37" s="250" t="s">
        <v>489</v>
      </c>
      <c r="D37" s="250" t="s">
        <v>531</v>
      </c>
      <c r="E37" s="250" t="s">
        <v>532</v>
      </c>
      <c r="F37" s="251" t="s">
        <v>504</v>
      </c>
      <c r="G37" s="251" t="s">
        <v>533</v>
      </c>
      <c r="H37" s="251" t="s">
        <v>459</v>
      </c>
      <c r="I37" s="252" t="s">
        <v>534</v>
      </c>
      <c r="J37" s="252" t="s">
        <v>545</v>
      </c>
      <c r="K37" s="253" t="s">
        <v>486</v>
      </c>
      <c r="L37" s="250">
        <v>2016</v>
      </c>
      <c r="M37" s="254">
        <f>273.992506022055*10^3</f>
        <v>273992.50602205499</v>
      </c>
      <c r="N37" s="257" t="s">
        <v>41</v>
      </c>
      <c r="O37" s="257" t="s">
        <v>41</v>
      </c>
      <c r="P37" s="254">
        <v>419520</v>
      </c>
      <c r="Q37" s="254">
        <v>104602330.02</v>
      </c>
      <c r="R37" s="254">
        <f>208.004969442627*10^3</f>
        <v>208004.96944262699</v>
      </c>
      <c r="S37" s="254">
        <f>226.000647308526*10^3</f>
        <v>226000.64730852601</v>
      </c>
      <c r="T37" s="254">
        <f>236.817577232412*10^3</f>
        <v>236817.577232412</v>
      </c>
      <c r="U37" s="254">
        <f>281.33992851034*10^3</f>
        <v>281339.92851033999</v>
      </c>
      <c r="V37" s="254">
        <f>297.029777105592*10^3</f>
        <v>297029.77710559202</v>
      </c>
      <c r="W37" s="254">
        <v>20066</v>
      </c>
      <c r="X37" s="254" t="s">
        <v>41</v>
      </c>
      <c r="Y37" s="254" t="s">
        <v>41</v>
      </c>
      <c r="Z37" s="255" t="s">
        <v>514</v>
      </c>
      <c r="AA37" s="255" t="s">
        <v>536</v>
      </c>
      <c r="AB37" s="255" t="s">
        <v>546</v>
      </c>
    </row>
    <row r="38" spans="1:28" s="256" customFormat="1" ht="101.25">
      <c r="A38" s="250">
        <v>33</v>
      </c>
      <c r="B38" s="250" t="s">
        <v>11</v>
      </c>
      <c r="C38" s="250" t="s">
        <v>489</v>
      </c>
      <c r="D38" s="250" t="s">
        <v>531</v>
      </c>
      <c r="E38" s="250" t="s">
        <v>532</v>
      </c>
      <c r="F38" s="251" t="s">
        <v>505</v>
      </c>
      <c r="G38" s="251" t="s">
        <v>533</v>
      </c>
      <c r="H38" s="251" t="s">
        <v>459</v>
      </c>
      <c r="I38" s="252" t="s">
        <v>534</v>
      </c>
      <c r="J38" s="252" t="s">
        <v>547</v>
      </c>
      <c r="K38" s="253" t="s">
        <v>486</v>
      </c>
      <c r="L38" s="250">
        <v>2016</v>
      </c>
      <c r="M38" s="254">
        <f>1684.73458135735*10^6</f>
        <v>1684734581.3573499</v>
      </c>
      <c r="N38" s="257" t="s">
        <v>41</v>
      </c>
      <c r="O38" s="257" t="s">
        <v>41</v>
      </c>
      <c r="P38" s="254">
        <v>1768050000</v>
      </c>
      <c r="Q38" s="254">
        <v>20102.34</v>
      </c>
      <c r="R38" s="254">
        <f>1316.5554195205*10^6</f>
        <v>1316555419.5204999</v>
      </c>
      <c r="S38" s="254">
        <f>1442.96537670642*10^6</f>
        <v>1442965376.7064202</v>
      </c>
      <c r="T38" s="254">
        <f>1434.73580529105*10^6</f>
        <v>1434735805.29105</v>
      </c>
      <c r="U38" s="254">
        <f>1539.90528291913*10^6</f>
        <v>1539905282.9191301</v>
      </c>
      <c r="V38" s="254">
        <f>1572.07439551273*10^6</f>
        <v>1572074395.5127301</v>
      </c>
      <c r="W38" s="254">
        <v>202838009</v>
      </c>
      <c r="X38" s="254" t="s">
        <v>41</v>
      </c>
      <c r="Y38" s="254" t="s">
        <v>41</v>
      </c>
      <c r="Z38" s="255" t="s">
        <v>514</v>
      </c>
      <c r="AA38" s="255" t="s">
        <v>536</v>
      </c>
      <c r="AB38" s="255" t="s">
        <v>548</v>
      </c>
    </row>
    <row r="39" spans="1:28" s="256" customFormat="1" ht="101.25">
      <c r="A39" s="250">
        <v>34</v>
      </c>
      <c r="B39" s="250" t="s">
        <v>11</v>
      </c>
      <c r="C39" s="250" t="s">
        <v>489</v>
      </c>
      <c r="D39" s="250" t="s">
        <v>531</v>
      </c>
      <c r="E39" s="250" t="s">
        <v>532</v>
      </c>
      <c r="F39" s="251" t="s">
        <v>506</v>
      </c>
      <c r="G39" s="251" t="s">
        <v>533</v>
      </c>
      <c r="H39" s="251" t="s">
        <v>459</v>
      </c>
      <c r="I39" s="252" t="s">
        <v>534</v>
      </c>
      <c r="J39" s="252" t="s">
        <v>549</v>
      </c>
      <c r="K39" s="253" t="s">
        <v>486</v>
      </c>
      <c r="L39" s="250">
        <v>2016</v>
      </c>
      <c r="M39" s="254">
        <f>1127.2292504415*10^6</f>
        <v>1127229250.4414999</v>
      </c>
      <c r="N39" s="257" t="s">
        <v>41</v>
      </c>
      <c r="O39" s="257" t="s">
        <v>41</v>
      </c>
      <c r="P39" s="254">
        <v>1110890000</v>
      </c>
      <c r="Q39" s="254">
        <v>14628.88</v>
      </c>
      <c r="R39" s="254">
        <f>888.816777543171*10^6</f>
        <v>888816777.54317105</v>
      </c>
      <c r="S39" s="254">
        <f>974.157120326679*10^6</f>
        <v>974157120.32667899</v>
      </c>
      <c r="T39" s="254">
        <f>968.601272819222*10^6</f>
        <v>968601272.81922197</v>
      </c>
      <c r="U39" s="254">
        <f>1039.60200306978*10^6</f>
        <v>1039602003.06978</v>
      </c>
      <c r="V39" s="254">
        <f>1061.3196205494*10^6</f>
        <v>1061319620.5494001</v>
      </c>
      <c r="W39" s="254">
        <v>183371201</v>
      </c>
      <c r="X39" s="254" t="s">
        <v>41</v>
      </c>
      <c r="Y39" s="254" t="s">
        <v>41</v>
      </c>
      <c r="Z39" s="255" t="s">
        <v>514</v>
      </c>
      <c r="AA39" s="255" t="s">
        <v>536</v>
      </c>
      <c r="AB39" s="255" t="s">
        <v>550</v>
      </c>
    </row>
    <row r="40" spans="1:28" s="256" customFormat="1" ht="90">
      <c r="A40" s="250">
        <v>35</v>
      </c>
      <c r="B40" s="250" t="s">
        <v>11</v>
      </c>
      <c r="C40" s="250" t="s">
        <v>489</v>
      </c>
      <c r="D40" s="250" t="s">
        <v>531</v>
      </c>
      <c r="E40" s="250" t="s">
        <v>532</v>
      </c>
      <c r="F40" s="251" t="s">
        <v>507</v>
      </c>
      <c r="G40" s="251" t="s">
        <v>533</v>
      </c>
      <c r="H40" s="251" t="s">
        <v>459</v>
      </c>
      <c r="I40" s="252" t="s">
        <v>534</v>
      </c>
      <c r="J40" s="252" t="s">
        <v>551</v>
      </c>
      <c r="K40" s="253" t="s">
        <v>486</v>
      </c>
      <c r="L40" s="250">
        <v>2016</v>
      </c>
      <c r="M40" s="254">
        <f>15.7978579292597*10^6</f>
        <v>15797857.929259701</v>
      </c>
      <c r="N40" s="257" t="s">
        <v>41</v>
      </c>
      <c r="O40" s="257" t="s">
        <v>41</v>
      </c>
      <c r="P40" s="254">
        <v>62850000</v>
      </c>
      <c r="Q40" s="254">
        <v>-199416.49</v>
      </c>
      <c r="R40" s="254">
        <f>21.9247573426575*10^6</f>
        <v>21924757.342657499</v>
      </c>
      <c r="S40" s="254">
        <f>24.0601465927528*10^6</f>
        <v>24060146.592752799</v>
      </c>
      <c r="T40" s="254">
        <f>25.2606257711747*10^6</f>
        <v>25260625.771174699</v>
      </c>
      <c r="U40" s="254">
        <f>31.9331474833709*10^6</f>
        <v>31933147.4833709</v>
      </c>
      <c r="V40" s="254">
        <f>33.5658062655083*10^6</f>
        <v>33565806.265508302</v>
      </c>
      <c r="W40" s="254">
        <v>-444945</v>
      </c>
      <c r="X40" s="254" t="s">
        <v>41</v>
      </c>
      <c r="Y40" s="254" t="s">
        <v>41</v>
      </c>
      <c r="Z40" s="255" t="s">
        <v>514</v>
      </c>
      <c r="AA40" s="255" t="s">
        <v>536</v>
      </c>
      <c r="AB40" s="255" t="s">
        <v>537</v>
      </c>
    </row>
    <row r="41" spans="1:28" s="256" customFormat="1" ht="90">
      <c r="A41" s="250">
        <v>36</v>
      </c>
      <c r="B41" s="250" t="s">
        <v>11</v>
      </c>
      <c r="C41" s="250" t="s">
        <v>489</v>
      </c>
      <c r="D41" s="250" t="s">
        <v>531</v>
      </c>
      <c r="E41" s="250" t="s">
        <v>532</v>
      </c>
      <c r="F41" s="251" t="s">
        <v>508</v>
      </c>
      <c r="G41" s="251" t="s">
        <v>533</v>
      </c>
      <c r="H41" s="251" t="s">
        <v>459</v>
      </c>
      <c r="I41" s="252" t="s">
        <v>534</v>
      </c>
      <c r="J41" s="252" t="s">
        <v>552</v>
      </c>
      <c r="K41" s="253" t="s">
        <v>486</v>
      </c>
      <c r="L41" s="250">
        <v>2016</v>
      </c>
      <c r="M41" s="254">
        <f>10.4391406662023*10^6</f>
        <v>10439140.666202301</v>
      </c>
      <c r="N41" s="257" t="s">
        <v>41</v>
      </c>
      <c r="O41" s="257" t="s">
        <v>41</v>
      </c>
      <c r="P41" s="254">
        <v>36410000</v>
      </c>
      <c r="Q41" s="254">
        <v>-176715.28</v>
      </c>
      <c r="R41" s="254">
        <f>14.7139108217023*10^6</f>
        <v>14713910.8217023</v>
      </c>
      <c r="S41" s="254">
        <f>16.1469906275341*10^6</f>
        <v>16146990.627534103</v>
      </c>
      <c r="T41" s="254">
        <f>16.9526434928564*10^6</f>
        <v>16952643.492856398</v>
      </c>
      <c r="U41" s="254">
        <f>21.4306355588442*10^6</f>
        <v>21430635.558844201</v>
      </c>
      <c r="V41" s="254">
        <f>22.5263282202129*10^6</f>
        <v>22526328.220212899</v>
      </c>
      <c r="W41" s="254">
        <v>-407387</v>
      </c>
      <c r="X41" s="254" t="s">
        <v>41</v>
      </c>
      <c r="Y41" s="254" t="s">
        <v>41</v>
      </c>
      <c r="Z41" s="255" t="s">
        <v>514</v>
      </c>
      <c r="AA41" s="255" t="s">
        <v>536</v>
      </c>
      <c r="AB41" s="255" t="s">
        <v>537</v>
      </c>
    </row>
    <row r="42" spans="1:28" s="256" customFormat="1" ht="168.75">
      <c r="A42" s="250">
        <v>37</v>
      </c>
      <c r="B42" s="250" t="s">
        <v>11</v>
      </c>
      <c r="C42" s="250" t="s">
        <v>489</v>
      </c>
      <c r="D42" s="250" t="s">
        <v>553</v>
      </c>
      <c r="E42" s="250" t="s">
        <v>554</v>
      </c>
      <c r="F42" s="251" t="s">
        <v>555</v>
      </c>
      <c r="G42" s="251" t="s">
        <v>556</v>
      </c>
      <c r="H42" s="251" t="s">
        <v>459</v>
      </c>
      <c r="I42" s="252" t="s">
        <v>557</v>
      </c>
      <c r="J42" s="252" t="s">
        <v>555</v>
      </c>
      <c r="K42" s="253" t="s">
        <v>486</v>
      </c>
      <c r="L42" s="250">
        <v>2016</v>
      </c>
      <c r="M42" s="258">
        <v>446.15921532394543</v>
      </c>
      <c r="N42" s="259">
        <v>357466831.94859082</v>
      </c>
      <c r="O42" s="254">
        <v>801209.11923570326</v>
      </c>
      <c r="P42" s="258">
        <v>131.51439356828263</v>
      </c>
      <c r="Q42" s="258">
        <v>120.64327646980718</v>
      </c>
      <c r="R42" s="258">
        <v>435.00523494084678</v>
      </c>
      <c r="S42" s="258">
        <v>435.00523494084678</v>
      </c>
      <c r="T42" s="258">
        <v>435.00523494084678</v>
      </c>
      <c r="U42" s="258">
        <f t="shared" ref="U42:U47" si="0">M42*0.925</f>
        <v>412.69727417464952</v>
      </c>
      <c r="V42" s="258">
        <f t="shared" ref="V42:V47" si="1">M42*0.9</f>
        <v>401.54329379155092</v>
      </c>
      <c r="W42" s="258">
        <v>348.40748068901604</v>
      </c>
      <c r="X42" s="258">
        <v>242981707.85355964</v>
      </c>
      <c r="Y42" s="258">
        <v>697406.6899282278</v>
      </c>
      <c r="Z42" s="255" t="s">
        <v>558</v>
      </c>
      <c r="AA42" s="255" t="s">
        <v>559</v>
      </c>
      <c r="AB42" s="255"/>
    </row>
    <row r="43" spans="1:28" s="256" customFormat="1" ht="123.75">
      <c r="A43" s="250">
        <v>38</v>
      </c>
      <c r="B43" s="250" t="s">
        <v>11</v>
      </c>
      <c r="C43" s="250" t="s">
        <v>489</v>
      </c>
      <c r="D43" s="250" t="s">
        <v>553</v>
      </c>
      <c r="E43" s="250" t="s">
        <v>554</v>
      </c>
      <c r="F43" s="251" t="s">
        <v>560</v>
      </c>
      <c r="G43" s="251" t="s">
        <v>556</v>
      </c>
      <c r="H43" s="251" t="s">
        <v>459</v>
      </c>
      <c r="I43" s="252" t="s">
        <v>557</v>
      </c>
      <c r="J43" s="252" t="s">
        <v>560</v>
      </c>
      <c r="K43" s="253" t="s">
        <v>486</v>
      </c>
      <c r="L43" s="250">
        <v>2016</v>
      </c>
      <c r="M43" s="260">
        <v>8.414411884387038E-2</v>
      </c>
      <c r="N43" s="259">
        <v>357466831.94859082</v>
      </c>
      <c r="O43" s="254">
        <v>4248268766.2565155</v>
      </c>
      <c r="P43" s="260">
        <v>5.2955494364293018E-2</v>
      </c>
      <c r="Q43" s="260">
        <v>5.5320739275552033E-2</v>
      </c>
      <c r="R43" s="260">
        <v>8.2040515872773626E-2</v>
      </c>
      <c r="S43" s="260">
        <v>8.2040515872773626E-2</v>
      </c>
      <c r="T43" s="260">
        <v>8.2040515872773626E-2</v>
      </c>
      <c r="U43" s="260">
        <f t="shared" si="0"/>
        <v>7.7833309930580102E-2</v>
      </c>
      <c r="V43" s="260">
        <f t="shared" si="1"/>
        <v>7.5729706959483348E-2</v>
      </c>
      <c r="W43" s="260">
        <v>6.2040453734966951E-2</v>
      </c>
      <c r="X43" s="260">
        <v>242981707.85355964</v>
      </c>
      <c r="Y43" s="260">
        <v>3916504364.9029832</v>
      </c>
      <c r="Z43" s="255" t="s">
        <v>561</v>
      </c>
      <c r="AA43" s="255" t="s">
        <v>559</v>
      </c>
      <c r="AB43" s="255"/>
    </row>
    <row r="44" spans="1:28" s="256" customFormat="1" ht="135">
      <c r="A44" s="250">
        <v>39</v>
      </c>
      <c r="B44" s="250" t="s">
        <v>11</v>
      </c>
      <c r="C44" s="250" t="s">
        <v>489</v>
      </c>
      <c r="D44" s="250" t="s">
        <v>553</v>
      </c>
      <c r="E44" s="250" t="s">
        <v>554</v>
      </c>
      <c r="F44" s="251" t="s">
        <v>562</v>
      </c>
      <c r="G44" s="251" t="s">
        <v>556</v>
      </c>
      <c r="H44" s="251" t="s">
        <v>459</v>
      </c>
      <c r="I44" s="252" t="s">
        <v>557</v>
      </c>
      <c r="J44" s="252" t="s">
        <v>562</v>
      </c>
      <c r="K44" s="253" t="s">
        <v>486</v>
      </c>
      <c r="L44" s="250">
        <v>2016</v>
      </c>
      <c r="M44" s="258">
        <v>0.51144931241438973</v>
      </c>
      <c r="N44" s="259">
        <v>45113353.509438194</v>
      </c>
      <c r="O44" s="254">
        <v>88206890.52542153</v>
      </c>
      <c r="P44" s="258">
        <v>0.42441027521712116</v>
      </c>
      <c r="Q44" s="258">
        <v>0.52529781595355862</v>
      </c>
      <c r="R44" s="258">
        <v>0.49866307960403</v>
      </c>
      <c r="S44" s="258">
        <v>0.49866307960403</v>
      </c>
      <c r="T44" s="258">
        <v>0.49866307960403</v>
      </c>
      <c r="U44" s="258">
        <f t="shared" si="0"/>
        <v>0.47309061398331054</v>
      </c>
      <c r="V44" s="258">
        <f t="shared" si="1"/>
        <v>0.46030438117295075</v>
      </c>
      <c r="W44" s="258">
        <v>0.63764946572222414</v>
      </c>
      <c r="X44" s="258">
        <v>40279894.806621417</v>
      </c>
      <c r="Y44" s="258">
        <v>63169338.283690073</v>
      </c>
      <c r="Z44" s="255" t="s">
        <v>563</v>
      </c>
      <c r="AA44" s="255" t="s">
        <v>559</v>
      </c>
      <c r="AB44" s="255"/>
    </row>
    <row r="45" spans="1:28" s="256" customFormat="1" ht="157.5">
      <c r="A45" s="250">
        <v>40</v>
      </c>
      <c r="B45" s="250" t="s">
        <v>11</v>
      </c>
      <c r="C45" s="250" t="s">
        <v>489</v>
      </c>
      <c r="D45" s="250" t="s">
        <v>553</v>
      </c>
      <c r="E45" s="250" t="s">
        <v>554</v>
      </c>
      <c r="F45" s="251" t="s">
        <v>564</v>
      </c>
      <c r="G45" s="251" t="s">
        <v>556</v>
      </c>
      <c r="H45" s="251" t="s">
        <v>459</v>
      </c>
      <c r="I45" s="252" t="s">
        <v>557</v>
      </c>
      <c r="J45" s="252" t="s">
        <v>564</v>
      </c>
      <c r="K45" s="253" t="s">
        <v>486</v>
      </c>
      <c r="L45" s="250">
        <v>2016</v>
      </c>
      <c r="M45" s="258">
        <v>674.19068625021782</v>
      </c>
      <c r="N45" s="259">
        <v>540167725.92745137</v>
      </c>
      <c r="O45" s="254">
        <v>801209.11923570326</v>
      </c>
      <c r="P45" s="258">
        <v>232.93450217389756</v>
      </c>
      <c r="Q45" s="258">
        <v>189.97413884460553</v>
      </c>
      <c r="R45" s="258">
        <v>657.33591909396239</v>
      </c>
      <c r="S45" s="258">
        <v>657.33591909396239</v>
      </c>
      <c r="T45" s="258">
        <v>657.33591909396239</v>
      </c>
      <c r="U45" s="258">
        <f t="shared" si="0"/>
        <v>623.62638478145152</v>
      </c>
      <c r="V45" s="258">
        <f t="shared" si="1"/>
        <v>606.77161762519609</v>
      </c>
      <c r="W45" s="258">
        <v>540.78500988566736</v>
      </c>
      <c r="X45" s="258">
        <v>377147083.70716721</v>
      </c>
      <c r="Y45" s="258">
        <v>697406.6899282278</v>
      </c>
      <c r="Z45" s="255" t="s">
        <v>565</v>
      </c>
      <c r="AA45" s="255" t="s">
        <v>559</v>
      </c>
      <c r="AB45" s="255"/>
    </row>
    <row r="46" spans="1:28" s="256" customFormat="1" ht="123.75">
      <c r="A46" s="250">
        <v>41</v>
      </c>
      <c r="B46" s="250" t="s">
        <v>11</v>
      </c>
      <c r="C46" s="250" t="s">
        <v>489</v>
      </c>
      <c r="D46" s="250" t="s">
        <v>553</v>
      </c>
      <c r="E46" s="250" t="s">
        <v>554</v>
      </c>
      <c r="F46" s="251" t="s">
        <v>566</v>
      </c>
      <c r="G46" s="251" t="s">
        <v>556</v>
      </c>
      <c r="H46" s="251" t="s">
        <v>459</v>
      </c>
      <c r="I46" s="252" t="s">
        <v>557</v>
      </c>
      <c r="J46" s="252" t="s">
        <v>566</v>
      </c>
      <c r="K46" s="253" t="s">
        <v>486</v>
      </c>
      <c r="L46" s="250">
        <v>2016</v>
      </c>
      <c r="M46" s="258">
        <v>0.12715008292741228</v>
      </c>
      <c r="N46" s="259">
        <v>540167725.92745137</v>
      </c>
      <c r="O46" s="254">
        <v>4248268766.2565155</v>
      </c>
      <c r="P46" s="258">
        <v>9.3793244849011762E-2</v>
      </c>
      <c r="Q46" s="258">
        <v>8.7112271082509171E-2</v>
      </c>
      <c r="R46" s="258">
        <v>0.12397133085422697</v>
      </c>
      <c r="S46" s="258">
        <v>0.12397133085422697</v>
      </c>
      <c r="T46" s="258">
        <v>0.12397133085422697</v>
      </c>
      <c r="U46" s="258">
        <f t="shared" si="0"/>
        <v>0.11761382670785636</v>
      </c>
      <c r="V46" s="258">
        <f t="shared" si="1"/>
        <v>0.11443507463467106</v>
      </c>
      <c r="W46" s="258">
        <v>9.6296862857322418E-2</v>
      </c>
      <c r="X46" s="258">
        <v>377147083.70716721</v>
      </c>
      <c r="Y46" s="258">
        <v>3916504364.9029832</v>
      </c>
      <c r="Z46" s="255" t="s">
        <v>567</v>
      </c>
      <c r="AA46" s="255" t="s">
        <v>559</v>
      </c>
      <c r="AB46" s="255"/>
    </row>
    <row r="47" spans="1:28" s="256" customFormat="1" ht="123.75">
      <c r="A47" s="250">
        <v>42</v>
      </c>
      <c r="B47" s="250" t="s">
        <v>11</v>
      </c>
      <c r="C47" s="250" t="s">
        <v>489</v>
      </c>
      <c r="D47" s="250" t="s">
        <v>553</v>
      </c>
      <c r="E47" s="250" t="s">
        <v>554</v>
      </c>
      <c r="F47" s="251" t="s">
        <v>568</v>
      </c>
      <c r="G47" s="251" t="s">
        <v>556</v>
      </c>
      <c r="H47" s="251" t="s">
        <v>459</v>
      </c>
      <c r="I47" s="252" t="s">
        <v>557</v>
      </c>
      <c r="J47" s="252" t="s">
        <v>568</v>
      </c>
      <c r="K47" s="253" t="s">
        <v>486</v>
      </c>
      <c r="L47" s="250">
        <v>2016</v>
      </c>
      <c r="M47" s="258">
        <v>0.77285047820540487</v>
      </c>
      <c r="N47" s="259">
        <v>68170737.523583829</v>
      </c>
      <c r="O47" s="254">
        <v>88206890.52542153</v>
      </c>
      <c r="P47" s="258">
        <v>0.75170324321845949</v>
      </c>
      <c r="Q47" s="258">
        <v>0.82717415460532606</v>
      </c>
      <c r="R47" s="258">
        <v>0.7535292162502697</v>
      </c>
      <c r="S47" s="258">
        <v>0.7535292162502697</v>
      </c>
      <c r="T47" s="258">
        <v>0.7535292162502697</v>
      </c>
      <c r="U47" s="258">
        <f t="shared" si="0"/>
        <v>0.71488669233999957</v>
      </c>
      <c r="V47" s="258">
        <f t="shared" si="1"/>
        <v>0.6955654303848644</v>
      </c>
      <c r="W47" s="258">
        <v>0.98973555889856279</v>
      </c>
      <c r="X47" s="258">
        <v>62520940.331460372</v>
      </c>
      <c r="Y47" s="258">
        <v>63169338.283690073</v>
      </c>
      <c r="Z47" s="255" t="s">
        <v>569</v>
      </c>
      <c r="AA47" s="255" t="s">
        <v>559</v>
      </c>
      <c r="AB47" s="255"/>
    </row>
    <row r="48" spans="1:28" s="256" customFormat="1" ht="38.25">
      <c r="A48" s="250">
        <v>43</v>
      </c>
      <c r="B48" s="250" t="s">
        <v>11</v>
      </c>
      <c r="C48" s="250" t="s">
        <v>489</v>
      </c>
      <c r="D48" s="250" t="s">
        <v>570</v>
      </c>
      <c r="E48" s="250" t="s">
        <v>490</v>
      </c>
      <c r="F48" s="251" t="s">
        <v>491</v>
      </c>
      <c r="G48" s="251" t="s">
        <v>492</v>
      </c>
      <c r="H48" s="251" t="s">
        <v>459</v>
      </c>
      <c r="I48" s="252" t="s">
        <v>571</v>
      </c>
      <c r="J48" s="252" t="s">
        <v>491</v>
      </c>
      <c r="K48" s="253" t="s">
        <v>572</v>
      </c>
      <c r="L48" s="250">
        <v>2016</v>
      </c>
      <c r="M48" s="254">
        <v>39900.360034064943</v>
      </c>
      <c r="N48" s="257" t="s">
        <v>41</v>
      </c>
      <c r="O48" s="257" t="s">
        <v>41</v>
      </c>
      <c r="P48" s="254">
        <v>19409.970438218541</v>
      </c>
      <c r="Q48" s="254">
        <v>38176.216189963692</v>
      </c>
      <c r="R48" s="254">
        <f>32.4367530464248*10^3</f>
        <v>32436.753046424798</v>
      </c>
      <c r="S48" s="254">
        <f>44.6388042560753*10^3</f>
        <v>44638.804256075295</v>
      </c>
      <c r="T48" s="254">
        <f>42.4160841788125*10^3</f>
        <v>42416.084178812496</v>
      </c>
      <c r="U48" s="254">
        <f>45.4717185807938*10^3</f>
        <v>45471.7185807938</v>
      </c>
      <c r="V48" s="254">
        <f>47.5381347049525*10^3</f>
        <v>47538.134704952499</v>
      </c>
      <c r="W48" s="254">
        <v>39986.987476343027</v>
      </c>
      <c r="X48" s="254" t="s">
        <v>41</v>
      </c>
      <c r="Y48" s="254" t="s">
        <v>41</v>
      </c>
      <c r="Z48" s="255" t="s">
        <v>573</v>
      </c>
      <c r="AA48" s="255" t="s">
        <v>574</v>
      </c>
      <c r="AB48" s="255"/>
    </row>
    <row r="49" spans="1:28" s="256" customFormat="1" ht="36">
      <c r="A49" s="250">
        <v>44</v>
      </c>
      <c r="B49" s="250" t="s">
        <v>11</v>
      </c>
      <c r="C49" s="250" t="s">
        <v>489</v>
      </c>
      <c r="D49" s="250" t="s">
        <v>570</v>
      </c>
      <c r="E49" s="250" t="s">
        <v>490</v>
      </c>
      <c r="F49" s="251" t="s">
        <v>496</v>
      </c>
      <c r="G49" s="251" t="s">
        <v>492</v>
      </c>
      <c r="H49" s="251" t="s">
        <v>459</v>
      </c>
      <c r="I49" s="252" t="s">
        <v>571</v>
      </c>
      <c r="J49" s="252" t="s">
        <v>496</v>
      </c>
      <c r="K49" s="253" t="s">
        <v>572</v>
      </c>
      <c r="L49" s="250">
        <v>2016</v>
      </c>
      <c r="M49" s="254">
        <v>34733.016679118482</v>
      </c>
      <c r="N49" s="257" t="s">
        <v>41</v>
      </c>
      <c r="O49" s="257" t="s">
        <v>41</v>
      </c>
      <c r="P49" s="254">
        <v>13701.099875998983</v>
      </c>
      <c r="Q49" s="254">
        <v>34925.591508687212</v>
      </c>
      <c r="R49" s="254">
        <f>30.0419275957414*10^3</f>
        <v>30041.927595741399</v>
      </c>
      <c r="S49" s="254">
        <f>41.3007409255451*10^3</f>
        <v>41300.740925545098</v>
      </c>
      <c r="T49" s="254">
        <f>39.9255621078765*10^3</f>
        <v>39925.562107876503</v>
      </c>
      <c r="U49" s="254">
        <f>42.7278991408564*10^3</f>
        <v>42727.899140856403</v>
      </c>
      <c r="V49" s="254">
        <f>44.8742676942764*10^3</f>
        <v>44874.267694276401</v>
      </c>
      <c r="W49" s="254">
        <v>38291.218977597753</v>
      </c>
      <c r="X49" s="254" t="s">
        <v>41</v>
      </c>
      <c r="Y49" s="254" t="s">
        <v>41</v>
      </c>
      <c r="Z49" s="255" t="s">
        <v>573</v>
      </c>
      <c r="AA49" s="255" t="s">
        <v>574</v>
      </c>
      <c r="AB49" s="255"/>
    </row>
    <row r="50" spans="1:28" s="256" customFormat="1" ht="38.25">
      <c r="A50" s="250">
        <v>45</v>
      </c>
      <c r="B50" s="250" t="s">
        <v>11</v>
      </c>
      <c r="C50" s="250" t="s">
        <v>489</v>
      </c>
      <c r="D50" s="250" t="s">
        <v>570</v>
      </c>
      <c r="E50" s="250" t="s">
        <v>490</v>
      </c>
      <c r="F50" s="251" t="s">
        <v>497</v>
      </c>
      <c r="G50" s="251" t="s">
        <v>492</v>
      </c>
      <c r="H50" s="251" t="s">
        <v>459</v>
      </c>
      <c r="I50" s="252" t="s">
        <v>571</v>
      </c>
      <c r="J50" s="252" t="s">
        <v>497</v>
      </c>
      <c r="K50" s="253" t="s">
        <v>572</v>
      </c>
      <c r="L50" s="250">
        <v>2016</v>
      </c>
      <c r="M50" s="254">
        <v>150787254.64361069</v>
      </c>
      <c r="N50" s="257" t="s">
        <v>41</v>
      </c>
      <c r="O50" s="257" t="s">
        <v>41</v>
      </c>
      <c r="P50" s="254">
        <v>175929564.38052398</v>
      </c>
      <c r="Q50" s="254">
        <v>194294083.89425203</v>
      </c>
      <c r="R50" s="254">
        <f>152.753524234831*10^6</f>
        <v>152753524.23483101</v>
      </c>
      <c r="S50" s="254">
        <f>213.638729331904*10^6</f>
        <v>213638729.33190399</v>
      </c>
      <c r="T50" s="254">
        <f>208.743713920279*10^6</f>
        <v>208743713.920279</v>
      </c>
      <c r="U50" s="254">
        <f>236.369989652135*10^6</f>
        <v>236369989.65213498</v>
      </c>
      <c r="V50" s="254">
        <f>260.97393160172*10^6</f>
        <v>260973931.60171998</v>
      </c>
      <c r="W50" s="254">
        <v>221322569.52678585</v>
      </c>
      <c r="X50" s="254" t="s">
        <v>41</v>
      </c>
      <c r="Y50" s="254" t="s">
        <v>41</v>
      </c>
      <c r="Z50" s="255" t="s">
        <v>573</v>
      </c>
      <c r="AA50" s="255" t="s">
        <v>574</v>
      </c>
      <c r="AB50" s="255"/>
    </row>
    <row r="51" spans="1:28" s="256" customFormat="1" ht="38.25">
      <c r="A51" s="250">
        <v>46</v>
      </c>
      <c r="B51" s="250" t="s">
        <v>11</v>
      </c>
      <c r="C51" s="250" t="s">
        <v>489</v>
      </c>
      <c r="D51" s="250" t="s">
        <v>570</v>
      </c>
      <c r="E51" s="250" t="s">
        <v>490</v>
      </c>
      <c r="F51" s="251" t="s">
        <v>498</v>
      </c>
      <c r="G51" s="251" t="s">
        <v>492</v>
      </c>
      <c r="H51" s="251" t="s">
        <v>459</v>
      </c>
      <c r="I51" s="252" t="s">
        <v>571</v>
      </c>
      <c r="J51" s="252" t="s">
        <v>498</v>
      </c>
      <c r="K51" s="253" t="s">
        <v>572</v>
      </c>
      <c r="L51" s="250">
        <v>2016</v>
      </c>
      <c r="M51" s="254">
        <v>142699079.47168311</v>
      </c>
      <c r="N51" s="257" t="s">
        <v>41</v>
      </c>
      <c r="O51" s="257" t="s">
        <v>41</v>
      </c>
      <c r="P51" s="254">
        <v>157113031.69637391</v>
      </c>
      <c r="Q51" s="254">
        <v>189496810.85546142</v>
      </c>
      <c r="R51" s="254">
        <f>143.439941948587*10^6</f>
        <v>143439941.948587</v>
      </c>
      <c r="S51" s="254">
        <f>199.382063937546*10^6</f>
        <v>199382063.93754601</v>
      </c>
      <c r="T51" s="254">
        <f>196.891386660641*10^6</f>
        <v>196891386.66064098</v>
      </c>
      <c r="U51" s="254">
        <f>217.644941859411*10^6</f>
        <v>217644941.859411</v>
      </c>
      <c r="V51" s="254">
        <f>236.758823970874*10^6</f>
        <v>236758823.97087401</v>
      </c>
      <c r="W51" s="254">
        <v>216718773.08997789</v>
      </c>
      <c r="X51" s="254" t="s">
        <v>41</v>
      </c>
      <c r="Y51" s="254" t="s">
        <v>41</v>
      </c>
      <c r="Z51" s="255" t="s">
        <v>573</v>
      </c>
      <c r="AA51" s="255" t="s">
        <v>574</v>
      </c>
      <c r="AB51" s="255"/>
    </row>
    <row r="52" spans="1:28" s="256" customFormat="1" ht="38.25">
      <c r="A52" s="250">
        <v>47</v>
      </c>
      <c r="B52" s="250" t="s">
        <v>11</v>
      </c>
      <c r="C52" s="250" t="s">
        <v>489</v>
      </c>
      <c r="D52" s="250" t="s">
        <v>570</v>
      </c>
      <c r="E52" s="250" t="s">
        <v>490</v>
      </c>
      <c r="F52" s="251" t="s">
        <v>499</v>
      </c>
      <c r="G52" s="251" t="s">
        <v>492</v>
      </c>
      <c r="H52" s="251" t="s">
        <v>459</v>
      </c>
      <c r="I52" s="252" t="s">
        <v>571</v>
      </c>
      <c r="J52" s="252" t="s">
        <v>499</v>
      </c>
      <c r="K52" s="253" t="s">
        <v>572</v>
      </c>
      <c r="L52" s="250">
        <v>2016</v>
      </c>
      <c r="M52" s="254">
        <v>4632719.485914194</v>
      </c>
      <c r="N52" s="257" t="s">
        <v>41</v>
      </c>
      <c r="O52" s="257" t="s">
        <v>41</v>
      </c>
      <c r="P52" s="254">
        <v>3369158.7020173753</v>
      </c>
      <c r="Q52" s="254">
        <v>4886355.329694788</v>
      </c>
      <c r="R52" s="254">
        <f>9.47063147493624*10^6</f>
        <v>9470631.4749362413</v>
      </c>
      <c r="S52" s="254">
        <f>11.8983496240765*10^6</f>
        <v>11898349.624076501</v>
      </c>
      <c r="T52" s="254">
        <f>10.5682943884374*10^6</f>
        <v>10568294.3884374</v>
      </c>
      <c r="U52" s="254">
        <f>13.1084794930049*10^6</f>
        <v>13108479.493004899</v>
      </c>
      <c r="V52" s="254">
        <f>13.0358182181745*10^6</f>
        <v>13035818.2181745</v>
      </c>
      <c r="W52" s="254">
        <v>3802555.46530418</v>
      </c>
      <c r="X52" s="254" t="s">
        <v>41</v>
      </c>
      <c r="Y52" s="254" t="s">
        <v>41</v>
      </c>
      <c r="Z52" s="255" t="s">
        <v>573</v>
      </c>
      <c r="AA52" s="255" t="s">
        <v>574</v>
      </c>
      <c r="AB52" s="255"/>
    </row>
    <row r="53" spans="1:28" s="256" customFormat="1" ht="38.25">
      <c r="A53" s="250">
        <v>48</v>
      </c>
      <c r="B53" s="250" t="s">
        <v>11</v>
      </c>
      <c r="C53" s="250" t="s">
        <v>489</v>
      </c>
      <c r="D53" s="250" t="s">
        <v>570</v>
      </c>
      <c r="E53" s="250" t="s">
        <v>490</v>
      </c>
      <c r="F53" s="251" t="s">
        <v>500</v>
      </c>
      <c r="G53" s="251" t="s">
        <v>492</v>
      </c>
      <c r="H53" s="251" t="s">
        <v>459</v>
      </c>
      <c r="I53" s="252" t="s">
        <v>571</v>
      </c>
      <c r="J53" s="252" t="s">
        <v>500</v>
      </c>
      <c r="K53" s="253" t="s">
        <v>572</v>
      </c>
      <c r="L53" s="250">
        <v>2016</v>
      </c>
      <c r="M53" s="254">
        <v>4336882.1440041792</v>
      </c>
      <c r="N53" s="257" t="s">
        <v>41</v>
      </c>
      <c r="O53" s="257" t="s">
        <v>41</v>
      </c>
      <c r="P53" s="254">
        <v>3212903.9883455224</v>
      </c>
      <c r="Q53" s="254">
        <v>4641629.5366275245</v>
      </c>
      <c r="R53" s="254">
        <f>8.45106817011063*10^6</f>
        <v>8451068.1701106299</v>
      </c>
      <c r="S53" s="254">
        <f>10.5397159669941*10^6</f>
        <v>10539715.966994099</v>
      </c>
      <c r="T53" s="254">
        <f>9.56863383565104*10^6</f>
        <v>9568633.8356510401</v>
      </c>
      <c r="U53" s="254">
        <f>10.1065551926309*10^6</f>
        <v>10106555.1926309</v>
      </c>
      <c r="V53" s="254">
        <f>10.2297622557448*10^6</f>
        <v>10229762.2557448</v>
      </c>
      <c r="W53" s="254">
        <v>3720909.6294400711</v>
      </c>
      <c r="X53" s="254" t="s">
        <v>41</v>
      </c>
      <c r="Y53" s="254" t="s">
        <v>41</v>
      </c>
      <c r="Z53" s="255" t="s">
        <v>573</v>
      </c>
      <c r="AA53" s="255" t="s">
        <v>574</v>
      </c>
      <c r="AB53" s="255"/>
    </row>
    <row r="54" spans="1:28" s="256" customFormat="1" ht="38.25">
      <c r="A54" s="250">
        <v>49</v>
      </c>
      <c r="B54" s="250" t="s">
        <v>11</v>
      </c>
      <c r="C54" s="250" t="s">
        <v>489</v>
      </c>
      <c r="D54" s="250" t="s">
        <v>570</v>
      </c>
      <c r="E54" s="250" t="s">
        <v>490</v>
      </c>
      <c r="F54" s="251" t="s">
        <v>501</v>
      </c>
      <c r="G54" s="251" t="s">
        <v>492</v>
      </c>
      <c r="H54" s="251" t="s">
        <v>459</v>
      </c>
      <c r="I54" s="252" t="s">
        <v>571</v>
      </c>
      <c r="J54" s="252" t="s">
        <v>501</v>
      </c>
      <c r="K54" s="253" t="s">
        <v>572</v>
      </c>
      <c r="L54" s="250">
        <v>2016</v>
      </c>
      <c r="M54" s="254">
        <v>169454.75133675127</v>
      </c>
      <c r="N54" s="257" t="s">
        <v>41</v>
      </c>
      <c r="O54" s="257" t="s">
        <v>41</v>
      </c>
      <c r="P54" s="254">
        <v>220604.92729465297</v>
      </c>
      <c r="Q54" s="254">
        <v>206083.94887581453</v>
      </c>
      <c r="R54" s="254">
        <f>137.758646302805*10^3</f>
        <v>137758.64630280499</v>
      </c>
      <c r="S54" s="254">
        <f>189.580666045445*10^3</f>
        <v>189580.66604544502</v>
      </c>
      <c r="T54" s="254">
        <f>180.140790589491*10^3</f>
        <v>180140.79058949099</v>
      </c>
      <c r="U54" s="254">
        <f>193.11804692001*10^3</f>
        <v>193118.04692000998</v>
      </c>
      <c r="V54" s="254">
        <f>201.894100662349*10^3</f>
        <v>201894.100662349</v>
      </c>
      <c r="W54" s="254">
        <v>243276.45525168951</v>
      </c>
      <c r="X54" s="254" t="s">
        <v>41</v>
      </c>
      <c r="Y54" s="254" t="s">
        <v>41</v>
      </c>
      <c r="Z54" s="255" t="s">
        <v>575</v>
      </c>
      <c r="AA54" s="255" t="s">
        <v>574</v>
      </c>
      <c r="AB54" s="255"/>
    </row>
    <row r="55" spans="1:28" s="256" customFormat="1" ht="45">
      <c r="A55" s="250">
        <v>50</v>
      </c>
      <c r="B55" s="250" t="s">
        <v>11</v>
      </c>
      <c r="C55" s="250" t="s">
        <v>489</v>
      </c>
      <c r="D55" s="250" t="s">
        <v>570</v>
      </c>
      <c r="E55" s="250" t="s">
        <v>490</v>
      </c>
      <c r="F55" s="251" t="s">
        <v>504</v>
      </c>
      <c r="G55" s="251" t="s">
        <v>492</v>
      </c>
      <c r="H55" s="251" t="s">
        <v>459</v>
      </c>
      <c r="I55" s="252" t="s">
        <v>571</v>
      </c>
      <c r="J55" s="252" t="s">
        <v>504</v>
      </c>
      <c r="K55" s="253" t="s">
        <v>572</v>
      </c>
      <c r="L55" s="250">
        <v>2016</v>
      </c>
      <c r="M55" s="254">
        <v>131009.87826752933</v>
      </c>
      <c r="N55" s="257" t="s">
        <v>41</v>
      </c>
      <c r="O55" s="257" t="s">
        <v>41</v>
      </c>
      <c r="P55" s="254">
        <v>157428.87166012905</v>
      </c>
      <c r="Q55" s="254">
        <v>171970.68011175626</v>
      </c>
      <c r="R55" s="254">
        <f>119.919074236474*10^3</f>
        <v>119919.074236474</v>
      </c>
      <c r="S55" s="254">
        <f>165.030207362317*10^3</f>
        <v>165030.20736231699</v>
      </c>
      <c r="T55" s="254">
        <f>156.812783948491*10^3</f>
        <v>156812.78394849098</v>
      </c>
      <c r="U55" s="254">
        <f>168.109501846434*10^3</f>
        <v>168109.501846434</v>
      </c>
      <c r="V55" s="254">
        <f>175.749067626701*10^3</f>
        <v>175749.067626701</v>
      </c>
      <c r="W55" s="254">
        <v>225471.02961570237</v>
      </c>
      <c r="X55" s="254" t="s">
        <v>41</v>
      </c>
      <c r="Y55" s="254" t="s">
        <v>41</v>
      </c>
      <c r="Z55" s="255" t="s">
        <v>576</v>
      </c>
      <c r="AA55" s="255" t="s">
        <v>574</v>
      </c>
      <c r="AB55" s="255"/>
    </row>
    <row r="56" spans="1:28" s="256" customFormat="1" ht="45">
      <c r="A56" s="250">
        <v>51</v>
      </c>
      <c r="B56" s="250" t="s">
        <v>11</v>
      </c>
      <c r="C56" s="250" t="s">
        <v>489</v>
      </c>
      <c r="D56" s="250" t="s">
        <v>570</v>
      </c>
      <c r="E56" s="250" t="s">
        <v>490</v>
      </c>
      <c r="F56" s="251" t="s">
        <v>505</v>
      </c>
      <c r="G56" s="251" t="s">
        <v>492</v>
      </c>
      <c r="H56" s="251" t="s">
        <v>459</v>
      </c>
      <c r="I56" s="252" t="s">
        <v>571</v>
      </c>
      <c r="J56" s="252" t="s">
        <v>505</v>
      </c>
      <c r="K56" s="253" t="s">
        <v>572</v>
      </c>
      <c r="L56" s="250">
        <v>2016</v>
      </c>
      <c r="M56" s="254">
        <v>412342972.37489897</v>
      </c>
      <c r="N56" s="257" t="s">
        <v>41</v>
      </c>
      <c r="O56" s="257" t="s">
        <v>41</v>
      </c>
      <c r="P56" s="254">
        <v>1051475777.806137</v>
      </c>
      <c r="Q56" s="254">
        <v>1095587656.0016503</v>
      </c>
      <c r="R56" s="254">
        <f>417.719933733553*10^6</f>
        <v>417719933.73355299</v>
      </c>
      <c r="S56" s="254">
        <f>584.216673929246*10^6</f>
        <v>584216673.92924595</v>
      </c>
      <c r="T56" s="254">
        <f>570.83076009445*10^6</f>
        <v>570830760.09445</v>
      </c>
      <c r="U56" s="254">
        <f>646.377600180935*10^6</f>
        <v>646377600.18093503</v>
      </c>
      <c r="V56" s="254">
        <f>713.659563410566*10^6</f>
        <v>713659563.41056597</v>
      </c>
      <c r="W56" s="254">
        <v>1616837189.4448144</v>
      </c>
      <c r="X56" s="254" t="s">
        <v>41</v>
      </c>
      <c r="Y56" s="254" t="s">
        <v>41</v>
      </c>
      <c r="Z56" s="255" t="s">
        <v>576</v>
      </c>
      <c r="AA56" s="255" t="s">
        <v>574</v>
      </c>
      <c r="AB56" s="255"/>
    </row>
    <row r="57" spans="1:28" s="256" customFormat="1" ht="45">
      <c r="A57" s="250">
        <v>52</v>
      </c>
      <c r="B57" s="250" t="s">
        <v>11</v>
      </c>
      <c r="C57" s="250" t="s">
        <v>489</v>
      </c>
      <c r="D57" s="250" t="s">
        <v>570</v>
      </c>
      <c r="E57" s="250" t="s">
        <v>490</v>
      </c>
      <c r="F57" s="251" t="s">
        <v>506</v>
      </c>
      <c r="G57" s="251" t="s">
        <v>492</v>
      </c>
      <c r="H57" s="251" t="s">
        <v>459</v>
      </c>
      <c r="I57" s="252" t="s">
        <v>571</v>
      </c>
      <c r="J57" s="252" t="s">
        <v>506</v>
      </c>
      <c r="K57" s="253" t="s">
        <v>572</v>
      </c>
      <c r="L57" s="250">
        <v>2016</v>
      </c>
      <c r="M57" s="254">
        <v>318969695.3651318</v>
      </c>
      <c r="N57" s="257" t="s">
        <v>41</v>
      </c>
      <c r="O57" s="257" t="s">
        <v>41</v>
      </c>
      <c r="P57" s="254">
        <v>803133939.25035965</v>
      </c>
      <c r="Q57" s="254">
        <v>988795040.99476767</v>
      </c>
      <c r="R57" s="254">
        <f>395.313581533924*10^6</f>
        <v>395313581.53392398</v>
      </c>
      <c r="S57" s="254">
        <f>552.87949439856*10^6</f>
        <v>552879494.39856005</v>
      </c>
      <c r="T57" s="254">
        <f>540.211596333841*10^6</f>
        <v>540211596.33384109</v>
      </c>
      <c r="U57" s="254">
        <f>611.706130150388*10^6</f>
        <v>611706130.150388</v>
      </c>
      <c r="V57" s="254">
        <f>675.37911223485*10^6</f>
        <v>675379112.23485005</v>
      </c>
      <c r="W57" s="254">
        <v>1531978917.501394</v>
      </c>
      <c r="X57" s="254" t="s">
        <v>41</v>
      </c>
      <c r="Y57" s="254" t="s">
        <v>41</v>
      </c>
      <c r="Z57" s="255" t="s">
        <v>576</v>
      </c>
      <c r="AA57" s="255" t="s">
        <v>574</v>
      </c>
      <c r="AB57" s="255"/>
    </row>
    <row r="58" spans="1:28" s="256" customFormat="1" ht="45">
      <c r="A58" s="250">
        <v>53</v>
      </c>
      <c r="B58" s="250" t="s">
        <v>11</v>
      </c>
      <c r="C58" s="250" t="s">
        <v>489</v>
      </c>
      <c r="D58" s="250" t="s">
        <v>570</v>
      </c>
      <c r="E58" s="250" t="s">
        <v>490</v>
      </c>
      <c r="F58" s="251" t="s">
        <v>507</v>
      </c>
      <c r="G58" s="251" t="s">
        <v>492</v>
      </c>
      <c r="H58" s="251" t="s">
        <v>459</v>
      </c>
      <c r="I58" s="252" t="s">
        <v>571</v>
      </c>
      <c r="J58" s="252" t="s">
        <v>507</v>
      </c>
      <c r="K58" s="253" t="s">
        <v>572</v>
      </c>
      <c r="L58" s="250">
        <v>2016</v>
      </c>
      <c r="M58" s="254">
        <v>13933585.966748875</v>
      </c>
      <c r="N58" s="257" t="s">
        <v>41</v>
      </c>
      <c r="O58" s="257" t="s">
        <v>41</v>
      </c>
      <c r="P58" s="254">
        <v>9162733.0451012477</v>
      </c>
      <c r="Q58" s="254">
        <v>9475124.7005899921</v>
      </c>
      <c r="R58" s="254">
        <f>28.4843216543742*10^6</f>
        <v>28484321.654374197</v>
      </c>
      <c r="S58" s="254">
        <f>35.7860422238294*10^6</f>
        <v>35786042.223829396</v>
      </c>
      <c r="T58" s="254">
        <f>31.7857048386941*10^6</f>
        <v>31785704.838694103</v>
      </c>
      <c r="U58" s="254">
        <f>39.4256863723055*10^6</f>
        <v>39425686.372305498</v>
      </c>
      <c r="V58" s="254">
        <f>39.2071468663006*10^6</f>
        <v>39207146.866300598</v>
      </c>
      <c r="W58" s="254">
        <v>-12793166.140045699</v>
      </c>
      <c r="X58" s="254" t="s">
        <v>41</v>
      </c>
      <c r="Y58" s="254" t="s">
        <v>41</v>
      </c>
      <c r="Z58" s="255" t="s">
        <v>576</v>
      </c>
      <c r="AA58" s="255" t="s">
        <v>574</v>
      </c>
      <c r="AB58" s="255"/>
    </row>
    <row r="59" spans="1:28" s="256" customFormat="1" ht="45">
      <c r="A59" s="250">
        <v>54</v>
      </c>
      <c r="B59" s="250" t="s">
        <v>11</v>
      </c>
      <c r="C59" s="250" t="s">
        <v>489</v>
      </c>
      <c r="D59" s="250" t="s">
        <v>570</v>
      </c>
      <c r="E59" s="250" t="s">
        <v>490</v>
      </c>
      <c r="F59" s="251" t="s">
        <v>508</v>
      </c>
      <c r="G59" s="251" t="s">
        <v>492</v>
      </c>
      <c r="H59" s="251" t="s">
        <v>459</v>
      </c>
      <c r="I59" s="252" t="s">
        <v>571</v>
      </c>
      <c r="J59" s="252" t="s">
        <v>508</v>
      </c>
      <c r="K59" s="253" t="s">
        <v>572</v>
      </c>
      <c r="L59" s="250">
        <v>2016</v>
      </c>
      <c r="M59" s="254">
        <v>10744756.744728221</v>
      </c>
      <c r="N59" s="257" t="s">
        <v>41</v>
      </c>
      <c r="O59" s="257" t="s">
        <v>41</v>
      </c>
      <c r="P59" s="254">
        <v>4452045.6853494439</v>
      </c>
      <c r="Q59" s="254">
        <v>2947892.9877899657</v>
      </c>
      <c r="R59" s="254">
        <f>26.6653647383029*10^6</f>
        <v>26665364.738302901</v>
      </c>
      <c r="S59" s="254">
        <f>33.5008107272999*10^6</f>
        <v>33500810.727299899</v>
      </c>
      <c r="T59" s="254">
        <f>29.7559276036913*10^6</f>
        <v>29755927.603691302</v>
      </c>
      <c r="U59" s="254">
        <f>36.9080338275853*10^6</f>
        <v>36908033.827585302</v>
      </c>
      <c r="V59" s="254">
        <f>36.7034498565131*10^6</f>
        <v>36703449.856513105</v>
      </c>
      <c r="W59" s="254">
        <v>-15975573.059170654</v>
      </c>
      <c r="X59" s="254" t="s">
        <v>41</v>
      </c>
      <c r="Y59" s="254" t="s">
        <v>41</v>
      </c>
      <c r="Z59" s="255" t="s">
        <v>576</v>
      </c>
      <c r="AA59" s="255" t="s">
        <v>574</v>
      </c>
      <c r="AB59" s="255"/>
    </row>
    <row r="60" spans="1:28" s="256" customFormat="1" ht="25.5">
      <c r="A60" s="250">
        <v>55</v>
      </c>
      <c r="B60" s="250" t="s">
        <v>11</v>
      </c>
      <c r="C60" s="250" t="s">
        <v>479</v>
      </c>
      <c r="D60" s="250" t="s">
        <v>577</v>
      </c>
      <c r="E60" s="250" t="s">
        <v>481</v>
      </c>
      <c r="F60" s="251" t="s">
        <v>482</v>
      </c>
      <c r="G60" s="251" t="s">
        <v>578</v>
      </c>
      <c r="H60" s="251" t="s">
        <v>459</v>
      </c>
      <c r="I60" s="252" t="s">
        <v>484</v>
      </c>
      <c r="J60" s="252" t="s">
        <v>485</v>
      </c>
      <c r="K60" s="253" t="s">
        <v>572</v>
      </c>
      <c r="L60" s="250">
        <v>2016</v>
      </c>
      <c r="M60" s="254">
        <v>66497.528852050629</v>
      </c>
      <c r="N60" s="257" t="s">
        <v>41</v>
      </c>
      <c r="O60" s="257" t="s">
        <v>41</v>
      </c>
      <c r="P60" s="254">
        <v>75190.294859135873</v>
      </c>
      <c r="Q60" s="254">
        <v>22275.433507452617</v>
      </c>
      <c r="R60" s="254">
        <v>66843.243323925795</v>
      </c>
      <c r="S60" s="254">
        <v>92912.362018250613</v>
      </c>
      <c r="T60" s="254">
        <v>91751.702406988174</v>
      </c>
      <c r="U60" s="254">
        <v>101422.89246146487</v>
      </c>
      <c r="V60" s="254">
        <v>110329.99222381215</v>
      </c>
      <c r="W60" s="254">
        <v>25514.908216414293</v>
      </c>
      <c r="X60" s="254" t="s">
        <v>41</v>
      </c>
      <c r="Y60" s="254" t="s">
        <v>41</v>
      </c>
      <c r="Z60" s="255" t="s">
        <v>579</v>
      </c>
      <c r="AA60" s="255" t="s">
        <v>580</v>
      </c>
      <c r="AB60" s="255"/>
    </row>
    <row r="61" spans="1:28" s="256" customFormat="1" ht="51">
      <c r="A61" s="250">
        <v>56</v>
      </c>
      <c r="B61" s="250" t="s">
        <v>11</v>
      </c>
      <c r="C61" s="250" t="s">
        <v>479</v>
      </c>
      <c r="D61" s="250" t="s">
        <v>581</v>
      </c>
      <c r="E61" s="250" t="s">
        <v>582</v>
      </c>
      <c r="F61" s="251" t="s">
        <v>583</v>
      </c>
      <c r="G61" s="251" t="s">
        <v>584</v>
      </c>
      <c r="H61" s="251" t="s">
        <v>459</v>
      </c>
      <c r="I61" s="252" t="s">
        <v>585</v>
      </c>
      <c r="J61" s="252" t="s">
        <v>586</v>
      </c>
      <c r="K61" s="253" t="s">
        <v>572</v>
      </c>
      <c r="L61" s="257">
        <v>2016</v>
      </c>
      <c r="M61" s="328">
        <v>1.5287863070539416</v>
      </c>
      <c r="N61" s="254">
        <v>106109.99999999999</v>
      </c>
      <c r="O61" s="254">
        <v>69408</v>
      </c>
      <c r="P61" s="328">
        <v>1.6937014308769986</v>
      </c>
      <c r="Q61" s="261">
        <v>2.9088173210993378</v>
      </c>
      <c r="R61" s="261">
        <v>1.5718919657676347</v>
      </c>
      <c r="S61" s="261">
        <v>1.5938984532883815</v>
      </c>
      <c r="T61" s="261">
        <v>1.616213031634419</v>
      </c>
      <c r="U61" s="261">
        <v>1.6618908451553029</v>
      </c>
      <c r="V61" s="261">
        <v>1.7205999055808405</v>
      </c>
      <c r="W61" s="261">
        <v>0.74533477187223873</v>
      </c>
      <c r="X61" s="261">
        <v>25847.464553757367</v>
      </c>
      <c r="Y61" s="261">
        <v>34679</v>
      </c>
      <c r="Z61" s="255" t="s">
        <v>587</v>
      </c>
      <c r="AA61" s="255" t="s">
        <v>588</v>
      </c>
      <c r="AB61" s="255"/>
    </row>
    <row r="62" spans="1:28" s="256" customFormat="1" ht="51">
      <c r="A62" s="250">
        <v>57</v>
      </c>
      <c r="B62" s="250" t="s">
        <v>11</v>
      </c>
      <c r="C62" s="250" t="s">
        <v>479</v>
      </c>
      <c r="D62" s="250" t="s">
        <v>581</v>
      </c>
      <c r="E62" s="250" t="s">
        <v>582</v>
      </c>
      <c r="F62" s="251" t="s">
        <v>589</v>
      </c>
      <c r="G62" s="251" t="s">
        <v>584</v>
      </c>
      <c r="H62" s="251" t="s">
        <v>459</v>
      </c>
      <c r="I62" s="252" t="s">
        <v>585</v>
      </c>
      <c r="J62" s="252" t="s">
        <v>590</v>
      </c>
      <c r="K62" s="253" t="s">
        <v>572</v>
      </c>
      <c r="L62" s="257">
        <v>2016</v>
      </c>
      <c r="M62" s="329">
        <v>3004.5267836560629</v>
      </c>
      <c r="N62" s="254">
        <v>208538195</v>
      </c>
      <c r="O62" s="254">
        <v>69408</v>
      </c>
      <c r="P62" s="329">
        <v>3270.7259473309778</v>
      </c>
      <c r="Q62" s="329">
        <v>6762.9055609064199</v>
      </c>
      <c r="R62" s="262">
        <v>3089.2424208480297</v>
      </c>
      <c r="S62" s="262">
        <v>3132.4918147399021</v>
      </c>
      <c r="T62" s="262">
        <v>3176.3467001462609</v>
      </c>
      <c r="U62" s="262">
        <v>3266.1173983197764</v>
      </c>
      <c r="V62" s="262">
        <v>3381.4984320704834</v>
      </c>
      <c r="W62" s="329">
        <v>2353.0636522034647</v>
      </c>
      <c r="X62" s="329">
        <v>81601894.394763947</v>
      </c>
      <c r="Y62" s="329">
        <v>34679</v>
      </c>
      <c r="Z62" s="255" t="s">
        <v>587</v>
      </c>
      <c r="AA62" s="255" t="s">
        <v>588</v>
      </c>
      <c r="AB62" s="255"/>
    </row>
    <row r="63" spans="1:28" s="256" customFormat="1" ht="51">
      <c r="A63" s="250">
        <v>58</v>
      </c>
      <c r="B63" s="250" t="s">
        <v>11</v>
      </c>
      <c r="C63" s="250" t="s">
        <v>479</v>
      </c>
      <c r="D63" s="250" t="s">
        <v>581</v>
      </c>
      <c r="E63" s="250" t="s">
        <v>582</v>
      </c>
      <c r="F63" s="251" t="s">
        <v>591</v>
      </c>
      <c r="G63" s="251" t="s">
        <v>584</v>
      </c>
      <c r="H63" s="251" t="s">
        <v>459</v>
      </c>
      <c r="I63" s="252" t="s">
        <v>585</v>
      </c>
      <c r="J63" s="252" t="s">
        <v>592</v>
      </c>
      <c r="K63" s="253" t="s">
        <v>572</v>
      </c>
      <c r="L63" s="257">
        <v>2016</v>
      </c>
      <c r="M63" s="328">
        <v>106.37472625633933</v>
      </c>
      <c r="N63" s="254">
        <v>7383256.9999999991</v>
      </c>
      <c r="O63" s="254">
        <v>69408</v>
      </c>
      <c r="P63" s="328">
        <v>221.8270522031531</v>
      </c>
      <c r="Q63" s="263">
        <v>616.82742429058362</v>
      </c>
      <c r="R63" s="262">
        <v>109.37406803786307</v>
      </c>
      <c r="S63" s="262">
        <v>110.90530499039315</v>
      </c>
      <c r="T63" s="262">
        <v>112.45797926025865</v>
      </c>
      <c r="U63" s="262">
        <v>115.63629455969095</v>
      </c>
      <c r="V63" s="262">
        <v>119.72133914879917</v>
      </c>
      <c r="W63" s="263">
        <v>168.71987920374718</v>
      </c>
      <c r="X63" s="263">
        <v>5851036.6909067482</v>
      </c>
      <c r="Y63" s="263">
        <v>34679</v>
      </c>
      <c r="Z63" s="255" t="s">
        <v>587</v>
      </c>
      <c r="AA63" s="255" t="s">
        <v>588</v>
      </c>
      <c r="AB63" s="255"/>
    </row>
    <row r="64" spans="1:28" s="256" customFormat="1" ht="51">
      <c r="A64" s="250">
        <v>59</v>
      </c>
      <c r="B64" s="250" t="s">
        <v>11</v>
      </c>
      <c r="C64" s="250" t="s">
        <v>479</v>
      </c>
      <c r="D64" s="250" t="s">
        <v>581</v>
      </c>
      <c r="E64" s="250" t="s">
        <v>593</v>
      </c>
      <c r="F64" s="251" t="s">
        <v>583</v>
      </c>
      <c r="G64" s="251" t="s">
        <v>594</v>
      </c>
      <c r="H64" s="251" t="s">
        <v>459</v>
      </c>
      <c r="I64" s="252" t="s">
        <v>585</v>
      </c>
      <c r="J64" s="252" t="s">
        <v>595</v>
      </c>
      <c r="K64" s="253" t="s">
        <v>572</v>
      </c>
      <c r="L64" s="257">
        <v>2016</v>
      </c>
      <c r="M64" s="257" t="s">
        <v>41</v>
      </c>
      <c r="N64" s="254">
        <v>69099.767004710375</v>
      </c>
      <c r="O64" s="257" t="s">
        <v>41</v>
      </c>
      <c r="P64" s="257" t="s">
        <v>41</v>
      </c>
      <c r="Q64" s="257" t="s">
        <v>41</v>
      </c>
      <c r="R64" s="257" t="s">
        <v>41</v>
      </c>
      <c r="S64" s="257" t="s">
        <v>41</v>
      </c>
      <c r="T64" s="257" t="s">
        <v>41</v>
      </c>
      <c r="U64" s="257" t="s">
        <v>41</v>
      </c>
      <c r="V64" s="257" t="s">
        <v>41</v>
      </c>
      <c r="W64" s="257" t="s">
        <v>41</v>
      </c>
      <c r="X64" s="257">
        <v>0</v>
      </c>
      <c r="Y64" s="257" t="s">
        <v>596</v>
      </c>
      <c r="Z64" s="255" t="s">
        <v>597</v>
      </c>
      <c r="AA64" s="255" t="s">
        <v>598</v>
      </c>
      <c r="AB64" s="255"/>
    </row>
    <row r="65" spans="1:28" s="256" customFormat="1" ht="51">
      <c r="A65" s="250">
        <v>60</v>
      </c>
      <c r="B65" s="250" t="s">
        <v>11</v>
      </c>
      <c r="C65" s="250" t="s">
        <v>479</v>
      </c>
      <c r="D65" s="250" t="s">
        <v>581</v>
      </c>
      <c r="E65" s="250" t="s">
        <v>593</v>
      </c>
      <c r="F65" s="251" t="s">
        <v>589</v>
      </c>
      <c r="G65" s="251" t="s">
        <v>594</v>
      </c>
      <c r="H65" s="251" t="s">
        <v>459</v>
      </c>
      <c r="I65" s="252" t="s">
        <v>585</v>
      </c>
      <c r="J65" s="252" t="s">
        <v>599</v>
      </c>
      <c r="K65" s="253" t="s">
        <v>572</v>
      </c>
      <c r="L65" s="257">
        <v>2016</v>
      </c>
      <c r="M65" s="257" t="s">
        <v>41</v>
      </c>
      <c r="N65" s="254">
        <v>70830960.360691428</v>
      </c>
      <c r="O65" s="257" t="s">
        <v>41</v>
      </c>
      <c r="P65" s="257" t="s">
        <v>41</v>
      </c>
      <c r="Q65" s="257" t="s">
        <v>41</v>
      </c>
      <c r="R65" s="257" t="s">
        <v>41</v>
      </c>
      <c r="S65" s="257" t="s">
        <v>41</v>
      </c>
      <c r="T65" s="257" t="s">
        <v>41</v>
      </c>
      <c r="U65" s="257" t="s">
        <v>41</v>
      </c>
      <c r="V65" s="257" t="s">
        <v>41</v>
      </c>
      <c r="W65" s="257" t="s">
        <v>41</v>
      </c>
      <c r="X65" s="257">
        <v>0</v>
      </c>
      <c r="Y65" s="257" t="s">
        <v>596</v>
      </c>
      <c r="Z65" s="255" t="s">
        <v>597</v>
      </c>
      <c r="AA65" s="255" t="s">
        <v>598</v>
      </c>
      <c r="AB65" s="255"/>
    </row>
    <row r="66" spans="1:28" s="256" customFormat="1" ht="51">
      <c r="A66" s="250">
        <v>61</v>
      </c>
      <c r="B66" s="250" t="s">
        <v>11</v>
      </c>
      <c r="C66" s="250" t="s">
        <v>479</v>
      </c>
      <c r="D66" s="250" t="s">
        <v>581</v>
      </c>
      <c r="E66" s="250" t="s">
        <v>593</v>
      </c>
      <c r="F66" s="251" t="s">
        <v>591</v>
      </c>
      <c r="G66" s="251" t="s">
        <v>594</v>
      </c>
      <c r="H66" s="251" t="s">
        <v>459</v>
      </c>
      <c r="I66" s="252" t="s">
        <v>585</v>
      </c>
      <c r="J66" s="252" t="s">
        <v>600</v>
      </c>
      <c r="K66" s="253" t="s">
        <v>572</v>
      </c>
      <c r="L66" s="257">
        <v>2016</v>
      </c>
      <c r="M66" s="257" t="s">
        <v>41</v>
      </c>
      <c r="N66" s="254">
        <v>2325660.0975072589</v>
      </c>
      <c r="O66" s="257" t="s">
        <v>41</v>
      </c>
      <c r="P66" s="257" t="s">
        <v>41</v>
      </c>
      <c r="Q66" s="257" t="s">
        <v>41</v>
      </c>
      <c r="R66" s="257" t="s">
        <v>41</v>
      </c>
      <c r="S66" s="257" t="s">
        <v>41</v>
      </c>
      <c r="T66" s="257" t="s">
        <v>41</v>
      </c>
      <c r="U66" s="257" t="s">
        <v>41</v>
      </c>
      <c r="V66" s="257" t="s">
        <v>41</v>
      </c>
      <c r="W66" s="257" t="s">
        <v>41</v>
      </c>
      <c r="X66" s="257">
        <v>0</v>
      </c>
      <c r="Y66" s="257" t="s">
        <v>596</v>
      </c>
      <c r="Z66" s="255" t="s">
        <v>597</v>
      </c>
      <c r="AA66" s="255" t="s">
        <v>598</v>
      </c>
      <c r="AB66" s="255"/>
    </row>
    <row r="67" spans="1:28" s="256" customFormat="1" ht="51">
      <c r="A67" s="250">
        <v>62</v>
      </c>
      <c r="B67" s="250" t="s">
        <v>11</v>
      </c>
      <c r="C67" s="250" t="s">
        <v>479</v>
      </c>
      <c r="D67" s="250" t="s">
        <v>581</v>
      </c>
      <c r="E67" s="250" t="s">
        <v>601</v>
      </c>
      <c r="F67" s="251" t="s">
        <v>583</v>
      </c>
      <c r="G67" s="251" t="s">
        <v>602</v>
      </c>
      <c r="H67" s="251" t="s">
        <v>459</v>
      </c>
      <c r="I67" s="252" t="s">
        <v>585</v>
      </c>
      <c r="J67" s="252" t="s">
        <v>603</v>
      </c>
      <c r="K67" s="253" t="s">
        <v>572</v>
      </c>
      <c r="L67" s="257">
        <v>2016</v>
      </c>
      <c r="M67" s="328">
        <v>0.02</v>
      </c>
      <c r="N67" s="254">
        <v>30000</v>
      </c>
      <c r="O67" s="254">
        <v>1500000</v>
      </c>
      <c r="P67" s="328">
        <v>0</v>
      </c>
      <c r="Q67" s="264">
        <v>0.23901661733577945</v>
      </c>
      <c r="R67" s="265">
        <v>2.0563919999999999E-2</v>
      </c>
      <c r="S67" s="265">
        <v>2.085181488E-2</v>
      </c>
      <c r="T67" s="265">
        <v>2.1143740288320001E-2</v>
      </c>
      <c r="U67" s="265">
        <v>2.1741309919996094E-2</v>
      </c>
      <c r="V67" s="265">
        <v>2.2509357882679291E-2</v>
      </c>
      <c r="W67" s="328">
        <v>1.5651250392057611E-2</v>
      </c>
      <c r="X67" s="254">
        <v>25200</v>
      </c>
      <c r="Y67" s="254">
        <v>1610095</v>
      </c>
      <c r="Z67" s="255" t="s">
        <v>604</v>
      </c>
      <c r="AA67" s="255" t="s">
        <v>605</v>
      </c>
      <c r="AB67" s="255"/>
    </row>
    <row r="68" spans="1:28" s="256" customFormat="1" ht="51">
      <c r="A68" s="250">
        <v>63</v>
      </c>
      <c r="B68" s="250" t="s">
        <v>11</v>
      </c>
      <c r="C68" s="250" t="s">
        <v>479</v>
      </c>
      <c r="D68" s="250" t="s">
        <v>581</v>
      </c>
      <c r="E68" s="250" t="s">
        <v>601</v>
      </c>
      <c r="F68" s="251" t="s">
        <v>589</v>
      </c>
      <c r="G68" s="251" t="s">
        <v>602</v>
      </c>
      <c r="H68" s="251" t="s">
        <v>459</v>
      </c>
      <c r="I68" s="252" t="s">
        <v>585</v>
      </c>
      <c r="J68" s="252" t="s">
        <v>606</v>
      </c>
      <c r="K68" s="253" t="s">
        <v>572</v>
      </c>
      <c r="L68" s="257">
        <v>2016</v>
      </c>
      <c r="M68" s="329">
        <v>88.7</v>
      </c>
      <c r="N68" s="254">
        <v>133050000</v>
      </c>
      <c r="O68" s="254">
        <v>1500000</v>
      </c>
      <c r="P68" s="329">
        <v>92.086978594228995</v>
      </c>
      <c r="Q68" s="262">
        <v>1702.6690729228508</v>
      </c>
      <c r="R68" s="262">
        <v>91.200985200000005</v>
      </c>
      <c r="S68" s="262">
        <v>92.477798992800004</v>
      </c>
      <c r="T68" s="262">
        <v>93.772488178699206</v>
      </c>
      <c r="U68" s="262">
        <v>96.422709495182673</v>
      </c>
      <c r="V68" s="262">
        <v>99.82900220968267</v>
      </c>
      <c r="W68" s="329">
        <v>86.640850384604633</v>
      </c>
      <c r="X68" s="254">
        <v>139500000</v>
      </c>
      <c r="Y68" s="254">
        <v>1610095</v>
      </c>
      <c r="Z68" s="255" t="s">
        <v>604</v>
      </c>
      <c r="AA68" s="255" t="s">
        <v>605</v>
      </c>
      <c r="AB68" s="255"/>
    </row>
    <row r="69" spans="1:28" s="256" customFormat="1" ht="51">
      <c r="A69" s="250">
        <v>64</v>
      </c>
      <c r="B69" s="250" t="s">
        <v>11</v>
      </c>
      <c r="C69" s="250" t="s">
        <v>479</v>
      </c>
      <c r="D69" s="250" t="s">
        <v>581</v>
      </c>
      <c r="E69" s="250" t="s">
        <v>601</v>
      </c>
      <c r="F69" s="251" t="s">
        <v>591</v>
      </c>
      <c r="G69" s="251" t="s">
        <v>602</v>
      </c>
      <c r="H69" s="251" t="s">
        <v>459</v>
      </c>
      <c r="I69" s="252" t="s">
        <v>585</v>
      </c>
      <c r="J69" s="252" t="s">
        <v>607</v>
      </c>
      <c r="K69" s="253" t="s">
        <v>572</v>
      </c>
      <c r="L69" s="250">
        <v>2016</v>
      </c>
      <c r="M69" s="328">
        <v>2.7000000000000006</v>
      </c>
      <c r="N69" s="254">
        <v>4050000.0000000005</v>
      </c>
      <c r="O69" s="254">
        <v>1500000</v>
      </c>
      <c r="P69" s="328">
        <v>2.5111939215089563</v>
      </c>
      <c r="Q69" s="264">
        <v>65.901304203616817</v>
      </c>
      <c r="R69" s="266">
        <v>2.7761292000000006</v>
      </c>
      <c r="S69" s="266">
        <v>2.8149950088000009</v>
      </c>
      <c r="T69" s="266">
        <v>2.8544049389232011</v>
      </c>
      <c r="U69" s="266">
        <v>2.9350768391994735</v>
      </c>
      <c r="V69" s="266">
        <v>3.038763314161705</v>
      </c>
      <c r="W69" s="328">
        <v>3.7730692881475938</v>
      </c>
      <c r="X69" s="254">
        <v>6074999.9955000002</v>
      </c>
      <c r="Y69" s="254">
        <v>1610095</v>
      </c>
      <c r="Z69" s="255" t="s">
        <v>604</v>
      </c>
      <c r="AA69" s="255" t="s">
        <v>605</v>
      </c>
      <c r="AB69" s="255"/>
    </row>
    <row r="70" spans="1:28" s="256" customFormat="1" ht="51">
      <c r="A70" s="250">
        <v>65</v>
      </c>
      <c r="B70" s="250" t="s">
        <v>11</v>
      </c>
      <c r="C70" s="250" t="s">
        <v>479</v>
      </c>
      <c r="D70" s="250" t="s">
        <v>581</v>
      </c>
      <c r="E70" s="250" t="s">
        <v>608</v>
      </c>
      <c r="F70" s="251" t="s">
        <v>583</v>
      </c>
      <c r="G70" s="251" t="s">
        <v>609</v>
      </c>
      <c r="H70" s="251" t="s">
        <v>459</v>
      </c>
      <c r="I70" s="252" t="s">
        <v>585</v>
      </c>
      <c r="J70" s="252" t="s">
        <v>610</v>
      </c>
      <c r="K70" s="253" t="s">
        <v>572</v>
      </c>
      <c r="L70" s="250">
        <v>2016</v>
      </c>
      <c r="M70" s="257" t="s">
        <v>41</v>
      </c>
      <c r="N70" s="254">
        <v>1316.3499564000006</v>
      </c>
      <c r="O70" s="257" t="s">
        <v>41</v>
      </c>
      <c r="P70" s="257" t="s">
        <v>41</v>
      </c>
      <c r="Q70" s="257" t="s">
        <v>41</v>
      </c>
      <c r="R70" s="257" t="s">
        <v>41</v>
      </c>
      <c r="S70" s="257" t="s">
        <v>41</v>
      </c>
      <c r="T70" s="257" t="s">
        <v>41</v>
      </c>
      <c r="U70" s="257" t="s">
        <v>41</v>
      </c>
      <c r="V70" s="257" t="s">
        <v>41</v>
      </c>
      <c r="W70" s="257" t="s">
        <v>41</v>
      </c>
      <c r="X70" s="257">
        <v>178707.565061945</v>
      </c>
      <c r="Y70" s="257">
        <v>7</v>
      </c>
      <c r="Z70" s="255" t="s">
        <v>611</v>
      </c>
      <c r="AA70" s="255" t="s">
        <v>612</v>
      </c>
      <c r="AB70" s="255"/>
    </row>
    <row r="71" spans="1:28" s="256" customFormat="1" ht="51">
      <c r="A71" s="250">
        <v>66</v>
      </c>
      <c r="B71" s="250" t="s">
        <v>11</v>
      </c>
      <c r="C71" s="250" t="s">
        <v>479</v>
      </c>
      <c r="D71" s="250" t="s">
        <v>581</v>
      </c>
      <c r="E71" s="250" t="s">
        <v>608</v>
      </c>
      <c r="F71" s="251" t="s">
        <v>589</v>
      </c>
      <c r="G71" s="251" t="s">
        <v>609</v>
      </c>
      <c r="H71" s="251" t="s">
        <v>459</v>
      </c>
      <c r="I71" s="252" t="s">
        <v>585</v>
      </c>
      <c r="J71" s="252" t="s">
        <v>613</v>
      </c>
      <c r="K71" s="253" t="s">
        <v>572</v>
      </c>
      <c r="L71" s="250">
        <v>2016</v>
      </c>
      <c r="M71" s="257" t="s">
        <v>41</v>
      </c>
      <c r="N71" s="254">
        <v>896980.19130000018</v>
      </c>
      <c r="O71" s="257" t="s">
        <v>41</v>
      </c>
      <c r="P71" s="257" t="s">
        <v>41</v>
      </c>
      <c r="Q71" s="257" t="s">
        <v>41</v>
      </c>
      <c r="R71" s="257" t="s">
        <v>41</v>
      </c>
      <c r="S71" s="257" t="s">
        <v>41</v>
      </c>
      <c r="T71" s="257" t="s">
        <v>41</v>
      </c>
      <c r="U71" s="257" t="s">
        <v>41</v>
      </c>
      <c r="V71" s="257" t="s">
        <v>41</v>
      </c>
      <c r="W71" s="257" t="s">
        <v>41</v>
      </c>
      <c r="X71" s="257">
        <v>1334592023.1066301</v>
      </c>
      <c r="Y71" s="257">
        <v>7</v>
      </c>
      <c r="Z71" s="255" t="s">
        <v>611</v>
      </c>
      <c r="AA71" s="255" t="s">
        <v>612</v>
      </c>
      <c r="AB71" s="255"/>
    </row>
    <row r="72" spans="1:28" s="256" customFormat="1" ht="51">
      <c r="A72" s="250">
        <v>67</v>
      </c>
      <c r="B72" s="250" t="s">
        <v>11</v>
      </c>
      <c r="C72" s="250" t="s">
        <v>479</v>
      </c>
      <c r="D72" s="250" t="s">
        <v>581</v>
      </c>
      <c r="E72" s="250" t="s">
        <v>608</v>
      </c>
      <c r="F72" s="251" t="s">
        <v>591</v>
      </c>
      <c r="G72" s="251" t="s">
        <v>609</v>
      </c>
      <c r="H72" s="251" t="s">
        <v>459</v>
      </c>
      <c r="I72" s="252" t="s">
        <v>585</v>
      </c>
      <c r="J72" s="252" t="s">
        <v>614</v>
      </c>
      <c r="K72" s="253" t="s">
        <v>572</v>
      </c>
      <c r="L72" s="250">
        <v>2016</v>
      </c>
      <c r="M72" s="257" t="s">
        <v>41</v>
      </c>
      <c r="N72" s="254">
        <v>124823.263638</v>
      </c>
      <c r="O72" s="257" t="s">
        <v>41</v>
      </c>
      <c r="P72" s="257" t="s">
        <v>41</v>
      </c>
      <c r="Q72" s="257" t="s">
        <v>41</v>
      </c>
      <c r="R72" s="257" t="s">
        <v>41</v>
      </c>
      <c r="S72" s="257" t="s">
        <v>41</v>
      </c>
      <c r="T72" s="257" t="s">
        <v>41</v>
      </c>
      <c r="U72" s="257" t="s">
        <v>41</v>
      </c>
      <c r="V72" s="257" t="s">
        <v>41</v>
      </c>
      <c r="W72" s="257" t="s">
        <v>41</v>
      </c>
      <c r="X72" s="257">
        <v>-26868859.746342402</v>
      </c>
      <c r="Y72" s="257">
        <v>7</v>
      </c>
      <c r="Z72" s="255" t="s">
        <v>611</v>
      </c>
      <c r="AA72" s="255" t="s">
        <v>612</v>
      </c>
      <c r="AB72" s="255"/>
    </row>
    <row r="73" spans="1:28" s="256" customFormat="1" ht="89.25">
      <c r="A73" s="250">
        <v>68</v>
      </c>
      <c r="B73" s="250" t="s">
        <v>11</v>
      </c>
      <c r="C73" s="250" t="s">
        <v>479</v>
      </c>
      <c r="D73" s="250" t="s">
        <v>615</v>
      </c>
      <c r="E73" s="250" t="s">
        <v>616</v>
      </c>
      <c r="F73" s="251" t="s">
        <v>617</v>
      </c>
      <c r="G73" s="251" t="s">
        <v>618</v>
      </c>
      <c r="H73" s="251" t="s">
        <v>459</v>
      </c>
      <c r="I73" s="252" t="s">
        <v>619</v>
      </c>
      <c r="J73" s="252" t="s">
        <v>619</v>
      </c>
      <c r="K73" s="253" t="s">
        <v>572</v>
      </c>
      <c r="L73" s="250">
        <v>2016</v>
      </c>
      <c r="M73" s="267">
        <v>1.5510722171072038E-2</v>
      </c>
      <c r="N73" s="254">
        <v>69408</v>
      </c>
      <c r="O73" s="254">
        <v>4474840</v>
      </c>
      <c r="P73" s="268">
        <v>1.1430927699532184E-2</v>
      </c>
      <c r="Q73" s="268">
        <v>3.2893547923577571E-2</v>
      </c>
      <c r="R73" s="267">
        <v>1.5510722171072038E-2</v>
      </c>
      <c r="S73" s="267">
        <v>2.3266083256608058E-2</v>
      </c>
      <c r="T73" s="267">
        <v>2.3266083256608058E-2</v>
      </c>
      <c r="U73" s="267">
        <v>2.7143763799376067E-2</v>
      </c>
      <c r="V73" s="267">
        <v>3.1021444342144076E-2</v>
      </c>
      <c r="W73" s="268">
        <v>7.6476661816536288E-3</v>
      </c>
      <c r="X73" s="268">
        <v>34679</v>
      </c>
      <c r="Y73" s="268">
        <v>4534586</v>
      </c>
      <c r="Z73" s="255" t="s">
        <v>620</v>
      </c>
      <c r="AA73" s="255" t="s">
        <v>621</v>
      </c>
      <c r="AB73" s="255"/>
    </row>
    <row r="74" spans="1:28" s="256" customFormat="1" ht="76.5">
      <c r="A74" s="250">
        <v>69</v>
      </c>
      <c r="B74" s="250" t="s">
        <v>11</v>
      </c>
      <c r="C74" s="250" t="s">
        <v>479</v>
      </c>
      <c r="D74" s="250" t="s">
        <v>615</v>
      </c>
      <c r="E74" s="250" t="s">
        <v>622</v>
      </c>
      <c r="F74" s="251" t="s">
        <v>617</v>
      </c>
      <c r="G74" s="251" t="s">
        <v>623</v>
      </c>
      <c r="H74" s="251" t="s">
        <v>459</v>
      </c>
      <c r="I74" s="252" t="s">
        <v>624</v>
      </c>
      <c r="J74" s="252" t="s">
        <v>624</v>
      </c>
      <c r="K74" s="253" t="s">
        <v>572</v>
      </c>
      <c r="L74" s="250">
        <v>2016</v>
      </c>
      <c r="M74" s="267">
        <v>2.95797E-2</v>
      </c>
      <c r="N74" s="254">
        <v>16236</v>
      </c>
      <c r="O74" s="254">
        <v>548892</v>
      </c>
      <c r="P74" s="268">
        <v>2.1918576621529223E-2</v>
      </c>
      <c r="Q74" s="268">
        <v>3.7906961330849163E-2</v>
      </c>
      <c r="R74" s="268">
        <f>M74*1.02</f>
        <v>3.0171294000000001E-2</v>
      </c>
      <c r="S74" s="268">
        <f>M74*1.02</f>
        <v>3.0171294000000001E-2</v>
      </c>
      <c r="T74" s="268">
        <f>M74*1.02</f>
        <v>3.0171294000000001E-2</v>
      </c>
      <c r="U74" s="267">
        <f>M74*1.05</f>
        <v>3.1058685000000003E-2</v>
      </c>
      <c r="V74" s="267">
        <f>M74*1.1</f>
        <v>3.2537670000000005E-2</v>
      </c>
      <c r="W74" s="268">
        <v>1.2182203389830509E-2</v>
      </c>
      <c r="X74" s="268">
        <v>8740</v>
      </c>
      <c r="Y74" s="268">
        <v>717440</v>
      </c>
      <c r="Z74" s="255" t="s">
        <v>625</v>
      </c>
      <c r="AA74" s="255" t="s">
        <v>626</v>
      </c>
      <c r="AB74" s="255"/>
    </row>
    <row r="75" spans="1:28" s="256" customFormat="1" ht="63.75">
      <c r="A75" s="250">
        <v>70</v>
      </c>
      <c r="B75" s="250" t="s">
        <v>11</v>
      </c>
      <c r="C75" s="250" t="s">
        <v>479</v>
      </c>
      <c r="D75" s="250" t="s">
        <v>615</v>
      </c>
      <c r="E75" s="250" t="s">
        <v>627</v>
      </c>
      <c r="F75" s="251" t="s">
        <v>617</v>
      </c>
      <c r="G75" s="251" t="s">
        <v>628</v>
      </c>
      <c r="H75" s="251" t="s">
        <v>459</v>
      </c>
      <c r="I75" s="252" t="s">
        <v>629</v>
      </c>
      <c r="J75" s="252" t="s">
        <v>629</v>
      </c>
      <c r="K75" s="253" t="s">
        <v>572</v>
      </c>
      <c r="L75" s="250">
        <v>2016</v>
      </c>
      <c r="M75" s="267">
        <v>2.4138699999999999E-2</v>
      </c>
      <c r="N75" s="254">
        <v>14590</v>
      </c>
      <c r="O75" s="254">
        <v>604424</v>
      </c>
      <c r="P75" s="268">
        <v>1.9202034042452663E-2</v>
      </c>
      <c r="Q75" s="268">
        <v>2.7051107427569893E-3</v>
      </c>
      <c r="R75" s="267">
        <f>M75*1.02</f>
        <v>2.4621474000000001E-2</v>
      </c>
      <c r="S75" s="267">
        <f>M75*1.02</f>
        <v>2.4621474000000001E-2</v>
      </c>
      <c r="T75" s="267">
        <f>M75*1.02</f>
        <v>2.4621474000000001E-2</v>
      </c>
      <c r="U75" s="267">
        <f>M75*1.05</f>
        <v>2.5345635000000002E-2</v>
      </c>
      <c r="V75" s="267">
        <f>M75*1.1</f>
        <v>2.6552570000000001E-2</v>
      </c>
      <c r="W75" s="268">
        <v>2.4330476100350141E-3</v>
      </c>
      <c r="X75" s="268">
        <v>977</v>
      </c>
      <c r="Y75" s="268">
        <v>401554</v>
      </c>
      <c r="Z75" s="255" t="s">
        <v>630</v>
      </c>
      <c r="AA75" s="255" t="s">
        <v>631</v>
      </c>
      <c r="AB75" s="255" t="s">
        <v>632</v>
      </c>
    </row>
    <row r="76" spans="1:28" s="256" customFormat="1" ht="90">
      <c r="A76" s="250">
        <v>71</v>
      </c>
      <c r="B76" s="250" t="s">
        <v>11</v>
      </c>
      <c r="C76" s="250" t="s">
        <v>479</v>
      </c>
      <c r="D76" s="250" t="s">
        <v>633</v>
      </c>
      <c r="E76" s="250" t="s">
        <v>554</v>
      </c>
      <c r="F76" s="251" t="s">
        <v>555</v>
      </c>
      <c r="G76" s="251" t="s">
        <v>556</v>
      </c>
      <c r="H76" s="251" t="s">
        <v>459</v>
      </c>
      <c r="I76" s="252" t="s">
        <v>557</v>
      </c>
      <c r="J76" s="252" t="s">
        <v>555</v>
      </c>
      <c r="K76" s="253" t="s">
        <v>572</v>
      </c>
      <c r="L76" s="250">
        <v>2016</v>
      </c>
      <c r="M76" s="258">
        <v>441.92115971244283</v>
      </c>
      <c r="N76" s="259">
        <v>57896037.337772526</v>
      </c>
      <c r="O76" s="254">
        <v>131009.87826752933</v>
      </c>
      <c r="P76" s="258">
        <v>336.98901170257557</v>
      </c>
      <c r="Q76" s="269">
        <v>358.76479541088082</v>
      </c>
      <c r="R76" s="269">
        <v>419.82510172682066</v>
      </c>
      <c r="S76" s="269">
        <v>419.82510172682066</v>
      </c>
      <c r="T76" s="269">
        <v>419.82510172682066</v>
      </c>
      <c r="U76" s="269">
        <f t="shared" ref="U76:U81" si="2">M76*0.9</f>
        <v>397.72904374119855</v>
      </c>
      <c r="V76" s="269">
        <f t="shared" ref="V76:V81" si="3">M76*0.85</f>
        <v>375.63298575557639</v>
      </c>
      <c r="W76" s="269">
        <v>272.22845150877015</v>
      </c>
      <c r="X76" s="269">
        <v>61379629.252370708</v>
      </c>
      <c r="Y76" s="269">
        <v>225471.02961570237</v>
      </c>
      <c r="Z76" s="255" t="s">
        <v>634</v>
      </c>
      <c r="AA76" s="255" t="s">
        <v>635</v>
      </c>
      <c r="AB76" s="255"/>
    </row>
    <row r="77" spans="1:28" s="256" customFormat="1" ht="67.5">
      <c r="A77" s="250">
        <v>72</v>
      </c>
      <c r="B77" s="250" t="s">
        <v>11</v>
      </c>
      <c r="C77" s="250" t="s">
        <v>479</v>
      </c>
      <c r="D77" s="250" t="s">
        <v>633</v>
      </c>
      <c r="E77" s="250" t="s">
        <v>554</v>
      </c>
      <c r="F77" s="251" t="s">
        <v>560</v>
      </c>
      <c r="G77" s="251" t="s">
        <v>556</v>
      </c>
      <c r="H77" s="251" t="s">
        <v>459</v>
      </c>
      <c r="I77" s="252" t="s">
        <v>557</v>
      </c>
      <c r="J77" s="252" t="s">
        <v>560</v>
      </c>
      <c r="K77" s="253" t="s">
        <v>572</v>
      </c>
      <c r="L77" s="250">
        <v>2016</v>
      </c>
      <c r="M77" s="258">
        <v>0.18150952325266395</v>
      </c>
      <c r="N77" s="259">
        <v>57896037.337772526</v>
      </c>
      <c r="O77" s="254">
        <v>318969695.3651318</v>
      </c>
      <c r="P77" s="258">
        <v>6.6055980555020155E-2</v>
      </c>
      <c r="Q77" s="269">
        <v>6.2396172421025263E-2</v>
      </c>
      <c r="R77" s="269">
        <v>0.17243404709003074</v>
      </c>
      <c r="S77" s="269">
        <v>0.17243404709003074</v>
      </c>
      <c r="T77" s="269">
        <v>0.17243404709003074</v>
      </c>
      <c r="U77" s="269">
        <f t="shared" si="2"/>
        <v>0.16335857092739756</v>
      </c>
      <c r="V77" s="269">
        <f t="shared" si="3"/>
        <v>0.15428309476476434</v>
      </c>
      <c r="W77" s="269">
        <v>4.0065583508472044E-2</v>
      </c>
      <c r="X77" s="269">
        <v>61379629.252370708</v>
      </c>
      <c r="Y77" s="269">
        <v>1531978917.501394</v>
      </c>
      <c r="Z77" s="255" t="s">
        <v>636</v>
      </c>
      <c r="AA77" s="255" t="s">
        <v>635</v>
      </c>
      <c r="AB77" s="255"/>
    </row>
    <row r="78" spans="1:28" s="256" customFormat="1" ht="56.25">
      <c r="A78" s="250">
        <v>73</v>
      </c>
      <c r="B78" s="250" t="s">
        <v>11</v>
      </c>
      <c r="C78" s="250" t="s">
        <v>479</v>
      </c>
      <c r="D78" s="250" t="s">
        <v>633</v>
      </c>
      <c r="E78" s="250" t="s">
        <v>554</v>
      </c>
      <c r="F78" s="251" t="s">
        <v>562</v>
      </c>
      <c r="G78" s="251" t="s">
        <v>556</v>
      </c>
      <c r="H78" s="251" t="s">
        <v>459</v>
      </c>
      <c r="I78" s="252" t="s">
        <v>557</v>
      </c>
      <c r="J78" s="252" t="s">
        <v>562</v>
      </c>
      <c r="K78" s="253" t="s">
        <v>572</v>
      </c>
      <c r="L78" s="250">
        <v>2016</v>
      </c>
      <c r="M78" s="258">
        <v>1.026669179048439</v>
      </c>
      <c r="N78" s="259">
        <v>11031310.586185301</v>
      </c>
      <c r="O78" s="254">
        <v>10744756.744728221</v>
      </c>
      <c r="P78" s="258">
        <v>0.416520934389074</v>
      </c>
      <c r="Q78" s="269">
        <v>0.40952241204318629</v>
      </c>
      <c r="R78" s="269">
        <v>0.97533572009601699</v>
      </c>
      <c r="S78" s="269">
        <v>0.97533572009601699</v>
      </c>
      <c r="T78" s="269">
        <v>0.97533572009601699</v>
      </c>
      <c r="U78" s="269">
        <f t="shared" si="2"/>
        <v>0.92400226114359518</v>
      </c>
      <c r="V78" s="269">
        <f t="shared" si="3"/>
        <v>0.87266880219117315</v>
      </c>
      <c r="W78" s="269">
        <v>0.30307241510723049</v>
      </c>
      <c r="X78" s="269">
        <v>-4841755.5097648567</v>
      </c>
      <c r="Y78" s="269">
        <v>-15975573.059170654</v>
      </c>
      <c r="Z78" s="255" t="s">
        <v>637</v>
      </c>
      <c r="AA78" s="255" t="s">
        <v>635</v>
      </c>
      <c r="AB78" s="255"/>
    </row>
    <row r="79" spans="1:28" s="256" customFormat="1" ht="78.75">
      <c r="A79" s="250">
        <v>74</v>
      </c>
      <c r="B79" s="250" t="s">
        <v>11</v>
      </c>
      <c r="C79" s="250" t="s">
        <v>479</v>
      </c>
      <c r="D79" s="250" t="s">
        <v>633</v>
      </c>
      <c r="E79" s="250" t="s">
        <v>554</v>
      </c>
      <c r="F79" s="251" t="s">
        <v>564</v>
      </c>
      <c r="G79" s="251" t="s">
        <v>556</v>
      </c>
      <c r="H79" s="251" t="s">
        <v>459</v>
      </c>
      <c r="I79" s="252" t="s">
        <v>557</v>
      </c>
      <c r="J79" s="252" t="s">
        <v>564</v>
      </c>
      <c r="K79" s="253" t="s">
        <v>572</v>
      </c>
      <c r="L79" s="250">
        <v>2016</v>
      </c>
      <c r="M79" s="258">
        <v>660.13621592506195</v>
      </c>
      <c r="N79" s="259">
        <v>86484365.288329825</v>
      </c>
      <c r="O79" s="254">
        <v>131009.87826752933</v>
      </c>
      <c r="P79" s="258">
        <v>623.63126463054971</v>
      </c>
      <c r="Q79" s="269">
        <v>601.77574773904098</v>
      </c>
      <c r="R79" s="269">
        <v>627.1294051288088</v>
      </c>
      <c r="S79" s="269">
        <v>627.1294051288088</v>
      </c>
      <c r="T79" s="269">
        <v>627.1294051288088</v>
      </c>
      <c r="U79" s="269">
        <f t="shared" si="2"/>
        <v>594.12259433255576</v>
      </c>
      <c r="V79" s="269">
        <f t="shared" si="3"/>
        <v>561.11578353630262</v>
      </c>
      <c r="W79" s="269">
        <v>348.90717488824851</v>
      </c>
      <c r="X79" s="269">
        <v>78668459.962359324</v>
      </c>
      <c r="Y79" s="269">
        <v>225471.02961570237</v>
      </c>
      <c r="Z79" s="255" t="s">
        <v>638</v>
      </c>
      <c r="AA79" s="255" t="s">
        <v>635</v>
      </c>
      <c r="AB79" s="255"/>
    </row>
    <row r="80" spans="1:28" s="256" customFormat="1" ht="45">
      <c r="A80" s="250">
        <v>75</v>
      </c>
      <c r="B80" s="250" t="s">
        <v>11</v>
      </c>
      <c r="C80" s="250" t="s">
        <v>479</v>
      </c>
      <c r="D80" s="250" t="s">
        <v>633</v>
      </c>
      <c r="E80" s="250" t="s">
        <v>554</v>
      </c>
      <c r="F80" s="251" t="s">
        <v>566</v>
      </c>
      <c r="G80" s="251" t="s">
        <v>556</v>
      </c>
      <c r="H80" s="251" t="s">
        <v>459</v>
      </c>
      <c r="I80" s="252" t="s">
        <v>557</v>
      </c>
      <c r="J80" s="252" t="s">
        <v>566</v>
      </c>
      <c r="K80" s="253" t="s">
        <v>572</v>
      </c>
      <c r="L80" s="250">
        <v>2016</v>
      </c>
      <c r="M80" s="258">
        <v>0.27113662064143501</v>
      </c>
      <c r="N80" s="259">
        <v>86484365.288329825</v>
      </c>
      <c r="O80" s="254">
        <v>318969695.3651318</v>
      </c>
      <c r="P80" s="258">
        <v>0.12224307992064828</v>
      </c>
      <c r="Q80" s="269">
        <v>0.10466050123929693</v>
      </c>
      <c r="R80" s="269">
        <v>0.25757978960936323</v>
      </c>
      <c r="S80" s="269">
        <v>0.25757978960936323</v>
      </c>
      <c r="T80" s="269">
        <v>0.25757978960936323</v>
      </c>
      <c r="U80" s="269">
        <f t="shared" si="2"/>
        <v>0.2440229585772915</v>
      </c>
      <c r="V80" s="269">
        <f t="shared" si="3"/>
        <v>0.23046612754521975</v>
      </c>
      <c r="W80" s="269">
        <v>5.1350876349307031E-2</v>
      </c>
      <c r="X80" s="269">
        <v>78668459.962359324</v>
      </c>
      <c r="Y80" s="269">
        <v>1531978917.501394</v>
      </c>
      <c r="Z80" s="255" t="s">
        <v>639</v>
      </c>
      <c r="AA80" s="255" t="s">
        <v>635</v>
      </c>
      <c r="AB80" s="255"/>
    </row>
    <row r="81" spans="1:28" s="256" customFormat="1" ht="45">
      <c r="A81" s="250">
        <v>76</v>
      </c>
      <c r="B81" s="250" t="s">
        <v>11</v>
      </c>
      <c r="C81" s="250" t="s">
        <v>479</v>
      </c>
      <c r="D81" s="250" t="s">
        <v>633</v>
      </c>
      <c r="E81" s="250" t="s">
        <v>554</v>
      </c>
      <c r="F81" s="251" t="s">
        <v>568</v>
      </c>
      <c r="G81" s="251" t="s">
        <v>556</v>
      </c>
      <c r="H81" s="251" t="s">
        <v>459</v>
      </c>
      <c r="I81" s="252" t="s">
        <v>557</v>
      </c>
      <c r="J81" s="252" t="s">
        <v>568</v>
      </c>
      <c r="K81" s="253" t="s">
        <v>572</v>
      </c>
      <c r="L81" s="250">
        <v>2016</v>
      </c>
      <c r="M81" s="258">
        <v>1.5336253808370059</v>
      </c>
      <c r="N81" s="259">
        <v>16478431.654634805</v>
      </c>
      <c r="O81" s="254">
        <v>10744756.744728221</v>
      </c>
      <c r="P81" s="258">
        <v>0.77081289904910921</v>
      </c>
      <c r="Q81" s="269">
        <v>0.68691426493211016</v>
      </c>
      <c r="R81" s="269">
        <f t="shared" ref="R81:T81" si="4">$M$81*0.95</f>
        <v>1.4569441117951556</v>
      </c>
      <c r="S81" s="269">
        <f t="shared" si="4"/>
        <v>1.4569441117951556</v>
      </c>
      <c r="T81" s="269">
        <f t="shared" si="4"/>
        <v>1.4569441117951556</v>
      </c>
      <c r="U81" s="269">
        <f t="shared" si="2"/>
        <v>1.3802628427533055</v>
      </c>
      <c r="V81" s="269">
        <f t="shared" si="3"/>
        <v>1.3035815737114551</v>
      </c>
      <c r="W81" s="269">
        <v>0.38843897305941832</v>
      </c>
      <c r="X81" s="269">
        <v>-6205535.1931399591</v>
      </c>
      <c r="Y81" s="269">
        <v>-15975573.059170654</v>
      </c>
      <c r="Z81" s="255" t="s">
        <v>640</v>
      </c>
      <c r="AA81" s="255" t="s">
        <v>635</v>
      </c>
      <c r="AB81" s="255"/>
    </row>
    <row r="82" spans="1:28" s="256" customFormat="1" ht="33.75">
      <c r="A82" s="250">
        <v>77</v>
      </c>
      <c r="B82" s="250" t="s">
        <v>11</v>
      </c>
      <c r="C82" s="250" t="s">
        <v>479</v>
      </c>
      <c r="D82" s="250" t="s">
        <v>641</v>
      </c>
      <c r="E82" s="250" t="s">
        <v>642</v>
      </c>
      <c r="F82" s="251" t="s">
        <v>643</v>
      </c>
      <c r="G82" s="251" t="s">
        <v>644</v>
      </c>
      <c r="H82" s="251" t="s">
        <v>645</v>
      </c>
      <c r="I82" s="252" t="s">
        <v>646</v>
      </c>
      <c r="J82" s="252" t="s">
        <v>647</v>
      </c>
      <c r="K82" s="253" t="s">
        <v>572</v>
      </c>
      <c r="L82" s="250" t="s">
        <v>648</v>
      </c>
      <c r="M82" s="257" t="s">
        <v>648</v>
      </c>
      <c r="N82" s="257" t="s">
        <v>648</v>
      </c>
      <c r="O82" s="257" t="s">
        <v>648</v>
      </c>
      <c r="P82" s="257" t="s">
        <v>648</v>
      </c>
      <c r="Q82" s="257" t="s">
        <v>648</v>
      </c>
      <c r="R82" s="257" t="s">
        <v>648</v>
      </c>
      <c r="S82" s="257" t="s">
        <v>648</v>
      </c>
      <c r="T82" s="257" t="s">
        <v>648</v>
      </c>
      <c r="U82" s="257" t="s">
        <v>648</v>
      </c>
      <c r="V82" s="257" t="s">
        <v>648</v>
      </c>
      <c r="W82" s="257" t="s">
        <v>648</v>
      </c>
      <c r="X82" s="257" t="s">
        <v>648</v>
      </c>
      <c r="Y82" s="257" t="s">
        <v>648</v>
      </c>
      <c r="Z82" s="255" t="s">
        <v>649</v>
      </c>
      <c r="AA82" s="255" t="s">
        <v>650</v>
      </c>
      <c r="AB82" s="255"/>
    </row>
    <row r="83" spans="1:28" s="256" customFormat="1" ht="51">
      <c r="A83" s="250">
        <v>78</v>
      </c>
      <c r="B83" s="250" t="s">
        <v>11</v>
      </c>
      <c r="C83" s="250" t="s">
        <v>479</v>
      </c>
      <c r="D83" s="250" t="s">
        <v>651</v>
      </c>
      <c r="E83" s="250" t="s">
        <v>652</v>
      </c>
      <c r="F83" s="251" t="s">
        <v>491</v>
      </c>
      <c r="G83" s="251" t="s">
        <v>492</v>
      </c>
      <c r="H83" s="251" t="s">
        <v>459</v>
      </c>
      <c r="I83" s="252" t="s">
        <v>653</v>
      </c>
      <c r="J83" s="252" t="s">
        <v>654</v>
      </c>
      <c r="K83" s="253" t="s">
        <v>655</v>
      </c>
      <c r="L83" s="250">
        <v>2016</v>
      </c>
      <c r="M83" s="254">
        <v>7948.5815295048451</v>
      </c>
      <c r="N83" s="257" t="s">
        <v>41</v>
      </c>
      <c r="O83" s="257" t="s">
        <v>41</v>
      </c>
      <c r="P83" s="254">
        <v>2816.7605610677624</v>
      </c>
      <c r="Q83" s="254">
        <v>5464.9961839086855</v>
      </c>
      <c r="R83" s="254">
        <f>6.82614513707505*10^3</f>
        <v>6826.1451370750501</v>
      </c>
      <c r="S83" s="254">
        <f>8.69987320237945*10^3</f>
        <v>8699.873202379451</v>
      </c>
      <c r="T83" s="254">
        <f>8.90241921372728*10^3</f>
        <v>8902.4192137272803</v>
      </c>
      <c r="U83" s="254">
        <f>10.153307207823*10^3</f>
        <v>10153.307207823</v>
      </c>
      <c r="V83" s="254">
        <f>11.0341793540323*10^3</f>
        <v>11034.1793540323</v>
      </c>
      <c r="W83" s="254">
        <v>4372.5503814667045</v>
      </c>
      <c r="X83" s="254" t="s">
        <v>41</v>
      </c>
      <c r="Y83" s="254" t="s">
        <v>41</v>
      </c>
      <c r="Z83" s="255" t="s">
        <v>573</v>
      </c>
      <c r="AA83" s="255" t="s">
        <v>656</v>
      </c>
      <c r="AB83" s="270"/>
    </row>
    <row r="84" spans="1:28" s="256" customFormat="1" ht="51">
      <c r="A84" s="250">
        <v>79</v>
      </c>
      <c r="B84" s="250" t="s">
        <v>11</v>
      </c>
      <c r="C84" s="250" t="s">
        <v>479</v>
      </c>
      <c r="D84" s="250" t="s">
        <v>651</v>
      </c>
      <c r="E84" s="250" t="s">
        <v>652</v>
      </c>
      <c r="F84" s="251" t="s">
        <v>496</v>
      </c>
      <c r="G84" s="251" t="s">
        <v>492</v>
      </c>
      <c r="H84" s="251" t="s">
        <v>459</v>
      </c>
      <c r="I84" s="252" t="s">
        <v>653</v>
      </c>
      <c r="J84" s="252" t="s">
        <v>657</v>
      </c>
      <c r="K84" s="253" t="s">
        <v>655</v>
      </c>
      <c r="L84" s="250">
        <v>2016</v>
      </c>
      <c r="M84" s="254">
        <v>7485.7519621370175</v>
      </c>
      <c r="N84" s="257" t="s">
        <v>41</v>
      </c>
      <c r="O84" s="257" t="s">
        <v>41</v>
      </c>
      <c r="P84" s="254">
        <v>2022.3164243378421</v>
      </c>
      <c r="Q84" s="254">
        <v>5346.7683843528603</v>
      </c>
      <c r="R84" s="254">
        <f>5.99135673542874*10^3</f>
        <v>5991.3567354287397</v>
      </c>
      <c r="S84" s="254">
        <f>7.69666390978575*10^3</f>
        <v>7696.6639097857496</v>
      </c>
      <c r="T84" s="254">
        <f>7.94868261972448*10^3</f>
        <v>7948.68261972448</v>
      </c>
      <c r="U84" s="254">
        <f>9.06950043372738*10^3</f>
        <v>9069.5004337273804</v>
      </c>
      <c r="V84" s="254">
        <f>9.88696711599362*10^3</f>
        <v>9886.9671159936206</v>
      </c>
      <c r="W84" s="254">
        <v>4482.9127755177606</v>
      </c>
      <c r="X84" s="254" t="s">
        <v>41</v>
      </c>
      <c r="Y84" s="254" t="s">
        <v>41</v>
      </c>
      <c r="Z84" s="255" t="s">
        <v>573</v>
      </c>
      <c r="AA84" s="255" t="s">
        <v>656</v>
      </c>
      <c r="AB84" s="255"/>
    </row>
    <row r="85" spans="1:28" s="256" customFormat="1" ht="51">
      <c r="A85" s="250">
        <v>80</v>
      </c>
      <c r="B85" s="250" t="s">
        <v>11</v>
      </c>
      <c r="C85" s="250" t="s">
        <v>479</v>
      </c>
      <c r="D85" s="250" t="s">
        <v>651</v>
      </c>
      <c r="E85" s="250" t="s">
        <v>652</v>
      </c>
      <c r="F85" s="251" t="s">
        <v>497</v>
      </c>
      <c r="G85" s="251" t="s">
        <v>492</v>
      </c>
      <c r="H85" s="251" t="s">
        <v>459</v>
      </c>
      <c r="I85" s="252" t="s">
        <v>653</v>
      </c>
      <c r="J85" s="252" t="s">
        <v>658</v>
      </c>
      <c r="K85" s="253" t="s">
        <v>655</v>
      </c>
      <c r="L85" s="250">
        <v>2016</v>
      </c>
      <c r="M85" s="254">
        <v>29178050.528094549</v>
      </c>
      <c r="N85" s="257" t="s">
        <v>41</v>
      </c>
      <c r="O85" s="257" t="s">
        <v>41</v>
      </c>
      <c r="P85" s="254">
        <v>30672074.67508281</v>
      </c>
      <c r="Q85" s="254">
        <v>27213136.971620847</v>
      </c>
      <c r="R85" s="254">
        <f>29.962925954542*10^6</f>
        <v>29962925.954542</v>
      </c>
      <c r="S85" s="254">
        <f>38.3381630787628*10^6</f>
        <v>38338163.0787628</v>
      </c>
      <c r="T85" s="254">
        <f>39.6751351080357*10^6</f>
        <v>39675135.108035699</v>
      </c>
      <c r="U85" s="254">
        <f>44.8104081335927*10^6</f>
        <v>44810408.133592702</v>
      </c>
      <c r="V85" s="254">
        <f>50.0956940074895*10^6</f>
        <v>50095694.007489502</v>
      </c>
      <c r="W85" s="254">
        <v>23903586.88238864</v>
      </c>
      <c r="X85" s="254" t="s">
        <v>41</v>
      </c>
      <c r="Y85" s="254" t="s">
        <v>41</v>
      </c>
      <c r="Z85" s="255" t="s">
        <v>573</v>
      </c>
      <c r="AA85" s="255" t="s">
        <v>656</v>
      </c>
      <c r="AB85" s="255"/>
    </row>
    <row r="86" spans="1:28" s="256" customFormat="1" ht="51">
      <c r="A86" s="250">
        <v>81</v>
      </c>
      <c r="B86" s="250" t="s">
        <v>11</v>
      </c>
      <c r="C86" s="250" t="s">
        <v>479</v>
      </c>
      <c r="D86" s="250" t="s">
        <v>651</v>
      </c>
      <c r="E86" s="250" t="s">
        <v>652</v>
      </c>
      <c r="F86" s="251" t="s">
        <v>498</v>
      </c>
      <c r="G86" s="251" t="s">
        <v>492</v>
      </c>
      <c r="H86" s="251" t="s">
        <v>459</v>
      </c>
      <c r="I86" s="252" t="s">
        <v>653</v>
      </c>
      <c r="J86" s="252" t="s">
        <v>659</v>
      </c>
      <c r="K86" s="253" t="s">
        <v>655</v>
      </c>
      <c r="L86" s="250">
        <v>2016</v>
      </c>
      <c r="M86" s="254">
        <v>28722382.900030665</v>
      </c>
      <c r="N86" s="257" t="s">
        <v>41</v>
      </c>
      <c r="O86" s="257" t="s">
        <v>41</v>
      </c>
      <c r="P86" s="254">
        <v>29443645.850736305</v>
      </c>
      <c r="Q86" s="254">
        <v>27779364.242444884</v>
      </c>
      <c r="R86" s="254">
        <f>27.0080407502636*10^6</f>
        <v>27008040.750263602</v>
      </c>
      <c r="S86" s="254">
        <f>34.5878739477615*10^6</f>
        <v>34587873.947761498</v>
      </c>
      <c r="T86" s="254">
        <f>35.9419534196562*10^6</f>
        <v>35941953.419656202</v>
      </c>
      <c r="U86" s="254">
        <f>40.0445687124141*10^6</f>
        <v>40044568.712414101</v>
      </c>
      <c r="V86" s="254">
        <f>44.3019317386265*10^6</f>
        <v>44301931.738626502</v>
      </c>
      <c r="W86" s="254">
        <v>24393012.746291999</v>
      </c>
      <c r="X86" s="254" t="s">
        <v>41</v>
      </c>
      <c r="Y86" s="254" t="s">
        <v>41</v>
      </c>
      <c r="Z86" s="255" t="s">
        <v>573</v>
      </c>
      <c r="AA86" s="255" t="s">
        <v>656</v>
      </c>
      <c r="AB86" s="255"/>
    </row>
    <row r="87" spans="1:28" s="256" customFormat="1" ht="51">
      <c r="A87" s="250">
        <v>82</v>
      </c>
      <c r="B87" s="250" t="s">
        <v>11</v>
      </c>
      <c r="C87" s="250" t="s">
        <v>479</v>
      </c>
      <c r="D87" s="250" t="s">
        <v>651</v>
      </c>
      <c r="E87" s="250" t="s">
        <v>652</v>
      </c>
      <c r="F87" s="251" t="s">
        <v>499</v>
      </c>
      <c r="G87" s="251" t="s">
        <v>492</v>
      </c>
      <c r="H87" s="251" t="s">
        <v>459</v>
      </c>
      <c r="I87" s="252" t="s">
        <v>653</v>
      </c>
      <c r="J87" s="252" t="s">
        <v>660</v>
      </c>
      <c r="K87" s="253" t="s">
        <v>655</v>
      </c>
      <c r="L87" s="250">
        <v>2016</v>
      </c>
      <c r="M87" s="254">
        <v>856377.32172176498</v>
      </c>
      <c r="N87" s="257" t="s">
        <v>41</v>
      </c>
      <c r="O87" s="257" t="s">
        <v>41</v>
      </c>
      <c r="P87" s="254">
        <v>1240263.7362550215</v>
      </c>
      <c r="Q87" s="254">
        <v>1222538.127078264</v>
      </c>
      <c r="R87" s="254">
        <f>1.42231715541233*10^6</f>
        <v>1422317.1554123301</v>
      </c>
      <c r="S87" s="254">
        <f>1.78396959177913*10^6</f>
        <v>1783969.59177913</v>
      </c>
      <c r="T87" s="254">
        <f>1.82379114574795*10^6</f>
        <v>1823791.1457479501</v>
      </c>
      <c r="U87" s="254">
        <f>2.75291969619783*10^6</f>
        <v>2752919.6961978301</v>
      </c>
      <c r="V87" s="254">
        <f>3.58883669546489*10^6</f>
        <v>3588836.69546489</v>
      </c>
      <c r="W87" s="254">
        <v>1094811.4145189866</v>
      </c>
      <c r="X87" s="254" t="s">
        <v>41</v>
      </c>
      <c r="Y87" s="254" t="s">
        <v>41</v>
      </c>
      <c r="Z87" s="255" t="s">
        <v>573</v>
      </c>
      <c r="AA87" s="255" t="s">
        <v>656</v>
      </c>
      <c r="AB87" s="255"/>
    </row>
    <row r="88" spans="1:28" s="256" customFormat="1" ht="51">
      <c r="A88" s="250">
        <v>83</v>
      </c>
      <c r="B88" s="250" t="s">
        <v>11</v>
      </c>
      <c r="C88" s="250" t="s">
        <v>479</v>
      </c>
      <c r="D88" s="250" t="s">
        <v>651</v>
      </c>
      <c r="E88" s="250" t="s">
        <v>652</v>
      </c>
      <c r="F88" s="251" t="s">
        <v>500</v>
      </c>
      <c r="G88" s="251" t="s">
        <v>492</v>
      </c>
      <c r="H88" s="251" t="s">
        <v>459</v>
      </c>
      <c r="I88" s="252" t="s">
        <v>653</v>
      </c>
      <c r="J88" s="252" t="s">
        <v>661</v>
      </c>
      <c r="K88" s="253" t="s">
        <v>655</v>
      </c>
      <c r="L88" s="250">
        <v>2016</v>
      </c>
      <c r="M88" s="254">
        <v>862778.64390681847</v>
      </c>
      <c r="N88" s="257" t="s">
        <v>41</v>
      </c>
      <c r="O88" s="257" t="s">
        <v>41</v>
      </c>
      <c r="P88" s="254">
        <v>1104576.6048900036</v>
      </c>
      <c r="Q88" s="254">
        <v>1164788.7135974588</v>
      </c>
      <c r="R88" s="254">
        <f>1.19823022338132*10^6</f>
        <v>1198230.22338132</v>
      </c>
      <c r="S88" s="254">
        <f>1.48298468814241*10^6</f>
        <v>1482984.68814241</v>
      </c>
      <c r="T88" s="254">
        <f>1.52894852432875*10^6</f>
        <v>1528948.5243287499</v>
      </c>
      <c r="U88" s="254">
        <f>1.89775386550704*10^6</f>
        <v>1897753.8655070402</v>
      </c>
      <c r="V88" s="254">
        <f>2.36843335473822*10^6</f>
        <v>2368433.3547382201</v>
      </c>
      <c r="W88" s="254">
        <v>1085259.8068310774</v>
      </c>
      <c r="X88" s="254" t="s">
        <v>41</v>
      </c>
      <c r="Y88" s="254" t="s">
        <v>41</v>
      </c>
      <c r="Z88" s="255" t="s">
        <v>573</v>
      </c>
      <c r="AA88" s="255" t="s">
        <v>656</v>
      </c>
      <c r="AB88" s="255"/>
    </row>
    <row r="89" spans="1:28" s="256" customFormat="1" ht="51">
      <c r="A89" s="250">
        <v>84</v>
      </c>
      <c r="B89" s="250" t="s">
        <v>11</v>
      </c>
      <c r="C89" s="250" t="s">
        <v>479</v>
      </c>
      <c r="D89" s="250" t="s">
        <v>651</v>
      </c>
      <c r="E89" s="250" t="s">
        <v>652</v>
      </c>
      <c r="F89" s="251" t="s">
        <v>501</v>
      </c>
      <c r="G89" s="251" t="s">
        <v>492</v>
      </c>
      <c r="H89" s="251" t="s">
        <v>459</v>
      </c>
      <c r="I89" s="252" t="s">
        <v>653</v>
      </c>
      <c r="J89" s="252" t="s">
        <v>662</v>
      </c>
      <c r="K89" s="253" t="s">
        <v>655</v>
      </c>
      <c r="L89" s="250">
        <v>2016</v>
      </c>
      <c r="M89" s="254">
        <v>23057.980236097868</v>
      </c>
      <c r="N89" s="257" t="s">
        <v>41</v>
      </c>
      <c r="O89" s="257" t="s">
        <v>41</v>
      </c>
      <c r="P89" s="254">
        <v>33506.68941425463</v>
      </c>
      <c r="Q89" s="254">
        <v>18602.704623119556</v>
      </c>
      <c r="R89" s="254">
        <f>19.8008874790133*10^3</f>
        <v>19800.887479013301</v>
      </c>
      <c r="S89" s="254">
        <f>25.2360896088144*10^3</f>
        <v>25236.0896088144</v>
      </c>
      <c r="T89" s="254">
        <f>25.8236233777989*10^3</f>
        <v>25823.6233777989</v>
      </c>
      <c r="U89" s="254">
        <f>29.4521270094331*10^3</f>
        <v>29452.127009433098</v>
      </c>
      <c r="V89" s="254">
        <f>32.0073100446946*10^3</f>
        <v>32007.310044694597</v>
      </c>
      <c r="W89" s="254">
        <v>4821.5742684147535</v>
      </c>
      <c r="X89" s="254" t="s">
        <v>41</v>
      </c>
      <c r="Y89" s="254" t="s">
        <v>41</v>
      </c>
      <c r="Z89" s="255" t="s">
        <v>663</v>
      </c>
      <c r="AA89" s="255" t="s">
        <v>656</v>
      </c>
      <c r="AB89" s="255"/>
    </row>
    <row r="90" spans="1:28" s="256" customFormat="1" ht="51">
      <c r="A90" s="250">
        <v>85</v>
      </c>
      <c r="B90" s="250" t="s">
        <v>11</v>
      </c>
      <c r="C90" s="250" t="s">
        <v>479</v>
      </c>
      <c r="D90" s="250" t="s">
        <v>651</v>
      </c>
      <c r="E90" s="250" t="s">
        <v>652</v>
      </c>
      <c r="F90" s="251" t="s">
        <v>504</v>
      </c>
      <c r="G90" s="251" t="s">
        <v>492</v>
      </c>
      <c r="H90" s="251" t="s">
        <v>459</v>
      </c>
      <c r="I90" s="252" t="s">
        <v>653</v>
      </c>
      <c r="J90" s="252" t="s">
        <v>664</v>
      </c>
      <c r="K90" s="253" t="s">
        <v>655</v>
      </c>
      <c r="L90" s="250">
        <v>2016</v>
      </c>
      <c r="M90" s="254">
        <v>18652.892779812802</v>
      </c>
      <c r="N90" s="257" t="s">
        <v>41</v>
      </c>
      <c r="O90" s="257" t="s">
        <v>41</v>
      </c>
      <c r="P90" s="254">
        <v>24762.823835930485</v>
      </c>
      <c r="Q90" s="254">
        <v>16094.089668602152</v>
      </c>
      <c r="R90" s="254">
        <f>18.6475586448476*10^3</f>
        <v>18647.558644847599</v>
      </c>
      <c r="S90" s="254">
        <f>23.7661802505453*10^3</f>
        <v>23766.180250545302</v>
      </c>
      <c r="T90" s="254">
        <f>24.3194923394393*10^3</f>
        <v>24319.492339439301</v>
      </c>
      <c r="U90" s="254">
        <f>27.7366489863651*10^3</f>
        <v>27736.6489863651</v>
      </c>
      <c r="V90" s="254">
        <f>30.1430020121505*10^3</f>
        <v>30143.0020121505</v>
      </c>
      <c r="W90" s="254">
        <v>4930.6069360931633</v>
      </c>
      <c r="X90" s="254" t="s">
        <v>41</v>
      </c>
      <c r="Y90" s="254" t="s">
        <v>41</v>
      </c>
      <c r="Z90" s="255" t="s">
        <v>663</v>
      </c>
      <c r="AA90" s="255" t="s">
        <v>656</v>
      </c>
      <c r="AB90" s="255"/>
    </row>
    <row r="91" spans="1:28" s="256" customFormat="1" ht="51">
      <c r="A91" s="250">
        <v>86</v>
      </c>
      <c r="B91" s="250" t="s">
        <v>11</v>
      </c>
      <c r="C91" s="250" t="s">
        <v>479</v>
      </c>
      <c r="D91" s="250" t="s">
        <v>651</v>
      </c>
      <c r="E91" s="250" t="s">
        <v>652</v>
      </c>
      <c r="F91" s="251" t="s">
        <v>505</v>
      </c>
      <c r="G91" s="251" t="s">
        <v>492</v>
      </c>
      <c r="H91" s="251" t="s">
        <v>459</v>
      </c>
      <c r="I91" s="252" t="s">
        <v>653</v>
      </c>
      <c r="J91" s="252" t="s">
        <v>665</v>
      </c>
      <c r="K91" s="253" t="s">
        <v>655</v>
      </c>
      <c r="L91" s="250">
        <v>2016</v>
      </c>
      <c r="M91" s="254">
        <v>55044962.996888369</v>
      </c>
      <c r="N91" s="257" t="s">
        <v>41</v>
      </c>
      <c r="O91" s="257" t="s">
        <v>41</v>
      </c>
      <c r="P91" s="254">
        <v>88869433.765201598</v>
      </c>
      <c r="Q91" s="254">
        <v>55869479.945302933</v>
      </c>
      <c r="R91" s="254">
        <f>56.5256449287687*10^6</f>
        <v>56525644.928768702</v>
      </c>
      <c r="S91" s="254">
        <f>72.3256933151041*10^6</f>
        <v>72325693.315104097</v>
      </c>
      <c r="T91" s="254">
        <f>74.8479171566951*10^6</f>
        <v>74847917.156695098</v>
      </c>
      <c r="U91" s="254">
        <f>84.5357100009356*10^6</f>
        <v>84535710.000935599</v>
      </c>
      <c r="V91" s="254">
        <f>94.5065050130175*10^6</f>
        <v>94506505.013017505</v>
      </c>
      <c r="W91" s="254">
        <v>28804776.620576486</v>
      </c>
      <c r="X91" s="254" t="s">
        <v>41</v>
      </c>
      <c r="Y91" s="254" t="s">
        <v>41</v>
      </c>
      <c r="Z91" s="255" t="s">
        <v>663</v>
      </c>
      <c r="AA91" s="255" t="s">
        <v>656</v>
      </c>
      <c r="AB91" s="255"/>
    </row>
    <row r="92" spans="1:28" s="256" customFormat="1" ht="51">
      <c r="A92" s="250">
        <v>87</v>
      </c>
      <c r="B92" s="250" t="s">
        <v>11</v>
      </c>
      <c r="C92" s="250" t="s">
        <v>479</v>
      </c>
      <c r="D92" s="250" t="s">
        <v>651</v>
      </c>
      <c r="E92" s="250" t="s">
        <v>652</v>
      </c>
      <c r="F92" s="251" t="s">
        <v>506</v>
      </c>
      <c r="G92" s="251" t="s">
        <v>492</v>
      </c>
      <c r="H92" s="251" t="s">
        <v>459</v>
      </c>
      <c r="I92" s="252" t="s">
        <v>653</v>
      </c>
      <c r="J92" s="252" t="s">
        <v>666</v>
      </c>
      <c r="K92" s="253" t="s">
        <v>655</v>
      </c>
      <c r="L92" s="250">
        <v>2016</v>
      </c>
      <c r="M92" s="254">
        <v>46330153.991495505</v>
      </c>
      <c r="N92" s="257" t="s">
        <v>41</v>
      </c>
      <c r="O92" s="257" t="s">
        <v>41</v>
      </c>
      <c r="P92" s="254">
        <v>71535315.06366688</v>
      </c>
      <c r="Q92" s="254">
        <v>50840792.913715497</v>
      </c>
      <c r="R92" s="254">
        <f>55.64289482413*10^6</f>
        <v>55642894.824130006</v>
      </c>
      <c r="S92" s="254">
        <f>71.1961968994077*10^6</f>
        <v>71196196.8994077</v>
      </c>
      <c r="T92" s="254">
        <f>73.6790316572847*10^6</f>
        <v>73679031.657284692</v>
      </c>
      <c r="U92" s="254">
        <f>83.2155321074668*10^6</f>
        <v>83215532.107466802</v>
      </c>
      <c r="V92" s="254">
        <f>93.0306151351682*10^6</f>
        <v>93030615.13516821</v>
      </c>
      <c r="W92" s="254">
        <v>28475120.134159476</v>
      </c>
      <c r="X92" s="254" t="s">
        <v>41</v>
      </c>
      <c r="Y92" s="254" t="s">
        <v>41</v>
      </c>
      <c r="Z92" s="255" t="s">
        <v>663</v>
      </c>
      <c r="AA92" s="255" t="s">
        <v>656</v>
      </c>
      <c r="AB92" s="255"/>
    </row>
    <row r="93" spans="1:28" s="256" customFormat="1" ht="51">
      <c r="A93" s="250">
        <v>88</v>
      </c>
      <c r="B93" s="250" t="s">
        <v>11</v>
      </c>
      <c r="C93" s="250" t="s">
        <v>479</v>
      </c>
      <c r="D93" s="250" t="s">
        <v>651</v>
      </c>
      <c r="E93" s="250" t="s">
        <v>652</v>
      </c>
      <c r="F93" s="251" t="s">
        <v>507</v>
      </c>
      <c r="G93" s="251" t="s">
        <v>492</v>
      </c>
      <c r="H93" s="251" t="s">
        <v>459</v>
      </c>
      <c r="I93" s="252" t="s">
        <v>653</v>
      </c>
      <c r="J93" s="252" t="s">
        <v>667</v>
      </c>
      <c r="K93" s="253" t="s">
        <v>655</v>
      </c>
      <c r="L93" s="250">
        <v>2016</v>
      </c>
      <c r="M93" s="254">
        <v>2285561.9839524645</v>
      </c>
      <c r="N93" s="257" t="s">
        <v>41</v>
      </c>
      <c r="O93" s="257" t="s">
        <v>41</v>
      </c>
      <c r="P93" s="254">
        <v>9209273.9525910094</v>
      </c>
      <c r="Q93" s="254">
        <v>5848032.8494515335</v>
      </c>
      <c r="R93" s="254">
        <f>3.79598476180293*10^6</f>
        <v>3795984.7618029299</v>
      </c>
      <c r="S93" s="254">
        <f>4.76118941555635*10^6</f>
        <v>4761189.4155563498</v>
      </c>
      <c r="T93" s="254">
        <f>4.86746811119165*10^6</f>
        <v>4867468.1111916499</v>
      </c>
      <c r="U93" s="254">
        <f>7.34719480635434*10^6</f>
        <v>7347194.8063543402</v>
      </c>
      <c r="V93" s="254">
        <f>9.57815164975254*10^6</f>
        <v>9578151.6497525405</v>
      </c>
      <c r="W93" s="254">
        <v>2454370.4256554889</v>
      </c>
      <c r="X93" s="254" t="s">
        <v>41</v>
      </c>
      <c r="Y93" s="254" t="s">
        <v>41</v>
      </c>
      <c r="Z93" s="255" t="s">
        <v>663</v>
      </c>
      <c r="AA93" s="255" t="s">
        <v>656</v>
      </c>
      <c r="AB93" s="255"/>
    </row>
    <row r="94" spans="1:28" s="256" customFormat="1" ht="51">
      <c r="A94" s="250">
        <v>89</v>
      </c>
      <c r="B94" s="250" t="s">
        <v>11</v>
      </c>
      <c r="C94" s="250" t="s">
        <v>479</v>
      </c>
      <c r="D94" s="250" t="s">
        <v>651</v>
      </c>
      <c r="E94" s="250" t="s">
        <v>652</v>
      </c>
      <c r="F94" s="251" t="s">
        <v>508</v>
      </c>
      <c r="G94" s="251" t="s">
        <v>492</v>
      </c>
      <c r="H94" s="251" t="s">
        <v>459</v>
      </c>
      <c r="I94" s="252" t="s">
        <v>653</v>
      </c>
      <c r="J94" s="252" t="s">
        <v>668</v>
      </c>
      <c r="K94" s="253" t="s">
        <v>655</v>
      </c>
      <c r="L94" s="250">
        <v>2016</v>
      </c>
      <c r="M94" s="254">
        <v>1815287.9903893736</v>
      </c>
      <c r="N94" s="257" t="s">
        <v>41</v>
      </c>
      <c r="O94" s="257" t="s">
        <v>41</v>
      </c>
      <c r="P94" s="254">
        <v>6180807.8760018041</v>
      </c>
      <c r="Q94" s="254">
        <v>4190605.0010726922</v>
      </c>
      <c r="R94" s="254">
        <f>3.82436232734365*10^6</f>
        <v>3824362.3273436497</v>
      </c>
      <c r="S94" s="254">
        <f>4.7967825417594*10^6</f>
        <v>4796782.5417594006</v>
      </c>
      <c r="T94" s="254">
        <f>4.90385574286304*10^6</f>
        <v>4903855.7428630395</v>
      </c>
      <c r="U94" s="254">
        <f>7.40212008009509*10^6</f>
        <v>7402120.08009509</v>
      </c>
      <c r="V94" s="254">
        <f>9.6497548418767*10^6</f>
        <v>9649754.8418767005</v>
      </c>
      <c r="W94" s="254">
        <v>1847365.1759641701</v>
      </c>
      <c r="X94" s="254" t="s">
        <v>41</v>
      </c>
      <c r="Y94" s="254" t="s">
        <v>41</v>
      </c>
      <c r="Z94" s="255" t="s">
        <v>663</v>
      </c>
      <c r="AA94" s="255" t="s">
        <v>656</v>
      </c>
      <c r="AB94" s="255"/>
    </row>
    <row r="95" spans="1:28" s="256" customFormat="1" ht="112.5">
      <c r="A95" s="250">
        <v>90</v>
      </c>
      <c r="B95" s="250" t="s">
        <v>11</v>
      </c>
      <c r="C95" s="250" t="s">
        <v>479</v>
      </c>
      <c r="D95" s="250" t="s">
        <v>651</v>
      </c>
      <c r="E95" s="250" t="s">
        <v>669</v>
      </c>
      <c r="F95" s="251" t="s">
        <v>491</v>
      </c>
      <c r="G95" s="251" t="s">
        <v>492</v>
      </c>
      <c r="H95" s="251" t="s">
        <v>459</v>
      </c>
      <c r="I95" s="252" t="s">
        <v>653</v>
      </c>
      <c r="J95" s="252" t="s">
        <v>670</v>
      </c>
      <c r="K95" s="253" t="s">
        <v>655</v>
      </c>
      <c r="L95" s="250">
        <v>2016</v>
      </c>
      <c r="M95" s="257" t="s">
        <v>41</v>
      </c>
      <c r="N95" s="257" t="s">
        <v>41</v>
      </c>
      <c r="O95" s="257" t="s">
        <v>41</v>
      </c>
      <c r="P95" s="257" t="s">
        <v>41</v>
      </c>
      <c r="Q95" s="257" t="s">
        <v>41</v>
      </c>
      <c r="R95" s="257" t="s">
        <v>41</v>
      </c>
      <c r="S95" s="257" t="s">
        <v>41</v>
      </c>
      <c r="T95" s="257" t="s">
        <v>41</v>
      </c>
      <c r="U95" s="257" t="s">
        <v>41</v>
      </c>
      <c r="V95" s="257" t="s">
        <v>41</v>
      </c>
      <c r="W95" s="257">
        <v>360.6611957734998</v>
      </c>
      <c r="X95" s="257" t="s">
        <v>41</v>
      </c>
      <c r="Y95" s="257" t="s">
        <v>41</v>
      </c>
      <c r="Z95" s="255" t="s">
        <v>671</v>
      </c>
      <c r="AA95" s="255"/>
      <c r="AB95" s="255" t="s">
        <v>672</v>
      </c>
    </row>
    <row r="96" spans="1:28" s="256" customFormat="1" ht="112.5">
      <c r="A96" s="250">
        <v>91</v>
      </c>
      <c r="B96" s="250" t="s">
        <v>11</v>
      </c>
      <c r="C96" s="250" t="s">
        <v>479</v>
      </c>
      <c r="D96" s="250" t="s">
        <v>651</v>
      </c>
      <c r="E96" s="250" t="s">
        <v>669</v>
      </c>
      <c r="F96" s="251" t="s">
        <v>496</v>
      </c>
      <c r="G96" s="251" t="s">
        <v>492</v>
      </c>
      <c r="H96" s="251" t="s">
        <v>459</v>
      </c>
      <c r="I96" s="252" t="s">
        <v>653</v>
      </c>
      <c r="J96" s="252" t="s">
        <v>673</v>
      </c>
      <c r="K96" s="253" t="s">
        <v>655</v>
      </c>
      <c r="L96" s="250">
        <v>2016</v>
      </c>
      <c r="M96" s="257" t="s">
        <v>41</v>
      </c>
      <c r="N96" s="257" t="s">
        <v>41</v>
      </c>
      <c r="O96" s="257" t="s">
        <v>41</v>
      </c>
      <c r="P96" s="257" t="s">
        <v>41</v>
      </c>
      <c r="Q96" s="257" t="s">
        <v>41</v>
      </c>
      <c r="R96" s="257" t="s">
        <v>41</v>
      </c>
      <c r="S96" s="257" t="s">
        <v>41</v>
      </c>
      <c r="T96" s="257" t="s">
        <v>41</v>
      </c>
      <c r="U96" s="257" t="s">
        <v>41</v>
      </c>
      <c r="V96" s="257" t="s">
        <v>41</v>
      </c>
      <c r="W96" s="257">
        <v>235.17086863612502</v>
      </c>
      <c r="X96" s="257" t="s">
        <v>41</v>
      </c>
      <c r="Y96" s="257" t="s">
        <v>41</v>
      </c>
      <c r="Z96" s="255" t="s">
        <v>671</v>
      </c>
      <c r="AA96" s="255"/>
      <c r="AB96" s="255" t="s">
        <v>672</v>
      </c>
    </row>
    <row r="97" spans="1:28" s="256" customFormat="1" ht="112.5">
      <c r="A97" s="250">
        <v>92</v>
      </c>
      <c r="B97" s="250" t="s">
        <v>11</v>
      </c>
      <c r="C97" s="250" t="s">
        <v>479</v>
      </c>
      <c r="D97" s="250" t="s">
        <v>651</v>
      </c>
      <c r="E97" s="250" t="s">
        <v>669</v>
      </c>
      <c r="F97" s="251" t="s">
        <v>497</v>
      </c>
      <c r="G97" s="251" t="s">
        <v>492</v>
      </c>
      <c r="H97" s="251" t="s">
        <v>459</v>
      </c>
      <c r="I97" s="252" t="s">
        <v>653</v>
      </c>
      <c r="J97" s="252" t="s">
        <v>674</v>
      </c>
      <c r="K97" s="253" t="s">
        <v>655</v>
      </c>
      <c r="L97" s="250">
        <v>2016</v>
      </c>
      <c r="M97" s="257" t="s">
        <v>41</v>
      </c>
      <c r="N97" s="257" t="s">
        <v>41</v>
      </c>
      <c r="O97" s="257" t="s">
        <v>41</v>
      </c>
      <c r="P97" s="257" t="s">
        <v>41</v>
      </c>
      <c r="Q97" s="257" t="s">
        <v>41</v>
      </c>
      <c r="R97" s="257" t="s">
        <v>41</v>
      </c>
      <c r="S97" s="257" t="s">
        <v>41</v>
      </c>
      <c r="T97" s="257" t="s">
        <v>41</v>
      </c>
      <c r="U97" s="257" t="s">
        <v>41</v>
      </c>
      <c r="V97" s="257" t="s">
        <v>41</v>
      </c>
      <c r="W97" s="257">
        <v>770377.33234350011</v>
      </c>
      <c r="X97" s="257" t="s">
        <v>41</v>
      </c>
      <c r="Y97" s="257" t="s">
        <v>41</v>
      </c>
      <c r="Z97" s="255" t="s">
        <v>671</v>
      </c>
      <c r="AA97" s="255"/>
      <c r="AB97" s="255" t="s">
        <v>672</v>
      </c>
    </row>
    <row r="98" spans="1:28" s="256" customFormat="1" ht="112.5">
      <c r="A98" s="250">
        <v>93</v>
      </c>
      <c r="B98" s="250" t="s">
        <v>11</v>
      </c>
      <c r="C98" s="250" t="s">
        <v>479</v>
      </c>
      <c r="D98" s="250" t="s">
        <v>651</v>
      </c>
      <c r="E98" s="250" t="s">
        <v>669</v>
      </c>
      <c r="F98" s="251" t="s">
        <v>498</v>
      </c>
      <c r="G98" s="251" t="s">
        <v>492</v>
      </c>
      <c r="H98" s="251" t="s">
        <v>459</v>
      </c>
      <c r="I98" s="252" t="s">
        <v>653</v>
      </c>
      <c r="J98" s="252" t="s">
        <v>675</v>
      </c>
      <c r="K98" s="253" t="s">
        <v>655</v>
      </c>
      <c r="L98" s="250">
        <v>2016</v>
      </c>
      <c r="M98" s="257" t="s">
        <v>41</v>
      </c>
      <c r="N98" s="257" t="s">
        <v>41</v>
      </c>
      <c r="O98" s="257" t="s">
        <v>41</v>
      </c>
      <c r="P98" s="257" t="s">
        <v>41</v>
      </c>
      <c r="Q98" s="257" t="s">
        <v>41</v>
      </c>
      <c r="R98" s="257" t="s">
        <v>41</v>
      </c>
      <c r="S98" s="257" t="s">
        <v>41</v>
      </c>
      <c r="T98" s="257" t="s">
        <v>41</v>
      </c>
      <c r="U98" s="257" t="s">
        <v>41</v>
      </c>
      <c r="V98" s="257" t="s">
        <v>41</v>
      </c>
      <c r="W98" s="257">
        <v>600651.68807410018</v>
      </c>
      <c r="X98" s="257" t="s">
        <v>41</v>
      </c>
      <c r="Y98" s="257" t="s">
        <v>41</v>
      </c>
      <c r="Z98" s="255" t="s">
        <v>671</v>
      </c>
      <c r="AA98" s="255"/>
      <c r="AB98" s="255" t="s">
        <v>672</v>
      </c>
    </row>
    <row r="99" spans="1:28" s="256" customFormat="1" ht="112.5">
      <c r="A99" s="250">
        <v>94</v>
      </c>
      <c r="B99" s="250" t="s">
        <v>11</v>
      </c>
      <c r="C99" s="250" t="s">
        <v>479</v>
      </c>
      <c r="D99" s="250" t="s">
        <v>651</v>
      </c>
      <c r="E99" s="250" t="s">
        <v>669</v>
      </c>
      <c r="F99" s="251" t="s">
        <v>499</v>
      </c>
      <c r="G99" s="251" t="s">
        <v>492</v>
      </c>
      <c r="H99" s="251" t="s">
        <v>459</v>
      </c>
      <c r="I99" s="252" t="s">
        <v>653</v>
      </c>
      <c r="J99" s="252" t="s">
        <v>676</v>
      </c>
      <c r="K99" s="253" t="s">
        <v>655</v>
      </c>
      <c r="L99" s="250">
        <v>2016</v>
      </c>
      <c r="M99" s="257" t="s">
        <v>41</v>
      </c>
      <c r="N99" s="257" t="s">
        <v>41</v>
      </c>
      <c r="O99" s="257" t="s">
        <v>41</v>
      </c>
      <c r="P99" s="257" t="s">
        <v>41</v>
      </c>
      <c r="Q99" s="257" t="s">
        <v>41</v>
      </c>
      <c r="R99" s="257" t="s">
        <v>41</v>
      </c>
      <c r="S99" s="257" t="s">
        <v>41</v>
      </c>
      <c r="T99" s="257" t="s">
        <v>41</v>
      </c>
      <c r="U99" s="257" t="s">
        <v>41</v>
      </c>
      <c r="V99" s="257" t="s">
        <v>41</v>
      </c>
      <c r="W99" s="257">
        <v>70294.59392858317</v>
      </c>
      <c r="X99" s="257" t="s">
        <v>41</v>
      </c>
      <c r="Y99" s="257" t="s">
        <v>41</v>
      </c>
      <c r="Z99" s="255" t="s">
        <v>671</v>
      </c>
      <c r="AA99" s="255"/>
      <c r="AB99" s="255" t="s">
        <v>672</v>
      </c>
    </row>
    <row r="100" spans="1:28" s="256" customFormat="1" ht="112.5">
      <c r="A100" s="250">
        <v>95</v>
      </c>
      <c r="B100" s="250" t="s">
        <v>11</v>
      </c>
      <c r="C100" s="250" t="s">
        <v>479</v>
      </c>
      <c r="D100" s="250" t="s">
        <v>651</v>
      </c>
      <c r="E100" s="250" t="s">
        <v>669</v>
      </c>
      <c r="F100" s="251" t="s">
        <v>500</v>
      </c>
      <c r="G100" s="251" t="s">
        <v>492</v>
      </c>
      <c r="H100" s="251" t="s">
        <v>459</v>
      </c>
      <c r="I100" s="252" t="s">
        <v>653</v>
      </c>
      <c r="J100" s="252" t="s">
        <v>677</v>
      </c>
      <c r="K100" s="253" t="s">
        <v>655</v>
      </c>
      <c r="L100" s="250">
        <v>2016</v>
      </c>
      <c r="M100" s="257" t="s">
        <v>41</v>
      </c>
      <c r="N100" s="257" t="s">
        <v>41</v>
      </c>
      <c r="O100" s="257" t="s">
        <v>41</v>
      </c>
      <c r="P100" s="257" t="s">
        <v>41</v>
      </c>
      <c r="Q100" s="257" t="s">
        <v>41</v>
      </c>
      <c r="R100" s="257" t="s">
        <v>41</v>
      </c>
      <c r="S100" s="257" t="s">
        <v>41</v>
      </c>
      <c r="T100" s="257" t="s">
        <v>41</v>
      </c>
      <c r="U100" s="257" t="s">
        <v>41</v>
      </c>
      <c r="V100" s="257" t="s">
        <v>41</v>
      </c>
      <c r="W100" s="257">
        <v>45630.1473604774</v>
      </c>
      <c r="X100" s="257" t="s">
        <v>41</v>
      </c>
      <c r="Y100" s="257" t="s">
        <v>41</v>
      </c>
      <c r="Z100" s="255" t="s">
        <v>671</v>
      </c>
      <c r="AA100" s="255"/>
      <c r="AB100" s="255" t="s">
        <v>672</v>
      </c>
    </row>
    <row r="101" spans="1:28" s="256" customFormat="1" ht="112.5">
      <c r="A101" s="250">
        <v>96</v>
      </c>
      <c r="B101" s="250" t="s">
        <v>11</v>
      </c>
      <c r="C101" s="250" t="s">
        <v>479</v>
      </c>
      <c r="D101" s="250" t="s">
        <v>651</v>
      </c>
      <c r="E101" s="250" t="s">
        <v>669</v>
      </c>
      <c r="F101" s="251" t="s">
        <v>501</v>
      </c>
      <c r="G101" s="251" t="s">
        <v>492</v>
      </c>
      <c r="H101" s="251" t="s">
        <v>459</v>
      </c>
      <c r="I101" s="252" t="s">
        <v>653</v>
      </c>
      <c r="J101" s="252" t="s">
        <v>678</v>
      </c>
      <c r="K101" s="253" t="s">
        <v>655</v>
      </c>
      <c r="L101" s="250">
        <v>2016</v>
      </c>
      <c r="M101" s="257" t="s">
        <v>41</v>
      </c>
      <c r="N101" s="257" t="s">
        <v>41</v>
      </c>
      <c r="O101" s="257" t="s">
        <v>41</v>
      </c>
      <c r="P101" s="257" t="s">
        <v>41</v>
      </c>
      <c r="Q101" s="257" t="s">
        <v>41</v>
      </c>
      <c r="R101" s="257" t="s">
        <v>41</v>
      </c>
      <c r="S101" s="257" t="s">
        <v>41</v>
      </c>
      <c r="T101" s="257" t="s">
        <v>41</v>
      </c>
      <c r="U101" s="257" t="s">
        <v>41</v>
      </c>
      <c r="V101" s="257" t="s">
        <v>41</v>
      </c>
      <c r="W101" s="257">
        <v>1235.2200708675</v>
      </c>
      <c r="X101" s="257" t="s">
        <v>41</v>
      </c>
      <c r="Y101" s="257" t="s">
        <v>41</v>
      </c>
      <c r="Z101" s="255" t="s">
        <v>671</v>
      </c>
      <c r="AA101" s="255"/>
      <c r="AB101" s="255" t="s">
        <v>672</v>
      </c>
    </row>
    <row r="102" spans="1:28" s="256" customFormat="1" ht="112.5">
      <c r="A102" s="250">
        <v>97</v>
      </c>
      <c r="B102" s="250" t="s">
        <v>11</v>
      </c>
      <c r="C102" s="250" t="s">
        <v>479</v>
      </c>
      <c r="D102" s="250" t="s">
        <v>651</v>
      </c>
      <c r="E102" s="250" t="s">
        <v>669</v>
      </c>
      <c r="F102" s="251" t="s">
        <v>504</v>
      </c>
      <c r="G102" s="251" t="s">
        <v>492</v>
      </c>
      <c r="H102" s="251" t="s">
        <v>459</v>
      </c>
      <c r="I102" s="252" t="s">
        <v>653</v>
      </c>
      <c r="J102" s="252" t="s">
        <v>679</v>
      </c>
      <c r="K102" s="253" t="s">
        <v>655</v>
      </c>
      <c r="L102" s="250">
        <v>2016</v>
      </c>
      <c r="M102" s="257" t="s">
        <v>41</v>
      </c>
      <c r="N102" s="257" t="s">
        <v>41</v>
      </c>
      <c r="O102" s="257" t="s">
        <v>41</v>
      </c>
      <c r="P102" s="257" t="s">
        <v>41</v>
      </c>
      <c r="Q102" s="257" t="s">
        <v>41</v>
      </c>
      <c r="R102" s="257" t="s">
        <v>41</v>
      </c>
      <c r="S102" s="257" t="s">
        <v>41</v>
      </c>
      <c r="T102" s="257" t="s">
        <v>41</v>
      </c>
      <c r="U102" s="257" t="s">
        <v>41</v>
      </c>
      <c r="V102" s="257" t="s">
        <v>41</v>
      </c>
      <c r="W102" s="257">
        <v>805.48236554062544</v>
      </c>
      <c r="X102" s="257" t="s">
        <v>41</v>
      </c>
      <c r="Y102" s="257" t="s">
        <v>41</v>
      </c>
      <c r="Z102" s="255" t="s">
        <v>671</v>
      </c>
      <c r="AA102" s="255"/>
      <c r="AB102" s="255" t="s">
        <v>672</v>
      </c>
    </row>
    <row r="103" spans="1:28" s="256" customFormat="1" ht="112.5">
      <c r="A103" s="250">
        <v>98</v>
      </c>
      <c r="B103" s="250" t="s">
        <v>11</v>
      </c>
      <c r="C103" s="250" t="s">
        <v>479</v>
      </c>
      <c r="D103" s="250" t="s">
        <v>651</v>
      </c>
      <c r="E103" s="250" t="s">
        <v>669</v>
      </c>
      <c r="F103" s="251" t="s">
        <v>505</v>
      </c>
      <c r="G103" s="251" t="s">
        <v>492</v>
      </c>
      <c r="H103" s="251" t="s">
        <v>459</v>
      </c>
      <c r="I103" s="252" t="s">
        <v>653</v>
      </c>
      <c r="J103" s="252" t="s">
        <v>680</v>
      </c>
      <c r="K103" s="253" t="s">
        <v>655</v>
      </c>
      <c r="L103" s="250">
        <v>2016</v>
      </c>
      <c r="M103" s="257" t="s">
        <v>41</v>
      </c>
      <c r="N103" s="257" t="s">
        <v>41</v>
      </c>
      <c r="O103" s="257" t="s">
        <v>41</v>
      </c>
      <c r="P103" s="257" t="s">
        <v>41</v>
      </c>
      <c r="Q103" s="257" t="s">
        <v>41</v>
      </c>
      <c r="R103" s="257" t="s">
        <v>41</v>
      </c>
      <c r="S103" s="257" t="s">
        <v>41</v>
      </c>
      <c r="T103" s="257" t="s">
        <v>41</v>
      </c>
      <c r="U103" s="257" t="s">
        <v>41</v>
      </c>
      <c r="V103" s="257" t="s">
        <v>41</v>
      </c>
      <c r="W103" s="257">
        <v>3784164.8220299701</v>
      </c>
      <c r="X103" s="257" t="s">
        <v>41</v>
      </c>
      <c r="Y103" s="257" t="s">
        <v>41</v>
      </c>
      <c r="Z103" s="255" t="s">
        <v>671</v>
      </c>
      <c r="AA103" s="255"/>
      <c r="AB103" s="255" t="s">
        <v>672</v>
      </c>
    </row>
    <row r="104" spans="1:28" s="256" customFormat="1" ht="112.5">
      <c r="A104" s="250">
        <v>99</v>
      </c>
      <c r="B104" s="250" t="s">
        <v>11</v>
      </c>
      <c r="C104" s="250" t="s">
        <v>479</v>
      </c>
      <c r="D104" s="250" t="s">
        <v>651</v>
      </c>
      <c r="E104" s="250" t="s">
        <v>669</v>
      </c>
      <c r="F104" s="251" t="s">
        <v>506</v>
      </c>
      <c r="G104" s="251" t="s">
        <v>492</v>
      </c>
      <c r="H104" s="251" t="s">
        <v>459</v>
      </c>
      <c r="I104" s="252" t="s">
        <v>653</v>
      </c>
      <c r="J104" s="252" t="s">
        <v>681</v>
      </c>
      <c r="K104" s="253" t="s">
        <v>655</v>
      </c>
      <c r="L104" s="250">
        <v>2016</v>
      </c>
      <c r="M104" s="257" t="s">
        <v>41</v>
      </c>
      <c r="N104" s="257" t="s">
        <v>41</v>
      </c>
      <c r="O104" s="257" t="s">
        <v>41</v>
      </c>
      <c r="P104" s="257" t="s">
        <v>41</v>
      </c>
      <c r="Q104" s="257" t="s">
        <v>41</v>
      </c>
      <c r="R104" s="257" t="s">
        <v>41</v>
      </c>
      <c r="S104" s="257" t="s">
        <v>41</v>
      </c>
      <c r="T104" s="257" t="s">
        <v>41</v>
      </c>
      <c r="U104" s="257" t="s">
        <v>41</v>
      </c>
      <c r="V104" s="257" t="s">
        <v>41</v>
      </c>
      <c r="W104" s="257">
        <v>2942118.3206619057</v>
      </c>
      <c r="X104" s="257" t="s">
        <v>41</v>
      </c>
      <c r="Y104" s="257" t="s">
        <v>41</v>
      </c>
      <c r="Z104" s="255" t="s">
        <v>671</v>
      </c>
      <c r="AA104" s="255"/>
      <c r="AB104" s="255" t="s">
        <v>672</v>
      </c>
    </row>
    <row r="105" spans="1:28" s="256" customFormat="1" ht="112.5">
      <c r="A105" s="250">
        <v>100</v>
      </c>
      <c r="B105" s="250" t="s">
        <v>11</v>
      </c>
      <c r="C105" s="250" t="s">
        <v>479</v>
      </c>
      <c r="D105" s="250" t="s">
        <v>651</v>
      </c>
      <c r="E105" s="250" t="s">
        <v>669</v>
      </c>
      <c r="F105" s="251" t="s">
        <v>507</v>
      </c>
      <c r="G105" s="251" t="s">
        <v>492</v>
      </c>
      <c r="H105" s="251" t="s">
        <v>459</v>
      </c>
      <c r="I105" s="252" t="s">
        <v>653</v>
      </c>
      <c r="J105" s="252" t="s">
        <v>682</v>
      </c>
      <c r="K105" s="253" t="s">
        <v>655</v>
      </c>
      <c r="L105" s="250">
        <v>2016</v>
      </c>
      <c r="M105" s="257" t="s">
        <v>41</v>
      </c>
      <c r="N105" s="257" t="s">
        <v>41</v>
      </c>
      <c r="O105" s="257" t="s">
        <v>41</v>
      </c>
      <c r="P105" s="257" t="s">
        <v>41</v>
      </c>
      <c r="Q105" s="257" t="s">
        <v>41</v>
      </c>
      <c r="R105" s="257" t="s">
        <v>41</v>
      </c>
      <c r="S105" s="257" t="s">
        <v>41</v>
      </c>
      <c r="T105" s="257" t="s">
        <v>41</v>
      </c>
      <c r="U105" s="257" t="s">
        <v>41</v>
      </c>
      <c r="V105" s="257" t="s">
        <v>41</v>
      </c>
      <c r="W105" s="257">
        <v>976587.41293391609</v>
      </c>
      <c r="X105" s="257" t="s">
        <v>41</v>
      </c>
      <c r="Y105" s="257" t="s">
        <v>41</v>
      </c>
      <c r="Z105" s="255" t="s">
        <v>671</v>
      </c>
      <c r="AA105" s="255"/>
      <c r="AB105" s="255" t="s">
        <v>672</v>
      </c>
    </row>
    <row r="106" spans="1:28" s="256" customFormat="1" ht="112.5">
      <c r="A106" s="250">
        <v>101</v>
      </c>
      <c r="B106" s="250" t="s">
        <v>11</v>
      </c>
      <c r="C106" s="250" t="s">
        <v>479</v>
      </c>
      <c r="D106" s="250" t="s">
        <v>651</v>
      </c>
      <c r="E106" s="250" t="s">
        <v>669</v>
      </c>
      <c r="F106" s="251" t="s">
        <v>508</v>
      </c>
      <c r="G106" s="251" t="s">
        <v>492</v>
      </c>
      <c r="H106" s="251" t="s">
        <v>459</v>
      </c>
      <c r="I106" s="252" t="s">
        <v>653</v>
      </c>
      <c r="J106" s="252" t="s">
        <v>683</v>
      </c>
      <c r="K106" s="253" t="s">
        <v>655</v>
      </c>
      <c r="L106" s="250">
        <v>2016</v>
      </c>
      <c r="M106" s="257" t="s">
        <v>41</v>
      </c>
      <c r="N106" s="257" t="s">
        <v>41</v>
      </c>
      <c r="O106" s="257" t="s">
        <v>41</v>
      </c>
      <c r="P106" s="257" t="s">
        <v>41</v>
      </c>
      <c r="Q106" s="257" t="s">
        <v>41</v>
      </c>
      <c r="R106" s="257" t="s">
        <v>41</v>
      </c>
      <c r="S106" s="257" t="s">
        <v>41</v>
      </c>
      <c r="T106" s="257" t="s">
        <v>41</v>
      </c>
      <c r="U106" s="257" t="s">
        <v>41</v>
      </c>
      <c r="V106" s="257" t="s">
        <v>41</v>
      </c>
      <c r="W106" s="257">
        <v>610272.23334120703</v>
      </c>
      <c r="X106" s="257" t="s">
        <v>41</v>
      </c>
      <c r="Y106" s="257" t="s">
        <v>41</v>
      </c>
      <c r="Z106" s="255" t="s">
        <v>671</v>
      </c>
      <c r="AA106" s="255"/>
      <c r="AB106" s="255" t="s">
        <v>672</v>
      </c>
    </row>
    <row r="107" spans="1:28" s="256" customFormat="1" ht="112.5">
      <c r="A107" s="250">
        <v>102</v>
      </c>
      <c r="B107" s="250" t="s">
        <v>11</v>
      </c>
      <c r="C107" s="250" t="s">
        <v>479</v>
      </c>
      <c r="D107" s="250" t="s">
        <v>651</v>
      </c>
      <c r="E107" s="250" t="s">
        <v>684</v>
      </c>
      <c r="F107" s="251" t="s">
        <v>491</v>
      </c>
      <c r="G107" s="251" t="s">
        <v>492</v>
      </c>
      <c r="H107" s="251" t="s">
        <v>459</v>
      </c>
      <c r="I107" s="252" t="s">
        <v>653</v>
      </c>
      <c r="J107" s="252" t="s">
        <v>685</v>
      </c>
      <c r="K107" s="253" t="s">
        <v>655</v>
      </c>
      <c r="L107" s="250">
        <v>2016</v>
      </c>
      <c r="M107" s="257" t="s">
        <v>41</v>
      </c>
      <c r="N107" s="257" t="s">
        <v>41</v>
      </c>
      <c r="O107" s="257" t="s">
        <v>41</v>
      </c>
      <c r="P107" s="257" t="s">
        <v>41</v>
      </c>
      <c r="Q107" s="257" t="s">
        <v>41</v>
      </c>
      <c r="R107" s="257" t="s">
        <v>41</v>
      </c>
      <c r="S107" s="257" t="s">
        <v>41</v>
      </c>
      <c r="T107" s="257" t="s">
        <v>41</v>
      </c>
      <c r="U107" s="257" t="s">
        <v>41</v>
      </c>
      <c r="V107" s="257" t="s">
        <v>41</v>
      </c>
      <c r="W107" s="257">
        <v>65.553242650894006</v>
      </c>
      <c r="X107" s="257" t="s">
        <v>41</v>
      </c>
      <c r="Y107" s="257" t="s">
        <v>41</v>
      </c>
      <c r="Z107" s="255" t="s">
        <v>671</v>
      </c>
      <c r="AA107" s="255"/>
      <c r="AB107" s="255" t="s">
        <v>672</v>
      </c>
    </row>
    <row r="108" spans="1:28" s="256" customFormat="1" ht="112.5">
      <c r="A108" s="250">
        <v>103</v>
      </c>
      <c r="B108" s="250" t="s">
        <v>11</v>
      </c>
      <c r="C108" s="250" t="s">
        <v>479</v>
      </c>
      <c r="D108" s="250" t="s">
        <v>651</v>
      </c>
      <c r="E108" s="250" t="s">
        <v>684</v>
      </c>
      <c r="F108" s="251" t="s">
        <v>496</v>
      </c>
      <c r="G108" s="251" t="s">
        <v>492</v>
      </c>
      <c r="H108" s="251" t="s">
        <v>459</v>
      </c>
      <c r="I108" s="252" t="s">
        <v>653</v>
      </c>
      <c r="J108" s="252" t="s">
        <v>686</v>
      </c>
      <c r="K108" s="253" t="s">
        <v>655</v>
      </c>
      <c r="L108" s="250">
        <v>2016</v>
      </c>
      <c r="M108" s="257" t="s">
        <v>41</v>
      </c>
      <c r="N108" s="257" t="s">
        <v>41</v>
      </c>
      <c r="O108" s="257" t="s">
        <v>41</v>
      </c>
      <c r="P108" s="257" t="s">
        <v>41</v>
      </c>
      <c r="Q108" s="257" t="s">
        <v>41</v>
      </c>
      <c r="R108" s="257" t="s">
        <v>41</v>
      </c>
      <c r="S108" s="257" t="s">
        <v>41</v>
      </c>
      <c r="T108" s="257" t="s">
        <v>41</v>
      </c>
      <c r="U108" s="257" t="s">
        <v>41</v>
      </c>
      <c r="V108" s="257" t="s">
        <v>41</v>
      </c>
      <c r="W108" s="257">
        <v>46.308160606074495</v>
      </c>
      <c r="X108" s="257" t="s">
        <v>41</v>
      </c>
      <c r="Y108" s="257" t="s">
        <v>41</v>
      </c>
      <c r="Z108" s="255" t="s">
        <v>671</v>
      </c>
      <c r="AA108" s="255"/>
      <c r="AB108" s="255" t="s">
        <v>672</v>
      </c>
    </row>
    <row r="109" spans="1:28" s="256" customFormat="1" ht="112.5">
      <c r="A109" s="250">
        <v>104</v>
      </c>
      <c r="B109" s="250" t="s">
        <v>11</v>
      </c>
      <c r="C109" s="250" t="s">
        <v>479</v>
      </c>
      <c r="D109" s="250" t="s">
        <v>651</v>
      </c>
      <c r="E109" s="250" t="s">
        <v>684</v>
      </c>
      <c r="F109" s="251" t="s">
        <v>497</v>
      </c>
      <c r="G109" s="251" t="s">
        <v>492</v>
      </c>
      <c r="H109" s="251" t="s">
        <v>459</v>
      </c>
      <c r="I109" s="252" t="s">
        <v>653</v>
      </c>
      <c r="J109" s="252" t="s">
        <v>687</v>
      </c>
      <c r="K109" s="253" t="s">
        <v>655</v>
      </c>
      <c r="L109" s="250">
        <v>2016</v>
      </c>
      <c r="M109" s="257" t="s">
        <v>41</v>
      </c>
      <c r="N109" s="257" t="s">
        <v>41</v>
      </c>
      <c r="O109" s="257" t="s">
        <v>41</v>
      </c>
      <c r="P109" s="257" t="s">
        <v>41</v>
      </c>
      <c r="Q109" s="257" t="s">
        <v>41</v>
      </c>
      <c r="R109" s="257" t="s">
        <v>41</v>
      </c>
      <c r="S109" s="257" t="s">
        <v>41</v>
      </c>
      <c r="T109" s="257" t="s">
        <v>41</v>
      </c>
      <c r="U109" s="257" t="s">
        <v>41</v>
      </c>
      <c r="V109" s="257" t="s">
        <v>41</v>
      </c>
      <c r="W109" s="257">
        <v>7040.8931884999456</v>
      </c>
      <c r="X109" s="257" t="s">
        <v>41</v>
      </c>
      <c r="Y109" s="257" t="s">
        <v>41</v>
      </c>
      <c r="Z109" s="255" t="s">
        <v>671</v>
      </c>
      <c r="AA109" s="255"/>
      <c r="AB109" s="255" t="s">
        <v>672</v>
      </c>
    </row>
    <row r="110" spans="1:28" s="256" customFormat="1" ht="112.5">
      <c r="A110" s="250">
        <v>105</v>
      </c>
      <c r="B110" s="250" t="s">
        <v>11</v>
      </c>
      <c r="C110" s="250" t="s">
        <v>479</v>
      </c>
      <c r="D110" s="250" t="s">
        <v>651</v>
      </c>
      <c r="E110" s="250" t="s">
        <v>684</v>
      </c>
      <c r="F110" s="251" t="s">
        <v>498</v>
      </c>
      <c r="G110" s="251" t="s">
        <v>492</v>
      </c>
      <c r="H110" s="251" t="s">
        <v>459</v>
      </c>
      <c r="I110" s="252" t="s">
        <v>653</v>
      </c>
      <c r="J110" s="252" t="s">
        <v>688</v>
      </c>
      <c r="K110" s="253" t="s">
        <v>655</v>
      </c>
      <c r="L110" s="250">
        <v>2016</v>
      </c>
      <c r="M110" s="257" t="s">
        <v>41</v>
      </c>
      <c r="N110" s="257" t="s">
        <v>41</v>
      </c>
      <c r="O110" s="257" t="s">
        <v>41</v>
      </c>
      <c r="P110" s="257" t="s">
        <v>41</v>
      </c>
      <c r="Q110" s="257" t="s">
        <v>41</v>
      </c>
      <c r="R110" s="257" t="s">
        <v>41</v>
      </c>
      <c r="S110" s="257" t="s">
        <v>41</v>
      </c>
      <c r="T110" s="257" t="s">
        <v>41</v>
      </c>
      <c r="U110" s="257" t="s">
        <v>41</v>
      </c>
      <c r="V110" s="257" t="s">
        <v>41</v>
      </c>
      <c r="W110" s="257">
        <v>30061.622987997816</v>
      </c>
      <c r="X110" s="257" t="s">
        <v>41</v>
      </c>
      <c r="Y110" s="257" t="s">
        <v>41</v>
      </c>
      <c r="Z110" s="255" t="s">
        <v>671</v>
      </c>
      <c r="AA110" s="255"/>
      <c r="AB110" s="255" t="s">
        <v>672</v>
      </c>
    </row>
    <row r="111" spans="1:28" s="256" customFormat="1" ht="112.5">
      <c r="A111" s="250">
        <v>106</v>
      </c>
      <c r="B111" s="250" t="s">
        <v>11</v>
      </c>
      <c r="C111" s="250" t="s">
        <v>479</v>
      </c>
      <c r="D111" s="250" t="s">
        <v>651</v>
      </c>
      <c r="E111" s="250" t="s">
        <v>684</v>
      </c>
      <c r="F111" s="251" t="s">
        <v>499</v>
      </c>
      <c r="G111" s="251" t="s">
        <v>492</v>
      </c>
      <c r="H111" s="251" t="s">
        <v>459</v>
      </c>
      <c r="I111" s="252" t="s">
        <v>653</v>
      </c>
      <c r="J111" s="252" t="s">
        <v>689</v>
      </c>
      <c r="K111" s="253" t="s">
        <v>655</v>
      </c>
      <c r="L111" s="250">
        <v>2016</v>
      </c>
      <c r="M111" s="257" t="s">
        <v>41</v>
      </c>
      <c r="N111" s="257" t="s">
        <v>41</v>
      </c>
      <c r="O111" s="257" t="s">
        <v>41</v>
      </c>
      <c r="P111" s="257" t="s">
        <v>41</v>
      </c>
      <c r="Q111" s="257" t="s">
        <v>41</v>
      </c>
      <c r="R111" s="257" t="s">
        <v>41</v>
      </c>
      <c r="S111" s="257" t="s">
        <v>41</v>
      </c>
      <c r="T111" s="257" t="s">
        <v>41</v>
      </c>
      <c r="U111" s="257" t="s">
        <v>41</v>
      </c>
      <c r="V111" s="257" t="s">
        <v>41</v>
      </c>
      <c r="W111" s="257">
        <v>45787.374878982999</v>
      </c>
      <c r="X111" s="257" t="s">
        <v>41</v>
      </c>
      <c r="Y111" s="257" t="s">
        <v>41</v>
      </c>
      <c r="Z111" s="255" t="s">
        <v>671</v>
      </c>
      <c r="AA111" s="255"/>
      <c r="AB111" s="255" t="s">
        <v>672</v>
      </c>
    </row>
    <row r="112" spans="1:28" s="256" customFormat="1" ht="112.5">
      <c r="A112" s="250">
        <v>107</v>
      </c>
      <c r="B112" s="250" t="s">
        <v>11</v>
      </c>
      <c r="C112" s="250" t="s">
        <v>479</v>
      </c>
      <c r="D112" s="250" t="s">
        <v>651</v>
      </c>
      <c r="E112" s="250" t="s">
        <v>684</v>
      </c>
      <c r="F112" s="251" t="s">
        <v>500</v>
      </c>
      <c r="G112" s="251" t="s">
        <v>492</v>
      </c>
      <c r="H112" s="251" t="s">
        <v>459</v>
      </c>
      <c r="I112" s="252" t="s">
        <v>653</v>
      </c>
      <c r="J112" s="252" t="s">
        <v>690</v>
      </c>
      <c r="K112" s="253" t="s">
        <v>655</v>
      </c>
      <c r="L112" s="250">
        <v>2016</v>
      </c>
      <c r="M112" s="257" t="s">
        <v>41</v>
      </c>
      <c r="N112" s="257" t="s">
        <v>41</v>
      </c>
      <c r="O112" s="257" t="s">
        <v>41</v>
      </c>
      <c r="P112" s="257" t="s">
        <v>41</v>
      </c>
      <c r="Q112" s="257" t="s">
        <v>41</v>
      </c>
      <c r="R112" s="257" t="s">
        <v>41</v>
      </c>
      <c r="S112" s="257" t="s">
        <v>41</v>
      </c>
      <c r="T112" s="257" t="s">
        <v>41</v>
      </c>
      <c r="U112" s="257" t="s">
        <v>41</v>
      </c>
      <c r="V112" s="257" t="s">
        <v>41</v>
      </c>
      <c r="W112" s="257">
        <v>26806.230639922251</v>
      </c>
      <c r="X112" s="257" t="s">
        <v>41</v>
      </c>
      <c r="Y112" s="257" t="s">
        <v>41</v>
      </c>
      <c r="Z112" s="255" t="s">
        <v>671</v>
      </c>
      <c r="AA112" s="255"/>
      <c r="AB112" s="255" t="s">
        <v>672</v>
      </c>
    </row>
    <row r="113" spans="1:28" s="256" customFormat="1" ht="112.5">
      <c r="A113" s="250">
        <v>108</v>
      </c>
      <c r="B113" s="250" t="s">
        <v>11</v>
      </c>
      <c r="C113" s="250" t="s">
        <v>479</v>
      </c>
      <c r="D113" s="250" t="s">
        <v>651</v>
      </c>
      <c r="E113" s="250" t="s">
        <v>684</v>
      </c>
      <c r="F113" s="251" t="s">
        <v>501</v>
      </c>
      <c r="G113" s="251" t="s">
        <v>492</v>
      </c>
      <c r="H113" s="251" t="s">
        <v>459</v>
      </c>
      <c r="I113" s="252" t="s">
        <v>653</v>
      </c>
      <c r="J113" s="252" t="s">
        <v>691</v>
      </c>
      <c r="K113" s="253" t="s">
        <v>655</v>
      </c>
      <c r="L113" s="250">
        <v>2016</v>
      </c>
      <c r="M113" s="257" t="s">
        <v>41</v>
      </c>
      <c r="N113" s="257" t="s">
        <v>41</v>
      </c>
      <c r="O113" s="257" t="s">
        <v>41</v>
      </c>
      <c r="P113" s="257" t="s">
        <v>41</v>
      </c>
      <c r="Q113" s="257" t="s">
        <v>41</v>
      </c>
      <c r="R113" s="257" t="s">
        <v>41</v>
      </c>
      <c r="S113" s="257" t="s">
        <v>41</v>
      </c>
      <c r="T113" s="257" t="s">
        <v>41</v>
      </c>
      <c r="U113" s="257" t="s">
        <v>41</v>
      </c>
      <c r="V113" s="257" t="s">
        <v>41</v>
      </c>
      <c r="W113" s="257">
        <v>42.921414229618001</v>
      </c>
      <c r="X113" s="257" t="s">
        <v>41</v>
      </c>
      <c r="Y113" s="257" t="s">
        <v>41</v>
      </c>
      <c r="Z113" s="255" t="s">
        <v>671</v>
      </c>
      <c r="AA113" s="255"/>
      <c r="AB113" s="255" t="s">
        <v>672</v>
      </c>
    </row>
    <row r="114" spans="1:28" s="256" customFormat="1" ht="112.5">
      <c r="A114" s="250">
        <v>109</v>
      </c>
      <c r="B114" s="250" t="s">
        <v>11</v>
      </c>
      <c r="C114" s="250" t="s">
        <v>479</v>
      </c>
      <c r="D114" s="250" t="s">
        <v>651</v>
      </c>
      <c r="E114" s="250" t="s">
        <v>684</v>
      </c>
      <c r="F114" s="251" t="s">
        <v>504</v>
      </c>
      <c r="G114" s="251" t="s">
        <v>492</v>
      </c>
      <c r="H114" s="251" t="s">
        <v>459</v>
      </c>
      <c r="I114" s="252" t="s">
        <v>653</v>
      </c>
      <c r="J114" s="252" t="s">
        <v>692</v>
      </c>
      <c r="K114" s="253" t="s">
        <v>655</v>
      </c>
      <c r="L114" s="250">
        <v>2016</v>
      </c>
      <c r="M114" s="257" t="s">
        <v>41</v>
      </c>
      <c r="N114" s="257" t="s">
        <v>41</v>
      </c>
      <c r="O114" s="257" t="s">
        <v>41</v>
      </c>
      <c r="P114" s="257" t="s">
        <v>41</v>
      </c>
      <c r="Q114" s="257" t="s">
        <v>41</v>
      </c>
      <c r="R114" s="257" t="s">
        <v>41</v>
      </c>
      <c r="S114" s="257" t="s">
        <v>41</v>
      </c>
      <c r="T114" s="257" t="s">
        <v>41</v>
      </c>
      <c r="U114" s="257" t="s">
        <v>41</v>
      </c>
      <c r="V114" s="257" t="s">
        <v>41</v>
      </c>
      <c r="W114" s="257">
        <v>68.155865168293502</v>
      </c>
      <c r="X114" s="257" t="s">
        <v>41</v>
      </c>
      <c r="Y114" s="257" t="s">
        <v>41</v>
      </c>
      <c r="Z114" s="255" t="s">
        <v>671</v>
      </c>
      <c r="AA114" s="255"/>
      <c r="AB114" s="255" t="s">
        <v>672</v>
      </c>
    </row>
    <row r="115" spans="1:28" s="256" customFormat="1" ht="112.5">
      <c r="A115" s="250">
        <v>110</v>
      </c>
      <c r="B115" s="250" t="s">
        <v>11</v>
      </c>
      <c r="C115" s="250" t="s">
        <v>479</v>
      </c>
      <c r="D115" s="250" t="s">
        <v>651</v>
      </c>
      <c r="E115" s="250" t="s">
        <v>684</v>
      </c>
      <c r="F115" s="251" t="s">
        <v>505</v>
      </c>
      <c r="G115" s="251" t="s">
        <v>492</v>
      </c>
      <c r="H115" s="251" t="s">
        <v>459</v>
      </c>
      <c r="I115" s="252" t="s">
        <v>653</v>
      </c>
      <c r="J115" s="252" t="s">
        <v>693</v>
      </c>
      <c r="K115" s="253" t="s">
        <v>655</v>
      </c>
      <c r="L115" s="250">
        <v>2016</v>
      </c>
      <c r="M115" s="257" t="s">
        <v>41</v>
      </c>
      <c r="N115" s="257" t="s">
        <v>41</v>
      </c>
      <c r="O115" s="257" t="s">
        <v>41</v>
      </c>
      <c r="P115" s="257" t="s">
        <v>41</v>
      </c>
      <c r="Q115" s="257" t="s">
        <v>41</v>
      </c>
      <c r="R115" s="257" t="s">
        <v>41</v>
      </c>
      <c r="S115" s="257" t="s">
        <v>41</v>
      </c>
      <c r="T115" s="257" t="s">
        <v>41</v>
      </c>
      <c r="U115" s="257" t="s">
        <v>41</v>
      </c>
      <c r="V115" s="257" t="s">
        <v>41</v>
      </c>
      <c r="W115" s="257">
        <v>-1828393.9021340697</v>
      </c>
      <c r="X115" s="257" t="s">
        <v>41</v>
      </c>
      <c r="Y115" s="257" t="s">
        <v>41</v>
      </c>
      <c r="Z115" s="255" t="s">
        <v>671</v>
      </c>
      <c r="AA115" s="255"/>
      <c r="AB115" s="255" t="s">
        <v>672</v>
      </c>
    </row>
    <row r="116" spans="1:28" s="256" customFormat="1" ht="112.5">
      <c r="A116" s="250">
        <v>111</v>
      </c>
      <c r="B116" s="250" t="s">
        <v>11</v>
      </c>
      <c r="C116" s="250" t="s">
        <v>479</v>
      </c>
      <c r="D116" s="250" t="s">
        <v>651</v>
      </c>
      <c r="E116" s="250" t="s">
        <v>684</v>
      </c>
      <c r="F116" s="251" t="s">
        <v>506</v>
      </c>
      <c r="G116" s="251" t="s">
        <v>492</v>
      </c>
      <c r="H116" s="251" t="s">
        <v>459</v>
      </c>
      <c r="I116" s="252" t="s">
        <v>653</v>
      </c>
      <c r="J116" s="252" t="s">
        <v>694</v>
      </c>
      <c r="K116" s="253" t="s">
        <v>655</v>
      </c>
      <c r="L116" s="250">
        <v>2016</v>
      </c>
      <c r="M116" s="257" t="s">
        <v>41</v>
      </c>
      <c r="N116" s="257" t="s">
        <v>41</v>
      </c>
      <c r="O116" s="257" t="s">
        <v>41</v>
      </c>
      <c r="P116" s="257" t="s">
        <v>41</v>
      </c>
      <c r="Q116" s="257" t="s">
        <v>41</v>
      </c>
      <c r="R116" s="257" t="s">
        <v>41</v>
      </c>
      <c r="S116" s="257" t="s">
        <v>41</v>
      </c>
      <c r="T116" s="257" t="s">
        <v>41</v>
      </c>
      <c r="U116" s="257" t="s">
        <v>41</v>
      </c>
      <c r="V116" s="257" t="s">
        <v>41</v>
      </c>
      <c r="W116" s="257">
        <v>-867969.60528453416</v>
      </c>
      <c r="X116" s="257" t="s">
        <v>41</v>
      </c>
      <c r="Y116" s="257" t="s">
        <v>41</v>
      </c>
      <c r="Z116" s="255" t="s">
        <v>671</v>
      </c>
      <c r="AA116" s="255"/>
      <c r="AB116" s="255" t="s">
        <v>672</v>
      </c>
    </row>
    <row r="117" spans="1:28" s="256" customFormat="1" ht="112.5">
      <c r="A117" s="250">
        <v>112</v>
      </c>
      <c r="B117" s="250" t="s">
        <v>11</v>
      </c>
      <c r="C117" s="250" t="s">
        <v>479</v>
      </c>
      <c r="D117" s="250" t="s">
        <v>651</v>
      </c>
      <c r="E117" s="250" t="s">
        <v>684</v>
      </c>
      <c r="F117" s="251" t="s">
        <v>507</v>
      </c>
      <c r="G117" s="251" t="s">
        <v>492</v>
      </c>
      <c r="H117" s="251" t="s">
        <v>459</v>
      </c>
      <c r="I117" s="252" t="s">
        <v>653</v>
      </c>
      <c r="J117" s="252" t="s">
        <v>695</v>
      </c>
      <c r="K117" s="253" t="s">
        <v>655</v>
      </c>
      <c r="L117" s="250">
        <v>2016</v>
      </c>
      <c r="M117" s="257" t="s">
        <v>41</v>
      </c>
      <c r="N117" s="257" t="s">
        <v>41</v>
      </c>
      <c r="O117" s="257" t="s">
        <v>41</v>
      </c>
      <c r="P117" s="257" t="s">
        <v>41</v>
      </c>
      <c r="Q117" s="257" t="s">
        <v>41</v>
      </c>
      <c r="R117" s="257" t="s">
        <v>41</v>
      </c>
      <c r="S117" s="257" t="s">
        <v>41</v>
      </c>
      <c r="T117" s="257" t="s">
        <v>41</v>
      </c>
      <c r="U117" s="257" t="s">
        <v>41</v>
      </c>
      <c r="V117" s="257" t="s">
        <v>41</v>
      </c>
      <c r="W117" s="257">
        <v>827216.4013007147</v>
      </c>
      <c r="X117" s="257" t="s">
        <v>41</v>
      </c>
      <c r="Y117" s="257" t="s">
        <v>41</v>
      </c>
      <c r="Z117" s="255" t="s">
        <v>671</v>
      </c>
      <c r="AA117" s="255"/>
      <c r="AB117" s="255" t="s">
        <v>672</v>
      </c>
    </row>
    <row r="118" spans="1:28" s="256" customFormat="1" ht="112.5">
      <c r="A118" s="250">
        <v>113</v>
      </c>
      <c r="B118" s="250" t="s">
        <v>11</v>
      </c>
      <c r="C118" s="250" t="s">
        <v>479</v>
      </c>
      <c r="D118" s="250" t="s">
        <v>651</v>
      </c>
      <c r="E118" s="250" t="s">
        <v>684</v>
      </c>
      <c r="F118" s="251" t="s">
        <v>508</v>
      </c>
      <c r="G118" s="251" t="s">
        <v>492</v>
      </c>
      <c r="H118" s="251" t="s">
        <v>459</v>
      </c>
      <c r="I118" s="252" t="s">
        <v>653</v>
      </c>
      <c r="J118" s="252" t="s">
        <v>696</v>
      </c>
      <c r="K118" s="253" t="s">
        <v>655</v>
      </c>
      <c r="L118" s="250">
        <v>2016</v>
      </c>
      <c r="M118" s="257" t="s">
        <v>41</v>
      </c>
      <c r="N118" s="257" t="s">
        <v>41</v>
      </c>
      <c r="O118" s="257" t="s">
        <v>41</v>
      </c>
      <c r="P118" s="257" t="s">
        <v>41</v>
      </c>
      <c r="Q118" s="257" t="s">
        <v>41</v>
      </c>
      <c r="R118" s="257" t="s">
        <v>41</v>
      </c>
      <c r="S118" s="257" t="s">
        <v>41</v>
      </c>
      <c r="T118" s="257" t="s">
        <v>41</v>
      </c>
      <c r="U118" s="257" t="s">
        <v>41</v>
      </c>
      <c r="V118" s="257" t="s">
        <v>41</v>
      </c>
      <c r="W118" s="257">
        <v>472557.12617583224</v>
      </c>
      <c r="X118" s="257" t="s">
        <v>41</v>
      </c>
      <c r="Y118" s="257" t="s">
        <v>41</v>
      </c>
      <c r="Z118" s="255" t="s">
        <v>671</v>
      </c>
      <c r="AA118" s="255"/>
      <c r="AB118" s="255" t="s">
        <v>672</v>
      </c>
    </row>
    <row r="119" spans="1:28" s="256" customFormat="1" ht="51">
      <c r="A119" s="250">
        <v>114</v>
      </c>
      <c r="B119" s="250" t="s">
        <v>11</v>
      </c>
      <c r="C119" s="250" t="s">
        <v>479</v>
      </c>
      <c r="D119" s="250" t="s">
        <v>697</v>
      </c>
      <c r="E119" s="250" t="s">
        <v>481</v>
      </c>
      <c r="F119" s="251" t="s">
        <v>482</v>
      </c>
      <c r="G119" s="251" t="s">
        <v>578</v>
      </c>
      <c r="H119" s="251" t="s">
        <v>459</v>
      </c>
      <c r="I119" s="252" t="s">
        <v>484</v>
      </c>
      <c r="J119" s="252" t="s">
        <v>485</v>
      </c>
      <c r="K119" s="253" t="s">
        <v>655</v>
      </c>
      <c r="L119" s="250">
        <v>2016</v>
      </c>
      <c r="M119" s="254">
        <v>13452.005058907987</v>
      </c>
      <c r="N119" s="254" t="s">
        <v>41</v>
      </c>
      <c r="O119" s="254" t="s">
        <v>41</v>
      </c>
      <c r="P119" s="254">
        <v>11957.161960823454</v>
      </c>
      <c r="Q119" s="254">
        <v>3194.4239157108868</v>
      </c>
      <c r="R119" s="254">
        <v>12649.095451883148</v>
      </c>
      <c r="S119" s="254">
        <v>16199.076530150309</v>
      </c>
      <c r="T119" s="254">
        <v>16833.253612738696</v>
      </c>
      <c r="U119" s="254">
        <v>18754.695190834085</v>
      </c>
      <c r="V119" s="254">
        <v>20748.612179846048</v>
      </c>
      <c r="W119" s="254">
        <v>2835.9738688011421</v>
      </c>
      <c r="X119" s="254" t="s">
        <v>41</v>
      </c>
      <c r="Y119" s="254" t="s">
        <v>41</v>
      </c>
      <c r="Z119" s="255" t="s">
        <v>579</v>
      </c>
      <c r="AA119" s="255" t="s">
        <v>580</v>
      </c>
      <c r="AB119" s="255"/>
    </row>
    <row r="120" spans="1:28" s="256" customFormat="1" ht="101.25">
      <c r="A120" s="250">
        <v>115</v>
      </c>
      <c r="B120" s="250" t="s">
        <v>11</v>
      </c>
      <c r="C120" s="250" t="s">
        <v>698</v>
      </c>
      <c r="D120" s="250" t="s">
        <v>699</v>
      </c>
      <c r="E120" s="250" t="s">
        <v>700</v>
      </c>
      <c r="F120" s="251" t="s">
        <v>583</v>
      </c>
      <c r="G120" s="251" t="s">
        <v>701</v>
      </c>
      <c r="H120" s="251" t="s">
        <v>459</v>
      </c>
      <c r="I120" s="252" t="s">
        <v>702</v>
      </c>
      <c r="J120" s="252" t="s">
        <v>703</v>
      </c>
      <c r="K120" s="253" t="s">
        <v>655</v>
      </c>
      <c r="L120" s="250">
        <v>2016</v>
      </c>
      <c r="M120" s="328">
        <f t="shared" ref="M120:M128" si="5">N120/O120</f>
        <v>0.11751952461482978</v>
      </c>
      <c r="N120" s="254">
        <v>14491</v>
      </c>
      <c r="O120" s="271">
        <f>O123*6.01</f>
        <v>123307.17</v>
      </c>
      <c r="P120" s="328">
        <v>0.4345359828102443</v>
      </c>
      <c r="Q120" s="264">
        <v>0.23545089338643896</v>
      </c>
      <c r="R120" s="264">
        <v>0.12083310513086953</v>
      </c>
      <c r="S120" s="264">
        <v>0.12252476860270171</v>
      </c>
      <c r="T120" s="264">
        <v>0.12424011536313954</v>
      </c>
      <c r="U120" s="264">
        <v>0.12775142031508122</v>
      </c>
      <c r="V120" s="264">
        <v>0.13226445188787714</v>
      </c>
      <c r="W120" s="264">
        <v>1.7164581139156466E-2</v>
      </c>
      <c r="X120" s="264">
        <v>646.6069360931632</v>
      </c>
      <c r="Y120" s="264">
        <v>37671</v>
      </c>
      <c r="Z120" s="255" t="s">
        <v>704</v>
      </c>
      <c r="AA120" s="255" t="s">
        <v>705</v>
      </c>
      <c r="AB120" s="255" t="s">
        <v>706</v>
      </c>
    </row>
    <row r="121" spans="1:28" s="256" customFormat="1" ht="101.25">
      <c r="A121" s="250">
        <v>116</v>
      </c>
      <c r="B121" s="250" t="s">
        <v>11</v>
      </c>
      <c r="C121" s="250" t="s">
        <v>698</v>
      </c>
      <c r="D121" s="250" t="s">
        <v>699</v>
      </c>
      <c r="E121" s="250" t="s">
        <v>700</v>
      </c>
      <c r="F121" s="251" t="s">
        <v>589</v>
      </c>
      <c r="G121" s="251" t="s">
        <v>701</v>
      </c>
      <c r="H121" s="251" t="s">
        <v>459</v>
      </c>
      <c r="I121" s="252" t="s">
        <v>702</v>
      </c>
      <c r="J121" s="252" t="s">
        <v>707</v>
      </c>
      <c r="K121" s="253" t="s">
        <v>655</v>
      </c>
      <c r="L121" s="250">
        <v>2016</v>
      </c>
      <c r="M121" s="328">
        <f t="shared" si="5"/>
        <v>165.65540349356814</v>
      </c>
      <c r="N121" s="329">
        <v>20426499</v>
      </c>
      <c r="O121" s="329">
        <f>O120</f>
        <v>123307.17</v>
      </c>
      <c r="P121" s="328">
        <v>744.45649803221022</v>
      </c>
      <c r="Q121" s="264">
        <v>405.16995089913542</v>
      </c>
      <c r="R121" s="262">
        <v>170.32622325047279</v>
      </c>
      <c r="S121" s="262">
        <v>172.71079037597943</v>
      </c>
      <c r="T121" s="262">
        <v>175.12874144124314</v>
      </c>
      <c r="U121" s="262">
        <v>180.07827336378344</v>
      </c>
      <c r="V121" s="262">
        <v>186.43983812181835</v>
      </c>
      <c r="W121" s="264">
        <v>126.36033378884218</v>
      </c>
      <c r="X121" s="264">
        <v>4760120.1341594737</v>
      </c>
      <c r="Y121" s="264">
        <v>37671</v>
      </c>
      <c r="Z121" s="255" t="s">
        <v>704</v>
      </c>
      <c r="AA121" s="255" t="s">
        <v>705</v>
      </c>
      <c r="AB121" s="255" t="s">
        <v>706</v>
      </c>
    </row>
    <row r="122" spans="1:28" s="256" customFormat="1" ht="101.25">
      <c r="A122" s="250">
        <v>117</v>
      </c>
      <c r="B122" s="250" t="s">
        <v>11</v>
      </c>
      <c r="C122" s="250" t="s">
        <v>698</v>
      </c>
      <c r="D122" s="250" t="s">
        <v>699</v>
      </c>
      <c r="E122" s="250" t="s">
        <v>700</v>
      </c>
      <c r="F122" s="251" t="s">
        <v>591</v>
      </c>
      <c r="G122" s="251" t="s">
        <v>701</v>
      </c>
      <c r="H122" s="251" t="s">
        <v>459</v>
      </c>
      <c r="I122" s="252" t="s">
        <v>702</v>
      </c>
      <c r="J122" s="252" t="s">
        <v>708</v>
      </c>
      <c r="K122" s="253" t="s">
        <v>655</v>
      </c>
      <c r="L122" s="250">
        <v>2016</v>
      </c>
      <c r="M122" s="328">
        <f t="shared" si="5"/>
        <v>8.922571169219113</v>
      </c>
      <c r="N122" s="254">
        <v>1100217</v>
      </c>
      <c r="O122" s="271">
        <f>O121</f>
        <v>123307.17</v>
      </c>
      <c r="P122" s="328">
        <v>94.529817317970711</v>
      </c>
      <c r="Q122" s="264">
        <v>59.997195529166746</v>
      </c>
      <c r="R122" s="266">
        <v>9.1741519859064162</v>
      </c>
      <c r="S122" s="266">
        <v>9.3025901137091065</v>
      </c>
      <c r="T122" s="266">
        <v>9.4328263753010333</v>
      </c>
      <c r="U122" s="266">
        <v>9.699419253660734</v>
      </c>
      <c r="V122" s="266">
        <v>10.042067384081463</v>
      </c>
      <c r="W122" s="264">
        <v>21.624463824405243</v>
      </c>
      <c r="X122" s="264">
        <v>814615.17672916991</v>
      </c>
      <c r="Y122" s="264">
        <v>37671</v>
      </c>
      <c r="Z122" s="255" t="s">
        <v>704</v>
      </c>
      <c r="AA122" s="255" t="s">
        <v>705</v>
      </c>
      <c r="AB122" s="255" t="s">
        <v>706</v>
      </c>
    </row>
    <row r="123" spans="1:28" s="256" customFormat="1" ht="101.25">
      <c r="A123" s="250">
        <v>118</v>
      </c>
      <c r="B123" s="250" t="s">
        <v>11</v>
      </c>
      <c r="C123" s="250" t="s">
        <v>698</v>
      </c>
      <c r="D123" s="250" t="s">
        <v>699</v>
      </c>
      <c r="E123" s="250" t="s">
        <v>709</v>
      </c>
      <c r="F123" s="251" t="s">
        <v>583</v>
      </c>
      <c r="G123" s="251" t="s">
        <v>710</v>
      </c>
      <c r="H123" s="251" t="s">
        <v>459</v>
      </c>
      <c r="I123" s="252" t="s">
        <v>711</v>
      </c>
      <c r="J123" s="252" t="s">
        <v>712</v>
      </c>
      <c r="K123" s="253" t="s">
        <v>655</v>
      </c>
      <c r="L123" s="250">
        <v>2016</v>
      </c>
      <c r="M123" s="328">
        <f t="shared" si="5"/>
        <v>0.70629234293512699</v>
      </c>
      <c r="N123" s="254">
        <v>14491</v>
      </c>
      <c r="O123" s="254">
        <v>20517</v>
      </c>
      <c r="P123" s="328">
        <v>2.6115612566895683</v>
      </c>
      <c r="Q123" s="264">
        <v>1.415059869252498</v>
      </c>
      <c r="R123" s="264">
        <v>0.72620696183652589</v>
      </c>
      <c r="S123" s="264">
        <v>0.73637385930223731</v>
      </c>
      <c r="T123" s="264">
        <v>0.74668309333246863</v>
      </c>
      <c r="U123" s="264">
        <v>0.76778603609363805</v>
      </c>
      <c r="V123" s="264">
        <v>0.79490935584614153</v>
      </c>
      <c r="W123" s="264">
        <v>0.1031600089491326</v>
      </c>
      <c r="X123" s="264">
        <v>646.6069360931632</v>
      </c>
      <c r="Y123" s="264">
        <v>6268</v>
      </c>
      <c r="Z123" s="255" t="s">
        <v>713</v>
      </c>
      <c r="AA123" s="255" t="s">
        <v>705</v>
      </c>
      <c r="AB123" s="255"/>
    </row>
    <row r="124" spans="1:28" s="256" customFormat="1" ht="101.25">
      <c r="A124" s="250">
        <v>119</v>
      </c>
      <c r="B124" s="250" t="s">
        <v>11</v>
      </c>
      <c r="C124" s="250" t="s">
        <v>698</v>
      </c>
      <c r="D124" s="250" t="s">
        <v>699</v>
      </c>
      <c r="E124" s="250" t="s">
        <v>709</v>
      </c>
      <c r="F124" s="251" t="s">
        <v>589</v>
      </c>
      <c r="G124" s="251" t="s">
        <v>710</v>
      </c>
      <c r="H124" s="251" t="s">
        <v>459</v>
      </c>
      <c r="I124" s="252" t="s">
        <v>711</v>
      </c>
      <c r="J124" s="252" t="s">
        <v>714</v>
      </c>
      <c r="K124" s="253" t="s">
        <v>655</v>
      </c>
      <c r="L124" s="250">
        <v>2016</v>
      </c>
      <c r="M124" s="328">
        <f t="shared" si="5"/>
        <v>995.58897499634452</v>
      </c>
      <c r="N124" s="254">
        <v>20426499</v>
      </c>
      <c r="O124" s="254">
        <v>20517</v>
      </c>
      <c r="P124" s="328">
        <v>4474.1835531735833</v>
      </c>
      <c r="Q124" s="264">
        <v>2435.0714049038038</v>
      </c>
      <c r="R124" s="262">
        <v>1023.6606017353415</v>
      </c>
      <c r="S124" s="262">
        <v>1037.9918501596362</v>
      </c>
      <c r="T124" s="262">
        <v>1052.5237360618712</v>
      </c>
      <c r="U124" s="262">
        <v>1082.2704229163385</v>
      </c>
      <c r="V124" s="262">
        <v>1120.5034271121283</v>
      </c>
      <c r="W124" s="264">
        <v>759.43205714094984</v>
      </c>
      <c r="X124" s="264">
        <v>4760120.1341594737</v>
      </c>
      <c r="Y124" s="264">
        <v>6268</v>
      </c>
      <c r="Z124" s="255" t="s">
        <v>713</v>
      </c>
      <c r="AA124" s="255" t="s">
        <v>705</v>
      </c>
      <c r="AB124" s="255"/>
    </row>
    <row r="125" spans="1:28" s="256" customFormat="1" ht="101.25">
      <c r="A125" s="250">
        <v>120</v>
      </c>
      <c r="B125" s="250" t="s">
        <v>11</v>
      </c>
      <c r="C125" s="250" t="s">
        <v>698</v>
      </c>
      <c r="D125" s="250" t="s">
        <v>699</v>
      </c>
      <c r="E125" s="250" t="s">
        <v>709</v>
      </c>
      <c r="F125" s="251" t="s">
        <v>591</v>
      </c>
      <c r="G125" s="251" t="s">
        <v>710</v>
      </c>
      <c r="H125" s="251" t="s">
        <v>459</v>
      </c>
      <c r="I125" s="252" t="s">
        <v>711</v>
      </c>
      <c r="J125" s="252" t="s">
        <v>715</v>
      </c>
      <c r="K125" s="253" t="s">
        <v>655</v>
      </c>
      <c r="L125" s="250">
        <v>2016</v>
      </c>
      <c r="M125" s="328">
        <f t="shared" si="5"/>
        <v>53.624652727006875</v>
      </c>
      <c r="N125" s="254">
        <v>1100217</v>
      </c>
      <c r="O125" s="254">
        <v>20517</v>
      </c>
      <c r="P125" s="328">
        <v>568.124202081004</v>
      </c>
      <c r="Q125" s="264">
        <v>360.58314513029211</v>
      </c>
      <c r="R125" s="262">
        <v>55.136653435297561</v>
      </c>
      <c r="S125" s="262">
        <v>55.908566583391725</v>
      </c>
      <c r="T125" s="262">
        <v>56.691286515559213</v>
      </c>
      <c r="U125" s="262">
        <v>58.293509714500999</v>
      </c>
      <c r="V125" s="262">
        <v>60.352824978329586</v>
      </c>
      <c r="W125" s="264">
        <v>129.96413157772335</v>
      </c>
      <c r="X125" s="264">
        <v>814615.17672916991</v>
      </c>
      <c r="Y125" s="264">
        <v>6268</v>
      </c>
      <c r="Z125" s="255" t="s">
        <v>716</v>
      </c>
      <c r="AA125" s="255" t="s">
        <v>705</v>
      </c>
      <c r="AB125" s="255"/>
    </row>
    <row r="126" spans="1:28" s="256" customFormat="1" ht="112.5">
      <c r="A126" s="250">
        <v>121</v>
      </c>
      <c r="B126" s="250" t="s">
        <v>11</v>
      </c>
      <c r="C126" s="250" t="s">
        <v>698</v>
      </c>
      <c r="D126" s="250" t="s">
        <v>699</v>
      </c>
      <c r="E126" s="250" t="s">
        <v>717</v>
      </c>
      <c r="F126" s="251" t="s">
        <v>583</v>
      </c>
      <c r="G126" s="251" t="s">
        <v>718</v>
      </c>
      <c r="H126" s="251" t="s">
        <v>459</v>
      </c>
      <c r="I126" s="252" t="s">
        <v>719</v>
      </c>
      <c r="J126" s="252" t="s">
        <v>720</v>
      </c>
      <c r="K126" s="253" t="s">
        <v>655</v>
      </c>
      <c r="L126" s="250">
        <v>2016</v>
      </c>
      <c r="M126" s="272">
        <f t="shared" si="5"/>
        <v>1.9801918927499912E-3</v>
      </c>
      <c r="N126" s="254">
        <v>18652.892779812802</v>
      </c>
      <c r="O126" s="254">
        <f>10340*911</f>
        <v>9419740</v>
      </c>
      <c r="P126" s="272">
        <v>4.3050447477160731E-3</v>
      </c>
      <c r="Q126" s="273">
        <v>3.8199290449493641E-4</v>
      </c>
      <c r="R126" s="273">
        <v>1.9796256207546665E-3</v>
      </c>
      <c r="S126" s="273">
        <v>2.5230187086421997E-3</v>
      </c>
      <c r="T126" s="273">
        <v>2.5817583435890244E-3</v>
      </c>
      <c r="U126" s="273">
        <v>2.9445238389132883E-3</v>
      </c>
      <c r="V126" s="273">
        <v>3.1999823787228166E-3</v>
      </c>
      <c r="W126" s="273">
        <v>1.4683998835051633E-3</v>
      </c>
      <c r="X126" s="273">
        <v>5804.2451668020822</v>
      </c>
      <c r="Y126" s="273">
        <v>3952768.7464445871</v>
      </c>
      <c r="Z126" s="255" t="s">
        <v>721</v>
      </c>
      <c r="AA126" s="255" t="s">
        <v>722</v>
      </c>
      <c r="AB126" s="255" t="s">
        <v>723</v>
      </c>
    </row>
    <row r="127" spans="1:28" s="256" customFormat="1" ht="112.5">
      <c r="A127" s="250">
        <v>122</v>
      </c>
      <c r="B127" s="250" t="s">
        <v>11</v>
      </c>
      <c r="C127" s="250" t="s">
        <v>698</v>
      </c>
      <c r="D127" s="250" t="s">
        <v>699</v>
      </c>
      <c r="E127" s="250" t="s">
        <v>717</v>
      </c>
      <c r="F127" s="251" t="s">
        <v>589</v>
      </c>
      <c r="G127" s="251" t="s">
        <v>718</v>
      </c>
      <c r="H127" s="251" t="s">
        <v>459</v>
      </c>
      <c r="I127" s="252" t="s">
        <v>719</v>
      </c>
      <c r="J127" s="252" t="s">
        <v>724</v>
      </c>
      <c r="K127" s="253" t="s">
        <v>655</v>
      </c>
      <c r="L127" s="250">
        <v>2016</v>
      </c>
      <c r="M127" s="261">
        <f t="shared" si="5"/>
        <v>4.9184111229710696</v>
      </c>
      <c r="N127" s="254">
        <v>46330153.991495505</v>
      </c>
      <c r="O127" s="254">
        <f>10340*911</f>
        <v>9419740</v>
      </c>
      <c r="P127" s="274">
        <v>12.436494901853814</v>
      </c>
      <c r="Q127" s="266">
        <v>1.2067052285550335</v>
      </c>
      <c r="R127" s="266">
        <v>5.9098649429301133</v>
      </c>
      <c r="S127" s="266">
        <v>7.5617904038898613</v>
      </c>
      <c r="T127" s="266">
        <v>7.825493759745866</v>
      </c>
      <c r="U127" s="266">
        <v>8.8383711426876204</v>
      </c>
      <c r="V127" s="266">
        <v>9.8808369468248678</v>
      </c>
      <c r="W127" s="266">
        <v>7.7285747811619689</v>
      </c>
      <c r="X127" s="266">
        <v>30549268.849536844</v>
      </c>
      <c r="Y127" s="266">
        <v>3952768.7464445871</v>
      </c>
      <c r="Z127" s="255" t="s">
        <v>721</v>
      </c>
      <c r="AA127" s="255" t="s">
        <v>722</v>
      </c>
      <c r="AB127" s="255" t="s">
        <v>723</v>
      </c>
    </row>
    <row r="128" spans="1:28" s="256" customFormat="1" ht="112.5">
      <c r="A128" s="250">
        <v>123</v>
      </c>
      <c r="B128" s="250" t="s">
        <v>11</v>
      </c>
      <c r="C128" s="250" t="s">
        <v>698</v>
      </c>
      <c r="D128" s="250" t="s">
        <v>699</v>
      </c>
      <c r="E128" s="250" t="s">
        <v>717</v>
      </c>
      <c r="F128" s="251" t="s">
        <v>591</v>
      </c>
      <c r="G128" s="251" t="s">
        <v>718</v>
      </c>
      <c r="H128" s="251" t="s">
        <v>459</v>
      </c>
      <c r="I128" s="252" t="s">
        <v>719</v>
      </c>
      <c r="J128" s="252" t="s">
        <v>725</v>
      </c>
      <c r="K128" s="253" t="s">
        <v>655</v>
      </c>
      <c r="L128" s="250">
        <v>2016</v>
      </c>
      <c r="M128" s="261">
        <f t="shared" si="5"/>
        <v>0.19271105045249376</v>
      </c>
      <c r="N128" s="254">
        <v>1815287.9903893736</v>
      </c>
      <c r="O128" s="254">
        <f>10340*911</f>
        <v>9419740</v>
      </c>
      <c r="P128" s="261">
        <v>1.0745403940811851</v>
      </c>
      <c r="Q128" s="264">
        <v>9.9463927995487506E-2</v>
      </c>
      <c r="R128" s="266">
        <v>0.40599446771817965</v>
      </c>
      <c r="S128" s="266">
        <v>0.50922663913859623</v>
      </c>
      <c r="T128" s="266">
        <v>0.5205935347327042</v>
      </c>
      <c r="U128" s="266">
        <v>0.78580938328394323</v>
      </c>
      <c r="V128" s="266">
        <v>1.0244183854200546</v>
      </c>
      <c r="W128" s="264">
        <v>0.74130178703645222</v>
      </c>
      <c r="X128" s="264">
        <v>2930194.5354812094</v>
      </c>
      <c r="Y128" s="264">
        <v>3952768.7464445871</v>
      </c>
      <c r="Z128" s="255" t="s">
        <v>721</v>
      </c>
      <c r="AA128" s="255" t="s">
        <v>722</v>
      </c>
      <c r="AB128" s="255" t="s">
        <v>723</v>
      </c>
    </row>
    <row r="129" spans="1:28" s="256" customFormat="1" ht="123.75">
      <c r="A129" s="250">
        <v>124</v>
      </c>
      <c r="B129" s="250" t="s">
        <v>11</v>
      </c>
      <c r="C129" s="250" t="s">
        <v>698</v>
      </c>
      <c r="D129" s="250" t="s">
        <v>726</v>
      </c>
      <c r="E129" s="250" t="s">
        <v>727</v>
      </c>
      <c r="F129" s="251" t="s">
        <v>617</v>
      </c>
      <c r="G129" s="251" t="s">
        <v>618</v>
      </c>
      <c r="H129" s="251" t="s">
        <v>459</v>
      </c>
      <c r="I129" s="252" t="s">
        <v>728</v>
      </c>
      <c r="J129" s="252" t="s">
        <v>729</v>
      </c>
      <c r="K129" s="253" t="s">
        <v>655</v>
      </c>
      <c r="L129" s="250">
        <v>2016</v>
      </c>
      <c r="M129" s="268">
        <v>9.3626276141157237E-3</v>
      </c>
      <c r="N129" s="254">
        <v>20517</v>
      </c>
      <c r="O129" s="254">
        <v>2191372</v>
      </c>
      <c r="P129" s="268">
        <v>4.3025604817851313E-3</v>
      </c>
      <c r="Q129" s="268">
        <v>3.7392104558109196E-3</v>
      </c>
      <c r="R129" s="268">
        <v>9.5498801663980379E-3</v>
      </c>
      <c r="S129" s="268">
        <v>9.5498801663980379E-3</v>
      </c>
      <c r="T129" s="268">
        <v>9.5498801663980379E-3</v>
      </c>
      <c r="U129" s="268">
        <v>9.8307589948215101E-3</v>
      </c>
      <c r="V129" s="268">
        <v>1.0298890375527297E-2</v>
      </c>
      <c r="W129" s="268">
        <v>2.8048645695217546E-3</v>
      </c>
      <c r="X129" s="268">
        <v>6268</v>
      </c>
      <c r="Y129" s="268">
        <v>2234689</v>
      </c>
      <c r="Z129" s="255" t="s">
        <v>730</v>
      </c>
      <c r="AA129" s="255" t="s">
        <v>731</v>
      </c>
      <c r="AB129" s="255" t="s">
        <v>732</v>
      </c>
    </row>
    <row r="130" spans="1:28" s="256" customFormat="1" ht="89.25">
      <c r="A130" s="250">
        <v>125</v>
      </c>
      <c r="B130" s="250" t="s">
        <v>11</v>
      </c>
      <c r="C130" s="250" t="s">
        <v>698</v>
      </c>
      <c r="D130" s="250" t="s">
        <v>726</v>
      </c>
      <c r="E130" s="250" t="s">
        <v>733</v>
      </c>
      <c r="F130" s="251" t="s">
        <v>617</v>
      </c>
      <c r="G130" s="251" t="s">
        <v>618</v>
      </c>
      <c r="H130" s="251" t="s">
        <v>459</v>
      </c>
      <c r="I130" s="252" t="s">
        <v>728</v>
      </c>
      <c r="J130" s="252" t="s">
        <v>734</v>
      </c>
      <c r="K130" s="253" t="s">
        <v>655</v>
      </c>
      <c r="L130" s="250">
        <v>2016</v>
      </c>
      <c r="M130" s="268">
        <v>4.7184999999999996E-3</v>
      </c>
      <c r="N130" s="254">
        <v>10340</v>
      </c>
      <c r="O130" s="254">
        <v>2191372</v>
      </c>
      <c r="P130" s="268">
        <v>2.8664073574601007E-3</v>
      </c>
      <c r="Q130" s="268">
        <v>2.0730082409581983E-2</v>
      </c>
      <c r="R130" s="268">
        <v>4.8128699999999995E-3</v>
      </c>
      <c r="S130" s="268">
        <v>4.8128699999999995E-3</v>
      </c>
      <c r="T130" s="268">
        <v>4.8128699999999995E-3</v>
      </c>
      <c r="U130" s="268">
        <v>4.9544250000000001E-3</v>
      </c>
      <c r="V130" s="268">
        <v>5.1903499999999998E-3</v>
      </c>
      <c r="W130" s="268">
        <v>1.9425521851139018E-3</v>
      </c>
      <c r="X130" s="268">
        <v>4341</v>
      </c>
      <c r="Y130" s="268">
        <v>2234689</v>
      </c>
      <c r="Z130" s="255" t="s">
        <v>735</v>
      </c>
      <c r="AA130" s="255" t="s">
        <v>736</v>
      </c>
      <c r="AB130" s="255" t="s">
        <v>737</v>
      </c>
    </row>
    <row r="131" spans="1:28" s="256" customFormat="1" ht="168.75">
      <c r="A131" s="250">
        <v>126</v>
      </c>
      <c r="B131" s="250" t="s">
        <v>11</v>
      </c>
      <c r="C131" s="250" t="s">
        <v>698</v>
      </c>
      <c r="D131" s="250" t="s">
        <v>726</v>
      </c>
      <c r="E131" s="250" t="s">
        <v>738</v>
      </c>
      <c r="F131" s="251" t="s">
        <v>617</v>
      </c>
      <c r="G131" s="251" t="s">
        <v>739</v>
      </c>
      <c r="H131" s="251" t="s">
        <v>459</v>
      </c>
      <c r="I131" s="252" t="s">
        <v>740</v>
      </c>
      <c r="J131" s="252" t="s">
        <v>741</v>
      </c>
      <c r="K131" s="253" t="s">
        <v>655</v>
      </c>
      <c r="L131" s="250">
        <v>2016</v>
      </c>
      <c r="M131" s="268">
        <f>N131/O131</f>
        <v>6.5024044432677782E-3</v>
      </c>
      <c r="N131" s="254">
        <v>9415256.5856339615</v>
      </c>
      <c r="O131" s="254">
        <v>1447965390</v>
      </c>
      <c r="P131" s="268">
        <v>2.8664073574601007E-3</v>
      </c>
      <c r="Q131" s="268">
        <v>2.0730082409581983E-2</v>
      </c>
      <c r="R131" s="268">
        <f>M131*1.02</f>
        <v>6.6324525321331341E-3</v>
      </c>
      <c r="S131" s="268">
        <f>M131*1.02</f>
        <v>6.6324525321331341E-3</v>
      </c>
      <c r="T131" s="268">
        <f>M131*1.02</f>
        <v>6.6324525321331341E-3</v>
      </c>
      <c r="U131" s="268">
        <f>M131*1.05</f>
        <v>6.8275246654311674E-3</v>
      </c>
      <c r="V131" s="268">
        <f>M131*1.1</f>
        <v>7.1526448875945565E-3</v>
      </c>
      <c r="W131" s="268">
        <v>1.9425521851139018E-3</v>
      </c>
      <c r="X131" s="268">
        <v>3952768.7464445871</v>
      </c>
      <c r="Y131" s="268">
        <v>2034832719.9316995</v>
      </c>
      <c r="Z131" s="255" t="s">
        <v>742</v>
      </c>
      <c r="AA131" s="255"/>
      <c r="AB131" s="255" t="s">
        <v>743</v>
      </c>
    </row>
    <row r="132" spans="1:28" s="256" customFormat="1" ht="76.5">
      <c r="A132" s="250">
        <v>127</v>
      </c>
      <c r="B132" s="250" t="s">
        <v>11</v>
      </c>
      <c r="C132" s="250" t="s">
        <v>698</v>
      </c>
      <c r="D132" s="250" t="s">
        <v>726</v>
      </c>
      <c r="E132" s="250" t="s">
        <v>744</v>
      </c>
      <c r="F132" s="251" t="s">
        <v>617</v>
      </c>
      <c r="G132" s="251" t="s">
        <v>623</v>
      </c>
      <c r="H132" s="251" t="s">
        <v>459</v>
      </c>
      <c r="I132" s="252" t="s">
        <v>624</v>
      </c>
      <c r="J132" s="252" t="s">
        <v>624</v>
      </c>
      <c r="K132" s="253" t="s">
        <v>655</v>
      </c>
      <c r="L132" s="250">
        <v>2016</v>
      </c>
      <c r="M132" s="268">
        <v>1.31465E-2</v>
      </c>
      <c r="N132" s="254">
        <v>3527</v>
      </c>
      <c r="O132" s="254">
        <v>268284</v>
      </c>
      <c r="P132" s="268">
        <v>8.7231996379476158E-3</v>
      </c>
      <c r="Q132" s="268">
        <v>0</v>
      </c>
      <c r="R132" s="268">
        <f>M132*1.02</f>
        <v>1.340943E-2</v>
      </c>
      <c r="S132" s="268">
        <f>M132*1.02</f>
        <v>1.340943E-2</v>
      </c>
      <c r="T132" s="268">
        <f>M132*1.02</f>
        <v>1.340943E-2</v>
      </c>
      <c r="U132" s="268">
        <f>M132*1.05</f>
        <v>1.3803825E-2</v>
      </c>
      <c r="V132" s="268">
        <f>M132*1.1</f>
        <v>1.4461150000000001E-2</v>
      </c>
      <c r="W132" s="268">
        <v>0</v>
      </c>
      <c r="X132" s="268">
        <v>0</v>
      </c>
      <c r="Y132" s="268">
        <v>321651</v>
      </c>
      <c r="Z132" s="255" t="s">
        <v>745</v>
      </c>
      <c r="AA132" s="255" t="s">
        <v>626</v>
      </c>
      <c r="AB132" s="255"/>
    </row>
    <row r="133" spans="1:28" s="256" customFormat="1" ht="63.75">
      <c r="A133" s="250">
        <v>128</v>
      </c>
      <c r="B133" s="250" t="s">
        <v>11</v>
      </c>
      <c r="C133" s="250" t="s">
        <v>698</v>
      </c>
      <c r="D133" s="250" t="s">
        <v>726</v>
      </c>
      <c r="E133" s="250" t="s">
        <v>627</v>
      </c>
      <c r="F133" s="251" t="s">
        <v>617</v>
      </c>
      <c r="G133" s="251" t="s">
        <v>628</v>
      </c>
      <c r="H133" s="251" t="s">
        <v>459</v>
      </c>
      <c r="I133" s="252" t="s">
        <v>629</v>
      </c>
      <c r="J133" s="252" t="s">
        <v>746</v>
      </c>
      <c r="K133" s="253" t="s">
        <v>655</v>
      </c>
      <c r="L133" s="250">
        <v>2016</v>
      </c>
      <c r="M133" s="268">
        <v>1.0899799999999999E-2</v>
      </c>
      <c r="N133" s="329">
        <v>1875</v>
      </c>
      <c r="O133" s="254">
        <v>172021</v>
      </c>
      <c r="P133" s="268">
        <v>9.2281215842228894E-3</v>
      </c>
      <c r="Q133" s="268">
        <v>0</v>
      </c>
      <c r="R133" s="268">
        <f>M133*1.02</f>
        <v>1.1117795999999999E-2</v>
      </c>
      <c r="S133" s="268">
        <f>M133*1.02</f>
        <v>1.1117795999999999E-2</v>
      </c>
      <c r="T133" s="268">
        <f>M133*1.02</f>
        <v>1.1117795999999999E-2</v>
      </c>
      <c r="U133" s="268">
        <f>M133*1.05</f>
        <v>1.144479E-2</v>
      </c>
      <c r="V133" s="268">
        <f>M133*1.1</f>
        <v>1.198978E-2</v>
      </c>
      <c r="W133" s="268">
        <v>0</v>
      </c>
      <c r="X133" s="268">
        <v>0</v>
      </c>
      <c r="Y133" s="268">
        <v>122262</v>
      </c>
      <c r="Z133" s="255" t="s">
        <v>747</v>
      </c>
      <c r="AA133" s="255" t="s">
        <v>631</v>
      </c>
      <c r="AB133" s="255" t="s">
        <v>748</v>
      </c>
    </row>
    <row r="134" spans="1:28" s="256" customFormat="1" ht="101.25">
      <c r="A134" s="250">
        <v>129</v>
      </c>
      <c r="B134" s="250" t="s">
        <v>11</v>
      </c>
      <c r="C134" s="250" t="s">
        <v>698</v>
      </c>
      <c r="D134" s="250" t="s">
        <v>749</v>
      </c>
      <c r="E134" s="250" t="s">
        <v>750</v>
      </c>
      <c r="F134" s="251" t="s">
        <v>617</v>
      </c>
      <c r="G134" s="251" t="s">
        <v>751</v>
      </c>
      <c r="H134" s="251" t="s">
        <v>459</v>
      </c>
      <c r="I134" s="252" t="s">
        <v>752</v>
      </c>
      <c r="J134" s="252" t="s">
        <v>752</v>
      </c>
      <c r="K134" s="253" t="s">
        <v>655</v>
      </c>
      <c r="L134" s="250">
        <v>2016</v>
      </c>
      <c r="M134" s="268">
        <f>N134/O134</f>
        <v>2.2953656430765748E-4</v>
      </c>
      <c r="N134" s="329">
        <v>503</v>
      </c>
      <c r="O134" s="254">
        <v>2191372</v>
      </c>
      <c r="P134" s="268">
        <v>1.9420964840793464E-4</v>
      </c>
      <c r="Q134" s="268">
        <v>1.5748052662563363E-3</v>
      </c>
      <c r="R134" s="268">
        <v>3.3053265260302677E-4</v>
      </c>
      <c r="S134" s="268">
        <v>3.966391831236321E-4</v>
      </c>
      <c r="T134" s="268">
        <v>4.7596701974835848E-4</v>
      </c>
      <c r="U134" s="268">
        <v>6.9300798075360999E-4</v>
      </c>
      <c r="V134" s="268">
        <v>1.1975177907422381E-3</v>
      </c>
      <c r="W134" s="268">
        <v>2.4522427953061923E-3</v>
      </c>
      <c r="X134" s="268">
        <v>5480</v>
      </c>
      <c r="Y134" s="268">
        <v>2234689</v>
      </c>
      <c r="Z134" s="270" t="s">
        <v>753</v>
      </c>
      <c r="AA134" s="255" t="s">
        <v>754</v>
      </c>
      <c r="AB134" s="255" t="s">
        <v>755</v>
      </c>
    </row>
    <row r="135" spans="1:28" s="256" customFormat="1" ht="67.5">
      <c r="A135" s="250">
        <v>130</v>
      </c>
      <c r="B135" s="250" t="s">
        <v>11</v>
      </c>
      <c r="C135" s="250" t="s">
        <v>698</v>
      </c>
      <c r="D135" s="250" t="s">
        <v>749</v>
      </c>
      <c r="E135" s="250" t="s">
        <v>756</v>
      </c>
      <c r="F135" s="251" t="s">
        <v>617</v>
      </c>
      <c r="G135" s="251" t="s">
        <v>757</v>
      </c>
      <c r="H135" s="251" t="s">
        <v>459</v>
      </c>
      <c r="I135" s="252" t="s">
        <v>758</v>
      </c>
      <c r="J135" s="252" t="s">
        <v>758</v>
      </c>
      <c r="K135" s="253" t="s">
        <v>655</v>
      </c>
      <c r="L135" s="250">
        <v>2016</v>
      </c>
      <c r="M135" s="268">
        <f>N135/O135</f>
        <v>3.0228867405723722E-4</v>
      </c>
      <c r="N135" s="329">
        <v>52</v>
      </c>
      <c r="O135" s="329">
        <v>172021</v>
      </c>
      <c r="P135" s="268">
        <v>2.6047117374822671E-4</v>
      </c>
      <c r="Q135" s="268">
        <v>6.096063434144972E-4</v>
      </c>
      <c r="R135" s="268">
        <v>4.352956906424216E-4</v>
      </c>
      <c r="S135" s="268">
        <v>5.223548287709059E-4</v>
      </c>
      <c r="T135" s="268">
        <v>6.2682579452508702E-4</v>
      </c>
      <c r="U135" s="268">
        <v>6.3379052557536574E-4</v>
      </c>
      <c r="V135" s="268">
        <v>7.6054863069043889E-4</v>
      </c>
      <c r="W135" s="268">
        <v>2.846346370908377E-3</v>
      </c>
      <c r="X135" s="268">
        <v>348</v>
      </c>
      <c r="Y135" s="268">
        <v>122262</v>
      </c>
      <c r="Z135" s="270" t="s">
        <v>759</v>
      </c>
      <c r="AA135" s="255" t="s">
        <v>754</v>
      </c>
      <c r="AB135" s="255" t="s">
        <v>760</v>
      </c>
    </row>
    <row r="136" spans="1:28" s="256" customFormat="1" ht="90">
      <c r="A136" s="250">
        <v>131</v>
      </c>
      <c r="B136" s="250" t="s">
        <v>11</v>
      </c>
      <c r="C136" s="250" t="s">
        <v>698</v>
      </c>
      <c r="D136" s="250" t="s">
        <v>761</v>
      </c>
      <c r="E136" s="250" t="s">
        <v>554</v>
      </c>
      <c r="F136" s="251" t="s">
        <v>555</v>
      </c>
      <c r="G136" s="251" t="s">
        <v>556</v>
      </c>
      <c r="H136" s="251" t="s">
        <v>459</v>
      </c>
      <c r="I136" s="252" t="s">
        <v>557</v>
      </c>
      <c r="J136" s="252" t="s">
        <v>555</v>
      </c>
      <c r="K136" s="253" t="s">
        <v>655</v>
      </c>
      <c r="L136" s="250">
        <v>2016</v>
      </c>
      <c r="M136" s="258">
        <v>467.99930266020635</v>
      </c>
      <c r="N136" s="259">
        <v>8729540.8135479894</v>
      </c>
      <c r="O136" s="254">
        <v>18652.892779812802</v>
      </c>
      <c r="P136" s="258">
        <v>271.05845259587733</v>
      </c>
      <c r="Q136" s="269">
        <v>337.17819697322886</v>
      </c>
      <c r="R136" s="269">
        <f t="shared" ref="R136:R141" si="6">M136</f>
        <v>467.99930266020635</v>
      </c>
      <c r="S136" s="269">
        <f t="shared" ref="S136:S141" si="7">M136</f>
        <v>467.99930266020635</v>
      </c>
      <c r="T136" s="269">
        <f t="shared" ref="T136:T141" si="8">M136</f>
        <v>467.99930266020635</v>
      </c>
      <c r="U136" s="269">
        <f t="shared" ref="U136:U141" si="9">M136</f>
        <v>467.99930266020635</v>
      </c>
      <c r="V136" s="269">
        <f t="shared" ref="V136:V141" si="10">M136</f>
        <v>467.99930266020635</v>
      </c>
      <c r="W136" s="269">
        <v>1124.9868959477644</v>
      </c>
      <c r="X136" s="269">
        <v>6529699.7535204887</v>
      </c>
      <c r="Y136" s="269">
        <v>5804.2451668020822</v>
      </c>
      <c r="Z136" s="255" t="s">
        <v>634</v>
      </c>
      <c r="AA136" s="255" t="s">
        <v>635</v>
      </c>
      <c r="AB136" s="255"/>
    </row>
    <row r="137" spans="1:28" s="256" customFormat="1" ht="56.25">
      <c r="A137" s="250">
        <v>132</v>
      </c>
      <c r="B137" s="250" t="s">
        <v>11</v>
      </c>
      <c r="C137" s="250" t="s">
        <v>698</v>
      </c>
      <c r="D137" s="250" t="s">
        <v>761</v>
      </c>
      <c r="E137" s="250" t="s">
        <v>554</v>
      </c>
      <c r="F137" s="251" t="s">
        <v>560</v>
      </c>
      <c r="G137" s="251" t="s">
        <v>556</v>
      </c>
      <c r="H137" s="251" t="s">
        <v>459</v>
      </c>
      <c r="I137" s="252" t="s">
        <v>557</v>
      </c>
      <c r="J137" s="252" t="s">
        <v>560</v>
      </c>
      <c r="K137" s="253" t="s">
        <v>655</v>
      </c>
      <c r="L137" s="250">
        <v>2016</v>
      </c>
      <c r="M137" s="258">
        <v>0.18842028487862159</v>
      </c>
      <c r="N137" s="259">
        <v>8729540.8135479894</v>
      </c>
      <c r="O137" s="254">
        <v>46330153.991495505</v>
      </c>
      <c r="P137" s="258">
        <v>9.3830197083744571E-2</v>
      </c>
      <c r="Q137" s="269">
        <v>0.10673665427670381</v>
      </c>
      <c r="R137" s="269">
        <f t="shared" si="6"/>
        <v>0.18842028487862159</v>
      </c>
      <c r="S137" s="269">
        <f t="shared" si="7"/>
        <v>0.18842028487862159</v>
      </c>
      <c r="T137" s="269">
        <f t="shared" si="8"/>
        <v>0.18842028487862159</v>
      </c>
      <c r="U137" s="269">
        <f t="shared" si="9"/>
        <v>0.18842028487862159</v>
      </c>
      <c r="V137" s="269">
        <f t="shared" si="10"/>
        <v>0.18842028487862159</v>
      </c>
      <c r="W137" s="269">
        <v>0.21374324163635378</v>
      </c>
      <c r="X137" s="269">
        <v>6529699.7535204887</v>
      </c>
      <c r="Y137" s="269">
        <v>30549268.849536844</v>
      </c>
      <c r="Z137" s="255" t="s">
        <v>637</v>
      </c>
      <c r="AA137" s="255" t="s">
        <v>635</v>
      </c>
      <c r="AB137" s="255"/>
    </row>
    <row r="138" spans="1:28" s="256" customFormat="1" ht="67.5">
      <c r="A138" s="250">
        <v>133</v>
      </c>
      <c r="B138" s="250" t="s">
        <v>11</v>
      </c>
      <c r="C138" s="250" t="s">
        <v>698</v>
      </c>
      <c r="D138" s="250" t="s">
        <v>761</v>
      </c>
      <c r="E138" s="250" t="s">
        <v>554</v>
      </c>
      <c r="F138" s="251" t="s">
        <v>562</v>
      </c>
      <c r="G138" s="251" t="s">
        <v>556</v>
      </c>
      <c r="H138" s="251" t="s">
        <v>459</v>
      </c>
      <c r="I138" s="252" t="s">
        <v>557</v>
      </c>
      <c r="J138" s="252" t="s">
        <v>562</v>
      </c>
      <c r="K138" s="253" t="s">
        <v>655</v>
      </c>
      <c r="L138" s="250">
        <v>2016</v>
      </c>
      <c r="M138" s="258">
        <v>1.0449540301197373</v>
      </c>
      <c r="N138" s="259">
        <v>1896892.5013853351</v>
      </c>
      <c r="O138" s="254">
        <v>1815287.9903893736</v>
      </c>
      <c r="P138" s="258">
        <v>0.48069507445241372</v>
      </c>
      <c r="Q138" s="269">
        <v>0.68063990614275838</v>
      </c>
      <c r="R138" s="269">
        <f t="shared" si="6"/>
        <v>1.0449540301197373</v>
      </c>
      <c r="S138" s="269">
        <f t="shared" si="7"/>
        <v>1.0449540301197373</v>
      </c>
      <c r="T138" s="269">
        <f t="shared" si="8"/>
        <v>1.0449540301197373</v>
      </c>
      <c r="U138" s="269">
        <f t="shared" si="9"/>
        <v>1.0449540301197373</v>
      </c>
      <c r="V138" s="269">
        <f t="shared" si="10"/>
        <v>1.0449540301197373</v>
      </c>
      <c r="W138" s="269">
        <v>1.482831177509615</v>
      </c>
      <c r="X138" s="269">
        <v>4344983.8133798409</v>
      </c>
      <c r="Y138" s="269">
        <v>2930194.5354812094</v>
      </c>
      <c r="Z138" s="255" t="s">
        <v>636</v>
      </c>
      <c r="AA138" s="255" t="s">
        <v>635</v>
      </c>
      <c r="AB138" s="255"/>
    </row>
    <row r="139" spans="1:28" s="256" customFormat="1" ht="90">
      <c r="A139" s="250">
        <v>134</v>
      </c>
      <c r="B139" s="250" t="s">
        <v>11</v>
      </c>
      <c r="C139" s="250" t="s">
        <v>698</v>
      </c>
      <c r="D139" s="250" t="s">
        <v>761</v>
      </c>
      <c r="E139" s="250" t="s">
        <v>554</v>
      </c>
      <c r="F139" s="251" t="s">
        <v>564</v>
      </c>
      <c r="G139" s="251" t="s">
        <v>556</v>
      </c>
      <c r="H139" s="251" t="s">
        <v>459</v>
      </c>
      <c r="I139" s="252" t="s">
        <v>557</v>
      </c>
      <c r="J139" s="252" t="s">
        <v>564</v>
      </c>
      <c r="K139" s="253" t="s">
        <v>655</v>
      </c>
      <c r="L139" s="250">
        <v>2016</v>
      </c>
      <c r="M139" s="258">
        <v>478.34000307430057</v>
      </c>
      <c r="N139" s="259">
        <v>8922424.7896402553</v>
      </c>
      <c r="O139" s="254">
        <v>18652.892779812802</v>
      </c>
      <c r="P139" s="258">
        <v>636.25569532038446</v>
      </c>
      <c r="Q139" s="269">
        <v>544.44453903716942</v>
      </c>
      <c r="R139" s="269">
        <f t="shared" si="6"/>
        <v>478.34000307430057</v>
      </c>
      <c r="S139" s="269">
        <f t="shared" si="7"/>
        <v>478.34000307430057</v>
      </c>
      <c r="T139" s="269">
        <f t="shared" si="8"/>
        <v>478.34000307430057</v>
      </c>
      <c r="U139" s="269">
        <f t="shared" si="9"/>
        <v>478.34000307430057</v>
      </c>
      <c r="V139" s="269">
        <f t="shared" si="10"/>
        <v>478.34000307430057</v>
      </c>
      <c r="W139" s="269">
        <v>1369.1869616218223</v>
      </c>
      <c r="X139" s="269">
        <v>7947096.8044418897</v>
      </c>
      <c r="Y139" s="269">
        <v>5804.2451668020822</v>
      </c>
      <c r="Z139" s="255" t="s">
        <v>762</v>
      </c>
      <c r="AA139" s="255" t="s">
        <v>635</v>
      </c>
      <c r="AB139" s="255"/>
    </row>
    <row r="140" spans="1:28" s="256" customFormat="1" ht="56.25">
      <c r="A140" s="250">
        <v>135</v>
      </c>
      <c r="B140" s="250" t="s">
        <v>11</v>
      </c>
      <c r="C140" s="250" t="s">
        <v>698</v>
      </c>
      <c r="D140" s="250" t="s">
        <v>761</v>
      </c>
      <c r="E140" s="250" t="s">
        <v>554</v>
      </c>
      <c r="F140" s="251" t="s">
        <v>566</v>
      </c>
      <c r="G140" s="251" t="s">
        <v>556</v>
      </c>
      <c r="H140" s="251" t="s">
        <v>459</v>
      </c>
      <c r="I140" s="252" t="s">
        <v>557</v>
      </c>
      <c r="J140" s="252" t="s">
        <v>566</v>
      </c>
      <c r="K140" s="253" t="s">
        <v>655</v>
      </c>
      <c r="L140" s="250">
        <v>2016</v>
      </c>
      <c r="M140" s="258">
        <v>0.19258353406893663</v>
      </c>
      <c r="N140" s="259">
        <v>8922424.7896402553</v>
      </c>
      <c r="O140" s="254">
        <v>46330153.991495505</v>
      </c>
      <c r="P140" s="258">
        <v>0.22024768722698232</v>
      </c>
      <c r="Q140" s="269">
        <v>0.17234859506845185</v>
      </c>
      <c r="R140" s="269">
        <f t="shared" si="6"/>
        <v>0.19258353406893663</v>
      </c>
      <c r="S140" s="269">
        <f t="shared" si="7"/>
        <v>0.19258353406893663</v>
      </c>
      <c r="T140" s="269">
        <f t="shared" si="8"/>
        <v>0.19258353406893663</v>
      </c>
      <c r="U140" s="269">
        <f t="shared" si="9"/>
        <v>0.19258353406893663</v>
      </c>
      <c r="V140" s="269">
        <f t="shared" si="10"/>
        <v>0.19258353406893663</v>
      </c>
      <c r="W140" s="269">
        <v>0.26014032753397226</v>
      </c>
      <c r="X140" s="269">
        <v>7947096.8044418897</v>
      </c>
      <c r="Y140" s="269">
        <v>30549268.849536844</v>
      </c>
      <c r="Z140" s="255" t="s">
        <v>763</v>
      </c>
      <c r="AA140" s="255" t="s">
        <v>635</v>
      </c>
      <c r="AB140" s="255"/>
    </row>
    <row r="141" spans="1:28" s="256" customFormat="1" ht="51">
      <c r="A141" s="250">
        <v>136</v>
      </c>
      <c r="B141" s="250" t="s">
        <v>11</v>
      </c>
      <c r="C141" s="250" t="s">
        <v>698</v>
      </c>
      <c r="D141" s="250" t="s">
        <v>761</v>
      </c>
      <c r="E141" s="250" t="s">
        <v>554</v>
      </c>
      <c r="F141" s="251" t="s">
        <v>568</v>
      </c>
      <c r="G141" s="251" t="s">
        <v>556</v>
      </c>
      <c r="H141" s="251" t="s">
        <v>459</v>
      </c>
      <c r="I141" s="252" t="s">
        <v>557</v>
      </c>
      <c r="J141" s="252" t="s">
        <v>568</v>
      </c>
      <c r="K141" s="253" t="s">
        <v>655</v>
      </c>
      <c r="L141" s="250">
        <v>2016</v>
      </c>
      <c r="M141" s="258">
        <v>1.0680428606170214</v>
      </c>
      <c r="N141" s="259">
        <v>1938805.3780991905</v>
      </c>
      <c r="O141" s="254">
        <v>1815287.9903893736</v>
      </c>
      <c r="P141" s="258">
        <v>1.1283358843960885</v>
      </c>
      <c r="Q141" s="269">
        <v>1.0990351193426031</v>
      </c>
      <c r="R141" s="269">
        <f t="shared" si="6"/>
        <v>1.0680428606170214</v>
      </c>
      <c r="S141" s="269">
        <f t="shared" si="7"/>
        <v>1.0680428606170214</v>
      </c>
      <c r="T141" s="269">
        <f t="shared" si="8"/>
        <v>1.0680428606170214</v>
      </c>
      <c r="U141" s="269">
        <f t="shared" si="9"/>
        <v>1.0680428606170214</v>
      </c>
      <c r="V141" s="269">
        <f t="shared" si="10"/>
        <v>1.0680428606170214</v>
      </c>
      <c r="W141" s="269">
        <v>1.8047082342430845</v>
      </c>
      <c r="X141" s="269">
        <v>5288146.2061170284</v>
      </c>
      <c r="Y141" s="269">
        <v>2930194.5354812094</v>
      </c>
      <c r="Z141" s="255" t="s">
        <v>640</v>
      </c>
      <c r="AA141" s="255" t="s">
        <v>635</v>
      </c>
      <c r="AB141" s="255"/>
    </row>
    <row r="142" spans="1:28" s="256" customFormat="1" ht="51">
      <c r="A142" s="250">
        <v>137</v>
      </c>
      <c r="B142" s="250" t="s">
        <v>11</v>
      </c>
      <c r="C142" s="250" t="s">
        <v>698</v>
      </c>
      <c r="D142" s="250" t="s">
        <v>764</v>
      </c>
      <c r="E142" s="250" t="s">
        <v>765</v>
      </c>
      <c r="F142" s="251" t="s">
        <v>643</v>
      </c>
      <c r="G142" s="251" t="s">
        <v>766</v>
      </c>
      <c r="H142" s="251" t="s">
        <v>645</v>
      </c>
      <c r="I142" s="252" t="s">
        <v>767</v>
      </c>
      <c r="J142" s="252" t="s">
        <v>768</v>
      </c>
      <c r="K142" s="253" t="s">
        <v>655</v>
      </c>
      <c r="L142" s="250" t="s">
        <v>648</v>
      </c>
      <c r="M142" s="257" t="s">
        <v>648</v>
      </c>
      <c r="N142" s="257" t="s">
        <v>648</v>
      </c>
      <c r="O142" s="257" t="s">
        <v>648</v>
      </c>
      <c r="P142" s="257" t="s">
        <v>648</v>
      </c>
      <c r="Q142" s="257" t="s">
        <v>648</v>
      </c>
      <c r="R142" s="257" t="s">
        <v>648</v>
      </c>
      <c r="S142" s="257" t="s">
        <v>648</v>
      </c>
      <c r="T142" s="257" t="s">
        <v>648</v>
      </c>
      <c r="U142" s="257" t="s">
        <v>648</v>
      </c>
      <c r="V142" s="257" t="s">
        <v>648</v>
      </c>
      <c r="W142" s="257" t="s">
        <v>648</v>
      </c>
      <c r="X142" s="257" t="s">
        <v>648</v>
      </c>
      <c r="Y142" s="257" t="s">
        <v>648</v>
      </c>
      <c r="Z142" s="255" t="s">
        <v>769</v>
      </c>
      <c r="AA142" s="255"/>
      <c r="AB142" s="255" t="s">
        <v>770</v>
      </c>
    </row>
    <row r="143" spans="1:28" s="256" customFormat="1" ht="146.25">
      <c r="A143" s="250">
        <v>138</v>
      </c>
      <c r="B143" s="250" t="s">
        <v>11</v>
      </c>
      <c r="C143" s="250" t="s">
        <v>698</v>
      </c>
      <c r="D143" s="250" t="s">
        <v>764</v>
      </c>
      <c r="E143" s="250" t="s">
        <v>771</v>
      </c>
      <c r="F143" s="251" t="s">
        <v>643</v>
      </c>
      <c r="G143" s="251" t="s">
        <v>772</v>
      </c>
      <c r="H143" s="251" t="s">
        <v>645</v>
      </c>
      <c r="I143" s="252" t="s">
        <v>773</v>
      </c>
      <c r="J143" s="252" t="s">
        <v>774</v>
      </c>
      <c r="K143" s="253" t="s">
        <v>655</v>
      </c>
      <c r="L143" s="250" t="s">
        <v>648</v>
      </c>
      <c r="M143" s="257" t="s">
        <v>648</v>
      </c>
      <c r="N143" s="257" t="s">
        <v>648</v>
      </c>
      <c r="O143" s="257" t="s">
        <v>648</v>
      </c>
      <c r="P143" s="257" t="s">
        <v>648</v>
      </c>
      <c r="Q143" s="257" t="s">
        <v>648</v>
      </c>
      <c r="R143" s="257" t="s">
        <v>648</v>
      </c>
      <c r="S143" s="257" t="s">
        <v>648</v>
      </c>
      <c r="T143" s="257" t="s">
        <v>648</v>
      </c>
      <c r="U143" s="257" t="s">
        <v>648</v>
      </c>
      <c r="V143" s="257" t="s">
        <v>648</v>
      </c>
      <c r="W143" s="257" t="s">
        <v>648</v>
      </c>
      <c r="X143" s="257" t="s">
        <v>648</v>
      </c>
      <c r="Y143" s="257" t="s">
        <v>648</v>
      </c>
      <c r="Z143" s="255" t="s">
        <v>775</v>
      </c>
      <c r="AA143" s="255"/>
      <c r="AB143" s="255" t="s">
        <v>776</v>
      </c>
    </row>
    <row r="144" spans="1:28" s="256" customFormat="1" ht="67.5">
      <c r="A144" s="250">
        <v>139</v>
      </c>
      <c r="B144" s="250" t="s">
        <v>11</v>
      </c>
      <c r="C144" s="250" t="s">
        <v>777</v>
      </c>
      <c r="D144" s="250" t="s">
        <v>778</v>
      </c>
      <c r="E144" s="250" t="s">
        <v>490</v>
      </c>
      <c r="F144" s="251" t="s">
        <v>779</v>
      </c>
      <c r="G144" s="251" t="s">
        <v>492</v>
      </c>
      <c r="H144" s="251" t="s">
        <v>459</v>
      </c>
      <c r="I144" s="252" t="s">
        <v>493</v>
      </c>
      <c r="J144" s="252" t="s">
        <v>491</v>
      </c>
      <c r="K144" s="253" t="s">
        <v>780</v>
      </c>
      <c r="L144" s="250">
        <v>2016</v>
      </c>
      <c r="M144" s="254">
        <v>34271.328627505332</v>
      </c>
      <c r="N144" s="257" t="s">
        <v>41</v>
      </c>
      <c r="O144" s="257" t="s">
        <v>41</v>
      </c>
      <c r="P144" s="254">
        <v>29943.176047166195</v>
      </c>
      <c r="Q144" s="254">
        <v>27107.373152083488</v>
      </c>
      <c r="R144" s="254">
        <f>29.4661534440356*10^3</f>
        <v>29466.153444035601</v>
      </c>
      <c r="S144" s="254">
        <f>31.3471160527068*10^3</f>
        <v>31347.116052706799</v>
      </c>
      <c r="T144" s="254">
        <f>28.9846015129702*10^3</f>
        <v>28984.601512970203</v>
      </c>
      <c r="U144" s="254">
        <f>37.4362003857574*10^3</f>
        <v>37436.200385757402</v>
      </c>
      <c r="V144" s="254">
        <f>41.6525343262437*10^3</f>
        <v>41652.534326243702</v>
      </c>
      <c r="W144" s="254">
        <v>34090.163077683101</v>
      </c>
      <c r="X144" s="254" t="s">
        <v>41</v>
      </c>
      <c r="Y144" s="254" t="s">
        <v>41</v>
      </c>
      <c r="Z144" s="255" t="s">
        <v>781</v>
      </c>
      <c r="AA144" s="255" t="s">
        <v>782</v>
      </c>
      <c r="AB144" s="255" t="s">
        <v>783</v>
      </c>
    </row>
    <row r="145" spans="1:28" s="256" customFormat="1" ht="67.5">
      <c r="A145" s="250">
        <v>140</v>
      </c>
      <c r="B145" s="250" t="s">
        <v>11</v>
      </c>
      <c r="C145" s="250" t="s">
        <v>777</v>
      </c>
      <c r="D145" s="250" t="s">
        <v>778</v>
      </c>
      <c r="E145" s="250" t="s">
        <v>490</v>
      </c>
      <c r="F145" s="251" t="s">
        <v>779</v>
      </c>
      <c r="G145" s="251" t="s">
        <v>492</v>
      </c>
      <c r="H145" s="251" t="s">
        <v>459</v>
      </c>
      <c r="I145" s="252" t="s">
        <v>493</v>
      </c>
      <c r="J145" s="252" t="s">
        <v>496</v>
      </c>
      <c r="K145" s="253" t="s">
        <v>780</v>
      </c>
      <c r="L145" s="250">
        <v>2016</v>
      </c>
      <c r="M145" s="254">
        <v>25530.845657555594</v>
      </c>
      <c r="N145" s="257" t="s">
        <v>41</v>
      </c>
      <c r="O145" s="257" t="s">
        <v>41</v>
      </c>
      <c r="P145" s="254">
        <v>20288.632525697933</v>
      </c>
      <c r="Q145" s="254">
        <v>20047.670264356391</v>
      </c>
      <c r="R145" s="254">
        <f>20.407311075*10^3</f>
        <v>20407.311074999998</v>
      </c>
      <c r="S145" s="254">
        <f>21.9132316275*10^3</f>
        <v>21913.231627500001</v>
      </c>
      <c r="T145" s="254">
        <f>20.0232055725*10^3</f>
        <v>20023.205572499999</v>
      </c>
      <c r="U145" s="254">
        <f>26.1796716034765*10^3</f>
        <v>26179.671603476501</v>
      </c>
      <c r="V145" s="254">
        <f>29.1200591433692*10^3</f>
        <v>29120.059143369199</v>
      </c>
      <c r="W145" s="254">
        <v>27010.450121642698</v>
      </c>
      <c r="X145" s="254" t="s">
        <v>41</v>
      </c>
      <c r="Y145" s="254" t="s">
        <v>41</v>
      </c>
      <c r="Z145" s="255" t="s">
        <v>781</v>
      </c>
      <c r="AA145" s="255" t="s">
        <v>782</v>
      </c>
      <c r="AB145" s="255" t="s">
        <v>783</v>
      </c>
    </row>
    <row r="146" spans="1:28" s="256" customFormat="1" ht="67.5">
      <c r="A146" s="250">
        <v>141</v>
      </c>
      <c r="B146" s="250" t="s">
        <v>11</v>
      </c>
      <c r="C146" s="250" t="s">
        <v>777</v>
      </c>
      <c r="D146" s="250" t="s">
        <v>778</v>
      </c>
      <c r="E146" s="250" t="s">
        <v>490</v>
      </c>
      <c r="F146" s="251" t="s">
        <v>784</v>
      </c>
      <c r="G146" s="251" t="s">
        <v>492</v>
      </c>
      <c r="H146" s="251" t="s">
        <v>459</v>
      </c>
      <c r="I146" s="252" t="s">
        <v>493</v>
      </c>
      <c r="J146" s="252" t="s">
        <v>497</v>
      </c>
      <c r="K146" s="253" t="s">
        <v>780</v>
      </c>
      <c r="L146" s="250">
        <v>2016</v>
      </c>
      <c r="M146" s="254">
        <v>190599356.21576059</v>
      </c>
      <c r="N146" s="257" t="s">
        <v>41</v>
      </c>
      <c r="O146" s="257" t="s">
        <v>41</v>
      </c>
      <c r="P146" s="254">
        <v>166943583.21145001</v>
      </c>
      <c r="Q146" s="254">
        <v>149196886.057273</v>
      </c>
      <c r="R146" s="254">
        <f>153.423399156476*10^6</f>
        <v>153423399.15647599</v>
      </c>
      <c r="S146" s="254">
        <f>162.781869542654*10^6</f>
        <v>162781869.54265401</v>
      </c>
      <c r="T146" s="254">
        <f>156.207077650478*10^6</f>
        <v>156207077.65047801</v>
      </c>
      <c r="U146" s="254">
        <f>192.712021515619*10^6</f>
        <v>192712021.51561901</v>
      </c>
      <c r="V146" s="254">
        <f>213.174618271686*10^6</f>
        <v>213174618.27168599</v>
      </c>
      <c r="W146" s="254">
        <v>163651542.604792</v>
      </c>
      <c r="X146" s="254" t="s">
        <v>41</v>
      </c>
      <c r="Y146" s="254" t="s">
        <v>41</v>
      </c>
      <c r="Z146" s="255" t="s">
        <v>781</v>
      </c>
      <c r="AA146" s="255" t="s">
        <v>782</v>
      </c>
      <c r="AB146" s="255" t="s">
        <v>783</v>
      </c>
    </row>
    <row r="147" spans="1:28" s="256" customFormat="1" ht="67.5">
      <c r="A147" s="250">
        <v>142</v>
      </c>
      <c r="B147" s="250" t="s">
        <v>11</v>
      </c>
      <c r="C147" s="250" t="s">
        <v>777</v>
      </c>
      <c r="D147" s="250" t="s">
        <v>778</v>
      </c>
      <c r="E147" s="250" t="s">
        <v>490</v>
      </c>
      <c r="F147" s="251" t="s">
        <v>784</v>
      </c>
      <c r="G147" s="251" t="s">
        <v>492</v>
      </c>
      <c r="H147" s="251" t="s">
        <v>459</v>
      </c>
      <c r="I147" s="252" t="s">
        <v>493</v>
      </c>
      <c r="J147" s="252" t="s">
        <v>498</v>
      </c>
      <c r="K147" s="253" t="s">
        <v>780</v>
      </c>
      <c r="L147" s="250">
        <v>2016</v>
      </c>
      <c r="M147" s="254">
        <v>144632910.19590068</v>
      </c>
      <c r="N147" s="257" t="s">
        <v>41</v>
      </c>
      <c r="O147" s="257" t="s">
        <v>41</v>
      </c>
      <c r="P147" s="254">
        <v>110281086.29345894</v>
      </c>
      <c r="Q147" s="254">
        <v>110948791.14179561</v>
      </c>
      <c r="R147" s="254">
        <f>108.6338376*10^6</f>
        <v>108633837.60000001</v>
      </c>
      <c r="S147" s="254">
        <f>116.126759625*10^6</f>
        <v>116126759.625</v>
      </c>
      <c r="T147" s="254">
        <f>111.0051039*10^6</f>
        <v>111005103.89999999</v>
      </c>
      <c r="U147" s="254">
        <f>138.379541025524*10^6</f>
        <v>138379541.02552399</v>
      </c>
      <c r="V147" s="254">
        <f>153.068910086978*10^6</f>
        <v>153068910.08697802</v>
      </c>
      <c r="W147" s="254">
        <v>129596795.61372769</v>
      </c>
      <c r="X147" s="254" t="s">
        <v>41</v>
      </c>
      <c r="Y147" s="254" t="s">
        <v>41</v>
      </c>
      <c r="Z147" s="255" t="s">
        <v>781</v>
      </c>
      <c r="AA147" s="255" t="s">
        <v>782</v>
      </c>
      <c r="AB147" s="255" t="s">
        <v>783</v>
      </c>
    </row>
    <row r="148" spans="1:28" s="256" customFormat="1" ht="67.5">
      <c r="A148" s="250">
        <v>143</v>
      </c>
      <c r="B148" s="250" t="s">
        <v>11</v>
      </c>
      <c r="C148" s="250" t="s">
        <v>777</v>
      </c>
      <c r="D148" s="250" t="s">
        <v>778</v>
      </c>
      <c r="E148" s="250" t="s">
        <v>490</v>
      </c>
      <c r="F148" s="251" t="s">
        <v>785</v>
      </c>
      <c r="G148" s="251" t="s">
        <v>492</v>
      </c>
      <c r="H148" s="251" t="s">
        <v>459</v>
      </c>
      <c r="I148" s="252" t="s">
        <v>493</v>
      </c>
      <c r="J148" s="252" t="s">
        <v>499</v>
      </c>
      <c r="K148" s="253" t="s">
        <v>780</v>
      </c>
      <c r="L148" s="250">
        <v>2016</v>
      </c>
      <c r="M148" s="254">
        <v>4145596.5116286394</v>
      </c>
      <c r="N148" s="257" t="s">
        <v>41</v>
      </c>
      <c r="O148" s="257" t="s">
        <v>41</v>
      </c>
      <c r="P148" s="254">
        <v>6356167.0982718794</v>
      </c>
      <c r="Q148" s="254">
        <v>4649260.2857894506</v>
      </c>
      <c r="R148" s="254">
        <f>2.57650236624*10^6</f>
        <v>2576502.3662400004</v>
      </c>
      <c r="S148" s="254">
        <f>2.95725565092*10^6</f>
        <v>2957255.6509199999</v>
      </c>
      <c r="T148" s="254">
        <f>2.76952905732*10^6</f>
        <v>2769529.0573200001</v>
      </c>
      <c r="U148" s="254">
        <f>3.66460061366382*10^6</f>
        <v>3664600.6136638196</v>
      </c>
      <c r="V148" s="254">
        <f>4.04512257259329*10^6</f>
        <v>4045122.5725932904</v>
      </c>
      <c r="W148" s="254">
        <v>3378050.3381440653</v>
      </c>
      <c r="X148" s="254" t="s">
        <v>41</v>
      </c>
      <c r="Y148" s="254" t="s">
        <v>41</v>
      </c>
      <c r="Z148" s="255" t="s">
        <v>781</v>
      </c>
      <c r="AA148" s="255" t="s">
        <v>782</v>
      </c>
      <c r="AB148" s="255" t="s">
        <v>783</v>
      </c>
    </row>
    <row r="149" spans="1:28" s="256" customFormat="1" ht="67.5">
      <c r="A149" s="250">
        <v>144</v>
      </c>
      <c r="B149" s="250" t="s">
        <v>11</v>
      </c>
      <c r="C149" s="250" t="s">
        <v>777</v>
      </c>
      <c r="D149" s="250" t="s">
        <v>778</v>
      </c>
      <c r="E149" s="250" t="s">
        <v>490</v>
      </c>
      <c r="F149" s="251" t="s">
        <v>785</v>
      </c>
      <c r="G149" s="251" t="s">
        <v>492</v>
      </c>
      <c r="H149" s="251" t="s">
        <v>459</v>
      </c>
      <c r="I149" s="252" t="s">
        <v>493</v>
      </c>
      <c r="J149" s="252" t="s">
        <v>500</v>
      </c>
      <c r="K149" s="253" t="s">
        <v>780</v>
      </c>
      <c r="L149" s="250">
        <v>2016</v>
      </c>
      <c r="M149" s="254">
        <v>3012183.9648913424</v>
      </c>
      <c r="N149" s="257" t="s">
        <v>41</v>
      </c>
      <c r="O149" s="257" t="s">
        <v>41</v>
      </c>
      <c r="P149" s="254">
        <v>4008275.6615182697</v>
      </c>
      <c r="Q149" s="254">
        <v>3065208.6999877505</v>
      </c>
      <c r="R149" s="254">
        <f>2.12820499266*10^6</f>
        <v>2128204.99266</v>
      </c>
      <c r="S149" s="254">
        <f>2.41730042862*10^6</f>
        <v>2417300.4286199999</v>
      </c>
      <c r="T149" s="254">
        <f>2.30916498174*10^6</f>
        <v>2309164.9817399997</v>
      </c>
      <c r="U149" s="254">
        <f>3.0438344824023*10^6</f>
        <v>3043834.4824023</v>
      </c>
      <c r="V149" s="254">
        <f>3.40148558538929*10^6</f>
        <v>3401485.58538929</v>
      </c>
      <c r="W149" s="254">
        <v>2194588.9811455049</v>
      </c>
      <c r="X149" s="254" t="s">
        <v>41</v>
      </c>
      <c r="Y149" s="254" t="s">
        <v>41</v>
      </c>
      <c r="Z149" s="255" t="s">
        <v>781</v>
      </c>
      <c r="AA149" s="255" t="s">
        <v>782</v>
      </c>
      <c r="AB149" s="255" t="s">
        <v>783</v>
      </c>
    </row>
    <row r="150" spans="1:28" s="256" customFormat="1" ht="67.5">
      <c r="A150" s="250">
        <v>145</v>
      </c>
      <c r="B150" s="250" t="s">
        <v>11</v>
      </c>
      <c r="C150" s="250" t="s">
        <v>777</v>
      </c>
      <c r="D150" s="250" t="s">
        <v>778</v>
      </c>
      <c r="E150" s="250" t="s">
        <v>490</v>
      </c>
      <c r="F150" s="251" t="s">
        <v>779</v>
      </c>
      <c r="G150" s="251" t="s">
        <v>492</v>
      </c>
      <c r="H150" s="251" t="s">
        <v>459</v>
      </c>
      <c r="I150" s="252" t="s">
        <v>493</v>
      </c>
      <c r="J150" s="252" t="s">
        <v>501</v>
      </c>
      <c r="K150" s="253" t="s">
        <v>780</v>
      </c>
      <c r="L150" s="250">
        <v>2016</v>
      </c>
      <c r="M150" s="254">
        <v>368217.19987380103</v>
      </c>
      <c r="N150" s="257" t="s">
        <v>41</v>
      </c>
      <c r="O150" s="257" t="s">
        <v>41</v>
      </c>
      <c r="P150" s="254">
        <v>307924.35264707089</v>
      </c>
      <c r="Q150" s="254">
        <v>298179.860073936</v>
      </c>
      <c r="R150" s="254">
        <f>315.603957701749*10^3</f>
        <v>315603.95770174899</v>
      </c>
      <c r="S150" s="254">
        <f>335.750436770118*10^3</f>
        <v>335750.43677011796</v>
      </c>
      <c r="T150" s="254">
        <f>310.446185901917*10^3</f>
        <v>310446.18590191699</v>
      </c>
      <c r="U150" s="254">
        <f>400.968963441419*10^3</f>
        <v>400968.96344141901</v>
      </c>
      <c r="V150" s="254">
        <f>446.128969858173*10^3</f>
        <v>446128.96985817299</v>
      </c>
      <c r="W150" s="254">
        <v>377692.03582721483</v>
      </c>
      <c r="X150" s="254" t="s">
        <v>41</v>
      </c>
      <c r="Y150" s="254" t="s">
        <v>41</v>
      </c>
      <c r="Z150" s="255" t="s">
        <v>781</v>
      </c>
      <c r="AA150" s="255" t="s">
        <v>782</v>
      </c>
      <c r="AB150" s="255" t="s">
        <v>783</v>
      </c>
    </row>
    <row r="151" spans="1:28" s="256" customFormat="1" ht="67.5">
      <c r="A151" s="250">
        <v>146</v>
      </c>
      <c r="B151" s="250" t="s">
        <v>11</v>
      </c>
      <c r="C151" s="250" t="s">
        <v>777</v>
      </c>
      <c r="D151" s="250" t="s">
        <v>778</v>
      </c>
      <c r="E151" s="250" t="s">
        <v>490</v>
      </c>
      <c r="F151" s="251" t="s">
        <v>779</v>
      </c>
      <c r="G151" s="251" t="s">
        <v>492</v>
      </c>
      <c r="H151" s="251" t="s">
        <v>459</v>
      </c>
      <c r="I151" s="252" t="s">
        <v>493</v>
      </c>
      <c r="J151" s="252" t="s">
        <v>504</v>
      </c>
      <c r="K151" s="253" t="s">
        <v>780</v>
      </c>
      <c r="L151" s="250">
        <v>2016</v>
      </c>
      <c r="M151" s="254">
        <v>277524.76652517112</v>
      </c>
      <c r="N151" s="257" t="s">
        <v>41</v>
      </c>
      <c r="O151" s="257" t="s">
        <v>41</v>
      </c>
      <c r="P151" s="254">
        <v>211134.62336547961</v>
      </c>
      <c r="Q151" s="254">
        <v>225052.099803302</v>
      </c>
      <c r="R151" s="254">
        <f>235.116706372249*10^3</f>
        <v>235116.706372249</v>
      </c>
      <c r="S151" s="254">
        <f>250.125307145338*10^3</f>
        <v>250125.30714533801</v>
      </c>
      <c r="T151" s="254">
        <f>231.274301078517*10^3</f>
        <v>231274.30107851699</v>
      </c>
      <c r="U151" s="254">
        <f>298.711406309208*10^3</f>
        <v>298711.40630920796</v>
      </c>
      <c r="V151" s="254">
        <f>332.354431719209*10^3</f>
        <v>332354.43171920901</v>
      </c>
      <c r="W151" s="254">
        <v>303287.44802496477</v>
      </c>
      <c r="X151" s="254" t="s">
        <v>41</v>
      </c>
      <c r="Y151" s="254" t="s">
        <v>41</v>
      </c>
      <c r="Z151" s="255" t="s">
        <v>781</v>
      </c>
      <c r="AA151" s="255" t="s">
        <v>782</v>
      </c>
      <c r="AB151" s="255" t="s">
        <v>783</v>
      </c>
    </row>
    <row r="152" spans="1:28" s="256" customFormat="1" ht="67.5">
      <c r="A152" s="250">
        <v>147</v>
      </c>
      <c r="B152" s="250" t="s">
        <v>11</v>
      </c>
      <c r="C152" s="250" t="s">
        <v>777</v>
      </c>
      <c r="D152" s="250" t="s">
        <v>778</v>
      </c>
      <c r="E152" s="250" t="s">
        <v>490</v>
      </c>
      <c r="F152" s="251" t="s">
        <v>784</v>
      </c>
      <c r="G152" s="251" t="s">
        <v>492</v>
      </c>
      <c r="H152" s="251" t="s">
        <v>459</v>
      </c>
      <c r="I152" s="252" t="s">
        <v>493</v>
      </c>
      <c r="J152" s="252" t="s">
        <v>505</v>
      </c>
      <c r="K152" s="253" t="s">
        <v>780</v>
      </c>
      <c r="L152" s="250">
        <v>2016</v>
      </c>
      <c r="M152" s="254">
        <v>1995793417.2910759</v>
      </c>
      <c r="N152" s="257" t="s">
        <v>41</v>
      </c>
      <c r="O152" s="257" t="s">
        <v>41</v>
      </c>
      <c r="P152" s="254">
        <v>1698780435.6154151</v>
      </c>
      <c r="Q152" s="254">
        <v>1571861994.149519</v>
      </c>
      <c r="R152" s="254">
        <f>1597.06539188215*10^6</f>
        <v>1597065391.8821499</v>
      </c>
      <c r="S152" s="254">
        <f>1694.48266497669*10^6</f>
        <v>1694482664.9766901</v>
      </c>
      <c r="T152" s="254">
        <f>1626.04217514559*10^6</f>
        <v>1626042175.1455898</v>
      </c>
      <c r="U152" s="254">
        <f>2006.04146339077*10^6</f>
        <v>2006041463.3907702</v>
      </c>
      <c r="V152" s="254">
        <f>2219.04746695235*10^6</f>
        <v>2219047466.9523501</v>
      </c>
      <c r="W152" s="254">
        <v>1733001734.8718662</v>
      </c>
      <c r="X152" s="254" t="s">
        <v>41</v>
      </c>
      <c r="Y152" s="254" t="s">
        <v>41</v>
      </c>
      <c r="Z152" s="255" t="s">
        <v>781</v>
      </c>
      <c r="AA152" s="255" t="s">
        <v>782</v>
      </c>
      <c r="AB152" s="255" t="s">
        <v>783</v>
      </c>
    </row>
    <row r="153" spans="1:28" s="256" customFormat="1" ht="67.5">
      <c r="A153" s="250">
        <v>148</v>
      </c>
      <c r="B153" s="250" t="s">
        <v>11</v>
      </c>
      <c r="C153" s="250" t="s">
        <v>777</v>
      </c>
      <c r="D153" s="250" t="s">
        <v>778</v>
      </c>
      <c r="E153" s="250" t="s">
        <v>490</v>
      </c>
      <c r="F153" s="251" t="s">
        <v>784</v>
      </c>
      <c r="G153" s="251" t="s">
        <v>492</v>
      </c>
      <c r="H153" s="251" t="s">
        <v>459</v>
      </c>
      <c r="I153" s="252" t="s">
        <v>493</v>
      </c>
      <c r="J153" s="252" t="s">
        <v>506</v>
      </c>
      <c r="K153" s="253" t="s">
        <v>780</v>
      </c>
      <c r="L153" s="250">
        <v>2016</v>
      </c>
      <c r="M153" s="254">
        <v>1514448618.4537606</v>
      </c>
      <c r="N153" s="257" t="s">
        <v>41</v>
      </c>
      <c r="O153" s="257" t="s">
        <v>41</v>
      </c>
      <c r="P153" s="254">
        <v>1120115279.0725217</v>
      </c>
      <c r="Q153" s="254">
        <v>1192740527.7183814</v>
      </c>
      <c r="R153" s="254">
        <f>1211.90448874447*10^6</f>
        <v>1211904488.7444699</v>
      </c>
      <c r="S153" s="254">
        <f>1285.82784288177*10^6</f>
        <v>1285827842.8817701</v>
      </c>
      <c r="T153" s="254">
        <f>1233.89300210456*10^6</f>
        <v>1233893002.1045601</v>
      </c>
      <c r="U153" s="254">
        <f>1522.24866085521*10^6</f>
        <v>1522248660.8552098</v>
      </c>
      <c r="V153" s="254">
        <f>1683.88445432862*10^6</f>
        <v>1683884454.32862</v>
      </c>
      <c r="W153" s="254">
        <v>1394579381.0885539</v>
      </c>
      <c r="X153" s="254" t="s">
        <v>41</v>
      </c>
      <c r="Y153" s="254" t="s">
        <v>41</v>
      </c>
      <c r="Z153" s="255" t="s">
        <v>781</v>
      </c>
      <c r="AA153" s="255" t="s">
        <v>782</v>
      </c>
      <c r="AB153" s="255" t="s">
        <v>783</v>
      </c>
    </row>
    <row r="154" spans="1:28" s="256" customFormat="1" ht="67.5">
      <c r="A154" s="250">
        <v>149</v>
      </c>
      <c r="B154" s="250" t="s">
        <v>11</v>
      </c>
      <c r="C154" s="250" t="s">
        <v>777</v>
      </c>
      <c r="D154" s="250" t="s">
        <v>778</v>
      </c>
      <c r="E154" s="250" t="s">
        <v>490</v>
      </c>
      <c r="F154" s="251" t="s">
        <v>785</v>
      </c>
      <c r="G154" s="251" t="s">
        <v>492</v>
      </c>
      <c r="H154" s="251" t="s">
        <v>459</v>
      </c>
      <c r="I154" s="252" t="s">
        <v>493</v>
      </c>
      <c r="J154" s="252" t="s">
        <v>507</v>
      </c>
      <c r="K154" s="253" t="s">
        <v>780</v>
      </c>
      <c r="L154" s="250">
        <v>2016</v>
      </c>
      <c r="M154" s="254">
        <v>48791468.799090356</v>
      </c>
      <c r="N154" s="257" t="s">
        <v>41</v>
      </c>
      <c r="O154" s="257" t="s">
        <v>41</v>
      </c>
      <c r="P154" s="254">
        <v>73699682.523231581</v>
      </c>
      <c r="Q154" s="254">
        <v>61335086.015675612</v>
      </c>
      <c r="R154" s="254">
        <f>30.3240607639444*10^6</f>
        <v>30324060.763944399</v>
      </c>
      <c r="S154" s="254">
        <f>34.8053241588456*10^6</f>
        <v>34805324.158845603</v>
      </c>
      <c r="T154" s="254">
        <f>32.5958821238118*10^6</f>
        <v>32595882.123811796</v>
      </c>
      <c r="U154" s="254">
        <f>43.1303976819163*10^6</f>
        <v>43130397.681916296</v>
      </c>
      <c r="V154" s="254">
        <f>47.6089384959237*10^6</f>
        <v>47608938.495923705</v>
      </c>
      <c r="W154" s="254">
        <v>46131660.317167997</v>
      </c>
      <c r="X154" s="254" t="s">
        <v>41</v>
      </c>
      <c r="Y154" s="254" t="s">
        <v>41</v>
      </c>
      <c r="Z154" s="255" t="s">
        <v>781</v>
      </c>
      <c r="AA154" s="255" t="s">
        <v>782</v>
      </c>
      <c r="AB154" s="255" t="s">
        <v>783</v>
      </c>
    </row>
    <row r="155" spans="1:28" s="256" customFormat="1" ht="67.5">
      <c r="A155" s="250">
        <v>150</v>
      </c>
      <c r="B155" s="250" t="s">
        <v>11</v>
      </c>
      <c r="C155" s="250" t="s">
        <v>777</v>
      </c>
      <c r="D155" s="250" t="s">
        <v>778</v>
      </c>
      <c r="E155" s="250" t="s">
        <v>490</v>
      </c>
      <c r="F155" s="251" t="s">
        <v>785</v>
      </c>
      <c r="G155" s="251" t="s">
        <v>492</v>
      </c>
      <c r="H155" s="251" t="s">
        <v>459</v>
      </c>
      <c r="I155" s="252" t="s">
        <v>493</v>
      </c>
      <c r="J155" s="252" t="s">
        <v>508</v>
      </c>
      <c r="K155" s="253" t="s">
        <v>780</v>
      </c>
      <c r="L155" s="250">
        <v>2016</v>
      </c>
      <c r="M155" s="254">
        <v>34617563.438497588</v>
      </c>
      <c r="N155" s="257" t="s">
        <v>41</v>
      </c>
      <c r="O155" s="257" t="s">
        <v>41</v>
      </c>
      <c r="P155" s="254">
        <v>45426120.309369832</v>
      </c>
      <c r="Q155" s="254">
        <v>39440875.56914904</v>
      </c>
      <c r="R155" s="254">
        <f>22.0334129555239*10^6</f>
        <v>22033412.955523901</v>
      </c>
      <c r="S155" s="254">
        <f>25.2894916090706*10^6</f>
        <v>25289491.609070599</v>
      </c>
      <c r="T155" s="254">
        <f>23.6841146399981*10^6</f>
        <v>23684114.639998101</v>
      </c>
      <c r="U155" s="254">
        <f>31.3384764151232*10^6</f>
        <v>31338476.415123198</v>
      </c>
      <c r="V155" s="254">
        <f>34.5925768458453*10^6</f>
        <v>34592576.845845297</v>
      </c>
      <c r="W155" s="254">
        <v>29103870.7875605</v>
      </c>
      <c r="X155" s="254" t="s">
        <v>41</v>
      </c>
      <c r="Y155" s="254" t="s">
        <v>41</v>
      </c>
      <c r="Z155" s="255" t="s">
        <v>781</v>
      </c>
      <c r="AA155" s="255" t="s">
        <v>782</v>
      </c>
      <c r="AB155" s="255" t="s">
        <v>783</v>
      </c>
    </row>
    <row r="156" spans="1:28" s="256" customFormat="1" ht="67.5">
      <c r="A156" s="250">
        <v>151</v>
      </c>
      <c r="B156" s="250" t="s">
        <v>11</v>
      </c>
      <c r="C156" s="250" t="s">
        <v>777</v>
      </c>
      <c r="D156" s="250" t="s">
        <v>778</v>
      </c>
      <c r="E156" s="250" t="s">
        <v>786</v>
      </c>
      <c r="F156" s="251" t="s">
        <v>617</v>
      </c>
      <c r="G156" s="251" t="s">
        <v>787</v>
      </c>
      <c r="H156" s="251" t="s">
        <v>459</v>
      </c>
      <c r="I156" s="252" t="s">
        <v>788</v>
      </c>
      <c r="J156" s="252" t="s">
        <v>789</v>
      </c>
      <c r="K156" s="253" t="s">
        <v>780</v>
      </c>
      <c r="L156" s="250">
        <v>2016</v>
      </c>
      <c r="M156" s="268">
        <f t="shared" ref="M156:M167" si="11">N156/O156</f>
        <v>2.5063580433133132E-3</v>
      </c>
      <c r="N156" s="254">
        <f>34.271*10^3</f>
        <v>34271</v>
      </c>
      <c r="O156" s="254">
        <v>13673625</v>
      </c>
      <c r="P156" s="268">
        <v>2.18312875412541E-3</v>
      </c>
      <c r="Q156" s="268">
        <v>2.063718850714658E-3</v>
      </c>
      <c r="R156" s="268">
        <v>2.1252098783689066E-3</v>
      </c>
      <c r="S156" s="268">
        <v>2.2720755086101186E-3</v>
      </c>
      <c r="T156" s="268">
        <v>2.100837701105104E-3</v>
      </c>
      <c r="U156" s="268">
        <v>2.7053757047821475E-3</v>
      </c>
      <c r="V156" s="268">
        <v>3.0160351038061163E-3</v>
      </c>
      <c r="W156" s="268">
        <v>2.8727504931376734E-3</v>
      </c>
      <c r="X156" s="268">
        <v>34090.163077683101</v>
      </c>
      <c r="Y156" s="268">
        <v>11866733</v>
      </c>
      <c r="Z156" s="255" t="s">
        <v>790</v>
      </c>
      <c r="AA156" s="255" t="s">
        <v>782</v>
      </c>
      <c r="AB156" s="255"/>
    </row>
    <row r="157" spans="1:28" s="256" customFormat="1" ht="67.5">
      <c r="A157" s="250">
        <v>152</v>
      </c>
      <c r="B157" s="250" t="s">
        <v>11</v>
      </c>
      <c r="C157" s="250" t="s">
        <v>777</v>
      </c>
      <c r="D157" s="250" t="s">
        <v>778</v>
      </c>
      <c r="E157" s="250" t="s">
        <v>786</v>
      </c>
      <c r="F157" s="251" t="s">
        <v>617</v>
      </c>
      <c r="G157" s="251" t="s">
        <v>787</v>
      </c>
      <c r="H157" s="251" t="s">
        <v>459</v>
      </c>
      <c r="I157" s="252" t="s">
        <v>788</v>
      </c>
      <c r="J157" s="252" t="s">
        <v>791</v>
      </c>
      <c r="K157" s="253" t="s">
        <v>780</v>
      </c>
      <c r="L157" s="250">
        <v>2016</v>
      </c>
      <c r="M157" s="268">
        <f t="shared" si="11"/>
        <v>1.8671712877894487E-3</v>
      </c>
      <c r="N157" s="254">
        <f>25.531*10^3</f>
        <v>25531</v>
      </c>
      <c r="O157" s="254">
        <v>13673625</v>
      </c>
      <c r="P157" s="268">
        <v>1.4792250821678296E-3</v>
      </c>
      <c r="Q157" s="268">
        <v>1.5262546763696306E-3</v>
      </c>
      <c r="R157" s="268">
        <v>1.4718520749546931E-3</v>
      </c>
      <c r="S157" s="268">
        <v>1.5882965696630391E-3</v>
      </c>
      <c r="T157" s="268">
        <v>1.4513052782479012E-3</v>
      </c>
      <c r="U157" s="268">
        <v>1.8919080137781822E-3</v>
      </c>
      <c r="V157" s="268">
        <v>2.1085660697955479E-3</v>
      </c>
      <c r="W157" s="268">
        <v>2.276148803688656E-3</v>
      </c>
      <c r="X157" s="268">
        <v>27010.450121642698</v>
      </c>
      <c r="Y157" s="268">
        <v>11866733</v>
      </c>
      <c r="Z157" s="255" t="s">
        <v>790</v>
      </c>
      <c r="AA157" s="255" t="s">
        <v>782</v>
      </c>
      <c r="AB157" s="255"/>
    </row>
    <row r="158" spans="1:28" s="256" customFormat="1" ht="67.5">
      <c r="A158" s="250">
        <v>153</v>
      </c>
      <c r="B158" s="250" t="s">
        <v>11</v>
      </c>
      <c r="C158" s="250" t="s">
        <v>777</v>
      </c>
      <c r="D158" s="250" t="s">
        <v>778</v>
      </c>
      <c r="E158" s="250" t="s">
        <v>786</v>
      </c>
      <c r="F158" s="251" t="s">
        <v>617</v>
      </c>
      <c r="G158" s="251" t="s">
        <v>787</v>
      </c>
      <c r="H158" s="251" t="s">
        <v>459</v>
      </c>
      <c r="I158" s="252" t="s">
        <v>788</v>
      </c>
      <c r="J158" s="252" t="s">
        <v>792</v>
      </c>
      <c r="K158" s="253" t="s">
        <v>780</v>
      </c>
      <c r="L158" s="250">
        <v>2016</v>
      </c>
      <c r="M158" s="268">
        <f t="shared" si="11"/>
        <v>5.5596593081658164E-3</v>
      </c>
      <c r="N158" s="254">
        <f>190.599356*10^6</f>
        <v>190599356</v>
      </c>
      <c r="O158" s="254">
        <f>34282.5603935937*10^6</f>
        <v>34282560393.593704</v>
      </c>
      <c r="P158" s="268">
        <v>4.9184224757003034E-3</v>
      </c>
      <c r="Q158" s="268">
        <v>4.8118107877182766E-3</v>
      </c>
      <c r="R158" s="268">
        <v>4.4397428717099785E-3</v>
      </c>
      <c r="S158" s="268">
        <v>4.7105568571618912E-3</v>
      </c>
      <c r="T158" s="268">
        <v>4.5292832074728838E-3</v>
      </c>
      <c r="U158" s="268">
        <v>5.5822089253604063E-3</v>
      </c>
      <c r="V158" s="268">
        <v>6.1933914668563534E-3</v>
      </c>
      <c r="W158" s="268">
        <v>5.3172033571857276E-3</v>
      </c>
      <c r="X158" s="268">
        <v>163651542.604792</v>
      </c>
      <c r="Y158" s="268">
        <v>30777747551</v>
      </c>
      <c r="Z158" s="255" t="s">
        <v>790</v>
      </c>
      <c r="AA158" s="255" t="s">
        <v>782</v>
      </c>
      <c r="AB158" s="255"/>
    </row>
    <row r="159" spans="1:28" s="256" customFormat="1" ht="67.5">
      <c r="A159" s="250">
        <v>154</v>
      </c>
      <c r="B159" s="250" t="s">
        <v>11</v>
      </c>
      <c r="C159" s="250" t="s">
        <v>777</v>
      </c>
      <c r="D159" s="250" t="s">
        <v>778</v>
      </c>
      <c r="E159" s="250" t="s">
        <v>786</v>
      </c>
      <c r="F159" s="251" t="s">
        <v>617</v>
      </c>
      <c r="G159" s="251" t="s">
        <v>787</v>
      </c>
      <c r="H159" s="251" t="s">
        <v>459</v>
      </c>
      <c r="I159" s="252" t="s">
        <v>788</v>
      </c>
      <c r="J159" s="252" t="s">
        <v>793</v>
      </c>
      <c r="K159" s="253" t="s">
        <v>780</v>
      </c>
      <c r="L159" s="250">
        <v>2016</v>
      </c>
      <c r="M159" s="268">
        <f t="shared" si="11"/>
        <v>4.2188479605807733E-3</v>
      </c>
      <c r="N159" s="254">
        <f>144.63291*10^6</f>
        <v>144632910</v>
      </c>
      <c r="O159" s="254">
        <f>34282.5603935937*10^6</f>
        <v>34282560393.593704</v>
      </c>
      <c r="P159" s="268">
        <v>3.2490555374229645E-3</v>
      </c>
      <c r="Q159" s="268">
        <v>3.5782555803172507E-3</v>
      </c>
      <c r="R159" s="268">
        <v>3.1436293861485708E-3</v>
      </c>
      <c r="S159" s="268">
        <v>3.3604584183018998E-3</v>
      </c>
      <c r="T159" s="268">
        <v>3.2186349082276265E-3</v>
      </c>
      <c r="U159" s="268">
        <v>4.0083825748117472E-3</v>
      </c>
      <c r="V159" s="268">
        <v>4.4471320706927229E-3</v>
      </c>
      <c r="W159" s="268">
        <v>4.2107303466239832E-3</v>
      </c>
      <c r="X159" s="268">
        <v>129596795.61372769</v>
      </c>
      <c r="Y159" s="268">
        <v>30777747551</v>
      </c>
      <c r="Z159" s="255" t="s">
        <v>790</v>
      </c>
      <c r="AA159" s="255" t="s">
        <v>782</v>
      </c>
      <c r="AB159" s="255"/>
    </row>
    <row r="160" spans="1:28" s="256" customFormat="1" ht="67.5">
      <c r="A160" s="250">
        <v>155</v>
      </c>
      <c r="B160" s="250" t="s">
        <v>11</v>
      </c>
      <c r="C160" s="250" t="s">
        <v>777</v>
      </c>
      <c r="D160" s="250" t="s">
        <v>778</v>
      </c>
      <c r="E160" s="250" t="s">
        <v>786</v>
      </c>
      <c r="F160" s="251" t="s">
        <v>617</v>
      </c>
      <c r="G160" s="251" t="s">
        <v>787</v>
      </c>
      <c r="H160" s="251" t="s">
        <v>459</v>
      </c>
      <c r="I160" s="252" t="s">
        <v>788</v>
      </c>
      <c r="J160" s="252" t="s">
        <v>794</v>
      </c>
      <c r="K160" s="253" t="s">
        <v>780</v>
      </c>
      <c r="L160" s="250">
        <v>2016</v>
      </c>
      <c r="M160" s="268">
        <f t="shared" si="11"/>
        <v>3.7555955161418415E-3</v>
      </c>
      <c r="N160" s="254">
        <f>4.145597*10^6</f>
        <v>4145597.0000000005</v>
      </c>
      <c r="O160" s="254">
        <f>1103.845444*10^6</f>
        <v>1103845444</v>
      </c>
      <c r="P160" s="268">
        <v>5.7797530986591523E-3</v>
      </c>
      <c r="Q160" s="268">
        <v>4.9085767518066547E-3</v>
      </c>
      <c r="R160" s="268">
        <v>2.315590419524261E-3</v>
      </c>
      <c r="S160" s="268">
        <v>2.6630702325573371E-3</v>
      </c>
      <c r="T160" s="268">
        <v>2.5064761648144057E-3</v>
      </c>
      <c r="U160" s="268">
        <v>3.3099196218452482E-3</v>
      </c>
      <c r="V160" s="268">
        <v>3.6609124158347231E-3</v>
      </c>
      <c r="W160" s="268">
        <v>3.1675471292614949E-3</v>
      </c>
      <c r="X160" s="268">
        <v>3378050.3381440653</v>
      </c>
      <c r="Y160" s="268">
        <v>1066456220</v>
      </c>
      <c r="Z160" s="255" t="s">
        <v>790</v>
      </c>
      <c r="AA160" s="255" t="s">
        <v>782</v>
      </c>
      <c r="AB160" s="255"/>
    </row>
    <row r="161" spans="1:28" s="256" customFormat="1" ht="67.5">
      <c r="A161" s="250">
        <v>156</v>
      </c>
      <c r="B161" s="250" t="s">
        <v>11</v>
      </c>
      <c r="C161" s="250" t="s">
        <v>777</v>
      </c>
      <c r="D161" s="250" t="s">
        <v>778</v>
      </c>
      <c r="E161" s="250" t="s">
        <v>786</v>
      </c>
      <c r="F161" s="251" t="s">
        <v>617</v>
      </c>
      <c r="G161" s="251" t="s">
        <v>787</v>
      </c>
      <c r="H161" s="251" t="s">
        <v>459</v>
      </c>
      <c r="I161" s="252" t="s">
        <v>788</v>
      </c>
      <c r="J161" s="252" t="s">
        <v>795</v>
      </c>
      <c r="K161" s="253" t="s">
        <v>780</v>
      </c>
      <c r="L161" s="250">
        <v>2016</v>
      </c>
      <c r="M161" s="268">
        <f t="shared" si="11"/>
        <v>2.7288095596832485E-3</v>
      </c>
      <c r="N161" s="254">
        <f>3.012184*10^6</f>
        <v>3012184</v>
      </c>
      <c r="O161" s="254">
        <f>1103.845444*10^6</f>
        <v>1103845444</v>
      </c>
      <c r="P161" s="268">
        <v>3.6447820387287971E-3</v>
      </c>
      <c r="Q161" s="268">
        <v>3.236173334967537E-3</v>
      </c>
      <c r="R161" s="268">
        <v>1.9126903030867047E-3</v>
      </c>
      <c r="S161" s="268">
        <v>2.1768293223493654E-3</v>
      </c>
      <c r="T161" s="268">
        <v>2.0898379715705777E-3</v>
      </c>
      <c r="U161" s="268">
        <v>2.7492347846549796E-3</v>
      </c>
      <c r="V161" s="268">
        <v>3.0784087721354935E-3</v>
      </c>
      <c r="W161" s="268">
        <v>2.0578331674463908E-3</v>
      </c>
      <c r="X161" s="268">
        <v>2194588.9811455049</v>
      </c>
      <c r="Y161" s="268">
        <v>1066456220</v>
      </c>
      <c r="Z161" s="255" t="s">
        <v>790</v>
      </c>
      <c r="AA161" s="255" t="s">
        <v>782</v>
      </c>
      <c r="AB161" s="255"/>
    </row>
    <row r="162" spans="1:28" s="256" customFormat="1" ht="67.5">
      <c r="A162" s="250">
        <v>157</v>
      </c>
      <c r="B162" s="250" t="s">
        <v>11</v>
      </c>
      <c r="C162" s="250" t="s">
        <v>777</v>
      </c>
      <c r="D162" s="250" t="s">
        <v>778</v>
      </c>
      <c r="E162" s="250" t="s">
        <v>786</v>
      </c>
      <c r="F162" s="251" t="s">
        <v>617</v>
      </c>
      <c r="G162" s="251" t="s">
        <v>787</v>
      </c>
      <c r="H162" s="251" t="s">
        <v>459</v>
      </c>
      <c r="I162" s="252" t="s">
        <v>788</v>
      </c>
      <c r="J162" s="252" t="s">
        <v>796</v>
      </c>
      <c r="K162" s="253" t="s">
        <v>780</v>
      </c>
      <c r="L162" s="250">
        <v>2016</v>
      </c>
      <c r="M162" s="268">
        <f t="shared" si="11"/>
        <v>2.6928996517017249E-2</v>
      </c>
      <c r="N162" s="254">
        <f>368.217*10^3</f>
        <v>368217</v>
      </c>
      <c r="O162" s="254">
        <v>13673625</v>
      </c>
      <c r="P162" s="268">
        <v>2.2450474435322755E-2</v>
      </c>
      <c r="Q162" s="268">
        <v>2.2700812604955187E-2</v>
      </c>
      <c r="R162" s="268">
        <v>2.2762545163350582E-2</v>
      </c>
      <c r="S162" s="268">
        <v>2.4335582996148204E-2</v>
      </c>
      <c r="T162" s="268">
        <v>2.2501501399464871E-2</v>
      </c>
      <c r="U162" s="268">
        <v>2.967615325143964E-2</v>
      </c>
      <c r="V162" s="268">
        <v>3.2303931937926147E-2</v>
      </c>
      <c r="W162" s="268">
        <v>3.1827802633396643E-2</v>
      </c>
      <c r="X162" s="268">
        <v>377692.03582721483</v>
      </c>
      <c r="Y162" s="268">
        <v>11866733</v>
      </c>
      <c r="Z162" s="255" t="s">
        <v>790</v>
      </c>
      <c r="AA162" s="255" t="s">
        <v>782</v>
      </c>
      <c r="AB162" s="255"/>
    </row>
    <row r="163" spans="1:28" s="256" customFormat="1" ht="67.5">
      <c r="A163" s="250">
        <v>158</v>
      </c>
      <c r="B163" s="250" t="s">
        <v>11</v>
      </c>
      <c r="C163" s="250" t="s">
        <v>777</v>
      </c>
      <c r="D163" s="250" t="s">
        <v>778</v>
      </c>
      <c r="E163" s="250" t="s">
        <v>786</v>
      </c>
      <c r="F163" s="251" t="s">
        <v>617</v>
      </c>
      <c r="G163" s="251" t="s">
        <v>787</v>
      </c>
      <c r="H163" s="251" t="s">
        <v>459</v>
      </c>
      <c r="I163" s="252" t="s">
        <v>788</v>
      </c>
      <c r="J163" s="252" t="s">
        <v>797</v>
      </c>
      <c r="K163" s="253" t="s">
        <v>780</v>
      </c>
      <c r="L163" s="250">
        <v>2016</v>
      </c>
      <c r="M163" s="268">
        <f t="shared" si="11"/>
        <v>2.0296373492764353E-2</v>
      </c>
      <c r="N163" s="254">
        <f>277.525*10^3</f>
        <v>277525</v>
      </c>
      <c r="O163" s="254">
        <v>13673625</v>
      </c>
      <c r="P163" s="268">
        <v>1.5393626465494456E-2</v>
      </c>
      <c r="Q163" s="268">
        <v>1.7133503056576821E-2</v>
      </c>
      <c r="R163" s="268">
        <v>1.6957501694304329E-2</v>
      </c>
      <c r="S163" s="268">
        <v>1.8129373799266428E-2</v>
      </c>
      <c r="T163" s="268">
        <v>1.6763030907465139E-2</v>
      </c>
      <c r="U163" s="268">
        <v>2.1586768236172074E-2</v>
      </c>
      <c r="V163" s="268">
        <v>2.4065585664474115E-2</v>
      </c>
      <c r="W163" s="268">
        <v>2.555778814817564E-2</v>
      </c>
      <c r="X163" s="268">
        <v>303287.44802496477</v>
      </c>
      <c r="Y163" s="268">
        <v>11866733</v>
      </c>
      <c r="Z163" s="255" t="s">
        <v>790</v>
      </c>
      <c r="AA163" s="255" t="s">
        <v>782</v>
      </c>
      <c r="AB163" s="255"/>
    </row>
    <row r="164" spans="1:28" s="256" customFormat="1" ht="67.5">
      <c r="A164" s="250">
        <v>159</v>
      </c>
      <c r="B164" s="250" t="s">
        <v>11</v>
      </c>
      <c r="C164" s="250" t="s">
        <v>777</v>
      </c>
      <c r="D164" s="250" t="s">
        <v>778</v>
      </c>
      <c r="E164" s="250" t="s">
        <v>786</v>
      </c>
      <c r="F164" s="251" t="s">
        <v>617</v>
      </c>
      <c r="G164" s="251" t="s">
        <v>787</v>
      </c>
      <c r="H164" s="251" t="s">
        <v>459</v>
      </c>
      <c r="I164" s="252" t="s">
        <v>788</v>
      </c>
      <c r="J164" s="252" t="s">
        <v>798</v>
      </c>
      <c r="K164" s="253" t="s">
        <v>780</v>
      </c>
      <c r="L164" s="250">
        <v>2016</v>
      </c>
      <c r="M164" s="268">
        <f t="shared" si="11"/>
        <v>5.8215996532538707E-2</v>
      </c>
      <c r="N164" s="254">
        <f>1995.793417*10^6</f>
        <v>1995793417</v>
      </c>
      <c r="O164" s="254">
        <f>34282.5603935937*10^6</f>
        <v>34282560393.593704</v>
      </c>
      <c r="P164" s="268">
        <v>5.0048763271290264E-2</v>
      </c>
      <c r="Q164" s="268">
        <v>5.069477453671236E-2</v>
      </c>
      <c r="R164" s="268">
        <v>4.6215634174757429E-2</v>
      </c>
      <c r="S164" s="268">
        <v>4.9034680331868134E-2</v>
      </c>
      <c r="T164" s="268">
        <v>4.7147706936869788E-2</v>
      </c>
      <c r="U164" s="268">
        <v>5.8108168206182302E-2</v>
      </c>
      <c r="V164" s="268">
        <v>6.4470290871384339E-2</v>
      </c>
      <c r="W164" s="268">
        <v>5.6306970872387938E-2</v>
      </c>
      <c r="X164" s="268">
        <v>1733001734.8718662</v>
      </c>
      <c r="Y164" s="268">
        <v>30777747551</v>
      </c>
      <c r="Z164" s="255" t="s">
        <v>790</v>
      </c>
      <c r="AA164" s="255" t="s">
        <v>782</v>
      </c>
      <c r="AB164" s="255"/>
    </row>
    <row r="165" spans="1:28" s="256" customFormat="1" ht="67.5">
      <c r="A165" s="250">
        <v>160</v>
      </c>
      <c r="B165" s="250" t="s">
        <v>11</v>
      </c>
      <c r="C165" s="250" t="s">
        <v>777</v>
      </c>
      <c r="D165" s="250" t="s">
        <v>778</v>
      </c>
      <c r="E165" s="250" t="s">
        <v>786</v>
      </c>
      <c r="F165" s="251" t="s">
        <v>617</v>
      </c>
      <c r="G165" s="251" t="s">
        <v>787</v>
      </c>
      <c r="H165" s="251" t="s">
        <v>459</v>
      </c>
      <c r="I165" s="252" t="s">
        <v>788</v>
      </c>
      <c r="J165" s="252" t="s">
        <v>799</v>
      </c>
      <c r="K165" s="253" t="s">
        <v>780</v>
      </c>
      <c r="L165" s="250">
        <v>2016</v>
      </c>
      <c r="M165" s="268">
        <f t="shared" si="11"/>
        <v>4.4175481662186503E-2</v>
      </c>
      <c r="N165" s="254">
        <f>1514.448618*10^6</f>
        <v>1514448618</v>
      </c>
      <c r="O165" s="254">
        <f>34282.5603935937*10^6</f>
        <v>34282560393.593704</v>
      </c>
      <c r="P165" s="268">
        <v>3.3000370891690278E-2</v>
      </c>
      <c r="Q165" s="268">
        <v>3.8467570536431607E-2</v>
      </c>
      <c r="R165" s="268">
        <v>3.506990683741143E-2</v>
      </c>
      <c r="S165" s="268">
        <v>3.7209089559137098E-2</v>
      </c>
      <c r="T165" s="268">
        <v>3.5777193570930343E-2</v>
      </c>
      <c r="U165" s="268">
        <v>4.4094343437496332E-2</v>
      </c>
      <c r="V165" s="268">
        <v>4.8922126354271379E-2</v>
      </c>
      <c r="W165" s="268">
        <v>4.531128792897135E-2</v>
      </c>
      <c r="X165" s="268">
        <v>1394579381.0885539</v>
      </c>
      <c r="Y165" s="268">
        <v>30777747551</v>
      </c>
      <c r="Z165" s="255" t="s">
        <v>790</v>
      </c>
      <c r="AA165" s="255" t="s">
        <v>782</v>
      </c>
      <c r="AB165" s="255"/>
    </row>
    <row r="166" spans="1:28" s="256" customFormat="1" ht="67.5">
      <c r="A166" s="250">
        <v>161</v>
      </c>
      <c r="B166" s="250" t="s">
        <v>11</v>
      </c>
      <c r="C166" s="250" t="s">
        <v>777</v>
      </c>
      <c r="D166" s="250" t="s">
        <v>778</v>
      </c>
      <c r="E166" s="250" t="s">
        <v>786</v>
      </c>
      <c r="F166" s="251" t="s">
        <v>617</v>
      </c>
      <c r="G166" s="251" t="s">
        <v>787</v>
      </c>
      <c r="H166" s="251" t="s">
        <v>459</v>
      </c>
      <c r="I166" s="252" t="s">
        <v>788</v>
      </c>
      <c r="J166" s="252" t="s">
        <v>800</v>
      </c>
      <c r="K166" s="253" t="s">
        <v>780</v>
      </c>
      <c r="L166" s="250">
        <v>2016</v>
      </c>
      <c r="M166" s="268">
        <f t="shared" si="11"/>
        <v>4.4201359225793935E-2</v>
      </c>
      <c r="N166" s="254">
        <f>48.791469*10^6</f>
        <v>48791469</v>
      </c>
      <c r="O166" s="254">
        <f>1103.845444*10^6</f>
        <v>1103845444</v>
      </c>
      <c r="P166" s="268">
        <v>6.7016168997453759E-2</v>
      </c>
      <c r="Q166" s="268">
        <v>6.4756102859378842E-2</v>
      </c>
      <c r="R166" s="268">
        <v>2.7253266096756386E-2</v>
      </c>
      <c r="S166" s="268">
        <v>3.1342918449777941E-2</v>
      </c>
      <c r="T166" s="268">
        <v>2.9499889664813286E-2</v>
      </c>
      <c r="U166" s="268">
        <v>3.895599128949441E-2</v>
      </c>
      <c r="V166" s="268">
        <v>4.3086989557575173E-2</v>
      </c>
      <c r="W166" s="268">
        <v>4.3256965876356364E-2</v>
      </c>
      <c r="X166" s="268">
        <v>46131660.317167997</v>
      </c>
      <c r="Y166" s="268">
        <v>1066456220</v>
      </c>
      <c r="Z166" s="255" t="s">
        <v>790</v>
      </c>
      <c r="AA166" s="255" t="s">
        <v>782</v>
      </c>
      <c r="AB166" s="255"/>
    </row>
    <row r="167" spans="1:28" s="256" customFormat="1" ht="67.5">
      <c r="A167" s="250">
        <v>162</v>
      </c>
      <c r="B167" s="250" t="s">
        <v>11</v>
      </c>
      <c r="C167" s="250" t="s">
        <v>777</v>
      </c>
      <c r="D167" s="250" t="s">
        <v>778</v>
      </c>
      <c r="E167" s="250" t="s">
        <v>786</v>
      </c>
      <c r="F167" s="251" t="s">
        <v>617</v>
      </c>
      <c r="G167" s="251" t="s">
        <v>787</v>
      </c>
      <c r="H167" s="251" t="s">
        <v>459</v>
      </c>
      <c r="I167" s="252" t="s">
        <v>788</v>
      </c>
      <c r="J167" s="252" t="s">
        <v>801</v>
      </c>
      <c r="K167" s="253" t="s">
        <v>780</v>
      </c>
      <c r="L167" s="250">
        <v>2016</v>
      </c>
      <c r="M167" s="268">
        <f t="shared" si="11"/>
        <v>3.1360878634020074E-2</v>
      </c>
      <c r="N167" s="254">
        <f>34.617563*10^6</f>
        <v>34617563</v>
      </c>
      <c r="O167" s="254">
        <f>1103.845444*10^6</f>
        <v>1103845444</v>
      </c>
      <c r="P167" s="268">
        <v>4.1306616953089001E-2</v>
      </c>
      <c r="Q167" s="268">
        <v>4.1640724112900623E-2</v>
      </c>
      <c r="R167" s="268">
        <v>1.9802178572686159E-2</v>
      </c>
      <c r="S167" s="268">
        <v>2.2773713283690121E-2</v>
      </c>
      <c r="T167" s="268">
        <v>2.1434571582842211E-2</v>
      </c>
      <c r="U167" s="268">
        <v>2.8305359557707709E-2</v>
      </c>
      <c r="V167" s="268">
        <v>3.1306936142971691E-2</v>
      </c>
      <c r="W167" s="268">
        <v>2.7290263061675892E-2</v>
      </c>
      <c r="X167" s="268">
        <v>29103870.7875605</v>
      </c>
      <c r="Y167" s="268">
        <v>1066456220</v>
      </c>
      <c r="Z167" s="255" t="s">
        <v>790</v>
      </c>
      <c r="AA167" s="255" t="s">
        <v>782</v>
      </c>
      <c r="AB167" s="255"/>
    </row>
    <row r="168" spans="1:28" s="256" customFormat="1" ht="25.5">
      <c r="A168" s="250">
        <v>163</v>
      </c>
      <c r="B168" s="250" t="s">
        <v>11</v>
      </c>
      <c r="C168" s="250" t="s">
        <v>777</v>
      </c>
      <c r="D168" s="250" t="s">
        <v>802</v>
      </c>
      <c r="E168" s="250" t="s">
        <v>481</v>
      </c>
      <c r="F168" s="251" t="s">
        <v>482</v>
      </c>
      <c r="G168" s="251" t="s">
        <v>578</v>
      </c>
      <c r="H168" s="251" t="s">
        <v>459</v>
      </c>
      <c r="I168" s="252" t="s">
        <v>484</v>
      </c>
      <c r="J168" s="252" t="s">
        <v>485</v>
      </c>
      <c r="K168" s="253" t="s">
        <v>780</v>
      </c>
      <c r="L168" s="250">
        <v>2016</v>
      </c>
      <c r="M168" s="254">
        <v>69481.27184320541</v>
      </c>
      <c r="N168" s="257" t="s">
        <v>41</v>
      </c>
      <c r="O168" s="257" t="s">
        <v>41</v>
      </c>
      <c r="P168" s="254">
        <v>52011.692962035348</v>
      </c>
      <c r="Q168" s="254">
        <v>12098.296960477113</v>
      </c>
      <c r="R168" s="254">
        <v>52187.207394814905</v>
      </c>
      <c r="S168" s="254">
        <v>55786.773463277656</v>
      </c>
      <c r="T168" s="254">
        <v>53326.353069131357</v>
      </c>
      <c r="U168" s="254">
        <v>66476.909646597094</v>
      </c>
      <c r="V168" s="254">
        <v>73533.616531350403</v>
      </c>
      <c r="W168" s="254">
        <v>13545.881536825851</v>
      </c>
      <c r="X168" s="254" t="s">
        <v>41</v>
      </c>
      <c r="Y168" s="254" t="s">
        <v>41</v>
      </c>
      <c r="Z168" s="255" t="s">
        <v>803</v>
      </c>
      <c r="AA168" s="255" t="s">
        <v>804</v>
      </c>
      <c r="AB168" s="255"/>
    </row>
    <row r="169" spans="1:28" s="256" customFormat="1" ht="38.25">
      <c r="A169" s="250">
        <v>164</v>
      </c>
      <c r="B169" s="250" t="s">
        <v>11</v>
      </c>
      <c r="C169" s="250" t="s">
        <v>777</v>
      </c>
      <c r="D169" s="250" t="s">
        <v>805</v>
      </c>
      <c r="E169" s="250" t="s">
        <v>806</v>
      </c>
      <c r="F169" s="251" t="s">
        <v>617</v>
      </c>
      <c r="G169" s="251" t="s">
        <v>807</v>
      </c>
      <c r="H169" s="251" t="s">
        <v>459</v>
      </c>
      <c r="I169" s="252" t="s">
        <v>808</v>
      </c>
      <c r="J169" s="275" t="s">
        <v>809</v>
      </c>
      <c r="K169" s="253" t="s">
        <v>780</v>
      </c>
      <c r="L169" s="250">
        <v>2016</v>
      </c>
      <c r="M169" s="254" t="s">
        <v>41</v>
      </c>
      <c r="N169" s="254" t="s">
        <v>41</v>
      </c>
      <c r="O169" s="254" t="s">
        <v>41</v>
      </c>
      <c r="P169" s="254" t="s">
        <v>41</v>
      </c>
      <c r="Q169" s="254" t="s">
        <v>41</v>
      </c>
      <c r="R169" s="254" t="s">
        <v>41</v>
      </c>
      <c r="S169" s="254" t="s">
        <v>41</v>
      </c>
      <c r="T169" s="254" t="s">
        <v>41</v>
      </c>
      <c r="U169" s="254" t="s">
        <v>41</v>
      </c>
      <c r="V169" s="254" t="s">
        <v>41</v>
      </c>
      <c r="W169" s="254" t="s">
        <v>41</v>
      </c>
      <c r="X169" s="254" t="s">
        <v>41</v>
      </c>
      <c r="Y169" s="254" t="s">
        <v>41</v>
      </c>
      <c r="Z169" s="276" t="s">
        <v>810</v>
      </c>
      <c r="AA169" s="255" t="s">
        <v>782</v>
      </c>
      <c r="AB169" s="255"/>
    </row>
    <row r="170" spans="1:28" s="256" customFormat="1" ht="45">
      <c r="A170" s="250">
        <v>165</v>
      </c>
      <c r="B170" s="250" t="s">
        <v>11</v>
      </c>
      <c r="C170" s="250" t="s">
        <v>777</v>
      </c>
      <c r="D170" s="250" t="s">
        <v>805</v>
      </c>
      <c r="E170" s="250" t="s">
        <v>806</v>
      </c>
      <c r="F170" s="251" t="s">
        <v>617</v>
      </c>
      <c r="G170" s="251" t="s">
        <v>807</v>
      </c>
      <c r="H170" s="251" t="s">
        <v>459</v>
      </c>
      <c r="I170" s="252" t="s">
        <v>808</v>
      </c>
      <c r="J170" s="275" t="s">
        <v>811</v>
      </c>
      <c r="K170" s="253" t="s">
        <v>780</v>
      </c>
      <c r="L170" s="250">
        <v>2016</v>
      </c>
      <c r="M170" s="267">
        <f>N170/O170</f>
        <v>0.30362829092606092</v>
      </c>
      <c r="N170" s="254">
        <f>1995.793417*10^6</f>
        <v>1995793417</v>
      </c>
      <c r="O170" s="254">
        <f>6573147090.19</f>
        <v>6573147090.1899996</v>
      </c>
      <c r="P170" s="267">
        <v>0.31419626999863004</v>
      </c>
      <c r="Q170" s="267">
        <v>0.44356366363301364</v>
      </c>
      <c r="R170" s="267">
        <v>0.30362829092606092</v>
      </c>
      <c r="S170" s="267">
        <v>0.30362829092606092</v>
      </c>
      <c r="T170" s="267">
        <v>0.30970085674458214</v>
      </c>
      <c r="U170" s="267">
        <v>0.31425528110847301</v>
      </c>
      <c r="V170" s="267">
        <v>0.31880970547236398</v>
      </c>
      <c r="W170" s="267">
        <v>0.13594370435355455</v>
      </c>
      <c r="X170" s="267">
        <v>1733001734.8718662</v>
      </c>
      <c r="Y170" s="267">
        <v>12747936678</v>
      </c>
      <c r="Z170" s="255" t="s">
        <v>812</v>
      </c>
      <c r="AA170" s="255" t="s">
        <v>813</v>
      </c>
      <c r="AB170" s="255"/>
    </row>
    <row r="171" spans="1:28" s="256" customFormat="1" ht="45">
      <c r="A171" s="250">
        <v>166</v>
      </c>
      <c r="B171" s="250" t="s">
        <v>11</v>
      </c>
      <c r="C171" s="250" t="s">
        <v>777</v>
      </c>
      <c r="D171" s="250" t="s">
        <v>805</v>
      </c>
      <c r="E171" s="250" t="s">
        <v>806</v>
      </c>
      <c r="F171" s="251" t="s">
        <v>617</v>
      </c>
      <c r="G171" s="251" t="s">
        <v>807</v>
      </c>
      <c r="H171" s="251" t="s">
        <v>459</v>
      </c>
      <c r="I171" s="252" t="s">
        <v>808</v>
      </c>
      <c r="J171" s="275" t="s">
        <v>814</v>
      </c>
      <c r="K171" s="253" t="s">
        <v>780</v>
      </c>
      <c r="L171" s="250">
        <v>2016</v>
      </c>
      <c r="M171" s="277">
        <f>N171/O171</f>
        <v>1.2781847081897717</v>
      </c>
      <c r="N171" s="254">
        <f>48.791469*10^6</f>
        <v>48791469</v>
      </c>
      <c r="O171" s="254">
        <v>38172471.229999997</v>
      </c>
      <c r="P171" s="277">
        <v>1.7463360565301009</v>
      </c>
      <c r="Q171" s="277">
        <v>2.6073273805194948</v>
      </c>
      <c r="R171" s="277">
        <v>1.2781847081897717</v>
      </c>
      <c r="S171" s="277">
        <v>1.2781847081897717</v>
      </c>
      <c r="T171" s="277">
        <v>1.3037484023535673</v>
      </c>
      <c r="U171" s="277">
        <v>1.3229211729764137</v>
      </c>
      <c r="V171" s="277">
        <v>1.3420939435992603</v>
      </c>
      <c r="W171" s="277">
        <v>1.1502427033756999</v>
      </c>
      <c r="X171" s="277">
        <v>46131660.317167997</v>
      </c>
      <c r="Y171" s="277">
        <v>40106023</v>
      </c>
      <c r="Z171" s="255" t="s">
        <v>812</v>
      </c>
      <c r="AA171" s="255" t="s">
        <v>813</v>
      </c>
      <c r="AB171" s="255"/>
    </row>
    <row r="172" spans="1:28" s="256" customFormat="1" ht="89.25">
      <c r="A172" s="250">
        <v>167</v>
      </c>
      <c r="B172" s="250" t="s">
        <v>11</v>
      </c>
      <c r="C172" s="250" t="s">
        <v>777</v>
      </c>
      <c r="D172" s="250" t="s">
        <v>815</v>
      </c>
      <c r="E172" s="250" t="s">
        <v>816</v>
      </c>
      <c r="F172" s="251" t="s">
        <v>617</v>
      </c>
      <c r="G172" s="251" t="s">
        <v>618</v>
      </c>
      <c r="H172" s="251" t="s">
        <v>459</v>
      </c>
      <c r="I172" s="252" t="s">
        <v>817</v>
      </c>
      <c r="J172" s="252" t="s">
        <v>818</v>
      </c>
      <c r="K172" s="253" t="s">
        <v>780</v>
      </c>
      <c r="L172" s="250">
        <v>2016</v>
      </c>
      <c r="M172" s="268">
        <v>0.17488103331067301</v>
      </c>
      <c r="N172" s="329">
        <v>2058</v>
      </c>
      <c r="O172" s="329">
        <v>11768</v>
      </c>
      <c r="P172" s="268">
        <v>0.37923362175525338</v>
      </c>
      <c r="Q172" s="268">
        <v>0.10111761575306014</v>
      </c>
      <c r="R172" s="268">
        <f>M172</f>
        <v>0.17488103331067301</v>
      </c>
      <c r="S172" s="268">
        <f>M172</f>
        <v>0.17488103331067301</v>
      </c>
      <c r="T172" s="268">
        <f>M172*1.05</f>
        <v>0.18362508497620667</v>
      </c>
      <c r="U172" s="268">
        <f>M172*1.05</f>
        <v>0.18362508497620667</v>
      </c>
      <c r="V172" s="268">
        <f>M172*1.1</f>
        <v>0.19236913664174032</v>
      </c>
      <c r="W172" s="268">
        <v>8.1010137581462707E-2</v>
      </c>
      <c r="X172" s="268">
        <v>895</v>
      </c>
      <c r="Y172" s="268">
        <v>11048</v>
      </c>
      <c r="Z172" s="255" t="s">
        <v>819</v>
      </c>
      <c r="AA172" s="255" t="s">
        <v>820</v>
      </c>
      <c r="AB172" s="255"/>
    </row>
    <row r="173" spans="1:28" s="256" customFormat="1" ht="89.25">
      <c r="A173" s="250">
        <v>168</v>
      </c>
      <c r="B173" s="250" t="s">
        <v>11</v>
      </c>
      <c r="C173" s="250" t="s">
        <v>777</v>
      </c>
      <c r="D173" s="250" t="s">
        <v>815</v>
      </c>
      <c r="E173" s="250" t="s">
        <v>821</v>
      </c>
      <c r="F173" s="251" t="s">
        <v>617</v>
      </c>
      <c r="G173" s="251" t="s">
        <v>618</v>
      </c>
      <c r="H173" s="251" t="s">
        <v>459</v>
      </c>
      <c r="I173" s="252" t="s">
        <v>817</v>
      </c>
      <c r="J173" s="252" t="s">
        <v>822</v>
      </c>
      <c r="K173" s="253" t="s">
        <v>780</v>
      </c>
      <c r="L173" s="250">
        <v>2016</v>
      </c>
      <c r="M173" s="268">
        <v>7.2418800000000005E-2</v>
      </c>
      <c r="N173" s="329">
        <v>8257</v>
      </c>
      <c r="O173" s="329">
        <v>114023</v>
      </c>
      <c r="P173" s="268">
        <v>4.9997416154203916E-2</v>
      </c>
      <c r="Q173" s="268">
        <v>4.291043190836711E-2</v>
      </c>
      <c r="R173" s="268">
        <f>M173</f>
        <v>7.2418800000000005E-2</v>
      </c>
      <c r="S173" s="268">
        <f>M173</f>
        <v>7.2418800000000005E-2</v>
      </c>
      <c r="T173" s="268">
        <f>M173*1.05</f>
        <v>7.6039740000000008E-2</v>
      </c>
      <c r="U173" s="268">
        <f>M173*1.05</f>
        <v>7.6039740000000008E-2</v>
      </c>
      <c r="V173" s="268">
        <f>M173*1.1</f>
        <v>7.9660680000000011E-2</v>
      </c>
      <c r="W173" s="268">
        <v>1.4490202980171301E-2</v>
      </c>
      <c r="X173" s="268">
        <v>1729</v>
      </c>
      <c r="Y173" s="268">
        <v>119322</v>
      </c>
      <c r="Z173" s="255" t="s">
        <v>823</v>
      </c>
      <c r="AA173" s="255" t="s">
        <v>824</v>
      </c>
      <c r="AB173" s="255"/>
    </row>
    <row r="174" spans="1:28" s="256" customFormat="1" ht="89.25">
      <c r="A174" s="250">
        <v>169</v>
      </c>
      <c r="B174" s="250" t="s">
        <v>11</v>
      </c>
      <c r="C174" s="250" t="s">
        <v>777</v>
      </c>
      <c r="D174" s="250" t="s">
        <v>815</v>
      </c>
      <c r="E174" s="250" t="s">
        <v>825</v>
      </c>
      <c r="F174" s="251" t="s">
        <v>617</v>
      </c>
      <c r="G174" s="251" t="s">
        <v>618</v>
      </c>
      <c r="H174" s="251" t="s">
        <v>459</v>
      </c>
      <c r="I174" s="252" t="s">
        <v>817</v>
      </c>
      <c r="J174" s="252" t="s">
        <v>826</v>
      </c>
      <c r="K174" s="253" t="s">
        <v>780</v>
      </c>
      <c r="L174" s="250">
        <v>2016</v>
      </c>
      <c r="M174" s="268">
        <v>1.3936E-2</v>
      </c>
      <c r="N174" s="329">
        <v>6685</v>
      </c>
      <c r="O174" s="329">
        <v>479282</v>
      </c>
      <c r="P174" s="268">
        <v>8.9970498591400612E-3</v>
      </c>
      <c r="Q174" s="268">
        <v>6.8981299856152737E-3</v>
      </c>
      <c r="R174" s="268">
        <v>0.05</v>
      </c>
      <c r="S174" s="268">
        <v>0.05</v>
      </c>
      <c r="T174" s="268">
        <v>0.05</v>
      </c>
      <c r="U174" s="268">
        <v>0.05</v>
      </c>
      <c r="V174" s="268">
        <v>0.05</v>
      </c>
      <c r="W174" s="268">
        <v>1.7703644349726685E-3</v>
      </c>
      <c r="X174" s="268">
        <v>844</v>
      </c>
      <c r="Y174" s="268">
        <v>476738</v>
      </c>
      <c r="Z174" s="255" t="s">
        <v>827</v>
      </c>
      <c r="AA174" s="255" t="s">
        <v>828</v>
      </c>
      <c r="AB174" s="255"/>
    </row>
    <row r="175" spans="1:28" s="256" customFormat="1" ht="90">
      <c r="A175" s="250">
        <v>170</v>
      </c>
      <c r="B175" s="250" t="s">
        <v>11</v>
      </c>
      <c r="C175" s="250" t="s">
        <v>777</v>
      </c>
      <c r="D175" s="250" t="s">
        <v>815</v>
      </c>
      <c r="E175" s="250" t="s">
        <v>738</v>
      </c>
      <c r="F175" s="251" t="s">
        <v>617</v>
      </c>
      <c r="G175" s="251" t="s">
        <v>739</v>
      </c>
      <c r="H175" s="251" t="s">
        <v>459</v>
      </c>
      <c r="I175" s="252" t="s">
        <v>829</v>
      </c>
      <c r="J175" s="252" t="s">
        <v>829</v>
      </c>
      <c r="K175" s="253" t="s">
        <v>780</v>
      </c>
      <c r="L175" s="250">
        <v>2016</v>
      </c>
      <c r="M175" s="268">
        <f t="shared" ref="M175:M181" si="12">N175/O175</f>
        <v>2.8095783483976313E-2</v>
      </c>
      <c r="N175" s="254">
        <v>55345434.352549195</v>
      </c>
      <c r="O175" s="254">
        <v>1969884000</v>
      </c>
      <c r="P175" s="268">
        <v>2.3461020223777711E-2</v>
      </c>
      <c r="Q175" s="268">
        <v>1.5469727622180284E-2</v>
      </c>
      <c r="R175" s="268">
        <v>5.6653509299539065E-2</v>
      </c>
      <c r="S175" s="268">
        <v>5.6653509299539065E-2</v>
      </c>
      <c r="T175" s="268">
        <v>5.7505919573373795E-2</v>
      </c>
      <c r="U175" s="268">
        <v>5.7505919573373795E-2</v>
      </c>
      <c r="V175" s="268">
        <v>5.8358329847208533E-2</v>
      </c>
      <c r="W175" s="268">
        <v>5.712327954828466E-3</v>
      </c>
      <c r="X175" s="268">
        <v>11290468.607920036</v>
      </c>
      <c r="Y175" s="268">
        <v>1976509174.0533786</v>
      </c>
      <c r="Z175" s="255" t="s">
        <v>830</v>
      </c>
      <c r="AA175" s="255" t="s">
        <v>831</v>
      </c>
      <c r="AB175" s="255" t="s">
        <v>832</v>
      </c>
    </row>
    <row r="176" spans="1:28" s="256" customFormat="1" ht="67.5">
      <c r="A176" s="250">
        <v>171</v>
      </c>
      <c r="B176" s="250" t="s">
        <v>11</v>
      </c>
      <c r="C176" s="250" t="s">
        <v>777</v>
      </c>
      <c r="D176" s="250" t="s">
        <v>815</v>
      </c>
      <c r="E176" s="250" t="s">
        <v>627</v>
      </c>
      <c r="F176" s="251" t="s">
        <v>617</v>
      </c>
      <c r="G176" s="251" t="s">
        <v>628</v>
      </c>
      <c r="H176" s="251" t="s">
        <v>459</v>
      </c>
      <c r="I176" s="252" t="s">
        <v>629</v>
      </c>
      <c r="J176" s="252" t="s">
        <v>629</v>
      </c>
      <c r="K176" s="253" t="s">
        <v>780</v>
      </c>
      <c r="L176" s="250">
        <v>2016</v>
      </c>
      <c r="M176" s="267">
        <v>2.6056800000000001E-2</v>
      </c>
      <c r="N176" s="329">
        <v>6747</v>
      </c>
      <c r="O176" s="329">
        <v>258934</v>
      </c>
      <c r="P176" s="267">
        <v>1.8031215247152663E-2</v>
      </c>
      <c r="Q176" s="267">
        <v>5.041951066867458E-3</v>
      </c>
      <c r="R176" s="267">
        <v>2.6577936000000003E-2</v>
      </c>
      <c r="S176" s="267">
        <v>2.75E-2</v>
      </c>
      <c r="T176" s="267">
        <v>0.03</v>
      </c>
      <c r="U176" s="267">
        <v>3.2500000000000001E-2</v>
      </c>
      <c r="V176" s="267">
        <v>3.5000000000000003E-2</v>
      </c>
      <c r="W176" s="267">
        <v>0</v>
      </c>
      <c r="X176" s="267">
        <v>0</v>
      </c>
      <c r="Y176" s="267">
        <v>254419</v>
      </c>
      <c r="Z176" s="255" t="s">
        <v>833</v>
      </c>
      <c r="AA176" s="255" t="s">
        <v>631</v>
      </c>
      <c r="AB176" s="255" t="s">
        <v>834</v>
      </c>
    </row>
    <row r="177" spans="1:28" s="256" customFormat="1" ht="51">
      <c r="A177" s="250">
        <v>172</v>
      </c>
      <c r="B177" s="250" t="s">
        <v>11</v>
      </c>
      <c r="C177" s="250" t="s">
        <v>777</v>
      </c>
      <c r="D177" s="250" t="s">
        <v>835</v>
      </c>
      <c r="E177" s="250" t="s">
        <v>836</v>
      </c>
      <c r="F177" s="251" t="s">
        <v>617</v>
      </c>
      <c r="G177" s="251" t="s">
        <v>837</v>
      </c>
      <c r="H177" s="251" t="s">
        <v>459</v>
      </c>
      <c r="I177" s="252" t="s">
        <v>838</v>
      </c>
      <c r="J177" s="252" t="s">
        <v>838</v>
      </c>
      <c r="K177" s="253" t="s">
        <v>780</v>
      </c>
      <c r="L177" s="250">
        <v>2016</v>
      </c>
      <c r="M177" s="268">
        <f t="shared" si="12"/>
        <v>4.6301790359229274E-2</v>
      </c>
      <c r="N177" s="254">
        <v>91209156</v>
      </c>
      <c r="O177" s="254">
        <v>1969884000</v>
      </c>
      <c r="P177" s="268">
        <v>0.11912815104389496</v>
      </c>
      <c r="Q177" s="268">
        <v>0.91078790329877213</v>
      </c>
      <c r="R177" s="268">
        <v>6.6674578117290148E-2</v>
      </c>
      <c r="S177" s="268">
        <v>8.0009493740748172E-2</v>
      </c>
      <c r="T177" s="268">
        <v>9.6011392488897798E-2</v>
      </c>
      <c r="U177" s="268">
        <v>9.7078185738774442E-2</v>
      </c>
      <c r="V177" s="268">
        <v>0.11649382288652932</v>
      </c>
      <c r="W177" s="268">
        <v>1.03109124093798</v>
      </c>
      <c r="X177" s="268">
        <v>2037961297</v>
      </c>
      <c r="Y177" s="268">
        <v>1976509174.0533786</v>
      </c>
      <c r="Z177" s="255" t="s">
        <v>839</v>
      </c>
      <c r="AA177" s="255" t="s">
        <v>840</v>
      </c>
      <c r="AB177" s="255" t="s">
        <v>841</v>
      </c>
    </row>
    <row r="178" spans="1:28" s="256" customFormat="1" ht="78.75">
      <c r="A178" s="250">
        <v>173</v>
      </c>
      <c r="B178" s="250" t="s">
        <v>11</v>
      </c>
      <c r="C178" s="250" t="s">
        <v>777</v>
      </c>
      <c r="D178" s="250" t="s">
        <v>835</v>
      </c>
      <c r="E178" s="250" t="s">
        <v>842</v>
      </c>
      <c r="F178" s="251" t="s">
        <v>617</v>
      </c>
      <c r="G178" s="251" t="s">
        <v>843</v>
      </c>
      <c r="H178" s="251" t="s">
        <v>459</v>
      </c>
      <c r="I178" s="252" t="s">
        <v>844</v>
      </c>
      <c r="J178" s="252" t="s">
        <v>844</v>
      </c>
      <c r="K178" s="253" t="s">
        <v>780</v>
      </c>
      <c r="L178" s="250">
        <v>2016</v>
      </c>
      <c r="M178" s="268">
        <f t="shared" si="12"/>
        <v>3.5265125764785861E-2</v>
      </c>
      <c r="N178" s="329">
        <v>415</v>
      </c>
      <c r="O178" s="329">
        <v>11768</v>
      </c>
      <c r="P178" s="268">
        <v>3.419859909353111E-2</v>
      </c>
      <c r="Q178" s="268">
        <v>0.20356572645023949</v>
      </c>
      <c r="R178" s="268">
        <v>5.0807663999999995E-2</v>
      </c>
      <c r="S178" s="268">
        <v>6.0969196799999993E-2</v>
      </c>
      <c r="T178" s="268">
        <v>7.3163036159999986E-2</v>
      </c>
      <c r="U178" s="268">
        <v>7.3975958783999984E-2</v>
      </c>
      <c r="V178" s="268">
        <v>8.8771150540799981E-2</v>
      </c>
      <c r="W178" s="268">
        <v>0.14826212889210716</v>
      </c>
      <c r="X178" s="268">
        <v>1638</v>
      </c>
      <c r="Y178" s="268">
        <v>11048</v>
      </c>
      <c r="Z178" s="255" t="s">
        <v>845</v>
      </c>
      <c r="AA178" s="255" t="s">
        <v>846</v>
      </c>
      <c r="AB178" s="255" t="s">
        <v>847</v>
      </c>
    </row>
    <row r="179" spans="1:28" s="256" customFormat="1" ht="78.75">
      <c r="A179" s="250">
        <v>174</v>
      </c>
      <c r="B179" s="250" t="s">
        <v>11</v>
      </c>
      <c r="C179" s="250" t="s">
        <v>777</v>
      </c>
      <c r="D179" s="250" t="s">
        <v>835</v>
      </c>
      <c r="E179" s="250" t="s">
        <v>848</v>
      </c>
      <c r="F179" s="251" t="s">
        <v>617</v>
      </c>
      <c r="G179" s="251" t="s">
        <v>843</v>
      </c>
      <c r="H179" s="251" t="s">
        <v>459</v>
      </c>
      <c r="I179" s="252" t="s">
        <v>849</v>
      </c>
      <c r="J179" s="252" t="s">
        <v>849</v>
      </c>
      <c r="K179" s="253" t="s">
        <v>780</v>
      </c>
      <c r="L179" s="250">
        <v>2016</v>
      </c>
      <c r="M179" s="268">
        <f t="shared" si="12"/>
        <v>5.6304429808021186E-3</v>
      </c>
      <c r="N179" s="329">
        <v>642</v>
      </c>
      <c r="O179" s="329">
        <v>114023</v>
      </c>
      <c r="P179" s="268">
        <v>5.5294300036173843E-3</v>
      </c>
      <c r="Q179" s="268">
        <v>4.2324130957539917E-2</v>
      </c>
      <c r="R179" s="268">
        <v>8.0887679999999997E-3</v>
      </c>
      <c r="S179" s="268">
        <v>9.7065215999999985E-3</v>
      </c>
      <c r="T179" s="268">
        <v>1.1647825919999999E-2</v>
      </c>
      <c r="U179" s="268">
        <v>1.1777246208000001E-2</v>
      </c>
      <c r="V179" s="268">
        <v>1.41326954496E-2</v>
      </c>
      <c r="W179" s="268">
        <v>3.5877709056167342E-2</v>
      </c>
      <c r="X179" s="268">
        <v>4281</v>
      </c>
      <c r="Y179" s="268">
        <v>119322</v>
      </c>
      <c r="Z179" s="255" t="s">
        <v>850</v>
      </c>
      <c r="AA179" s="255" t="s">
        <v>851</v>
      </c>
      <c r="AB179" s="255" t="s">
        <v>847</v>
      </c>
    </row>
    <row r="180" spans="1:28" s="256" customFormat="1" ht="78.75">
      <c r="A180" s="250">
        <v>175</v>
      </c>
      <c r="B180" s="250" t="s">
        <v>11</v>
      </c>
      <c r="C180" s="250" t="s">
        <v>777</v>
      </c>
      <c r="D180" s="250" t="s">
        <v>835</v>
      </c>
      <c r="E180" s="250" t="s">
        <v>852</v>
      </c>
      <c r="F180" s="251" t="s">
        <v>617</v>
      </c>
      <c r="G180" s="251" t="s">
        <v>843</v>
      </c>
      <c r="H180" s="251" t="s">
        <v>459</v>
      </c>
      <c r="I180" s="252" t="s">
        <v>853</v>
      </c>
      <c r="J180" s="252" t="s">
        <v>853</v>
      </c>
      <c r="K180" s="253" t="s">
        <v>780</v>
      </c>
      <c r="L180" s="250">
        <v>2016</v>
      </c>
      <c r="M180" s="268">
        <f t="shared" si="12"/>
        <v>1.003584528523917E-3</v>
      </c>
      <c r="N180" s="329">
        <v>481</v>
      </c>
      <c r="O180" s="329">
        <v>479282</v>
      </c>
      <c r="P180" s="268">
        <v>9.4036961804571252E-4</v>
      </c>
      <c r="Q180" s="268">
        <v>8.7248267294363809E-3</v>
      </c>
      <c r="R180" s="268">
        <v>1.4473440000000001E-3</v>
      </c>
      <c r="S180" s="268">
        <v>1.7368128000000002E-3</v>
      </c>
      <c r="T180" s="268">
        <v>2.08417536E-3</v>
      </c>
      <c r="U180" s="268">
        <v>2.107332864E-3</v>
      </c>
      <c r="V180" s="268">
        <v>2.5287994367999998E-3</v>
      </c>
      <c r="W180" s="268">
        <v>1.3586078726680063E-2</v>
      </c>
      <c r="X180" s="268">
        <v>6477</v>
      </c>
      <c r="Y180" s="268">
        <v>476738</v>
      </c>
      <c r="Z180" s="255" t="s">
        <v>854</v>
      </c>
      <c r="AA180" s="255" t="s">
        <v>855</v>
      </c>
      <c r="AB180" s="255" t="s">
        <v>847</v>
      </c>
    </row>
    <row r="181" spans="1:28" s="256" customFormat="1" ht="67.5">
      <c r="A181" s="250">
        <v>176</v>
      </c>
      <c r="B181" s="250" t="s">
        <v>11</v>
      </c>
      <c r="C181" s="250" t="s">
        <v>777</v>
      </c>
      <c r="D181" s="250" t="s">
        <v>835</v>
      </c>
      <c r="E181" s="250" t="s">
        <v>756</v>
      </c>
      <c r="F181" s="251" t="s">
        <v>617</v>
      </c>
      <c r="G181" s="251" t="s">
        <v>757</v>
      </c>
      <c r="H181" s="251" t="s">
        <v>459</v>
      </c>
      <c r="I181" s="252" t="s">
        <v>856</v>
      </c>
      <c r="J181" s="252" t="s">
        <v>856</v>
      </c>
      <c r="K181" s="253" t="s">
        <v>780</v>
      </c>
      <c r="L181" s="250">
        <v>2016</v>
      </c>
      <c r="M181" s="268">
        <f t="shared" si="12"/>
        <v>1.7649285146021767E-3</v>
      </c>
      <c r="N181" s="329">
        <v>457</v>
      </c>
      <c r="O181" s="329">
        <v>258934</v>
      </c>
      <c r="P181" s="268">
        <v>1.6604670782682056E-3</v>
      </c>
      <c r="Q181" s="268">
        <v>1.0169955604232266E-2</v>
      </c>
      <c r="R181" s="268">
        <v>2.5414970610271345E-3</v>
      </c>
      <c r="S181" s="268">
        <v>3.0497964732325612E-3</v>
      </c>
      <c r="T181" s="268">
        <v>3.6597557678790735E-3</v>
      </c>
      <c r="U181" s="268">
        <v>3.7004197208555076E-3</v>
      </c>
      <c r="V181" s="268">
        <v>4.4405036650266086E-3</v>
      </c>
      <c r="W181" s="268">
        <v>1.1123383080666144E-2</v>
      </c>
      <c r="X181" s="268">
        <v>2830</v>
      </c>
      <c r="Y181" s="268">
        <v>254419</v>
      </c>
      <c r="Z181" s="255" t="s">
        <v>857</v>
      </c>
      <c r="AA181" s="255" t="s">
        <v>858</v>
      </c>
      <c r="AB181" s="255" t="s">
        <v>834</v>
      </c>
    </row>
    <row r="182" spans="1:28" s="256" customFormat="1" ht="90">
      <c r="A182" s="250">
        <v>177</v>
      </c>
      <c r="B182" s="250" t="s">
        <v>11</v>
      </c>
      <c r="C182" s="250" t="s">
        <v>777</v>
      </c>
      <c r="D182" s="250" t="s">
        <v>859</v>
      </c>
      <c r="E182" s="250" t="s">
        <v>554</v>
      </c>
      <c r="F182" s="251" t="s">
        <v>555</v>
      </c>
      <c r="G182" s="251" t="s">
        <v>556</v>
      </c>
      <c r="H182" s="251" t="s">
        <v>459</v>
      </c>
      <c r="I182" s="252" t="s">
        <v>557</v>
      </c>
      <c r="J182" s="252" t="s">
        <v>555</v>
      </c>
      <c r="K182" s="253" t="s">
        <v>780</v>
      </c>
      <c r="L182" s="250">
        <v>2016</v>
      </c>
      <c r="M182" s="258">
        <v>381.92457027044594</v>
      </c>
      <c r="N182" s="259">
        <v>105993527.19453181</v>
      </c>
      <c r="O182" s="254">
        <v>277524.76652517112</v>
      </c>
      <c r="P182" s="258">
        <v>296.53560897505764</v>
      </c>
      <c r="Q182" s="269">
        <v>255.73264582678064</v>
      </c>
      <c r="R182" s="269">
        <f t="shared" ref="R182:R187" si="13">M182</f>
        <v>381.92457027044594</v>
      </c>
      <c r="S182" s="269">
        <f t="shared" ref="S182:S187" si="14">M182</f>
        <v>381.92457027044594</v>
      </c>
      <c r="T182" s="269">
        <f t="shared" ref="T182:T187" si="15">M182</f>
        <v>381.92457027044594</v>
      </c>
      <c r="U182" s="269">
        <f t="shared" ref="U182:U187" si="16">M182*0.9</f>
        <v>343.73211324340133</v>
      </c>
      <c r="V182" s="269">
        <f t="shared" ref="V182:V187" si="17">M182*0.9</f>
        <v>343.73211324340133</v>
      </c>
      <c r="W182" s="269">
        <v>190.60157863532518</v>
      </c>
      <c r="X182" s="269">
        <v>57807066.373837426</v>
      </c>
      <c r="Y182" s="269">
        <v>303287.44802496477</v>
      </c>
      <c r="Z182" s="255" t="s">
        <v>634</v>
      </c>
      <c r="AA182" s="255" t="s">
        <v>635</v>
      </c>
      <c r="AB182" s="255"/>
    </row>
    <row r="183" spans="1:28" s="256" customFormat="1" ht="56.25">
      <c r="A183" s="250">
        <v>178</v>
      </c>
      <c r="B183" s="250" t="s">
        <v>11</v>
      </c>
      <c r="C183" s="250" t="s">
        <v>777</v>
      </c>
      <c r="D183" s="250" t="s">
        <v>859</v>
      </c>
      <c r="E183" s="250" t="s">
        <v>554</v>
      </c>
      <c r="F183" s="251" t="s">
        <v>560</v>
      </c>
      <c r="G183" s="251" t="s">
        <v>556</v>
      </c>
      <c r="H183" s="251" t="s">
        <v>459</v>
      </c>
      <c r="I183" s="252" t="s">
        <v>557</v>
      </c>
      <c r="J183" s="252" t="s">
        <v>560</v>
      </c>
      <c r="K183" s="253" t="s">
        <v>780</v>
      </c>
      <c r="L183" s="250">
        <v>2016</v>
      </c>
      <c r="M183" s="258">
        <v>6.9988196299951275E-2</v>
      </c>
      <c r="N183" s="259">
        <v>105993527.19453181</v>
      </c>
      <c r="O183" s="254">
        <v>1514448618.4537606</v>
      </c>
      <c r="P183" s="258">
        <v>5.5895080877071339E-2</v>
      </c>
      <c r="Q183" s="269">
        <v>4.8252882830824732E-2</v>
      </c>
      <c r="R183" s="269">
        <f t="shared" si="13"/>
        <v>6.9988196299951275E-2</v>
      </c>
      <c r="S183" s="269">
        <f t="shared" si="14"/>
        <v>6.9988196299951275E-2</v>
      </c>
      <c r="T183" s="269">
        <f t="shared" si="15"/>
        <v>6.9988196299951275E-2</v>
      </c>
      <c r="U183" s="269">
        <f t="shared" si="16"/>
        <v>6.2989376669956146E-2</v>
      </c>
      <c r="V183" s="269">
        <f t="shared" si="17"/>
        <v>6.2989376669956146E-2</v>
      </c>
      <c r="W183" s="269">
        <v>4.1451255595587183E-2</v>
      </c>
      <c r="X183" s="269">
        <v>57807066.373837426</v>
      </c>
      <c r="Y183" s="269">
        <v>1394579381.0885539</v>
      </c>
      <c r="Z183" s="255" t="s">
        <v>860</v>
      </c>
      <c r="AA183" s="255" t="s">
        <v>635</v>
      </c>
      <c r="AB183" s="255"/>
    </row>
    <row r="184" spans="1:28" s="256" customFormat="1" ht="56.25">
      <c r="A184" s="250">
        <v>179</v>
      </c>
      <c r="B184" s="250" t="s">
        <v>11</v>
      </c>
      <c r="C184" s="250" t="s">
        <v>777</v>
      </c>
      <c r="D184" s="250" t="s">
        <v>859</v>
      </c>
      <c r="E184" s="250" t="s">
        <v>554</v>
      </c>
      <c r="F184" s="251" t="s">
        <v>562</v>
      </c>
      <c r="G184" s="251" t="s">
        <v>556</v>
      </c>
      <c r="H184" s="251" t="s">
        <v>459</v>
      </c>
      <c r="I184" s="252" t="s">
        <v>557</v>
      </c>
      <c r="J184" s="252" t="s">
        <v>562</v>
      </c>
      <c r="K184" s="253" t="s">
        <v>780</v>
      </c>
      <c r="L184" s="250">
        <v>2016</v>
      </c>
      <c r="M184" s="258">
        <v>0.4706921244195254</v>
      </c>
      <c r="N184" s="259">
        <v>16294214.477094119</v>
      </c>
      <c r="O184" s="254">
        <v>34617563.438497588</v>
      </c>
      <c r="P184" s="258">
        <v>0.41054369506284355</v>
      </c>
      <c r="Q184" s="269">
        <v>0.51007626757170876</v>
      </c>
      <c r="R184" s="269">
        <f t="shared" si="13"/>
        <v>0.4706921244195254</v>
      </c>
      <c r="S184" s="269">
        <f t="shared" si="14"/>
        <v>0.4706921244195254</v>
      </c>
      <c r="T184" s="269">
        <f t="shared" si="15"/>
        <v>0.4706921244195254</v>
      </c>
      <c r="U184" s="269">
        <f t="shared" si="16"/>
        <v>0.42362291197757285</v>
      </c>
      <c r="V184" s="269">
        <f t="shared" si="17"/>
        <v>0.42362291197757285</v>
      </c>
      <c r="W184" s="269">
        <v>0.41640226845125394</v>
      </c>
      <c r="X184" s="269">
        <v>12118917.816652374</v>
      </c>
      <c r="Y184" s="269">
        <v>29103870.7875605</v>
      </c>
      <c r="Z184" s="255" t="s">
        <v>860</v>
      </c>
      <c r="AA184" s="255" t="s">
        <v>635</v>
      </c>
      <c r="AB184" s="255"/>
    </row>
    <row r="185" spans="1:28" s="256" customFormat="1" ht="78.75">
      <c r="A185" s="250">
        <v>180</v>
      </c>
      <c r="B185" s="250" t="s">
        <v>11</v>
      </c>
      <c r="C185" s="250" t="s">
        <v>777</v>
      </c>
      <c r="D185" s="250" t="s">
        <v>859</v>
      </c>
      <c r="E185" s="250" t="s">
        <v>554</v>
      </c>
      <c r="F185" s="251" t="s">
        <v>564</v>
      </c>
      <c r="G185" s="251" t="s">
        <v>556</v>
      </c>
      <c r="H185" s="251" t="s">
        <v>459</v>
      </c>
      <c r="I185" s="252" t="s">
        <v>557</v>
      </c>
      <c r="J185" s="252" t="s">
        <v>564</v>
      </c>
      <c r="K185" s="253" t="s">
        <v>780</v>
      </c>
      <c r="L185" s="250">
        <v>2016</v>
      </c>
      <c r="M185" s="258">
        <v>682.48512837087276</v>
      </c>
      <c r="N185" s="259">
        <v>189406525.90802789</v>
      </c>
      <c r="O185" s="254">
        <v>277524.76652517112</v>
      </c>
      <c r="P185" s="258">
        <v>567.8167801347463</v>
      </c>
      <c r="Q185" s="269">
        <v>461.93944831207301</v>
      </c>
      <c r="R185" s="269">
        <f t="shared" si="13"/>
        <v>682.48512837087276</v>
      </c>
      <c r="S185" s="269">
        <f t="shared" si="14"/>
        <v>682.48512837087276</v>
      </c>
      <c r="T185" s="269">
        <f t="shared" si="15"/>
        <v>682.48512837087276</v>
      </c>
      <c r="U185" s="269">
        <f t="shared" si="16"/>
        <v>614.23661553378554</v>
      </c>
      <c r="V185" s="269">
        <f t="shared" si="17"/>
        <v>614.23661553378554</v>
      </c>
      <c r="W185" s="269">
        <v>426.08802615624819</v>
      </c>
      <c r="X185" s="269">
        <v>129227150.08692296</v>
      </c>
      <c r="Y185" s="269">
        <v>303287.44802496477</v>
      </c>
      <c r="Z185" s="255" t="s">
        <v>638</v>
      </c>
      <c r="AA185" s="255" t="s">
        <v>635</v>
      </c>
      <c r="AB185" s="255"/>
    </row>
    <row r="186" spans="1:28" s="256" customFormat="1" ht="45">
      <c r="A186" s="250">
        <v>181</v>
      </c>
      <c r="B186" s="250" t="s">
        <v>11</v>
      </c>
      <c r="C186" s="250" t="s">
        <v>777</v>
      </c>
      <c r="D186" s="250" t="s">
        <v>859</v>
      </c>
      <c r="E186" s="250" t="s">
        <v>554</v>
      </c>
      <c r="F186" s="251" t="s">
        <v>566</v>
      </c>
      <c r="G186" s="251" t="s">
        <v>556</v>
      </c>
      <c r="H186" s="251" t="s">
        <v>459</v>
      </c>
      <c r="I186" s="252" t="s">
        <v>557</v>
      </c>
      <c r="J186" s="252" t="s">
        <v>566</v>
      </c>
      <c r="K186" s="253" t="s">
        <v>780</v>
      </c>
      <c r="L186" s="250">
        <v>2016</v>
      </c>
      <c r="M186" s="258">
        <v>0.12506632684667135</v>
      </c>
      <c r="N186" s="259">
        <v>189406525.90802789</v>
      </c>
      <c r="O186" s="254">
        <v>1514448618.4537606</v>
      </c>
      <c r="P186" s="258">
        <v>0.10702986045652095</v>
      </c>
      <c r="Q186" s="269">
        <v>8.7160988000868092E-2</v>
      </c>
      <c r="R186" s="269">
        <f t="shared" si="13"/>
        <v>0.12506632684667135</v>
      </c>
      <c r="S186" s="269">
        <f t="shared" si="14"/>
        <v>0.12506632684667135</v>
      </c>
      <c r="T186" s="269">
        <f t="shared" si="15"/>
        <v>0.12506632684667135</v>
      </c>
      <c r="U186" s="269">
        <f t="shared" si="16"/>
        <v>0.11255969416200422</v>
      </c>
      <c r="V186" s="269">
        <f t="shared" si="17"/>
        <v>0.11255969416200422</v>
      </c>
      <c r="W186" s="269">
        <v>9.2663889800273194E-2</v>
      </c>
      <c r="X186" s="269">
        <v>129227150.08692296</v>
      </c>
      <c r="Y186" s="269">
        <v>1394579381.0885539</v>
      </c>
      <c r="Z186" s="255" t="s">
        <v>861</v>
      </c>
      <c r="AA186" s="255" t="s">
        <v>635</v>
      </c>
      <c r="AB186" s="255"/>
    </row>
    <row r="187" spans="1:28" s="256" customFormat="1" ht="56.25">
      <c r="A187" s="250">
        <v>182</v>
      </c>
      <c r="B187" s="250" t="s">
        <v>11</v>
      </c>
      <c r="C187" s="250" t="s">
        <v>777</v>
      </c>
      <c r="D187" s="250" t="s">
        <v>859</v>
      </c>
      <c r="E187" s="250" t="s">
        <v>554</v>
      </c>
      <c r="F187" s="251" t="s">
        <v>568</v>
      </c>
      <c r="G187" s="251" t="s">
        <v>556</v>
      </c>
      <c r="H187" s="251" t="s">
        <v>459</v>
      </c>
      <c r="I187" s="252" t="s">
        <v>557</v>
      </c>
      <c r="J187" s="252" t="s">
        <v>568</v>
      </c>
      <c r="K187" s="253" t="s">
        <v>780</v>
      </c>
      <c r="L187" s="250">
        <v>2016</v>
      </c>
      <c r="M187" s="258">
        <v>0.8411094754394669</v>
      </c>
      <c r="N187" s="259">
        <v>29117160.624747176</v>
      </c>
      <c r="O187" s="254">
        <v>34617563.438497588</v>
      </c>
      <c r="P187" s="258">
        <v>0.78612346031876645</v>
      </c>
      <c r="Q187" s="269">
        <v>0.92136985044434083</v>
      </c>
      <c r="R187" s="269">
        <f t="shared" si="13"/>
        <v>0.8411094754394669</v>
      </c>
      <c r="S187" s="269">
        <f t="shared" si="14"/>
        <v>0.8411094754394669</v>
      </c>
      <c r="T187" s="269">
        <f t="shared" si="15"/>
        <v>0.8411094754394669</v>
      </c>
      <c r="U187" s="269">
        <f t="shared" si="16"/>
        <v>0.75699852789552025</v>
      </c>
      <c r="V187" s="269">
        <f t="shared" si="17"/>
        <v>0.75699852789552025</v>
      </c>
      <c r="W187" s="269">
        <v>0.93086333241153985</v>
      </c>
      <c r="X187" s="269">
        <v>27091726.147383433</v>
      </c>
      <c r="Y187" s="269">
        <v>29103870.7875605</v>
      </c>
      <c r="Z187" s="255" t="s">
        <v>862</v>
      </c>
      <c r="AA187" s="255" t="s">
        <v>635</v>
      </c>
      <c r="AB187" s="255"/>
    </row>
    <row r="188" spans="1:28" s="256" customFormat="1" ht="60">
      <c r="A188" s="250">
        <v>183</v>
      </c>
      <c r="B188" s="250" t="s">
        <v>11</v>
      </c>
      <c r="C188" s="250" t="s">
        <v>863</v>
      </c>
      <c r="D188" s="250" t="s">
        <v>864</v>
      </c>
      <c r="E188" s="250" t="s">
        <v>865</v>
      </c>
      <c r="F188" s="251" t="s">
        <v>617</v>
      </c>
      <c r="G188" s="251" t="s">
        <v>866</v>
      </c>
      <c r="H188" s="251" t="s">
        <v>645</v>
      </c>
      <c r="I188" s="252" t="s">
        <v>867</v>
      </c>
      <c r="J188" s="252" t="s">
        <v>868</v>
      </c>
      <c r="K188" s="253" t="s">
        <v>780</v>
      </c>
      <c r="L188" s="250" t="s">
        <v>648</v>
      </c>
      <c r="M188" s="257" t="s">
        <v>648</v>
      </c>
      <c r="N188" s="257" t="s">
        <v>648</v>
      </c>
      <c r="O188" s="257" t="s">
        <v>648</v>
      </c>
      <c r="P188" s="257" t="s">
        <v>648</v>
      </c>
      <c r="Q188" s="257" t="s">
        <v>648</v>
      </c>
      <c r="R188" s="257" t="s">
        <v>648</v>
      </c>
      <c r="S188" s="257" t="s">
        <v>648</v>
      </c>
      <c r="T188" s="257" t="s">
        <v>648</v>
      </c>
      <c r="U188" s="257" t="s">
        <v>648</v>
      </c>
      <c r="V188" s="257" t="s">
        <v>648</v>
      </c>
      <c r="W188" s="257" t="s">
        <v>648</v>
      </c>
      <c r="X188" s="257" t="s">
        <v>648</v>
      </c>
      <c r="Y188" s="257" t="s">
        <v>648</v>
      </c>
      <c r="Z188" s="255" t="s">
        <v>869</v>
      </c>
      <c r="AA188" s="255"/>
      <c r="AB188" s="255"/>
    </row>
    <row r="189" spans="1:28" s="256" customFormat="1" ht="48">
      <c r="A189" s="250">
        <v>184</v>
      </c>
      <c r="B189" s="250" t="s">
        <v>11</v>
      </c>
      <c r="C189" s="250" t="s">
        <v>863</v>
      </c>
      <c r="D189" s="250" t="s">
        <v>864</v>
      </c>
      <c r="E189" s="250" t="s">
        <v>870</v>
      </c>
      <c r="F189" s="251" t="s">
        <v>617</v>
      </c>
      <c r="G189" s="251" t="s">
        <v>866</v>
      </c>
      <c r="H189" s="251" t="s">
        <v>645</v>
      </c>
      <c r="I189" s="252" t="s">
        <v>871</v>
      </c>
      <c r="J189" s="252" t="s">
        <v>872</v>
      </c>
      <c r="K189" s="253" t="s">
        <v>780</v>
      </c>
      <c r="L189" s="250" t="s">
        <v>648</v>
      </c>
      <c r="M189" s="257" t="s">
        <v>648</v>
      </c>
      <c r="N189" s="257" t="s">
        <v>648</v>
      </c>
      <c r="O189" s="257" t="s">
        <v>648</v>
      </c>
      <c r="P189" s="257" t="s">
        <v>648</v>
      </c>
      <c r="Q189" s="257" t="s">
        <v>648</v>
      </c>
      <c r="R189" s="257" t="s">
        <v>648</v>
      </c>
      <c r="S189" s="257" t="s">
        <v>648</v>
      </c>
      <c r="T189" s="257" t="s">
        <v>648</v>
      </c>
      <c r="U189" s="257" t="s">
        <v>648</v>
      </c>
      <c r="V189" s="257" t="s">
        <v>648</v>
      </c>
      <c r="W189" s="257" t="s">
        <v>648</v>
      </c>
      <c r="X189" s="257" t="s">
        <v>648</v>
      </c>
      <c r="Y189" s="257" t="s">
        <v>648</v>
      </c>
      <c r="Z189" s="255" t="s">
        <v>873</v>
      </c>
      <c r="AA189" s="255"/>
      <c r="AB189" s="255"/>
    </row>
    <row r="190" spans="1:28" s="256" customFormat="1" ht="25.5">
      <c r="A190" s="250">
        <v>185</v>
      </c>
      <c r="B190" s="250" t="s">
        <v>11</v>
      </c>
      <c r="C190" s="250" t="s">
        <v>863</v>
      </c>
      <c r="D190" s="250" t="s">
        <v>874</v>
      </c>
      <c r="E190" s="250" t="s">
        <v>875</v>
      </c>
      <c r="F190" s="251" t="s">
        <v>617</v>
      </c>
      <c r="G190" s="251" t="s">
        <v>876</v>
      </c>
      <c r="H190" s="251" t="s">
        <v>645</v>
      </c>
      <c r="I190" s="252" t="s">
        <v>877</v>
      </c>
      <c r="J190" s="252" t="s">
        <v>878</v>
      </c>
      <c r="K190" s="253" t="s">
        <v>780</v>
      </c>
      <c r="L190" s="250" t="s">
        <v>648</v>
      </c>
      <c r="M190" s="257" t="s">
        <v>648</v>
      </c>
      <c r="N190" s="257" t="s">
        <v>648</v>
      </c>
      <c r="O190" s="257" t="s">
        <v>648</v>
      </c>
      <c r="P190" s="257" t="s">
        <v>648</v>
      </c>
      <c r="Q190" s="257" t="s">
        <v>648</v>
      </c>
      <c r="R190" s="257" t="s">
        <v>648</v>
      </c>
      <c r="S190" s="257" t="s">
        <v>648</v>
      </c>
      <c r="T190" s="257" t="s">
        <v>648</v>
      </c>
      <c r="U190" s="257" t="s">
        <v>648</v>
      </c>
      <c r="V190" s="257" t="s">
        <v>648</v>
      </c>
      <c r="W190" s="257" t="s">
        <v>648</v>
      </c>
      <c r="X190" s="257" t="s">
        <v>648</v>
      </c>
      <c r="Y190" s="257" t="s">
        <v>648</v>
      </c>
      <c r="Z190" s="255" t="s">
        <v>879</v>
      </c>
      <c r="AA190" s="255"/>
      <c r="AB190" s="255"/>
    </row>
    <row r="191" spans="1:28" s="256" customFormat="1" ht="25.5">
      <c r="A191" s="250">
        <v>186</v>
      </c>
      <c r="B191" s="250" t="s">
        <v>11</v>
      </c>
      <c r="C191" s="250" t="s">
        <v>863</v>
      </c>
      <c r="D191" s="250" t="s">
        <v>874</v>
      </c>
      <c r="E191" s="250" t="s">
        <v>880</v>
      </c>
      <c r="F191" s="251" t="s">
        <v>617</v>
      </c>
      <c r="G191" s="251" t="s">
        <v>876</v>
      </c>
      <c r="H191" s="251" t="s">
        <v>645</v>
      </c>
      <c r="I191" s="252" t="s">
        <v>881</v>
      </c>
      <c r="J191" s="252" t="s">
        <v>882</v>
      </c>
      <c r="K191" s="253" t="s">
        <v>780</v>
      </c>
      <c r="L191" s="250" t="s">
        <v>648</v>
      </c>
      <c r="M191" s="278">
        <v>4.3900000000000002E-2</v>
      </c>
      <c r="N191" s="257" t="s">
        <v>648</v>
      </c>
      <c r="O191" s="257" t="s">
        <v>648</v>
      </c>
      <c r="P191" s="278">
        <v>1.14E-2</v>
      </c>
      <c r="Q191" s="330">
        <v>1.594533029612763E-2</v>
      </c>
      <c r="R191" s="257" t="s">
        <v>648</v>
      </c>
      <c r="S191" s="257" t="s">
        <v>648</v>
      </c>
      <c r="T191" s="257" t="s">
        <v>648</v>
      </c>
      <c r="U191" s="257" t="s">
        <v>648</v>
      </c>
      <c r="V191" s="257" t="s">
        <v>648</v>
      </c>
      <c r="W191" s="330">
        <v>-6.527374123006828E-2</v>
      </c>
      <c r="X191" s="330">
        <v>-0.28655172399999973</v>
      </c>
      <c r="Y191" s="330">
        <v>4.3899999999999997</v>
      </c>
      <c r="Z191" s="255" t="s">
        <v>879</v>
      </c>
      <c r="AA191" s="255" t="s">
        <v>883</v>
      </c>
      <c r="AB191" s="255" t="s">
        <v>884</v>
      </c>
    </row>
    <row r="192" spans="1:28" s="256" customFormat="1" ht="48">
      <c r="A192" s="250">
        <v>187</v>
      </c>
      <c r="B192" s="250" t="s">
        <v>11</v>
      </c>
      <c r="C192" s="250" t="s">
        <v>863</v>
      </c>
      <c r="D192" s="250" t="s">
        <v>885</v>
      </c>
      <c r="E192" s="250" t="s">
        <v>886</v>
      </c>
      <c r="F192" s="251" t="s">
        <v>617</v>
      </c>
      <c r="G192" s="251" t="s">
        <v>887</v>
      </c>
      <c r="H192" s="251" t="s">
        <v>645</v>
      </c>
      <c r="I192" s="252" t="s">
        <v>888</v>
      </c>
      <c r="J192" s="252" t="s">
        <v>889</v>
      </c>
      <c r="K192" s="253" t="s">
        <v>780</v>
      </c>
      <c r="L192" s="250" t="s">
        <v>648</v>
      </c>
      <c r="M192" s="257" t="s">
        <v>648</v>
      </c>
      <c r="N192" s="257" t="s">
        <v>648</v>
      </c>
      <c r="O192" s="257" t="s">
        <v>648</v>
      </c>
      <c r="P192" s="257" t="s">
        <v>648</v>
      </c>
      <c r="Q192" s="257" t="s">
        <v>648</v>
      </c>
      <c r="R192" s="257" t="s">
        <v>648</v>
      </c>
      <c r="S192" s="257" t="s">
        <v>648</v>
      </c>
      <c r="T192" s="257" t="s">
        <v>648</v>
      </c>
      <c r="U192" s="257" t="s">
        <v>648</v>
      </c>
      <c r="V192" s="257" t="s">
        <v>648</v>
      </c>
      <c r="W192" s="257" t="s">
        <v>648</v>
      </c>
      <c r="X192" s="257" t="s">
        <v>648</v>
      </c>
      <c r="Y192" s="257" t="s">
        <v>648</v>
      </c>
      <c r="Z192" s="255" t="s">
        <v>890</v>
      </c>
      <c r="AA192" s="255"/>
      <c r="AB192" s="255"/>
    </row>
    <row r="193" spans="1:28" s="256" customFormat="1" ht="67.5">
      <c r="A193" s="250">
        <v>188</v>
      </c>
      <c r="B193" s="250" t="s">
        <v>11</v>
      </c>
      <c r="C193" s="250" t="s">
        <v>863</v>
      </c>
      <c r="D193" s="250" t="s">
        <v>616</v>
      </c>
      <c r="E193" s="250" t="s">
        <v>490</v>
      </c>
      <c r="F193" s="251" t="s">
        <v>491</v>
      </c>
      <c r="G193" s="251" t="s">
        <v>492</v>
      </c>
      <c r="H193" s="251" t="s">
        <v>459</v>
      </c>
      <c r="I193" s="252" t="s">
        <v>891</v>
      </c>
      <c r="J193" s="252" t="s">
        <v>491</v>
      </c>
      <c r="K193" s="253" t="s">
        <v>892</v>
      </c>
      <c r="L193" s="250">
        <v>2016</v>
      </c>
      <c r="M193" s="254">
        <v>11281.316595583545</v>
      </c>
      <c r="N193" s="257" t="s">
        <v>41</v>
      </c>
      <c r="O193" s="257" t="s">
        <v>41</v>
      </c>
      <c r="P193" s="254">
        <v>13656.227660698527</v>
      </c>
      <c r="Q193" s="254">
        <v>6208.2790909716332</v>
      </c>
      <c r="R193" s="254">
        <f>9.69938656596439*10^3</f>
        <v>9699.3865659643907</v>
      </c>
      <c r="S193" s="254">
        <f>10.3185438472932*10^3</f>
        <v>10318.5438472932</v>
      </c>
      <c r="T193" s="254">
        <f>9.54087390702977*10^3</f>
        <v>9540.8739070297706</v>
      </c>
      <c r="U193" s="254">
        <f>12.3228903898844*10^3</f>
        <v>12322.8903898844</v>
      </c>
      <c r="V193" s="254">
        <f>13.7107828699004*10^3</f>
        <v>13710.7828699004</v>
      </c>
      <c r="W193" s="254">
        <v>7835.5045159523997</v>
      </c>
      <c r="X193" s="254" t="s">
        <v>41</v>
      </c>
      <c r="Y193" s="254" t="s">
        <v>41</v>
      </c>
      <c r="Z193" s="255" t="s">
        <v>781</v>
      </c>
      <c r="AA193" s="255" t="s">
        <v>782</v>
      </c>
      <c r="AB193" s="255" t="s">
        <v>783</v>
      </c>
    </row>
    <row r="194" spans="1:28" s="256" customFormat="1" ht="67.5">
      <c r="A194" s="250">
        <v>189</v>
      </c>
      <c r="B194" s="250" t="s">
        <v>11</v>
      </c>
      <c r="C194" s="250" t="s">
        <v>863</v>
      </c>
      <c r="D194" s="250" t="s">
        <v>616</v>
      </c>
      <c r="E194" s="250" t="s">
        <v>490</v>
      </c>
      <c r="F194" s="251" t="s">
        <v>496</v>
      </c>
      <c r="G194" s="251" t="s">
        <v>492</v>
      </c>
      <c r="H194" s="251" t="s">
        <v>459</v>
      </c>
      <c r="I194" s="252" t="s">
        <v>891</v>
      </c>
      <c r="J194" s="252" t="s">
        <v>496</v>
      </c>
      <c r="K194" s="253" t="s">
        <v>892</v>
      </c>
      <c r="L194" s="250">
        <v>2016</v>
      </c>
      <c r="M194" s="254">
        <v>8450.3394237217362</v>
      </c>
      <c r="N194" s="257" t="s">
        <v>41</v>
      </c>
      <c r="O194" s="257" t="s">
        <v>41</v>
      </c>
      <c r="P194" s="254">
        <v>10231.029018372177</v>
      </c>
      <c r="Q194" s="254">
        <v>4809.0232693541275</v>
      </c>
      <c r="R194" s="254">
        <f>6.802437025*10^3</f>
        <v>6802.4370249999993</v>
      </c>
      <c r="S194" s="254">
        <f>7.3044105425*10^3</f>
        <v>7304.4105425000007</v>
      </c>
      <c r="T194" s="254">
        <f>6.6744018575*10^3</f>
        <v>6674.4018575</v>
      </c>
      <c r="U194" s="254">
        <f>8.72655720115882*10^3</f>
        <v>8726.557201158821</v>
      </c>
      <c r="V194" s="254">
        <f>9.70668638112308*10^3</f>
        <v>9706.6863811230796</v>
      </c>
      <c r="W194" s="254">
        <v>6836.7320599969698</v>
      </c>
      <c r="X194" s="254" t="s">
        <v>41</v>
      </c>
      <c r="Y194" s="254" t="s">
        <v>41</v>
      </c>
      <c r="Z194" s="255" t="s">
        <v>781</v>
      </c>
      <c r="AA194" s="255" t="s">
        <v>782</v>
      </c>
      <c r="AB194" s="255" t="s">
        <v>783</v>
      </c>
    </row>
    <row r="195" spans="1:28" s="256" customFormat="1" ht="67.5">
      <c r="A195" s="250">
        <v>190</v>
      </c>
      <c r="B195" s="250" t="s">
        <v>11</v>
      </c>
      <c r="C195" s="250" t="s">
        <v>863</v>
      </c>
      <c r="D195" s="250" t="s">
        <v>616</v>
      </c>
      <c r="E195" s="250" t="s">
        <v>490</v>
      </c>
      <c r="F195" s="251" t="s">
        <v>497</v>
      </c>
      <c r="G195" s="251" t="s">
        <v>492</v>
      </c>
      <c r="H195" s="251" t="s">
        <v>459</v>
      </c>
      <c r="I195" s="252" t="s">
        <v>891</v>
      </c>
      <c r="J195" s="252" t="s">
        <v>497</v>
      </c>
      <c r="K195" s="253" t="s">
        <v>892</v>
      </c>
      <c r="L195" s="250">
        <v>2016</v>
      </c>
      <c r="M195" s="254">
        <v>62037731.800137028</v>
      </c>
      <c r="N195" s="257" t="s">
        <v>41</v>
      </c>
      <c r="O195" s="257" t="s">
        <v>41</v>
      </c>
      <c r="P195" s="254">
        <v>98781680.455781221</v>
      </c>
      <c r="Q195" s="254">
        <v>57477474.257498138</v>
      </c>
      <c r="R195" s="254">
        <f>49.9374180435241*10^6</f>
        <v>49937418.043524094</v>
      </c>
      <c r="S195" s="254">
        <f>52.9834843573456*10^6</f>
        <v>52983484.357345603</v>
      </c>
      <c r="T195" s="254">
        <f>50.8434709495218*10^6</f>
        <v>50843470.949521802</v>
      </c>
      <c r="U195" s="254">
        <f>62.725378484302*10^6</f>
        <v>62725378.484301999</v>
      </c>
      <c r="V195" s="254">
        <f>69.3857005347968*10^6</f>
        <v>69385700.534796804</v>
      </c>
      <c r="W195" s="254">
        <v>55972596.4653292</v>
      </c>
      <c r="X195" s="254" t="s">
        <v>41</v>
      </c>
      <c r="Y195" s="254" t="s">
        <v>41</v>
      </c>
      <c r="Z195" s="255" t="s">
        <v>781</v>
      </c>
      <c r="AA195" s="255" t="s">
        <v>782</v>
      </c>
      <c r="AB195" s="255" t="s">
        <v>783</v>
      </c>
    </row>
    <row r="196" spans="1:28" s="256" customFormat="1" ht="67.5">
      <c r="A196" s="250">
        <v>191</v>
      </c>
      <c r="B196" s="250" t="s">
        <v>11</v>
      </c>
      <c r="C196" s="250" t="s">
        <v>863</v>
      </c>
      <c r="D196" s="250" t="s">
        <v>616</v>
      </c>
      <c r="E196" s="250" t="s">
        <v>490</v>
      </c>
      <c r="F196" s="251" t="s">
        <v>498</v>
      </c>
      <c r="G196" s="251" t="s">
        <v>492</v>
      </c>
      <c r="H196" s="251" t="s">
        <v>459</v>
      </c>
      <c r="I196" s="252" t="s">
        <v>891</v>
      </c>
      <c r="J196" s="252" t="s">
        <v>498</v>
      </c>
      <c r="K196" s="253" t="s">
        <v>892</v>
      </c>
      <c r="L196" s="250">
        <v>2016</v>
      </c>
      <c r="M196" s="254">
        <v>46860704.882294051</v>
      </c>
      <c r="N196" s="257" t="s">
        <v>41</v>
      </c>
      <c r="O196" s="257" t="s">
        <v>41</v>
      </c>
      <c r="P196" s="254">
        <v>73258567.824994281</v>
      </c>
      <c r="Q196" s="254">
        <v>45054858.277837604</v>
      </c>
      <c r="R196" s="254">
        <f>36.2112792*10^6</f>
        <v>36211279.200000003</v>
      </c>
      <c r="S196" s="254">
        <f>38.708919875*10^6</f>
        <v>38708919.875</v>
      </c>
      <c r="T196" s="254">
        <f>37.0017013*10^6</f>
        <v>37001701.299999997</v>
      </c>
      <c r="U196" s="254">
        <f>46.1265136751746*10^6</f>
        <v>46126513.675174601</v>
      </c>
      <c r="V196" s="254">
        <f>51.0229700289926*10^6</f>
        <v>51022970.028992601</v>
      </c>
      <c r="W196" s="254">
        <v>50057650.2628778</v>
      </c>
      <c r="X196" s="254" t="s">
        <v>41</v>
      </c>
      <c r="Y196" s="254" t="s">
        <v>41</v>
      </c>
      <c r="Z196" s="255" t="s">
        <v>781</v>
      </c>
      <c r="AA196" s="255" t="s">
        <v>782</v>
      </c>
      <c r="AB196" s="255" t="s">
        <v>783</v>
      </c>
    </row>
    <row r="197" spans="1:28" s="256" customFormat="1" ht="67.5">
      <c r="A197" s="250">
        <v>192</v>
      </c>
      <c r="B197" s="250" t="s">
        <v>11</v>
      </c>
      <c r="C197" s="250" t="s">
        <v>863</v>
      </c>
      <c r="D197" s="250" t="s">
        <v>616</v>
      </c>
      <c r="E197" s="250" t="s">
        <v>490</v>
      </c>
      <c r="F197" s="251" t="s">
        <v>499</v>
      </c>
      <c r="G197" s="251" t="s">
        <v>492</v>
      </c>
      <c r="H197" s="251" t="s">
        <v>459</v>
      </c>
      <c r="I197" s="252" t="s">
        <v>891</v>
      </c>
      <c r="J197" s="252" t="s">
        <v>499</v>
      </c>
      <c r="K197" s="253" t="s">
        <v>892</v>
      </c>
      <c r="L197" s="250">
        <v>2016</v>
      </c>
      <c r="M197" s="254">
        <v>-72272.759780230772</v>
      </c>
      <c r="N197" s="257" t="s">
        <v>41</v>
      </c>
      <c r="O197" s="257" t="s">
        <v>41</v>
      </c>
      <c r="P197" s="254">
        <v>135019.72138098429</v>
      </c>
      <c r="Q197" s="254">
        <v>42096.082008578225</v>
      </c>
      <c r="R197" s="254">
        <f>-0.05051965424*10^6</f>
        <v>-50519.654240000003</v>
      </c>
      <c r="S197" s="254">
        <f>-0.05798540492*10^6</f>
        <v>-57985.404919999994</v>
      </c>
      <c r="T197" s="254">
        <f>-0.05430449132*10^6</f>
        <v>-54304.491320000001</v>
      </c>
      <c r="U197" s="254">
        <f>-0.0718549139934082*10^6</f>
        <v>-71854.91399340819</v>
      </c>
      <c r="V197" s="254">
        <f>-0.0793161288743783*10^6</f>
        <v>-79316.128874378308</v>
      </c>
      <c r="W197" s="254">
        <v>27659.8287049018</v>
      </c>
      <c r="X197" s="254" t="s">
        <v>41</v>
      </c>
      <c r="Y197" s="254" t="s">
        <v>41</v>
      </c>
      <c r="Z197" s="255" t="s">
        <v>781</v>
      </c>
      <c r="AA197" s="255" t="s">
        <v>782</v>
      </c>
      <c r="AB197" s="255" t="s">
        <v>783</v>
      </c>
    </row>
    <row r="198" spans="1:28" s="256" customFormat="1" ht="67.5">
      <c r="A198" s="250">
        <v>193</v>
      </c>
      <c r="B198" s="250" t="s">
        <v>11</v>
      </c>
      <c r="C198" s="250" t="s">
        <v>863</v>
      </c>
      <c r="D198" s="250" t="s">
        <v>616</v>
      </c>
      <c r="E198" s="250" t="s">
        <v>490</v>
      </c>
      <c r="F198" s="251" t="s">
        <v>500</v>
      </c>
      <c r="G198" s="251" t="s">
        <v>492</v>
      </c>
      <c r="H198" s="251" t="s">
        <v>459</v>
      </c>
      <c r="I198" s="252" t="s">
        <v>891</v>
      </c>
      <c r="J198" s="252" t="s">
        <v>500</v>
      </c>
      <c r="K198" s="253" t="s">
        <v>892</v>
      </c>
      <c r="L198" s="250">
        <v>2016</v>
      </c>
      <c r="M198" s="254">
        <v>-35127.152209073196</v>
      </c>
      <c r="N198" s="257" t="s">
        <v>41</v>
      </c>
      <c r="O198" s="257" t="s">
        <v>41</v>
      </c>
      <c r="P198" s="254">
        <v>90495.149639543219</v>
      </c>
      <c r="Q198" s="254">
        <v>47097.904773342038</v>
      </c>
      <c r="R198" s="254">
        <f>-0.04172950966*10^6</f>
        <v>-41729.509659999996</v>
      </c>
      <c r="S198" s="254">
        <f>-0.04739804762*10^6</f>
        <v>-47398.047620000005</v>
      </c>
      <c r="T198" s="254">
        <f>-0.04527774474*10^6</f>
        <v>-45277.744740000002</v>
      </c>
      <c r="U198" s="254">
        <f>-0.0596830290667118*10^6</f>
        <v>-59683.029066711802</v>
      </c>
      <c r="V198" s="254">
        <f>-0.0666957957919469*10^6</f>
        <v>-66695.795791946905</v>
      </c>
      <c r="W198" s="254">
        <v>5931.7184056726301</v>
      </c>
      <c r="X198" s="254" t="s">
        <v>41</v>
      </c>
      <c r="Y198" s="254" t="s">
        <v>41</v>
      </c>
      <c r="Z198" s="255" t="s">
        <v>781</v>
      </c>
      <c r="AA198" s="255" t="s">
        <v>782</v>
      </c>
      <c r="AB198" s="255" t="s">
        <v>783</v>
      </c>
    </row>
    <row r="199" spans="1:28" s="256" customFormat="1" ht="67.5">
      <c r="A199" s="250">
        <v>194</v>
      </c>
      <c r="B199" s="250" t="s">
        <v>11</v>
      </c>
      <c r="C199" s="250" t="s">
        <v>863</v>
      </c>
      <c r="D199" s="250" t="s">
        <v>616</v>
      </c>
      <c r="E199" s="250" t="s">
        <v>490</v>
      </c>
      <c r="F199" s="251" t="s">
        <v>501</v>
      </c>
      <c r="G199" s="251" t="s">
        <v>492</v>
      </c>
      <c r="H199" s="251" t="s">
        <v>459</v>
      </c>
      <c r="I199" s="252" t="s">
        <v>891</v>
      </c>
      <c r="J199" s="252" t="s">
        <v>501</v>
      </c>
      <c r="K199" s="253" t="s">
        <v>892</v>
      </c>
      <c r="L199" s="250">
        <v>2016</v>
      </c>
      <c r="M199" s="254">
        <v>92915.169700267215</v>
      </c>
      <c r="N199" s="257" t="s">
        <v>41</v>
      </c>
      <c r="O199" s="257" t="s">
        <v>41</v>
      </c>
      <c r="P199" s="254">
        <v>145446.43768074299</v>
      </c>
      <c r="Q199" s="254">
        <v>62459.995901411603</v>
      </c>
      <c r="R199" s="254">
        <f>105.201319233916*10^3</f>
        <v>105201.319233916</v>
      </c>
      <c r="S199" s="254">
        <f>111.916812256706*10^3</f>
        <v>111916.81225670599</v>
      </c>
      <c r="T199" s="254">
        <f>103.482061967306*10^3</f>
        <v>103482.061967306</v>
      </c>
      <c r="U199" s="254">
        <f>133.65632114714*10^3</f>
        <v>133656.32114714</v>
      </c>
      <c r="V199" s="254">
        <f>148.709656619391*10^3</f>
        <v>148709.65661939103</v>
      </c>
      <c r="W199" s="254">
        <v>69910.652588242097</v>
      </c>
      <c r="X199" s="254" t="s">
        <v>41</v>
      </c>
      <c r="Y199" s="254" t="s">
        <v>41</v>
      </c>
      <c r="Z199" s="255" t="s">
        <v>781</v>
      </c>
      <c r="AA199" s="255" t="s">
        <v>782</v>
      </c>
      <c r="AB199" s="255" t="s">
        <v>783</v>
      </c>
    </row>
    <row r="200" spans="1:28" s="256" customFormat="1" ht="67.5">
      <c r="A200" s="250">
        <v>195</v>
      </c>
      <c r="B200" s="250" t="s">
        <v>11</v>
      </c>
      <c r="C200" s="250" t="s">
        <v>863</v>
      </c>
      <c r="D200" s="250" t="s">
        <v>616</v>
      </c>
      <c r="E200" s="250" t="s">
        <v>490</v>
      </c>
      <c r="F200" s="251" t="s">
        <v>504</v>
      </c>
      <c r="G200" s="251" t="s">
        <v>492</v>
      </c>
      <c r="H200" s="251" t="s">
        <v>459</v>
      </c>
      <c r="I200" s="252" t="s">
        <v>891</v>
      </c>
      <c r="J200" s="252" t="s">
        <v>504</v>
      </c>
      <c r="K200" s="253" t="s">
        <v>892</v>
      </c>
      <c r="L200" s="250">
        <v>2016</v>
      </c>
      <c r="M200" s="254">
        <v>69339.14023344875</v>
      </c>
      <c r="N200" s="257" t="s">
        <v>41</v>
      </c>
      <c r="O200" s="257" t="s">
        <v>41</v>
      </c>
      <c r="P200" s="254">
        <v>108992.24477323142</v>
      </c>
      <c r="Q200" s="254">
        <v>48626.6910169365</v>
      </c>
      <c r="R200" s="254">
        <f>78.3722354574163*10^3</f>
        <v>78372.235457416289</v>
      </c>
      <c r="S200" s="254">
        <f>83.3751023817794*10^3</f>
        <v>83375.102381779405</v>
      </c>
      <c r="T200" s="254">
        <f>77.0914336928389*10^3</f>
        <v>77091.433692838909</v>
      </c>
      <c r="U200" s="254">
        <f>99.5704687697361*10^3</f>
        <v>99570.468769736093</v>
      </c>
      <c r="V200" s="254">
        <f>110.78481057307*10^3</f>
        <v>110784.81057307</v>
      </c>
      <c r="W200" s="254">
        <v>62226.953420917198</v>
      </c>
      <c r="X200" s="254" t="s">
        <v>41</v>
      </c>
      <c r="Y200" s="254" t="s">
        <v>41</v>
      </c>
      <c r="Z200" s="255" t="s">
        <v>781</v>
      </c>
      <c r="AA200" s="255" t="s">
        <v>782</v>
      </c>
      <c r="AB200" s="255" t="s">
        <v>783</v>
      </c>
    </row>
    <row r="201" spans="1:28" s="256" customFormat="1" ht="67.5">
      <c r="A201" s="250">
        <v>196</v>
      </c>
      <c r="B201" s="250" t="s">
        <v>11</v>
      </c>
      <c r="C201" s="250" t="s">
        <v>863</v>
      </c>
      <c r="D201" s="250" t="s">
        <v>616</v>
      </c>
      <c r="E201" s="250" t="s">
        <v>490</v>
      </c>
      <c r="F201" s="251" t="s">
        <v>505</v>
      </c>
      <c r="G201" s="251" t="s">
        <v>492</v>
      </c>
      <c r="H201" s="251" t="s">
        <v>459</v>
      </c>
      <c r="I201" s="252" t="s">
        <v>891</v>
      </c>
      <c r="J201" s="252" t="s">
        <v>505</v>
      </c>
      <c r="K201" s="253" t="s">
        <v>892</v>
      </c>
      <c r="L201" s="250">
        <v>2016</v>
      </c>
      <c r="M201" s="254">
        <v>594051249.98615575</v>
      </c>
      <c r="N201" s="257" t="s">
        <v>41</v>
      </c>
      <c r="O201" s="257" t="s">
        <v>41</v>
      </c>
      <c r="P201" s="254">
        <v>1015686578.0065469</v>
      </c>
      <c r="Q201" s="254">
        <v>515329349.74382412</v>
      </c>
      <c r="R201" s="254">
        <f>532.355130627383*10^6</f>
        <v>532355130.62738299</v>
      </c>
      <c r="S201" s="254">
        <f>564.827554992231*10^6</f>
        <v>564827554.99223089</v>
      </c>
      <c r="T201" s="254">
        <f>542.014058381864*10^6</f>
        <v>542014058.38186395</v>
      </c>
      <c r="U201" s="254">
        <f>668.680487796924*10^6</f>
        <v>668680487.796924</v>
      </c>
      <c r="V201" s="254">
        <f>739.682488984117*10^6</f>
        <v>739682488.98411691</v>
      </c>
      <c r="W201" s="254">
        <v>577370540.80724096</v>
      </c>
      <c r="X201" s="254" t="s">
        <v>41</v>
      </c>
      <c r="Y201" s="254" t="s">
        <v>41</v>
      </c>
      <c r="Z201" s="255" t="s">
        <v>781</v>
      </c>
      <c r="AA201" s="255" t="s">
        <v>782</v>
      </c>
      <c r="AB201" s="255" t="s">
        <v>783</v>
      </c>
    </row>
    <row r="202" spans="1:28" s="256" customFormat="1" ht="67.5">
      <c r="A202" s="250">
        <v>197</v>
      </c>
      <c r="B202" s="250" t="s">
        <v>11</v>
      </c>
      <c r="C202" s="250" t="s">
        <v>863</v>
      </c>
      <c r="D202" s="250" t="s">
        <v>616</v>
      </c>
      <c r="E202" s="250" t="s">
        <v>490</v>
      </c>
      <c r="F202" s="251" t="s">
        <v>506</v>
      </c>
      <c r="G202" s="251" t="s">
        <v>492</v>
      </c>
      <c r="H202" s="251" t="s">
        <v>459</v>
      </c>
      <c r="I202" s="252" t="s">
        <v>891</v>
      </c>
      <c r="J202" s="252" t="s">
        <v>506</v>
      </c>
      <c r="K202" s="253" t="s">
        <v>892</v>
      </c>
      <c r="L202" s="250">
        <v>2016</v>
      </c>
      <c r="M202" s="254">
        <v>451512594.17381495</v>
      </c>
      <c r="N202" s="257" t="s">
        <v>41</v>
      </c>
      <c r="O202" s="257" t="s">
        <v>41</v>
      </c>
      <c r="P202" s="254">
        <v>751674550.96098769</v>
      </c>
      <c r="Q202" s="254">
        <v>403263935.7361424</v>
      </c>
      <c r="R202" s="254">
        <f>403.968162914824*10^6</f>
        <v>403968162.91482401</v>
      </c>
      <c r="S202" s="254">
        <f>428.609280960589*10^6</f>
        <v>428609280.96058899</v>
      </c>
      <c r="T202" s="254">
        <f>411.297667368188*10^6</f>
        <v>411297667.36818802</v>
      </c>
      <c r="U202" s="254">
        <f>507.416220285071*10^6</f>
        <v>507416220.28507102</v>
      </c>
      <c r="V202" s="254">
        <f>561.294818109541*10^6</f>
        <v>561294818.10954094</v>
      </c>
      <c r="W202" s="254">
        <v>520561405.779598</v>
      </c>
      <c r="X202" s="254" t="s">
        <v>41</v>
      </c>
      <c r="Y202" s="254" t="s">
        <v>41</v>
      </c>
      <c r="Z202" s="255" t="s">
        <v>781</v>
      </c>
      <c r="AA202" s="255" t="s">
        <v>782</v>
      </c>
      <c r="AB202" s="255" t="s">
        <v>783</v>
      </c>
    </row>
    <row r="203" spans="1:28" s="256" customFormat="1" ht="67.5">
      <c r="A203" s="250">
        <v>198</v>
      </c>
      <c r="B203" s="250" t="s">
        <v>11</v>
      </c>
      <c r="C203" s="250" t="s">
        <v>863</v>
      </c>
      <c r="D203" s="250" t="s">
        <v>616</v>
      </c>
      <c r="E203" s="250" t="s">
        <v>490</v>
      </c>
      <c r="F203" s="251" t="s">
        <v>507</v>
      </c>
      <c r="G203" s="251" t="s">
        <v>492</v>
      </c>
      <c r="H203" s="251" t="s">
        <v>459</v>
      </c>
      <c r="I203" s="252" t="s">
        <v>891</v>
      </c>
      <c r="J203" s="252" t="s">
        <v>507</v>
      </c>
      <c r="K203" s="253" t="s">
        <v>892</v>
      </c>
      <c r="L203" s="250">
        <v>2016</v>
      </c>
      <c r="M203" s="254">
        <v>-216569.20809370733</v>
      </c>
      <c r="N203" s="257" t="s">
        <v>41</v>
      </c>
      <c r="O203" s="257" t="s">
        <v>41</v>
      </c>
      <c r="P203" s="254">
        <v>1317860.6859987455</v>
      </c>
      <c r="Q203" s="254">
        <v>115544.93526169457</v>
      </c>
      <c r="R203" s="254">
        <f>-0.594589426744008*10^6</f>
        <v>-594589.42674400809</v>
      </c>
      <c r="S203" s="254">
        <f>-0.682457336447954*10^6</f>
        <v>-682457.33644795406</v>
      </c>
      <c r="T203" s="254">
        <f>-0.639134943604154*10^6</f>
        <v>-639134.94360415405</v>
      </c>
      <c r="U203" s="254">
        <f>-0.845694072194438*10^6</f>
        <v>-845694.07219443808</v>
      </c>
      <c r="V203" s="254">
        <f>-0.933508597959289*10^6</f>
        <v>-933508.59795928898</v>
      </c>
      <c r="W203" s="254">
        <v>231354.55705605901</v>
      </c>
      <c r="X203" s="254" t="s">
        <v>41</v>
      </c>
      <c r="Y203" s="254" t="s">
        <v>41</v>
      </c>
      <c r="Z203" s="255" t="s">
        <v>781</v>
      </c>
      <c r="AA203" s="255" t="s">
        <v>782</v>
      </c>
      <c r="AB203" s="255" t="s">
        <v>783</v>
      </c>
    </row>
    <row r="204" spans="1:28" s="256" customFormat="1" ht="67.5">
      <c r="A204" s="250">
        <v>199</v>
      </c>
      <c r="B204" s="250" t="s">
        <v>11</v>
      </c>
      <c r="C204" s="250" t="s">
        <v>863</v>
      </c>
      <c r="D204" s="250" t="s">
        <v>616</v>
      </c>
      <c r="E204" s="250" t="s">
        <v>490</v>
      </c>
      <c r="F204" s="251" t="s">
        <v>508</v>
      </c>
      <c r="G204" s="251" t="s">
        <v>492</v>
      </c>
      <c r="H204" s="251" t="s">
        <v>459</v>
      </c>
      <c r="I204" s="252" t="s">
        <v>891</v>
      </c>
      <c r="J204" s="252" t="s">
        <v>508</v>
      </c>
      <c r="K204" s="253" t="s">
        <v>892</v>
      </c>
      <c r="L204" s="250">
        <v>2016</v>
      </c>
      <c r="M204" s="254">
        <f>-0.125588*10^6</f>
        <v>-125588</v>
      </c>
      <c r="N204" s="257" t="s">
        <v>41</v>
      </c>
      <c r="O204" s="257" t="s">
        <v>41</v>
      </c>
      <c r="P204" s="254">
        <v>831476.518492262</v>
      </c>
      <c r="Q204" s="254">
        <v>204929.4717662342</v>
      </c>
      <c r="R204" s="254">
        <f>-0.432027705010273*10^6</f>
        <v>-432027.70501027297</v>
      </c>
      <c r="S204" s="254">
        <f>-0.49587238449158*10^6</f>
        <v>-495872.38449158001</v>
      </c>
      <c r="T204" s="254">
        <f>-0.464394404705844*10^6</f>
        <v>-464394.404705844</v>
      </c>
      <c r="U204" s="254">
        <f>-0.614479929708298*10^6</f>
        <v>-614479.92970829806</v>
      </c>
      <c r="V204" s="254">
        <f>-0.67828582050677*10^6</f>
        <v>-678285.82050677005</v>
      </c>
      <c r="W204" s="254">
        <v>70688.263438371403</v>
      </c>
      <c r="X204" s="254" t="s">
        <v>41</v>
      </c>
      <c r="Y204" s="254" t="s">
        <v>41</v>
      </c>
      <c r="Z204" s="255" t="s">
        <v>781</v>
      </c>
      <c r="AA204" s="255" t="s">
        <v>782</v>
      </c>
      <c r="AB204" s="255" t="s">
        <v>783</v>
      </c>
    </row>
    <row r="205" spans="1:28" s="256" customFormat="1" ht="36">
      <c r="A205" s="250">
        <v>200</v>
      </c>
      <c r="B205" s="250" t="s">
        <v>11</v>
      </c>
      <c r="C205" s="250" t="s">
        <v>863</v>
      </c>
      <c r="D205" s="250" t="s">
        <v>738</v>
      </c>
      <c r="E205" s="250" t="s">
        <v>481</v>
      </c>
      <c r="F205" s="251" t="s">
        <v>482</v>
      </c>
      <c r="G205" s="251" t="s">
        <v>578</v>
      </c>
      <c r="H205" s="251" t="s">
        <v>459</v>
      </c>
      <c r="I205" s="252" t="s">
        <v>893</v>
      </c>
      <c r="J205" s="252" t="s">
        <v>485</v>
      </c>
      <c r="K205" s="253" t="s">
        <v>892</v>
      </c>
      <c r="L205" s="250">
        <v>2016</v>
      </c>
      <c r="M205" s="254">
        <v>20726</v>
      </c>
      <c r="N205" s="257" t="s">
        <v>41</v>
      </c>
      <c r="O205" s="257" t="s">
        <v>41</v>
      </c>
      <c r="P205" s="254">
        <v>31811.368652770998</v>
      </c>
      <c r="Q205" s="254">
        <v>4160.4537973207835</v>
      </c>
      <c r="R205" s="254">
        <v>15962.307141725309</v>
      </c>
      <c r="S205" s="254">
        <v>17053.046033984076</v>
      </c>
      <c r="T205" s="254">
        <v>16301.047981054797</v>
      </c>
      <c r="U205" s="254">
        <v>20309.074455282971</v>
      </c>
      <c r="V205" s="254">
        <v>22462.451472109908</v>
      </c>
      <c r="W205" s="254">
        <v>5247.469402554746</v>
      </c>
      <c r="X205" s="254" t="s">
        <v>41</v>
      </c>
      <c r="Y205" s="254" t="s">
        <v>41</v>
      </c>
      <c r="Z205" s="255" t="s">
        <v>803</v>
      </c>
      <c r="AA205" s="255" t="s">
        <v>894</v>
      </c>
      <c r="AB205" s="255"/>
    </row>
    <row r="206" spans="1:28" s="256" customFormat="1" ht="38.25">
      <c r="A206" s="250">
        <v>201</v>
      </c>
      <c r="B206" s="250" t="s">
        <v>11</v>
      </c>
      <c r="C206" s="250" t="s">
        <v>863</v>
      </c>
      <c r="D206" s="250" t="s">
        <v>895</v>
      </c>
      <c r="E206" s="250" t="s">
        <v>896</v>
      </c>
      <c r="F206" s="251" t="s">
        <v>897</v>
      </c>
      <c r="G206" s="251" t="s">
        <v>701</v>
      </c>
      <c r="H206" s="251" t="s">
        <v>645</v>
      </c>
      <c r="I206" s="252" t="s">
        <v>898</v>
      </c>
      <c r="J206" s="252" t="s">
        <v>899</v>
      </c>
      <c r="K206" s="253" t="s">
        <v>892</v>
      </c>
      <c r="L206" s="250" t="s">
        <v>648</v>
      </c>
      <c r="M206" s="257" t="s">
        <v>648</v>
      </c>
      <c r="N206" s="257" t="s">
        <v>648</v>
      </c>
      <c r="O206" s="257" t="s">
        <v>648</v>
      </c>
      <c r="P206" s="257" t="s">
        <v>648</v>
      </c>
      <c r="Q206" s="257" t="s">
        <v>648</v>
      </c>
      <c r="R206" s="257" t="s">
        <v>648</v>
      </c>
      <c r="S206" s="257" t="s">
        <v>648</v>
      </c>
      <c r="T206" s="257" t="s">
        <v>648</v>
      </c>
      <c r="U206" s="257" t="s">
        <v>648</v>
      </c>
      <c r="V206" s="257" t="s">
        <v>648</v>
      </c>
      <c r="W206" s="257" t="s">
        <v>648</v>
      </c>
      <c r="X206" s="257" t="s">
        <v>648</v>
      </c>
      <c r="Y206" s="257" t="s">
        <v>648</v>
      </c>
      <c r="Z206" s="255" t="s">
        <v>713</v>
      </c>
      <c r="AA206" s="255"/>
      <c r="AB206" s="255"/>
    </row>
    <row r="207" spans="1:28" s="256" customFormat="1" ht="38.25">
      <c r="A207" s="250">
        <v>202</v>
      </c>
      <c r="B207" s="250" t="s">
        <v>11</v>
      </c>
      <c r="C207" s="250" t="s">
        <v>863</v>
      </c>
      <c r="D207" s="250" t="s">
        <v>895</v>
      </c>
      <c r="E207" s="250" t="s">
        <v>896</v>
      </c>
      <c r="F207" s="251" t="s">
        <v>900</v>
      </c>
      <c r="G207" s="251" t="s">
        <v>701</v>
      </c>
      <c r="H207" s="251" t="s">
        <v>645</v>
      </c>
      <c r="I207" s="252" t="s">
        <v>898</v>
      </c>
      <c r="J207" s="252" t="s">
        <v>901</v>
      </c>
      <c r="K207" s="253" t="s">
        <v>892</v>
      </c>
      <c r="L207" s="250" t="s">
        <v>648</v>
      </c>
      <c r="M207" s="257" t="s">
        <v>648</v>
      </c>
      <c r="N207" s="257" t="s">
        <v>648</v>
      </c>
      <c r="O207" s="257" t="s">
        <v>648</v>
      </c>
      <c r="P207" s="257" t="s">
        <v>648</v>
      </c>
      <c r="Q207" s="257" t="s">
        <v>648</v>
      </c>
      <c r="R207" s="257" t="s">
        <v>648</v>
      </c>
      <c r="S207" s="257" t="s">
        <v>648</v>
      </c>
      <c r="T207" s="257" t="s">
        <v>648</v>
      </c>
      <c r="U207" s="257" t="s">
        <v>648</v>
      </c>
      <c r="V207" s="257" t="s">
        <v>648</v>
      </c>
      <c r="W207" s="257" t="s">
        <v>648</v>
      </c>
      <c r="X207" s="257" t="s">
        <v>648</v>
      </c>
      <c r="Y207" s="257" t="s">
        <v>648</v>
      </c>
      <c r="Z207" s="255" t="s">
        <v>713</v>
      </c>
      <c r="AA207" s="255"/>
      <c r="AB207" s="255"/>
    </row>
    <row r="208" spans="1:28" s="256" customFormat="1" ht="38.25">
      <c r="A208" s="250">
        <v>203</v>
      </c>
      <c r="B208" s="250" t="s">
        <v>11</v>
      </c>
      <c r="C208" s="250" t="s">
        <v>863</v>
      </c>
      <c r="D208" s="250" t="s">
        <v>895</v>
      </c>
      <c r="E208" s="250" t="s">
        <v>896</v>
      </c>
      <c r="F208" s="251" t="s">
        <v>902</v>
      </c>
      <c r="G208" s="251" t="s">
        <v>701</v>
      </c>
      <c r="H208" s="251" t="s">
        <v>645</v>
      </c>
      <c r="I208" s="252" t="s">
        <v>898</v>
      </c>
      <c r="J208" s="252" t="s">
        <v>903</v>
      </c>
      <c r="K208" s="253" t="s">
        <v>892</v>
      </c>
      <c r="L208" s="250" t="s">
        <v>648</v>
      </c>
      <c r="M208" s="257" t="s">
        <v>648</v>
      </c>
      <c r="N208" s="257" t="s">
        <v>648</v>
      </c>
      <c r="O208" s="257" t="s">
        <v>648</v>
      </c>
      <c r="P208" s="257" t="s">
        <v>648</v>
      </c>
      <c r="Q208" s="257" t="s">
        <v>648</v>
      </c>
      <c r="R208" s="257" t="s">
        <v>648</v>
      </c>
      <c r="S208" s="257" t="s">
        <v>648</v>
      </c>
      <c r="T208" s="257" t="s">
        <v>648</v>
      </c>
      <c r="U208" s="257" t="s">
        <v>648</v>
      </c>
      <c r="V208" s="257" t="s">
        <v>648</v>
      </c>
      <c r="W208" s="257" t="s">
        <v>648</v>
      </c>
      <c r="X208" s="257" t="s">
        <v>648</v>
      </c>
      <c r="Y208" s="257" t="s">
        <v>648</v>
      </c>
      <c r="Z208" s="255" t="s">
        <v>713</v>
      </c>
      <c r="AA208" s="255"/>
      <c r="AB208" s="255"/>
    </row>
    <row r="209" spans="1:28" s="256" customFormat="1" ht="38.25">
      <c r="A209" s="250">
        <v>204</v>
      </c>
      <c r="B209" s="250" t="s">
        <v>11</v>
      </c>
      <c r="C209" s="250" t="s">
        <v>863</v>
      </c>
      <c r="D209" s="250" t="s">
        <v>895</v>
      </c>
      <c r="E209" s="250" t="s">
        <v>717</v>
      </c>
      <c r="F209" s="251" t="s">
        <v>904</v>
      </c>
      <c r="G209" s="251" t="s">
        <v>718</v>
      </c>
      <c r="H209" s="251" t="s">
        <v>645</v>
      </c>
      <c r="I209" s="252" t="s">
        <v>905</v>
      </c>
      <c r="J209" s="252" t="s">
        <v>906</v>
      </c>
      <c r="K209" s="253" t="s">
        <v>892</v>
      </c>
      <c r="L209" s="250" t="s">
        <v>648</v>
      </c>
      <c r="M209" s="257" t="s">
        <v>648</v>
      </c>
      <c r="N209" s="257" t="s">
        <v>648</v>
      </c>
      <c r="O209" s="257" t="s">
        <v>648</v>
      </c>
      <c r="P209" s="257" t="s">
        <v>648</v>
      </c>
      <c r="Q209" s="257" t="s">
        <v>648</v>
      </c>
      <c r="R209" s="257" t="s">
        <v>648</v>
      </c>
      <c r="S209" s="257" t="s">
        <v>648</v>
      </c>
      <c r="T209" s="257" t="s">
        <v>648</v>
      </c>
      <c r="U209" s="257" t="s">
        <v>648</v>
      </c>
      <c r="V209" s="257" t="s">
        <v>648</v>
      </c>
      <c r="W209" s="257" t="s">
        <v>648</v>
      </c>
      <c r="X209" s="257" t="s">
        <v>648</v>
      </c>
      <c r="Y209" s="257" t="s">
        <v>648</v>
      </c>
      <c r="Z209" s="255" t="s">
        <v>907</v>
      </c>
      <c r="AA209" s="255"/>
      <c r="AB209" s="255"/>
    </row>
    <row r="210" spans="1:28" s="256" customFormat="1" ht="38.25">
      <c r="A210" s="250">
        <v>205</v>
      </c>
      <c r="B210" s="250" t="s">
        <v>11</v>
      </c>
      <c r="C210" s="250" t="s">
        <v>863</v>
      </c>
      <c r="D210" s="250" t="s">
        <v>895</v>
      </c>
      <c r="E210" s="250" t="s">
        <v>717</v>
      </c>
      <c r="F210" s="251" t="s">
        <v>908</v>
      </c>
      <c r="G210" s="251" t="s">
        <v>718</v>
      </c>
      <c r="H210" s="251" t="s">
        <v>645</v>
      </c>
      <c r="I210" s="252" t="s">
        <v>905</v>
      </c>
      <c r="J210" s="252" t="s">
        <v>906</v>
      </c>
      <c r="K210" s="253" t="s">
        <v>892</v>
      </c>
      <c r="L210" s="250" t="s">
        <v>648</v>
      </c>
      <c r="M210" s="257" t="s">
        <v>648</v>
      </c>
      <c r="N210" s="257" t="s">
        <v>648</v>
      </c>
      <c r="O210" s="257" t="s">
        <v>648</v>
      </c>
      <c r="P210" s="257" t="s">
        <v>648</v>
      </c>
      <c r="Q210" s="257" t="s">
        <v>648</v>
      </c>
      <c r="R210" s="257" t="s">
        <v>648</v>
      </c>
      <c r="S210" s="257" t="s">
        <v>648</v>
      </c>
      <c r="T210" s="257" t="s">
        <v>648</v>
      </c>
      <c r="U210" s="257" t="s">
        <v>648</v>
      </c>
      <c r="V210" s="257" t="s">
        <v>648</v>
      </c>
      <c r="W210" s="257" t="s">
        <v>648</v>
      </c>
      <c r="X210" s="257" t="s">
        <v>648</v>
      </c>
      <c r="Y210" s="257" t="s">
        <v>648</v>
      </c>
      <c r="Z210" s="255" t="s">
        <v>909</v>
      </c>
      <c r="AA210" s="255"/>
      <c r="AB210" s="255"/>
    </row>
    <row r="211" spans="1:28" s="256" customFormat="1" ht="38.25">
      <c r="A211" s="250">
        <v>206</v>
      </c>
      <c r="B211" s="250" t="s">
        <v>11</v>
      </c>
      <c r="C211" s="250" t="s">
        <v>863</v>
      </c>
      <c r="D211" s="250" t="s">
        <v>895</v>
      </c>
      <c r="E211" s="250" t="s">
        <v>717</v>
      </c>
      <c r="F211" s="251" t="s">
        <v>910</v>
      </c>
      <c r="G211" s="251" t="s">
        <v>718</v>
      </c>
      <c r="H211" s="251" t="s">
        <v>645</v>
      </c>
      <c r="I211" s="252" t="s">
        <v>905</v>
      </c>
      <c r="J211" s="252" t="s">
        <v>911</v>
      </c>
      <c r="K211" s="253" t="s">
        <v>892</v>
      </c>
      <c r="L211" s="250" t="s">
        <v>648</v>
      </c>
      <c r="M211" s="257" t="s">
        <v>648</v>
      </c>
      <c r="N211" s="257" t="s">
        <v>648</v>
      </c>
      <c r="O211" s="257" t="s">
        <v>648</v>
      </c>
      <c r="P211" s="257" t="s">
        <v>648</v>
      </c>
      <c r="Q211" s="257" t="s">
        <v>648</v>
      </c>
      <c r="R211" s="257" t="s">
        <v>648</v>
      </c>
      <c r="S211" s="257" t="s">
        <v>648</v>
      </c>
      <c r="T211" s="257" t="s">
        <v>648</v>
      </c>
      <c r="U211" s="257" t="s">
        <v>648</v>
      </c>
      <c r="V211" s="257" t="s">
        <v>648</v>
      </c>
      <c r="W211" s="257" t="s">
        <v>648</v>
      </c>
      <c r="X211" s="257" t="s">
        <v>648</v>
      </c>
      <c r="Y211" s="257" t="s">
        <v>648</v>
      </c>
      <c r="Z211" s="255" t="s">
        <v>912</v>
      </c>
      <c r="AA211" s="255"/>
      <c r="AB211" s="255"/>
    </row>
    <row r="212" spans="1:28" s="256" customFormat="1" ht="60">
      <c r="A212" s="250">
        <v>207</v>
      </c>
      <c r="B212" s="250" t="s">
        <v>11</v>
      </c>
      <c r="C212" s="250" t="s">
        <v>863</v>
      </c>
      <c r="D212" s="250" t="s">
        <v>895</v>
      </c>
      <c r="E212" s="250" t="s">
        <v>913</v>
      </c>
      <c r="F212" s="251" t="s">
        <v>904</v>
      </c>
      <c r="G212" s="251" t="s">
        <v>914</v>
      </c>
      <c r="H212" s="251" t="s">
        <v>645</v>
      </c>
      <c r="I212" s="252" t="s">
        <v>915</v>
      </c>
      <c r="J212" s="252" t="s">
        <v>916</v>
      </c>
      <c r="K212" s="253" t="s">
        <v>892</v>
      </c>
      <c r="L212" s="250" t="s">
        <v>648</v>
      </c>
      <c r="M212" s="257" t="s">
        <v>648</v>
      </c>
      <c r="N212" s="257" t="s">
        <v>648</v>
      </c>
      <c r="O212" s="257" t="s">
        <v>648</v>
      </c>
      <c r="P212" s="257" t="s">
        <v>648</v>
      </c>
      <c r="Q212" s="257" t="s">
        <v>648</v>
      </c>
      <c r="R212" s="257" t="s">
        <v>648</v>
      </c>
      <c r="S212" s="257" t="s">
        <v>648</v>
      </c>
      <c r="T212" s="257" t="s">
        <v>648</v>
      </c>
      <c r="U212" s="257" t="s">
        <v>648</v>
      </c>
      <c r="V212" s="257" t="s">
        <v>648</v>
      </c>
      <c r="W212" s="257" t="s">
        <v>648</v>
      </c>
      <c r="X212" s="257" t="s">
        <v>648</v>
      </c>
      <c r="Y212" s="257" t="s">
        <v>648</v>
      </c>
      <c r="Z212" s="255" t="s">
        <v>917</v>
      </c>
      <c r="AA212" s="255"/>
      <c r="AB212" s="255"/>
    </row>
    <row r="213" spans="1:28" s="256" customFormat="1" ht="60">
      <c r="A213" s="250">
        <v>208</v>
      </c>
      <c r="B213" s="250" t="s">
        <v>11</v>
      </c>
      <c r="C213" s="250" t="s">
        <v>863</v>
      </c>
      <c r="D213" s="250" t="s">
        <v>895</v>
      </c>
      <c r="E213" s="250" t="s">
        <v>913</v>
      </c>
      <c r="F213" s="251" t="s">
        <v>908</v>
      </c>
      <c r="G213" s="251" t="s">
        <v>914</v>
      </c>
      <c r="H213" s="251" t="s">
        <v>645</v>
      </c>
      <c r="I213" s="252" t="s">
        <v>915</v>
      </c>
      <c r="J213" s="252" t="s">
        <v>918</v>
      </c>
      <c r="K213" s="253" t="s">
        <v>892</v>
      </c>
      <c r="L213" s="250" t="s">
        <v>648</v>
      </c>
      <c r="M213" s="257" t="s">
        <v>648</v>
      </c>
      <c r="N213" s="257" t="s">
        <v>648</v>
      </c>
      <c r="O213" s="257" t="s">
        <v>648</v>
      </c>
      <c r="P213" s="257" t="s">
        <v>648</v>
      </c>
      <c r="Q213" s="257" t="s">
        <v>648</v>
      </c>
      <c r="R213" s="257" t="s">
        <v>648</v>
      </c>
      <c r="S213" s="257" t="s">
        <v>648</v>
      </c>
      <c r="T213" s="257" t="s">
        <v>648</v>
      </c>
      <c r="U213" s="257" t="s">
        <v>648</v>
      </c>
      <c r="V213" s="257" t="s">
        <v>648</v>
      </c>
      <c r="W213" s="257" t="s">
        <v>648</v>
      </c>
      <c r="X213" s="257" t="s">
        <v>648</v>
      </c>
      <c r="Y213" s="257" t="s">
        <v>648</v>
      </c>
      <c r="Z213" s="255" t="s">
        <v>917</v>
      </c>
      <c r="AA213" s="255"/>
      <c r="AB213" s="255"/>
    </row>
    <row r="214" spans="1:28" s="256" customFormat="1" ht="60">
      <c r="A214" s="250">
        <v>209</v>
      </c>
      <c r="B214" s="250" t="s">
        <v>11</v>
      </c>
      <c r="C214" s="250" t="s">
        <v>863</v>
      </c>
      <c r="D214" s="250" t="s">
        <v>895</v>
      </c>
      <c r="E214" s="250" t="s">
        <v>913</v>
      </c>
      <c r="F214" s="251" t="s">
        <v>910</v>
      </c>
      <c r="G214" s="251" t="s">
        <v>914</v>
      </c>
      <c r="H214" s="251" t="s">
        <v>645</v>
      </c>
      <c r="I214" s="252" t="s">
        <v>915</v>
      </c>
      <c r="J214" s="252" t="s">
        <v>919</v>
      </c>
      <c r="K214" s="253" t="s">
        <v>892</v>
      </c>
      <c r="L214" s="250" t="s">
        <v>648</v>
      </c>
      <c r="M214" s="257" t="s">
        <v>648</v>
      </c>
      <c r="N214" s="257" t="s">
        <v>648</v>
      </c>
      <c r="O214" s="257" t="s">
        <v>648</v>
      </c>
      <c r="P214" s="257" t="s">
        <v>648</v>
      </c>
      <c r="Q214" s="257" t="s">
        <v>648</v>
      </c>
      <c r="R214" s="257" t="s">
        <v>648</v>
      </c>
      <c r="S214" s="257" t="s">
        <v>648</v>
      </c>
      <c r="T214" s="257" t="s">
        <v>648</v>
      </c>
      <c r="U214" s="257" t="s">
        <v>648</v>
      </c>
      <c r="V214" s="257" t="s">
        <v>648</v>
      </c>
      <c r="W214" s="257" t="s">
        <v>648</v>
      </c>
      <c r="X214" s="257" t="s">
        <v>648</v>
      </c>
      <c r="Y214" s="257" t="s">
        <v>648</v>
      </c>
      <c r="Z214" s="255" t="s">
        <v>917</v>
      </c>
      <c r="AA214" s="255"/>
      <c r="AB214" s="255"/>
    </row>
    <row r="215" spans="1:28" s="256" customFormat="1" ht="89.25">
      <c r="A215" s="250">
        <v>210</v>
      </c>
      <c r="B215" s="250" t="s">
        <v>11</v>
      </c>
      <c r="C215" s="250" t="s">
        <v>920</v>
      </c>
      <c r="D215" s="250" t="s">
        <v>627</v>
      </c>
      <c r="E215" s="250" t="s">
        <v>616</v>
      </c>
      <c r="F215" s="251" t="s">
        <v>617</v>
      </c>
      <c r="G215" s="251" t="s">
        <v>618</v>
      </c>
      <c r="H215" s="251" t="s">
        <v>459</v>
      </c>
      <c r="I215" s="252" t="s">
        <v>921</v>
      </c>
      <c r="J215" s="252" t="s">
        <v>921</v>
      </c>
      <c r="K215" s="253" t="s">
        <v>892</v>
      </c>
      <c r="L215" s="250">
        <v>2016</v>
      </c>
      <c r="M215" s="268">
        <v>8.2173000000000003E-3</v>
      </c>
      <c r="N215" s="329">
        <v>628</v>
      </c>
      <c r="O215" s="329">
        <v>76418</v>
      </c>
      <c r="P215" s="268">
        <v>1.8584988434234666E-2</v>
      </c>
      <c r="Q215" s="268">
        <v>2.5434939469253588E-2</v>
      </c>
      <c r="R215" s="268">
        <f>M215*1.02</f>
        <v>8.3816460000000013E-3</v>
      </c>
      <c r="S215" s="268">
        <f>M215*1.02</f>
        <v>8.3816460000000013E-3</v>
      </c>
      <c r="T215" s="268">
        <f>M215*1.02</f>
        <v>8.3816460000000013E-3</v>
      </c>
      <c r="U215" s="268">
        <f>M215*1.05</f>
        <v>8.6281650000000001E-3</v>
      </c>
      <c r="V215" s="268">
        <f>M215*1.1</f>
        <v>9.0390300000000017E-3</v>
      </c>
      <c r="W215" s="268">
        <v>4.0237645152578987E-2</v>
      </c>
      <c r="X215" s="268">
        <v>2384</v>
      </c>
      <c r="Y215" s="268">
        <v>59248</v>
      </c>
      <c r="Z215" s="255" t="s">
        <v>922</v>
      </c>
      <c r="AA215" s="255" t="s">
        <v>923</v>
      </c>
      <c r="AB215" s="255"/>
    </row>
    <row r="216" spans="1:28" s="256" customFormat="1" ht="89.25">
      <c r="A216" s="250">
        <v>211</v>
      </c>
      <c r="B216" s="250" t="s">
        <v>11</v>
      </c>
      <c r="C216" s="250" t="s">
        <v>920</v>
      </c>
      <c r="D216" s="250" t="s">
        <v>924</v>
      </c>
      <c r="E216" s="250" t="s">
        <v>738</v>
      </c>
      <c r="F216" s="251" t="s">
        <v>617</v>
      </c>
      <c r="G216" s="251" t="s">
        <v>739</v>
      </c>
      <c r="H216" s="251" t="s">
        <v>645</v>
      </c>
      <c r="I216" s="252" t="s">
        <v>925</v>
      </c>
      <c r="J216" s="252" t="s">
        <v>926</v>
      </c>
      <c r="K216" s="253" t="s">
        <v>892</v>
      </c>
      <c r="L216" s="250" t="s">
        <v>648</v>
      </c>
      <c r="M216" s="257" t="s">
        <v>648</v>
      </c>
      <c r="N216" s="257" t="s">
        <v>648</v>
      </c>
      <c r="O216" s="257" t="s">
        <v>648</v>
      </c>
      <c r="P216" s="257" t="s">
        <v>648</v>
      </c>
      <c r="Q216" s="257" t="s">
        <v>648</v>
      </c>
      <c r="R216" s="257" t="s">
        <v>648</v>
      </c>
      <c r="S216" s="257" t="s">
        <v>648</v>
      </c>
      <c r="T216" s="257" t="s">
        <v>648</v>
      </c>
      <c r="U216" s="257" t="s">
        <v>648</v>
      </c>
      <c r="V216" s="257" t="s">
        <v>648</v>
      </c>
      <c r="W216" s="257" t="s">
        <v>648</v>
      </c>
      <c r="X216" s="257" t="s">
        <v>648</v>
      </c>
      <c r="Y216" s="257" t="s">
        <v>648</v>
      </c>
      <c r="Z216" s="255" t="s">
        <v>927</v>
      </c>
      <c r="AA216" s="255"/>
      <c r="AB216" s="255"/>
    </row>
    <row r="217" spans="1:28" s="256" customFormat="1" ht="72">
      <c r="A217" s="250">
        <v>212</v>
      </c>
      <c r="B217" s="250" t="s">
        <v>11</v>
      </c>
      <c r="C217" s="250" t="s">
        <v>920</v>
      </c>
      <c r="D217" s="250" t="s">
        <v>924</v>
      </c>
      <c r="E217" s="250" t="s">
        <v>928</v>
      </c>
      <c r="F217" s="251" t="s">
        <v>617</v>
      </c>
      <c r="G217" s="251" t="s">
        <v>914</v>
      </c>
      <c r="H217" s="251" t="s">
        <v>645</v>
      </c>
      <c r="I217" s="252" t="s">
        <v>929</v>
      </c>
      <c r="J217" s="252" t="s">
        <v>930</v>
      </c>
      <c r="K217" s="253" t="s">
        <v>892</v>
      </c>
      <c r="L217" s="250" t="s">
        <v>648</v>
      </c>
      <c r="M217" s="257" t="s">
        <v>648</v>
      </c>
      <c r="N217" s="257" t="s">
        <v>648</v>
      </c>
      <c r="O217" s="257" t="s">
        <v>648</v>
      </c>
      <c r="P217" s="257" t="s">
        <v>648</v>
      </c>
      <c r="Q217" s="257" t="s">
        <v>648</v>
      </c>
      <c r="R217" s="257" t="s">
        <v>648</v>
      </c>
      <c r="S217" s="257" t="s">
        <v>648</v>
      </c>
      <c r="T217" s="257" t="s">
        <v>648</v>
      </c>
      <c r="U217" s="257" t="s">
        <v>648</v>
      </c>
      <c r="V217" s="257" t="s">
        <v>648</v>
      </c>
      <c r="W217" s="257" t="s">
        <v>648</v>
      </c>
      <c r="X217" s="257" t="s">
        <v>648</v>
      </c>
      <c r="Y217" s="257" t="s">
        <v>648</v>
      </c>
      <c r="Z217" s="255" t="s">
        <v>931</v>
      </c>
      <c r="AA217" s="255"/>
      <c r="AB217" s="255"/>
    </row>
    <row r="218" spans="1:28" s="256" customFormat="1" ht="90">
      <c r="A218" s="250">
        <v>213</v>
      </c>
      <c r="B218" s="250" t="s">
        <v>11</v>
      </c>
      <c r="C218" s="250" t="s">
        <v>920</v>
      </c>
      <c r="D218" s="250" t="s">
        <v>932</v>
      </c>
      <c r="E218" s="250" t="s">
        <v>554</v>
      </c>
      <c r="F218" s="251" t="s">
        <v>555</v>
      </c>
      <c r="G218" s="251" t="s">
        <v>556</v>
      </c>
      <c r="H218" s="251" t="s">
        <v>459</v>
      </c>
      <c r="I218" s="252" t="s">
        <v>557</v>
      </c>
      <c r="J218" s="252" t="s">
        <v>555</v>
      </c>
      <c r="K218" s="253" t="s">
        <v>892</v>
      </c>
      <c r="L218" s="250">
        <v>2016</v>
      </c>
      <c r="M218" s="258">
        <v>906.05352498947798</v>
      </c>
      <c r="N218" s="259">
        <v>62824972.428255975</v>
      </c>
      <c r="O218" s="254">
        <v>69339.14023344875</v>
      </c>
      <c r="P218" s="258">
        <v>508.57239133388896</v>
      </c>
      <c r="Q218" s="258">
        <v>965.48268457906443</v>
      </c>
      <c r="R218" s="258">
        <v>906.05352498947798</v>
      </c>
      <c r="S218" s="258">
        <v>906.05352498947798</v>
      </c>
      <c r="T218" s="258">
        <v>906.05352498947798</v>
      </c>
      <c r="U218" s="258">
        <v>815.44817249053017</v>
      </c>
      <c r="V218" s="258">
        <v>770.14549624105621</v>
      </c>
      <c r="W218" s="258">
        <v>653.12442353239715</v>
      </c>
      <c r="X218" s="258">
        <v>40641943.081213877</v>
      </c>
      <c r="Y218" s="258">
        <v>62226.953420917198</v>
      </c>
      <c r="Z218" s="255" t="s">
        <v>634</v>
      </c>
      <c r="AA218" s="255" t="s">
        <v>635</v>
      </c>
      <c r="AB218" s="255"/>
    </row>
    <row r="219" spans="1:28" s="256" customFormat="1" ht="56.25">
      <c r="A219" s="250">
        <v>214</v>
      </c>
      <c r="B219" s="250" t="s">
        <v>11</v>
      </c>
      <c r="C219" s="250" t="s">
        <v>920</v>
      </c>
      <c r="D219" s="250" t="s">
        <v>932</v>
      </c>
      <c r="E219" s="250" t="s">
        <v>554</v>
      </c>
      <c r="F219" s="251" t="s">
        <v>560</v>
      </c>
      <c r="G219" s="251" t="s">
        <v>556</v>
      </c>
      <c r="H219" s="251" t="s">
        <v>459</v>
      </c>
      <c r="I219" s="252" t="s">
        <v>557</v>
      </c>
      <c r="J219" s="252" t="s">
        <v>560</v>
      </c>
      <c r="K219" s="253" t="s">
        <v>892</v>
      </c>
      <c r="L219" s="250">
        <v>2016</v>
      </c>
      <c r="M219" s="258">
        <v>0.13914334448015592</v>
      </c>
      <c r="N219" s="259">
        <v>62824972.428255975</v>
      </c>
      <c r="O219" s="254">
        <v>451512594.17381495</v>
      </c>
      <c r="P219" s="258">
        <v>7.3742614393829245E-2</v>
      </c>
      <c r="Q219" s="258">
        <v>0.11642059709486888</v>
      </c>
      <c r="R219" s="258">
        <v>0.13914334448015592</v>
      </c>
      <c r="S219" s="258">
        <v>0.13914334448015592</v>
      </c>
      <c r="T219" s="258">
        <v>0.13914334448015592</v>
      </c>
      <c r="U219" s="258">
        <v>0.12522901003214032</v>
      </c>
      <c r="V219" s="258">
        <v>0.11827184280813252</v>
      </c>
      <c r="W219" s="258">
        <v>7.8073292852642612E-2</v>
      </c>
      <c r="X219" s="258">
        <v>40641943.081213877</v>
      </c>
      <c r="Y219" s="258">
        <v>520561405.779598</v>
      </c>
      <c r="Z219" s="255" t="s">
        <v>637</v>
      </c>
      <c r="AA219" s="255" t="s">
        <v>635</v>
      </c>
      <c r="AB219" s="255"/>
    </row>
    <row r="220" spans="1:28" s="256" customFormat="1" ht="56.25">
      <c r="A220" s="250">
        <v>215</v>
      </c>
      <c r="B220" s="250" t="s">
        <v>11</v>
      </c>
      <c r="C220" s="250" t="s">
        <v>920</v>
      </c>
      <c r="D220" s="250" t="s">
        <v>932</v>
      </c>
      <c r="E220" s="250" t="s">
        <v>554</v>
      </c>
      <c r="F220" s="251" t="s">
        <v>562</v>
      </c>
      <c r="G220" s="251" t="s">
        <v>556</v>
      </c>
      <c r="H220" s="251" t="s">
        <v>459</v>
      </c>
      <c r="I220" s="252" t="s">
        <v>557</v>
      </c>
      <c r="J220" s="252" t="s">
        <v>562</v>
      </c>
      <c r="K220" s="253" t="s">
        <v>892</v>
      </c>
      <c r="L220" s="250">
        <v>2016</v>
      </c>
      <c r="M220" s="258">
        <v>-0.25578494179938294</v>
      </c>
      <c r="N220" s="259">
        <v>-32123.464143992569</v>
      </c>
      <c r="O220" s="254">
        <v>125587.78448024364</v>
      </c>
      <c r="P220" s="258">
        <v>0.27404366873627617</v>
      </c>
      <c r="Q220" s="258">
        <v>0.25484461167561989</v>
      </c>
      <c r="R220" s="258">
        <v>-0.25578494179938294</v>
      </c>
      <c r="S220" s="258">
        <v>-0.25578494179938294</v>
      </c>
      <c r="T220" s="258">
        <v>-0.25578494179938294</v>
      </c>
      <c r="U220" s="258">
        <v>-0.25578494179938294</v>
      </c>
      <c r="V220" s="258">
        <v>-0.25578494179938294</v>
      </c>
      <c r="W220" s="258">
        <v>-1.9240192630753601</v>
      </c>
      <c r="X220" s="258">
        <v>-136005.58052877226</v>
      </c>
      <c r="Y220" s="258">
        <v>70688.263438371403</v>
      </c>
      <c r="Z220" s="255" t="s">
        <v>860</v>
      </c>
      <c r="AA220" s="255" t="s">
        <v>635</v>
      </c>
      <c r="AB220" s="255"/>
    </row>
    <row r="221" spans="1:28" s="256" customFormat="1" ht="78.75">
      <c r="A221" s="250">
        <v>216</v>
      </c>
      <c r="B221" s="250" t="s">
        <v>11</v>
      </c>
      <c r="C221" s="250" t="s">
        <v>920</v>
      </c>
      <c r="D221" s="250" t="s">
        <v>932</v>
      </c>
      <c r="E221" s="250" t="s">
        <v>554</v>
      </c>
      <c r="F221" s="251" t="s">
        <v>564</v>
      </c>
      <c r="G221" s="251" t="s">
        <v>556</v>
      </c>
      <c r="H221" s="251" t="s">
        <v>459</v>
      </c>
      <c r="I221" s="252" t="s">
        <v>557</v>
      </c>
      <c r="J221" s="252" t="s">
        <v>564</v>
      </c>
      <c r="K221" s="253" t="s">
        <v>892</v>
      </c>
      <c r="L221" s="250">
        <v>2016</v>
      </c>
      <c r="M221" s="258">
        <v>1180.3558874323905</v>
      </c>
      <c r="N221" s="259">
        <v>81844862.404051378</v>
      </c>
      <c r="O221" s="254">
        <v>69339.14023344875</v>
      </c>
      <c r="P221" s="258">
        <v>938.05660752646543</v>
      </c>
      <c r="Q221" s="258">
        <v>1402.1572077310379</v>
      </c>
      <c r="R221" s="258">
        <v>1180.3558874323905</v>
      </c>
      <c r="S221" s="258">
        <v>1180.3558874323905</v>
      </c>
      <c r="T221" s="258">
        <v>1180.3558874323905</v>
      </c>
      <c r="U221" s="258">
        <v>1062.3202986891515</v>
      </c>
      <c r="V221" s="258">
        <v>1003.3025043175319</v>
      </c>
      <c r="W221" s="258">
        <v>993.96465965009656</v>
      </c>
      <c r="X221" s="258">
        <v>61851392.578084372</v>
      </c>
      <c r="Y221" s="258">
        <v>62226.953420917198</v>
      </c>
      <c r="Z221" s="255" t="s">
        <v>638</v>
      </c>
      <c r="AA221" s="255" t="s">
        <v>635</v>
      </c>
      <c r="AB221" s="255"/>
    </row>
    <row r="222" spans="1:28" s="256" customFormat="1" ht="56.25">
      <c r="A222" s="250">
        <v>217</v>
      </c>
      <c r="B222" s="250" t="s">
        <v>11</v>
      </c>
      <c r="C222" s="250" t="s">
        <v>920</v>
      </c>
      <c r="D222" s="250" t="s">
        <v>932</v>
      </c>
      <c r="E222" s="250" t="s">
        <v>554</v>
      </c>
      <c r="F222" s="251" t="s">
        <v>566</v>
      </c>
      <c r="G222" s="251" t="s">
        <v>556</v>
      </c>
      <c r="H222" s="251" t="s">
        <v>459</v>
      </c>
      <c r="I222" s="252" t="s">
        <v>557</v>
      </c>
      <c r="J222" s="252" t="s">
        <v>566</v>
      </c>
      <c r="K222" s="253" t="s">
        <v>892</v>
      </c>
      <c r="L222" s="250">
        <v>2016</v>
      </c>
      <c r="M222" s="258">
        <v>0.18126817160839651</v>
      </c>
      <c r="N222" s="259">
        <v>81844862.404051378</v>
      </c>
      <c r="O222" s="254">
        <v>451512594.17381495</v>
      </c>
      <c r="P222" s="258">
        <v>0.13601750285141417</v>
      </c>
      <c r="Q222" s="258">
        <v>0.16907603000264229</v>
      </c>
      <c r="R222" s="258">
        <v>0.18126817160839651</v>
      </c>
      <c r="S222" s="258">
        <v>0.18126817160839651</v>
      </c>
      <c r="T222" s="258">
        <v>0.18126817160839651</v>
      </c>
      <c r="U222" s="258">
        <v>0.16314135444755687</v>
      </c>
      <c r="V222" s="258">
        <v>0.15407794586713702</v>
      </c>
      <c r="W222" s="258">
        <v>0.1188167080605123</v>
      </c>
      <c r="X222" s="258">
        <v>61851392.578084372</v>
      </c>
      <c r="Y222" s="258">
        <v>520561405.779598</v>
      </c>
      <c r="Z222" s="255" t="s">
        <v>862</v>
      </c>
      <c r="AA222" s="255" t="s">
        <v>635</v>
      </c>
      <c r="AB222" s="255"/>
    </row>
    <row r="223" spans="1:28" s="256" customFormat="1" ht="56.25">
      <c r="A223" s="250">
        <v>218</v>
      </c>
      <c r="B223" s="250" t="s">
        <v>11</v>
      </c>
      <c r="C223" s="250" t="s">
        <v>920</v>
      </c>
      <c r="D223" s="250" t="s">
        <v>932</v>
      </c>
      <c r="E223" s="250" t="s">
        <v>554</v>
      </c>
      <c r="F223" s="251" t="s">
        <v>568</v>
      </c>
      <c r="G223" s="251" t="s">
        <v>556</v>
      </c>
      <c r="H223" s="251" t="s">
        <v>459</v>
      </c>
      <c r="I223" s="252" t="s">
        <v>557</v>
      </c>
      <c r="J223" s="252" t="s">
        <v>568</v>
      </c>
      <c r="K223" s="253" t="s">
        <v>892</v>
      </c>
      <c r="L223" s="250">
        <v>2016</v>
      </c>
      <c r="M223" s="258">
        <v>-0.33322232477707009</v>
      </c>
      <c r="N223" s="259">
        <v>-41848.653508108429</v>
      </c>
      <c r="O223" s="254">
        <v>125587.78448024364</v>
      </c>
      <c r="P223" s="258">
        <v>0.50547076205732644</v>
      </c>
      <c r="Q223" s="258">
        <v>0.37010732022416259</v>
      </c>
      <c r="R223" s="258">
        <v>-0.33322232477707009</v>
      </c>
      <c r="S223" s="258">
        <v>-0.33322232477707009</v>
      </c>
      <c r="T223" s="258">
        <v>-0.33322232477707009</v>
      </c>
      <c r="U223" s="258">
        <v>-0.33322232477707009</v>
      </c>
      <c r="V223" s="258">
        <v>-0.33322232477707009</v>
      </c>
      <c r="W223" s="258">
        <v>-2.9280900898480455</v>
      </c>
      <c r="X223" s="258">
        <v>-206981.60364246322</v>
      </c>
      <c r="Y223" s="258">
        <v>70688.263438371403</v>
      </c>
      <c r="Z223" s="255" t="s">
        <v>862</v>
      </c>
      <c r="AA223" s="255" t="s">
        <v>635</v>
      </c>
      <c r="AB223" s="255"/>
    </row>
    <row r="224" spans="1:28" s="256" customFormat="1" ht="48">
      <c r="A224" s="250">
        <v>219</v>
      </c>
      <c r="B224" s="250" t="s">
        <v>11</v>
      </c>
      <c r="C224" s="250" t="s">
        <v>920</v>
      </c>
      <c r="D224" s="250" t="s">
        <v>933</v>
      </c>
      <c r="E224" s="250" t="s">
        <v>934</v>
      </c>
      <c r="F224" s="251" t="s">
        <v>398</v>
      </c>
      <c r="G224" s="251" t="s">
        <v>887</v>
      </c>
      <c r="H224" s="251" t="s">
        <v>645</v>
      </c>
      <c r="I224" s="252" t="s">
        <v>935</v>
      </c>
      <c r="J224" s="252" t="s">
        <v>936</v>
      </c>
      <c r="K224" s="253" t="s">
        <v>892</v>
      </c>
      <c r="L224" s="250" t="s">
        <v>648</v>
      </c>
      <c r="M224" s="257" t="s">
        <v>648</v>
      </c>
      <c r="N224" s="257" t="s">
        <v>648</v>
      </c>
      <c r="O224" s="257" t="s">
        <v>648</v>
      </c>
      <c r="P224" s="257" t="s">
        <v>648</v>
      </c>
      <c r="Q224" s="257" t="s">
        <v>648</v>
      </c>
      <c r="R224" s="257" t="s">
        <v>648</v>
      </c>
      <c r="S224" s="257" t="s">
        <v>648</v>
      </c>
      <c r="T224" s="257" t="s">
        <v>648</v>
      </c>
      <c r="U224" s="257" t="s">
        <v>648</v>
      </c>
      <c r="V224" s="257" t="s">
        <v>648</v>
      </c>
      <c r="W224" s="257">
        <v>17170856</v>
      </c>
      <c r="X224" s="257" t="s">
        <v>648</v>
      </c>
      <c r="Y224" s="257" t="s">
        <v>648</v>
      </c>
      <c r="Z224" s="255" t="s">
        <v>937</v>
      </c>
      <c r="AA224" s="255" t="s">
        <v>938</v>
      </c>
      <c r="AB224" s="255"/>
    </row>
    <row r="225" spans="1:28" s="256" customFormat="1" ht="51">
      <c r="A225" s="250">
        <v>220</v>
      </c>
      <c r="B225" s="250" t="s">
        <v>11</v>
      </c>
      <c r="C225" s="250" t="s">
        <v>920</v>
      </c>
      <c r="D225" s="250" t="s">
        <v>939</v>
      </c>
      <c r="E225" s="250" t="s">
        <v>940</v>
      </c>
      <c r="F225" s="251" t="s">
        <v>617</v>
      </c>
      <c r="G225" s="251" t="s">
        <v>941</v>
      </c>
      <c r="H225" s="251" t="s">
        <v>459</v>
      </c>
      <c r="I225" s="252" t="s">
        <v>942</v>
      </c>
      <c r="J225" s="252" t="s">
        <v>942</v>
      </c>
      <c r="K225" s="253" t="s">
        <v>892</v>
      </c>
      <c r="L225" s="250">
        <v>2016</v>
      </c>
      <c r="M225" s="268">
        <f>N225/O225</f>
        <v>6.1765552618493029E-3</v>
      </c>
      <c r="N225" s="329">
        <v>472</v>
      </c>
      <c r="O225" s="329">
        <v>76418</v>
      </c>
      <c r="P225" s="268">
        <v>6.3678179256068702E-3</v>
      </c>
      <c r="Q225" s="268">
        <v>4.768299526978273E-2</v>
      </c>
      <c r="R225" s="268">
        <v>8.8942395770629963E-3</v>
      </c>
      <c r="S225" s="268">
        <v>1.0673087492475595E-2</v>
      </c>
      <c r="T225" s="268">
        <v>1.2807704990970713E-2</v>
      </c>
      <c r="U225" s="268">
        <v>1.2950012824203721E-2</v>
      </c>
      <c r="V225" s="268">
        <v>1.5540015389044464E-2</v>
      </c>
      <c r="W225" s="268">
        <v>4.0743991358358086E-2</v>
      </c>
      <c r="X225" s="268">
        <v>2414</v>
      </c>
      <c r="Y225" s="268">
        <v>59248</v>
      </c>
      <c r="Z225" s="255" t="s">
        <v>943</v>
      </c>
      <c r="AA225" s="255" t="s">
        <v>840</v>
      </c>
      <c r="AB225" s="255" t="s">
        <v>944</v>
      </c>
    </row>
    <row r="226" spans="1:28" s="256" customFormat="1" ht="38.25">
      <c r="A226" s="250">
        <v>221</v>
      </c>
      <c r="B226" s="250" t="s">
        <v>11</v>
      </c>
      <c r="C226" s="250" t="s">
        <v>920</v>
      </c>
      <c r="D226" s="250" t="s">
        <v>939</v>
      </c>
      <c r="E226" s="250" t="s">
        <v>945</v>
      </c>
      <c r="F226" s="251" t="s">
        <v>643</v>
      </c>
      <c r="G226" s="251" t="s">
        <v>946</v>
      </c>
      <c r="H226" s="251" t="s">
        <v>459</v>
      </c>
      <c r="I226" s="252" t="s">
        <v>947</v>
      </c>
      <c r="J226" s="252" t="s">
        <v>948</v>
      </c>
      <c r="K226" s="253" t="s">
        <v>892</v>
      </c>
      <c r="L226" s="250">
        <v>2016</v>
      </c>
      <c r="M226" s="254">
        <f>N226/O226</f>
        <v>547307882.29158056</v>
      </c>
      <c r="N226" s="329">
        <v>41824173748958</v>
      </c>
      <c r="O226" s="329">
        <v>76418</v>
      </c>
      <c r="P226" s="254">
        <v>483536403.85664433</v>
      </c>
      <c r="Q226" s="271">
        <v>223052888.07354283</v>
      </c>
      <c r="R226" s="271">
        <f>M226</f>
        <v>547307882.29158056</v>
      </c>
      <c r="S226" s="271">
        <f>M226</f>
        <v>547307882.29158056</v>
      </c>
      <c r="T226" s="271">
        <f>M226</f>
        <v>547307882.29158056</v>
      </c>
      <c r="U226" s="279">
        <f>M226*0.98</f>
        <v>536361724.64574891</v>
      </c>
      <c r="V226" s="279">
        <f>M226*0.95</f>
        <v>519942488.17700148</v>
      </c>
      <c r="W226" s="271">
        <v>195331420.87391979</v>
      </c>
      <c r="X226" s="271">
        <v>11572996023938</v>
      </c>
      <c r="Y226" s="271">
        <v>59248</v>
      </c>
      <c r="Z226" s="255" t="s">
        <v>949</v>
      </c>
      <c r="AA226" s="255"/>
      <c r="AB226" s="255"/>
    </row>
    <row r="227" spans="1:28" s="256" customFormat="1" ht="63.75">
      <c r="A227" s="250">
        <v>222</v>
      </c>
      <c r="B227" s="250" t="s">
        <v>11</v>
      </c>
      <c r="C227" s="250" t="s">
        <v>920</v>
      </c>
      <c r="D227" s="250" t="s">
        <v>950</v>
      </c>
      <c r="E227" s="250" t="s">
        <v>951</v>
      </c>
      <c r="F227" s="251" t="s">
        <v>617</v>
      </c>
      <c r="G227" s="251" t="s">
        <v>952</v>
      </c>
      <c r="H227" s="251" t="s">
        <v>645</v>
      </c>
      <c r="I227" s="252" t="s">
        <v>953</v>
      </c>
      <c r="J227" s="252" t="s">
        <v>953</v>
      </c>
      <c r="K227" s="253" t="s">
        <v>892</v>
      </c>
      <c r="L227" s="250" t="s">
        <v>648</v>
      </c>
      <c r="M227" s="257" t="s">
        <v>648</v>
      </c>
      <c r="N227" s="257" t="s">
        <v>648</v>
      </c>
      <c r="O227" s="257" t="s">
        <v>648</v>
      </c>
      <c r="P227" s="257" t="s">
        <v>648</v>
      </c>
      <c r="Q227" s="257" t="s">
        <v>648</v>
      </c>
      <c r="R227" s="257" t="s">
        <v>648</v>
      </c>
      <c r="S227" s="257" t="s">
        <v>648</v>
      </c>
      <c r="T227" s="257" t="s">
        <v>648</v>
      </c>
      <c r="U227" s="257" t="s">
        <v>648</v>
      </c>
      <c r="V227" s="257" t="s">
        <v>648</v>
      </c>
      <c r="W227" s="257" t="s">
        <v>648</v>
      </c>
      <c r="X227" s="257" t="s">
        <v>648</v>
      </c>
      <c r="Y227" s="257" t="s">
        <v>648</v>
      </c>
      <c r="Z227" s="255" t="s">
        <v>954</v>
      </c>
      <c r="AA227" s="255" t="s">
        <v>840</v>
      </c>
      <c r="AB227" s="255"/>
    </row>
    <row r="228" spans="1:28" s="256" customFormat="1" ht="45">
      <c r="A228" s="250">
        <v>223</v>
      </c>
      <c r="B228" s="250" t="s">
        <v>11</v>
      </c>
      <c r="C228" s="250" t="s">
        <v>955</v>
      </c>
      <c r="D228" s="250" t="s">
        <v>956</v>
      </c>
      <c r="E228" s="250" t="s">
        <v>490</v>
      </c>
      <c r="F228" s="251" t="s">
        <v>779</v>
      </c>
      <c r="G228" s="251" t="s">
        <v>492</v>
      </c>
      <c r="H228" s="251" t="s">
        <v>459</v>
      </c>
      <c r="I228" s="252" t="s">
        <v>957</v>
      </c>
      <c r="J228" s="252" t="s">
        <v>491</v>
      </c>
      <c r="K228" s="253" t="s">
        <v>958</v>
      </c>
      <c r="L228" s="250">
        <v>2016</v>
      </c>
      <c r="M228" s="254">
        <v>10545.647899677248</v>
      </c>
      <c r="N228" s="257" t="s">
        <v>41</v>
      </c>
      <c r="O228" s="257" t="s">
        <v>41</v>
      </c>
      <c r="P228" s="254">
        <v>7997.8585077831585</v>
      </c>
      <c r="Q228" s="254">
        <v>3507.8032270863928</v>
      </c>
      <c r="R228" s="254">
        <f>15.760037928495*10^3</f>
        <v>15760.037928495001</v>
      </c>
      <c r="S228" s="254">
        <f>16.1132354887572*10^3</f>
        <v>16113.235488757202</v>
      </c>
      <c r="T228" s="254">
        <f>16.2839208429086*10^3</f>
        <v>16283.920842908599</v>
      </c>
      <c r="U228" s="254">
        <f>14.4216422561833*10^3</f>
        <v>14421.642256183301</v>
      </c>
      <c r="V228" s="254">
        <f>11.0456895108974*10^3</f>
        <v>11045.6895108974</v>
      </c>
      <c r="W228" s="254">
        <v>1954.7928523908899</v>
      </c>
      <c r="X228" s="254" t="s">
        <v>41</v>
      </c>
      <c r="Y228" s="254" t="s">
        <v>41</v>
      </c>
      <c r="Z228" s="255" t="s">
        <v>781</v>
      </c>
      <c r="AA228" s="255" t="s">
        <v>782</v>
      </c>
      <c r="AB228" s="255"/>
    </row>
    <row r="229" spans="1:28" s="256" customFormat="1" ht="45">
      <c r="A229" s="250">
        <v>224</v>
      </c>
      <c r="B229" s="250" t="s">
        <v>11</v>
      </c>
      <c r="C229" s="250" t="s">
        <v>955</v>
      </c>
      <c r="D229" s="250" t="s">
        <v>956</v>
      </c>
      <c r="E229" s="250" t="s">
        <v>490</v>
      </c>
      <c r="F229" s="251" t="s">
        <v>779</v>
      </c>
      <c r="G229" s="251" t="s">
        <v>492</v>
      </c>
      <c r="H229" s="251" t="s">
        <v>459</v>
      </c>
      <c r="I229" s="252" t="s">
        <v>957</v>
      </c>
      <c r="J229" s="252" t="s">
        <v>496</v>
      </c>
      <c r="K229" s="253" t="s">
        <v>958</v>
      </c>
      <c r="L229" s="250">
        <v>2016</v>
      </c>
      <c r="M229" s="254">
        <v>7653.2977714488516</v>
      </c>
      <c r="N229" s="257" t="s">
        <v>41</v>
      </c>
      <c r="O229" s="257" t="s">
        <v>41</v>
      </c>
      <c r="P229" s="254">
        <v>5199.4703820569612</v>
      </c>
      <c r="Q229" s="254">
        <v>2889.1322952182527</v>
      </c>
      <c r="R229" s="254">
        <f>11.6746712516635*10^3</f>
        <v>11674.671251663502</v>
      </c>
      <c r="S229" s="254">
        <f>11.8906002500367*10^3</f>
        <v>11890.600250036699</v>
      </c>
      <c r="T229" s="254">
        <f>12.0205459030956*10^3</f>
        <v>12020.545903095601</v>
      </c>
      <c r="U229" s="254">
        <f>11.0711010720317*10^3</f>
        <v>11071.101072031701</v>
      </c>
      <c r="V229" s="254">
        <f>9.35737652382999*10^3</f>
        <v>9357.3765238299893</v>
      </c>
      <c r="W229" s="254">
        <v>1324.69225669056</v>
      </c>
      <c r="X229" s="254" t="s">
        <v>41</v>
      </c>
      <c r="Y229" s="254" t="s">
        <v>41</v>
      </c>
      <c r="Z229" s="255" t="s">
        <v>781</v>
      </c>
      <c r="AA229" s="255" t="s">
        <v>782</v>
      </c>
      <c r="AB229" s="255"/>
    </row>
    <row r="230" spans="1:28" s="256" customFormat="1" ht="45">
      <c r="A230" s="250">
        <v>225</v>
      </c>
      <c r="B230" s="250" t="s">
        <v>11</v>
      </c>
      <c r="C230" s="250" t="s">
        <v>955</v>
      </c>
      <c r="D230" s="250" t="s">
        <v>956</v>
      </c>
      <c r="E230" s="250" t="s">
        <v>490</v>
      </c>
      <c r="F230" s="251" t="s">
        <v>784</v>
      </c>
      <c r="G230" s="251" t="s">
        <v>492</v>
      </c>
      <c r="H230" s="251" t="s">
        <v>459</v>
      </c>
      <c r="I230" s="252" t="s">
        <v>957</v>
      </c>
      <c r="J230" s="252" t="s">
        <v>497</v>
      </c>
      <c r="K230" s="253" t="s">
        <v>958</v>
      </c>
      <c r="L230" s="250">
        <v>2016</v>
      </c>
      <c r="M230" s="254">
        <v>48200587.82380721</v>
      </c>
      <c r="N230" s="257" t="s">
        <v>41</v>
      </c>
      <c r="O230" s="257" t="s">
        <v>41</v>
      </c>
      <c r="P230" s="254">
        <v>44751046.718610011</v>
      </c>
      <c r="Q230" s="254">
        <v>28870444.211400062</v>
      </c>
      <c r="R230" s="254">
        <f>113.151758929739*10^6</f>
        <v>113151758.929739</v>
      </c>
      <c r="S230" s="254">
        <f>110.069014407838*10^6</f>
        <v>110069014.407838</v>
      </c>
      <c r="T230" s="254">
        <f>107.052877189138*10^6</f>
        <v>107052877.189138</v>
      </c>
      <c r="U230" s="254">
        <f>89.2342859079086*10^6</f>
        <v>89234285.907908604</v>
      </c>
      <c r="V230" s="254">
        <f>66.7040189363693*10^6</f>
        <v>66704018.936369292</v>
      </c>
      <c r="W230" s="254">
        <v>22553180.454305999</v>
      </c>
      <c r="X230" s="254" t="s">
        <v>41</v>
      </c>
      <c r="Y230" s="254" t="s">
        <v>41</v>
      </c>
      <c r="Z230" s="255" t="s">
        <v>781</v>
      </c>
      <c r="AA230" s="255" t="s">
        <v>782</v>
      </c>
      <c r="AB230" s="255"/>
    </row>
    <row r="231" spans="1:28" s="256" customFormat="1" ht="45">
      <c r="A231" s="250">
        <v>226</v>
      </c>
      <c r="B231" s="250" t="s">
        <v>11</v>
      </c>
      <c r="C231" s="250" t="s">
        <v>955</v>
      </c>
      <c r="D231" s="250" t="s">
        <v>956</v>
      </c>
      <c r="E231" s="250" t="s">
        <v>490</v>
      </c>
      <c r="F231" s="251" t="s">
        <v>784</v>
      </c>
      <c r="G231" s="251" t="s">
        <v>492</v>
      </c>
      <c r="H231" s="251" t="s">
        <v>459</v>
      </c>
      <c r="I231" s="252" t="s">
        <v>957</v>
      </c>
      <c r="J231" s="252" t="s">
        <v>498</v>
      </c>
      <c r="K231" s="253" t="s">
        <v>958</v>
      </c>
      <c r="L231" s="250">
        <v>2016</v>
      </c>
      <c r="M231" s="254">
        <v>37054340.719531395</v>
      </c>
      <c r="N231" s="257" t="s">
        <v>41</v>
      </c>
      <c r="O231" s="257" t="s">
        <v>41</v>
      </c>
      <c r="P231" s="254">
        <v>29086750.899777491</v>
      </c>
      <c r="Q231" s="254">
        <v>23940383.528170053</v>
      </c>
      <c r="R231" s="254">
        <f>81.6402607590488*10^6</f>
        <v>81640260.759048805</v>
      </c>
      <c r="S231" s="254">
        <f>79.4509535496852*10^6</f>
        <v>79450953.549685195</v>
      </c>
      <c r="T231" s="254">
        <f>77.5415766651253*10^6</f>
        <v>77541576.66512531</v>
      </c>
      <c r="U231" s="254">
        <f>67.2091981123455*10^6</f>
        <v>67209198.112345502</v>
      </c>
      <c r="V231" s="254">
        <f>55.1917664407589*10^6</f>
        <v>55191766.440758899</v>
      </c>
      <c r="W231" s="254">
        <v>18362189.750248998</v>
      </c>
      <c r="X231" s="254" t="s">
        <v>41</v>
      </c>
      <c r="Y231" s="254" t="s">
        <v>41</v>
      </c>
      <c r="Z231" s="255" t="s">
        <v>781</v>
      </c>
      <c r="AA231" s="255" t="s">
        <v>782</v>
      </c>
      <c r="AB231" s="255"/>
    </row>
    <row r="232" spans="1:28" s="256" customFormat="1" ht="45">
      <c r="A232" s="250">
        <v>227</v>
      </c>
      <c r="B232" s="250" t="s">
        <v>11</v>
      </c>
      <c r="C232" s="250" t="s">
        <v>955</v>
      </c>
      <c r="D232" s="250" t="s">
        <v>956</v>
      </c>
      <c r="E232" s="250" t="s">
        <v>490</v>
      </c>
      <c r="F232" s="251" t="s">
        <v>785</v>
      </c>
      <c r="G232" s="251" t="s">
        <v>492</v>
      </c>
      <c r="H232" s="251" t="s">
        <v>459</v>
      </c>
      <c r="I232" s="252" t="s">
        <v>957</v>
      </c>
      <c r="J232" s="252" t="s">
        <v>499</v>
      </c>
      <c r="K232" s="253" t="s">
        <v>958</v>
      </c>
      <c r="L232" s="250">
        <v>2016</v>
      </c>
      <c r="M232" s="254">
        <v>3038179.0668142885</v>
      </c>
      <c r="N232" s="257" t="s">
        <v>41</v>
      </c>
      <c r="O232" s="257" t="s">
        <v>41</v>
      </c>
      <c r="P232" s="254">
        <v>5810077.4540417446</v>
      </c>
      <c r="Q232" s="254">
        <v>4446418.9527574461</v>
      </c>
      <c r="R232" s="254">
        <f>4.53616539214334*10^6</f>
        <v>4536165.3921433399</v>
      </c>
      <c r="S232" s="254">
        <f>4.68045880949946*10^6</f>
        <v>4680458.8094994603</v>
      </c>
      <c r="T232" s="254">
        <f>4.91192672706454*10^6</f>
        <v>4911926.7270645406</v>
      </c>
      <c r="U232" s="254">
        <f>7.99936434513452*10^6</f>
        <v>7999364.34513452</v>
      </c>
      <c r="V232" s="254">
        <f>9.26639353746893*10^6</f>
        <v>9266393.5374689307</v>
      </c>
      <c r="W232" s="254">
        <v>8219934.6456385497</v>
      </c>
      <c r="X232" s="254" t="s">
        <v>41</v>
      </c>
      <c r="Y232" s="254" t="s">
        <v>41</v>
      </c>
      <c r="Z232" s="255" t="s">
        <v>781</v>
      </c>
      <c r="AA232" s="255" t="s">
        <v>782</v>
      </c>
      <c r="AB232" s="255"/>
    </row>
    <row r="233" spans="1:28" s="256" customFormat="1" ht="45">
      <c r="A233" s="250">
        <v>228</v>
      </c>
      <c r="B233" s="250" t="s">
        <v>11</v>
      </c>
      <c r="C233" s="250" t="s">
        <v>955</v>
      </c>
      <c r="D233" s="250" t="s">
        <v>956</v>
      </c>
      <c r="E233" s="250" t="s">
        <v>490</v>
      </c>
      <c r="F233" s="251" t="s">
        <v>785</v>
      </c>
      <c r="G233" s="251" t="s">
        <v>492</v>
      </c>
      <c r="H233" s="251" t="s">
        <v>459</v>
      </c>
      <c r="I233" s="252" t="s">
        <v>957</v>
      </c>
      <c r="J233" s="252" t="s">
        <v>500</v>
      </c>
      <c r="K233" s="253" t="s">
        <v>958</v>
      </c>
      <c r="L233" s="250">
        <v>2016</v>
      </c>
      <c r="M233" s="254">
        <v>2127793.5321725765</v>
      </c>
      <c r="N233" s="257" t="s">
        <v>41</v>
      </c>
      <c r="O233" s="257" t="s">
        <v>41</v>
      </c>
      <c r="P233" s="254">
        <v>3673616.4966939106</v>
      </c>
      <c r="Q233" s="254">
        <v>3360101.1765276426</v>
      </c>
      <c r="R233" s="254">
        <f>4.31783549844976*10^6</f>
        <v>4317835.4984497605</v>
      </c>
      <c r="S233" s="254">
        <f>4.44980528511417*10^6</f>
        <v>4449805.2851141701</v>
      </c>
      <c r="T233" s="254">
        <f>4.64731229582766*10^6</f>
        <v>4647312.2958276598</v>
      </c>
      <c r="U233" s="254">
        <f>6.70812529222242*10^6</f>
        <v>6708125.2922224207</v>
      </c>
      <c r="V233" s="254">
        <f>7.70171407764482*10^6</f>
        <v>7701714.0776448203</v>
      </c>
      <c r="W233" s="254">
        <v>5425296.12462545</v>
      </c>
      <c r="X233" s="254" t="s">
        <v>41</v>
      </c>
      <c r="Y233" s="254" t="s">
        <v>41</v>
      </c>
      <c r="Z233" s="255" t="s">
        <v>781</v>
      </c>
      <c r="AA233" s="255" t="s">
        <v>782</v>
      </c>
      <c r="AB233" s="255"/>
    </row>
    <row r="234" spans="1:28" s="256" customFormat="1" ht="45">
      <c r="A234" s="250">
        <v>229</v>
      </c>
      <c r="B234" s="250" t="s">
        <v>11</v>
      </c>
      <c r="C234" s="250" t="s">
        <v>955</v>
      </c>
      <c r="D234" s="250" t="s">
        <v>956</v>
      </c>
      <c r="E234" s="250" t="s">
        <v>490</v>
      </c>
      <c r="F234" s="251" t="s">
        <v>779</v>
      </c>
      <c r="G234" s="251" t="s">
        <v>492</v>
      </c>
      <c r="H234" s="251" t="s">
        <v>459</v>
      </c>
      <c r="I234" s="252" t="s">
        <v>957</v>
      </c>
      <c r="J234" s="252" t="s">
        <v>501</v>
      </c>
      <c r="K234" s="253" t="s">
        <v>958</v>
      </c>
      <c r="L234" s="250">
        <v>2016</v>
      </c>
      <c r="M234" s="254">
        <v>75129.365151508464</v>
      </c>
      <c r="N234" s="257" t="s">
        <v>41</v>
      </c>
      <c r="O234" s="257" t="s">
        <v>41</v>
      </c>
      <c r="P234" s="254">
        <v>90576.234139123088</v>
      </c>
      <c r="Q234" s="254">
        <v>44133.319848022897</v>
      </c>
      <c r="R234" s="254">
        <f>112.273458138621*10^3</f>
        <v>112273.45813862099</v>
      </c>
      <c r="S234" s="254">
        <f>114.789613980167*10^3</f>
        <v>114789.61398016701</v>
      </c>
      <c r="T234" s="254">
        <f>116.005565049012*10^3</f>
        <v>116005.565049012</v>
      </c>
      <c r="U234" s="254">
        <f>102.7388167139*10^3</f>
        <v>102738.8167139</v>
      </c>
      <c r="V234" s="254">
        <f>78.6887547187761*10^3</f>
        <v>78688.754718776094</v>
      </c>
      <c r="W234" s="254">
        <v>25148.783181827199</v>
      </c>
      <c r="X234" s="254" t="s">
        <v>41</v>
      </c>
      <c r="Y234" s="254" t="s">
        <v>41</v>
      </c>
      <c r="Z234" s="255" t="s">
        <v>781</v>
      </c>
      <c r="AA234" s="255" t="s">
        <v>782</v>
      </c>
      <c r="AB234" s="255"/>
    </row>
    <row r="235" spans="1:28" s="256" customFormat="1" ht="45">
      <c r="A235" s="250">
        <v>230</v>
      </c>
      <c r="B235" s="250" t="s">
        <v>11</v>
      </c>
      <c r="C235" s="250" t="s">
        <v>955</v>
      </c>
      <c r="D235" s="250" t="s">
        <v>956</v>
      </c>
      <c r="E235" s="250" t="s">
        <v>490</v>
      </c>
      <c r="F235" s="251" t="s">
        <v>779</v>
      </c>
      <c r="G235" s="251" t="s">
        <v>492</v>
      </c>
      <c r="H235" s="251" t="s">
        <v>459</v>
      </c>
      <c r="I235" s="252" t="s">
        <v>957</v>
      </c>
      <c r="J235" s="252" t="s">
        <v>504</v>
      </c>
      <c r="K235" s="253" t="s">
        <v>958</v>
      </c>
      <c r="L235" s="250">
        <v>2016</v>
      </c>
      <c r="M235" s="254">
        <v>53710.373876986443</v>
      </c>
      <c r="N235" s="257" t="s">
        <v>41</v>
      </c>
      <c r="O235" s="257" t="s">
        <v>41</v>
      </c>
      <c r="P235" s="254">
        <v>58880.470133396346</v>
      </c>
      <c r="Q235" s="254">
        <v>36810.976671642296</v>
      </c>
      <c r="R235" s="254">
        <f>81.4743765536572*10^3</f>
        <v>81474.376553657188</v>
      </c>
      <c r="S235" s="254">
        <f>83.3002954475837*10^3</f>
        <v>83300.295447583689</v>
      </c>
      <c r="T235" s="254">
        <f>84.1826843656447*10^3</f>
        <v>84182.684365644702</v>
      </c>
      <c r="U235" s="254">
        <f>74.5552972038195*10^3</f>
        <v>74555.2972038195</v>
      </c>
      <c r="V235" s="254">
        <f>57.102696744054*10^3</f>
        <v>57102.696744054003</v>
      </c>
      <c r="W235" s="254">
        <v>16998.542872978502</v>
      </c>
      <c r="X235" s="254" t="s">
        <v>41</v>
      </c>
      <c r="Y235" s="254" t="s">
        <v>41</v>
      </c>
      <c r="Z235" s="255" t="s">
        <v>781</v>
      </c>
      <c r="AA235" s="255" t="s">
        <v>782</v>
      </c>
      <c r="AB235" s="255"/>
    </row>
    <row r="236" spans="1:28" s="256" customFormat="1" ht="45">
      <c r="A236" s="250">
        <v>231</v>
      </c>
      <c r="B236" s="250" t="s">
        <v>11</v>
      </c>
      <c r="C236" s="250" t="s">
        <v>955</v>
      </c>
      <c r="D236" s="250" t="s">
        <v>956</v>
      </c>
      <c r="E236" s="250" t="s">
        <v>490</v>
      </c>
      <c r="F236" s="251" t="s">
        <v>784</v>
      </c>
      <c r="G236" s="251" t="s">
        <v>492</v>
      </c>
      <c r="H236" s="251" t="s">
        <v>459</v>
      </c>
      <c r="I236" s="252" t="s">
        <v>957</v>
      </c>
      <c r="J236" s="252" t="s">
        <v>505</v>
      </c>
      <c r="K236" s="253" t="s">
        <v>958</v>
      </c>
      <c r="L236" s="250">
        <v>2016</v>
      </c>
      <c r="M236" s="254">
        <v>429138678.17294449</v>
      </c>
      <c r="N236" s="257" t="s">
        <v>41</v>
      </c>
      <c r="O236" s="257" t="s">
        <v>41</v>
      </c>
      <c r="P236" s="254">
        <v>575639447.7011565</v>
      </c>
      <c r="Q236" s="254">
        <v>359744550.49640077</v>
      </c>
      <c r="R236" s="254">
        <f>1007.41086893967*10^6</f>
        <v>1007410868.93967</v>
      </c>
      <c r="S236" s="254">
        <f>979.964628890885*10^6</f>
        <v>979964628.890885</v>
      </c>
      <c r="T236" s="254">
        <f>953.111405882495*10^6</f>
        <v>953111405.88249493</v>
      </c>
      <c r="U236" s="254">
        <f>794.469218649239*10^6</f>
        <v>794469218.64923894</v>
      </c>
      <c r="V236" s="254">
        <f>593.87811832587*10^6</f>
        <v>593878118.32587004</v>
      </c>
      <c r="W236" s="254">
        <v>218201026.74555299</v>
      </c>
      <c r="X236" s="254" t="s">
        <v>41</v>
      </c>
      <c r="Y236" s="254" t="s">
        <v>41</v>
      </c>
      <c r="Z236" s="255" t="s">
        <v>781</v>
      </c>
      <c r="AA236" s="255" t="s">
        <v>782</v>
      </c>
      <c r="AB236" s="255"/>
    </row>
    <row r="237" spans="1:28" s="256" customFormat="1" ht="45">
      <c r="A237" s="250">
        <v>232</v>
      </c>
      <c r="B237" s="250" t="s">
        <v>11</v>
      </c>
      <c r="C237" s="250" t="s">
        <v>955</v>
      </c>
      <c r="D237" s="250" t="s">
        <v>956</v>
      </c>
      <c r="E237" s="250" t="s">
        <v>490</v>
      </c>
      <c r="F237" s="251" t="s">
        <v>784</v>
      </c>
      <c r="G237" s="251" t="s">
        <v>492</v>
      </c>
      <c r="H237" s="251" t="s">
        <v>459</v>
      </c>
      <c r="I237" s="252" t="s">
        <v>957</v>
      </c>
      <c r="J237" s="252" t="s">
        <v>506</v>
      </c>
      <c r="K237" s="253" t="s">
        <v>958</v>
      </c>
      <c r="L237" s="250">
        <v>2016</v>
      </c>
      <c r="M237" s="254">
        <v>317604108.87555474</v>
      </c>
      <c r="N237" s="257" t="s">
        <v>41</v>
      </c>
      <c r="O237" s="257" t="s">
        <v>41</v>
      </c>
      <c r="P237" s="254">
        <v>373991177.57483768</v>
      </c>
      <c r="Q237" s="254">
        <v>301762052.46749687</v>
      </c>
      <c r="R237" s="254">
        <f>774.45001012844*10^6</f>
        <v>774450010.12844002</v>
      </c>
      <c r="S237" s="254">
        <f>753.350633956193*10^6</f>
        <v>753350633.95619297</v>
      </c>
      <c r="T237" s="254">
        <f>732.707141343574*10^6</f>
        <v>732707141.34357405</v>
      </c>
      <c r="U237" s="254">
        <f>610.750502500768*10^6</f>
        <v>610750502.50076795</v>
      </c>
      <c r="V237" s="254">
        <f>456.545515770163*10^6</f>
        <v>456545515.770163</v>
      </c>
      <c r="W237" s="254">
        <v>163089410.803065</v>
      </c>
      <c r="X237" s="254" t="s">
        <v>41</v>
      </c>
      <c r="Y237" s="254" t="s">
        <v>41</v>
      </c>
      <c r="Z237" s="255" t="s">
        <v>781</v>
      </c>
      <c r="AA237" s="255" t="s">
        <v>782</v>
      </c>
      <c r="AB237" s="255"/>
    </row>
    <row r="238" spans="1:28" s="256" customFormat="1" ht="45">
      <c r="A238" s="250">
        <v>233</v>
      </c>
      <c r="B238" s="250" t="s">
        <v>11</v>
      </c>
      <c r="C238" s="250" t="s">
        <v>955</v>
      </c>
      <c r="D238" s="250" t="s">
        <v>956</v>
      </c>
      <c r="E238" s="250" t="s">
        <v>490</v>
      </c>
      <c r="F238" s="251" t="s">
        <v>785</v>
      </c>
      <c r="G238" s="251" t="s">
        <v>492</v>
      </c>
      <c r="H238" s="251" t="s">
        <v>459</v>
      </c>
      <c r="I238" s="252" t="s">
        <v>957</v>
      </c>
      <c r="J238" s="252" t="s">
        <v>507</v>
      </c>
      <c r="K238" s="253" t="s">
        <v>958</v>
      </c>
      <c r="L238" s="250">
        <v>2016</v>
      </c>
      <c r="M238" s="254">
        <v>42101249.562544145</v>
      </c>
      <c r="N238" s="257" t="s">
        <v>41</v>
      </c>
      <c r="O238" s="257" t="s">
        <v>41</v>
      </c>
      <c r="P238" s="254">
        <v>63496533.33993645</v>
      </c>
      <c r="Q238" s="254">
        <v>37374939.101642564</v>
      </c>
      <c r="R238" s="254">
        <f>62.8594408742786*10^6</f>
        <v>62859440.874278598</v>
      </c>
      <c r="S238" s="254">
        <f>64.858971921483*10^6</f>
        <v>64858971.921483003</v>
      </c>
      <c r="T238" s="254">
        <f>68.0665145529035*10^6</f>
        <v>68066514.552903503</v>
      </c>
      <c r="U238" s="254">
        <f>110.850360737664*10^6</f>
        <v>110850360.737664</v>
      </c>
      <c r="V238" s="254">
        <f>128.408086198793*10^6</f>
        <v>128408086.19879299</v>
      </c>
      <c r="W238" s="254">
        <v>66254249.538097002</v>
      </c>
      <c r="X238" s="254" t="s">
        <v>41</v>
      </c>
      <c r="Y238" s="254" t="s">
        <v>41</v>
      </c>
      <c r="Z238" s="255" t="s">
        <v>781</v>
      </c>
      <c r="AA238" s="255" t="s">
        <v>782</v>
      </c>
      <c r="AB238" s="255"/>
    </row>
    <row r="239" spans="1:28" s="256" customFormat="1" ht="45">
      <c r="A239" s="250">
        <v>234</v>
      </c>
      <c r="B239" s="250" t="s">
        <v>11</v>
      </c>
      <c r="C239" s="250" t="s">
        <v>955</v>
      </c>
      <c r="D239" s="250" t="s">
        <v>956</v>
      </c>
      <c r="E239" s="250" t="s">
        <v>490</v>
      </c>
      <c r="F239" s="251" t="s">
        <v>785</v>
      </c>
      <c r="G239" s="251" t="s">
        <v>492</v>
      </c>
      <c r="H239" s="251" t="s">
        <v>459</v>
      </c>
      <c r="I239" s="252" t="s">
        <v>957</v>
      </c>
      <c r="J239" s="252" t="s">
        <v>508</v>
      </c>
      <c r="K239" s="253" t="s">
        <v>958</v>
      </c>
      <c r="L239" s="250">
        <v>2016</v>
      </c>
      <c r="M239" s="254">
        <v>29338609.008983675</v>
      </c>
      <c r="N239" s="257" t="s">
        <v>41</v>
      </c>
      <c r="O239" s="257" t="s">
        <v>41</v>
      </c>
      <c r="P239" s="254">
        <v>40115565.094457731</v>
      </c>
      <c r="Q239" s="254">
        <v>29355686.539092068</v>
      </c>
      <c r="R239" s="254">
        <f>44.0237198452246*10^6</f>
        <v>44023719.845224597</v>
      </c>
      <c r="S239" s="254">
        <f>45.4240949268295*10^6</f>
        <v>45424094.926829495</v>
      </c>
      <c r="T239" s="254">
        <f>47.6705030436261*10^6</f>
        <v>47670503.0436261</v>
      </c>
      <c r="U239" s="254">
        <f>77.6342448800537*10^6</f>
        <v>77634244.880053699</v>
      </c>
      <c r="V239" s="254">
        <f>89.9308287514578*10^6</f>
        <v>89930828.751457796</v>
      </c>
      <c r="W239" s="254">
        <v>43322785.635733902</v>
      </c>
      <c r="X239" s="254" t="s">
        <v>41</v>
      </c>
      <c r="Y239" s="254" t="s">
        <v>41</v>
      </c>
      <c r="Z239" s="255" t="s">
        <v>781</v>
      </c>
      <c r="AA239" s="255" t="s">
        <v>782</v>
      </c>
      <c r="AB239" s="255"/>
    </row>
    <row r="240" spans="1:28" s="256" customFormat="1" ht="24">
      <c r="A240" s="250">
        <v>235</v>
      </c>
      <c r="B240" s="250" t="s">
        <v>11</v>
      </c>
      <c r="C240" s="250" t="s">
        <v>955</v>
      </c>
      <c r="D240" s="250" t="s">
        <v>959</v>
      </c>
      <c r="E240" s="250" t="s">
        <v>481</v>
      </c>
      <c r="F240" s="251" t="s">
        <v>482</v>
      </c>
      <c r="G240" s="251" t="s">
        <v>578</v>
      </c>
      <c r="H240" s="251" t="s">
        <v>459</v>
      </c>
      <c r="I240" s="252" t="s">
        <v>484</v>
      </c>
      <c r="J240" s="252" t="s">
        <v>485</v>
      </c>
      <c r="K240" s="253" t="s">
        <v>958</v>
      </c>
      <c r="L240" s="250">
        <v>2016</v>
      </c>
      <c r="M240" s="254">
        <v>17162.862986197841</v>
      </c>
      <c r="N240" s="257" t="s">
        <v>41</v>
      </c>
      <c r="O240" s="257" t="s">
        <v>41</v>
      </c>
      <c r="P240" s="254">
        <v>13390.545704637208</v>
      </c>
      <c r="Q240" s="254">
        <v>2581.7404913801984</v>
      </c>
      <c r="R240" s="254">
        <v>37814.511271636307</v>
      </c>
      <c r="S240" s="254">
        <v>36800.457894346211</v>
      </c>
      <c r="T240" s="254">
        <v>35916.063931714387</v>
      </c>
      <c r="U240" s="254">
        <v>31130.26533658191</v>
      </c>
      <c r="V240" s="254">
        <v>25563.976091836183</v>
      </c>
      <c r="W240" s="254">
        <v>1818.478372281827</v>
      </c>
      <c r="X240" s="254" t="s">
        <v>41</v>
      </c>
      <c r="Y240" s="254" t="s">
        <v>41</v>
      </c>
      <c r="Z240" s="255" t="s">
        <v>803</v>
      </c>
      <c r="AA240" s="255" t="s">
        <v>580</v>
      </c>
      <c r="AB240" s="255"/>
    </row>
    <row r="241" spans="1:28" s="256" customFormat="1" ht="89.25">
      <c r="A241" s="250">
        <v>236</v>
      </c>
      <c r="B241" s="250" t="s">
        <v>11</v>
      </c>
      <c r="C241" s="250" t="s">
        <v>955</v>
      </c>
      <c r="D241" s="250" t="s">
        <v>960</v>
      </c>
      <c r="E241" s="250" t="s">
        <v>816</v>
      </c>
      <c r="F241" s="251" t="s">
        <v>617</v>
      </c>
      <c r="G241" s="251" t="s">
        <v>618</v>
      </c>
      <c r="H241" s="251" t="s">
        <v>459</v>
      </c>
      <c r="I241" s="252" t="s">
        <v>961</v>
      </c>
      <c r="J241" s="252" t="s">
        <v>818</v>
      </c>
      <c r="K241" s="253" t="s">
        <v>958</v>
      </c>
      <c r="L241" s="250">
        <v>2016</v>
      </c>
      <c r="M241" s="268">
        <v>6.8603712671509276E-2</v>
      </c>
      <c r="N241" s="329">
        <v>170</v>
      </c>
      <c r="O241" s="329">
        <v>2478</v>
      </c>
      <c r="P241" s="268">
        <v>6.0791513667890658E-2</v>
      </c>
      <c r="Q241" s="268">
        <v>5.7315936626281455E-2</v>
      </c>
      <c r="R241" s="268">
        <v>7.5464083938660206E-2</v>
      </c>
      <c r="S241" s="268">
        <f>M241*1.1</f>
        <v>7.5464083938660206E-2</v>
      </c>
      <c r="T241" s="268">
        <f>M241*1.1</f>
        <v>7.5464083938660206E-2</v>
      </c>
      <c r="U241" s="268">
        <f>M241*1.05</f>
        <v>7.2033898305084748E-2</v>
      </c>
      <c r="V241" s="268">
        <f>M241*1.03</f>
        <v>7.0661824051654554E-2</v>
      </c>
      <c r="W241" s="268">
        <v>3.0683403068340307E-2</v>
      </c>
      <c r="X241" s="268">
        <v>66</v>
      </c>
      <c r="Y241" s="268">
        <v>2151</v>
      </c>
      <c r="Z241" s="255" t="s">
        <v>819</v>
      </c>
      <c r="AA241" s="255" t="s">
        <v>820</v>
      </c>
      <c r="AB241" s="255"/>
    </row>
    <row r="242" spans="1:28" s="256" customFormat="1" ht="89.25">
      <c r="A242" s="250">
        <v>237</v>
      </c>
      <c r="B242" s="250" t="s">
        <v>11</v>
      </c>
      <c r="C242" s="250" t="s">
        <v>955</v>
      </c>
      <c r="D242" s="250" t="s">
        <v>960</v>
      </c>
      <c r="E242" s="250" t="s">
        <v>821</v>
      </c>
      <c r="F242" s="251" t="s">
        <v>617</v>
      </c>
      <c r="G242" s="251" t="s">
        <v>618</v>
      </c>
      <c r="H242" s="251" t="s">
        <v>459</v>
      </c>
      <c r="I242" s="252" t="s">
        <v>961</v>
      </c>
      <c r="J242" s="252" t="s">
        <v>822</v>
      </c>
      <c r="K242" s="253" t="s">
        <v>958</v>
      </c>
      <c r="L242" s="250">
        <v>2016</v>
      </c>
      <c r="M242" s="268">
        <v>2.5713794289645684E-2</v>
      </c>
      <c r="N242" s="329">
        <v>299</v>
      </c>
      <c r="O242" s="329">
        <v>11628</v>
      </c>
      <c r="P242" s="268">
        <v>1.9525801952580194E-2</v>
      </c>
      <c r="Q242" s="268">
        <v>2.4334600760456272E-2</v>
      </c>
      <c r="R242" s="268">
        <v>2.8285173718610255E-2</v>
      </c>
      <c r="S242" s="268">
        <f>M242*1.1</f>
        <v>2.8285173718610255E-2</v>
      </c>
      <c r="T242" s="268">
        <f>M242*1.1</f>
        <v>2.8285173718610255E-2</v>
      </c>
      <c r="U242" s="268">
        <f>M242*1.05</f>
        <v>2.6999484004127969E-2</v>
      </c>
      <c r="V242" s="268">
        <f>M242*1.03</f>
        <v>2.6485208118335057E-2</v>
      </c>
      <c r="W242" s="268">
        <v>3.616636528028933E-3</v>
      </c>
      <c r="X242" s="268">
        <v>28</v>
      </c>
      <c r="Y242" s="268">
        <v>7742</v>
      </c>
      <c r="Z242" s="255" t="s">
        <v>823</v>
      </c>
      <c r="AA242" s="255" t="s">
        <v>824</v>
      </c>
      <c r="AB242" s="255"/>
    </row>
    <row r="243" spans="1:28" s="256" customFormat="1" ht="89.25">
      <c r="A243" s="250">
        <v>238</v>
      </c>
      <c r="B243" s="250" t="s">
        <v>11</v>
      </c>
      <c r="C243" s="250" t="s">
        <v>955</v>
      </c>
      <c r="D243" s="250" t="s">
        <v>960</v>
      </c>
      <c r="E243" s="250" t="s">
        <v>825</v>
      </c>
      <c r="F243" s="251" t="s">
        <v>617</v>
      </c>
      <c r="G243" s="251" t="s">
        <v>618</v>
      </c>
      <c r="H243" s="251" t="s">
        <v>459</v>
      </c>
      <c r="I243" s="252" t="s">
        <v>961</v>
      </c>
      <c r="J243" s="252" t="s">
        <v>962</v>
      </c>
      <c r="K243" s="253" t="s">
        <v>958</v>
      </c>
      <c r="L243" s="250">
        <v>2016</v>
      </c>
      <c r="M243" s="268">
        <f>N243/O243</f>
        <v>6.1281224001136338E-3</v>
      </c>
      <c r="N243" s="329">
        <v>302</v>
      </c>
      <c r="O243" s="329">
        <v>49281</v>
      </c>
      <c r="P243" s="268">
        <v>3.7791350887586054E-3</v>
      </c>
      <c r="Q243" s="268">
        <v>4.4281109738831823E-3</v>
      </c>
      <c r="R243" s="268">
        <f>M243*1.1</f>
        <v>6.7409346401249978E-3</v>
      </c>
      <c r="S243" s="268">
        <f>M243*1.1</f>
        <v>6.7409346401249978E-3</v>
      </c>
      <c r="T243" s="268">
        <f>M243*1.1</f>
        <v>6.7409346401249978E-3</v>
      </c>
      <c r="U243" s="268">
        <f>M243*1.05</f>
        <v>6.4345285201193158E-3</v>
      </c>
      <c r="V243" s="268">
        <f>M243*1.03</f>
        <v>6.3119660721170428E-3</v>
      </c>
      <c r="W243" s="268">
        <v>2.637257252457444E-4</v>
      </c>
      <c r="X243" s="268">
        <v>11</v>
      </c>
      <c r="Y243" s="268">
        <v>41710</v>
      </c>
      <c r="Z243" s="255" t="s">
        <v>827</v>
      </c>
      <c r="AA243" s="255" t="s">
        <v>963</v>
      </c>
      <c r="AB243" s="255"/>
    </row>
    <row r="244" spans="1:28" s="256" customFormat="1" ht="60">
      <c r="A244" s="250">
        <v>239</v>
      </c>
      <c r="B244" s="250" t="s">
        <v>11</v>
      </c>
      <c r="C244" s="250" t="s">
        <v>955</v>
      </c>
      <c r="D244" s="250" t="s">
        <v>964</v>
      </c>
      <c r="E244" s="250" t="s">
        <v>965</v>
      </c>
      <c r="F244" s="251" t="s">
        <v>617</v>
      </c>
      <c r="G244" s="251" t="s">
        <v>966</v>
      </c>
      <c r="H244" s="251" t="s">
        <v>645</v>
      </c>
      <c r="I244" s="252" t="s">
        <v>967</v>
      </c>
      <c r="J244" s="252" t="s">
        <v>968</v>
      </c>
      <c r="K244" s="253" t="s">
        <v>958</v>
      </c>
      <c r="L244" s="250" t="s">
        <v>648</v>
      </c>
      <c r="M244" s="257" t="s">
        <v>648</v>
      </c>
      <c r="N244" s="257" t="s">
        <v>648</v>
      </c>
      <c r="O244" s="257" t="s">
        <v>648</v>
      </c>
      <c r="P244" s="257" t="s">
        <v>648</v>
      </c>
      <c r="Q244" s="257" t="s">
        <v>648</v>
      </c>
      <c r="R244" s="257" t="s">
        <v>648</v>
      </c>
      <c r="S244" s="257" t="s">
        <v>648</v>
      </c>
      <c r="T244" s="257" t="s">
        <v>648</v>
      </c>
      <c r="U244" s="257" t="s">
        <v>648</v>
      </c>
      <c r="V244" s="257" t="s">
        <v>648</v>
      </c>
      <c r="W244" s="257" t="s">
        <v>648</v>
      </c>
      <c r="X244" s="257" t="s">
        <v>648</v>
      </c>
      <c r="Y244" s="257" t="s">
        <v>648</v>
      </c>
      <c r="Z244" s="255" t="s">
        <v>969</v>
      </c>
      <c r="AA244" s="255" t="s">
        <v>970</v>
      </c>
      <c r="AB244" s="255"/>
    </row>
    <row r="245" spans="1:28" s="256" customFormat="1" ht="60">
      <c r="A245" s="250">
        <v>240</v>
      </c>
      <c r="B245" s="250" t="s">
        <v>11</v>
      </c>
      <c r="C245" s="250" t="s">
        <v>955</v>
      </c>
      <c r="D245" s="250" t="s">
        <v>964</v>
      </c>
      <c r="E245" s="250" t="s">
        <v>971</v>
      </c>
      <c r="F245" s="251" t="s">
        <v>617</v>
      </c>
      <c r="G245" s="251" t="s">
        <v>966</v>
      </c>
      <c r="H245" s="251" t="s">
        <v>645</v>
      </c>
      <c r="I245" s="252" t="s">
        <v>967</v>
      </c>
      <c r="J245" s="252" t="s">
        <v>972</v>
      </c>
      <c r="K245" s="253" t="s">
        <v>958</v>
      </c>
      <c r="L245" s="250" t="s">
        <v>648</v>
      </c>
      <c r="M245" s="257" t="s">
        <v>648</v>
      </c>
      <c r="N245" s="257" t="s">
        <v>648</v>
      </c>
      <c r="O245" s="257" t="s">
        <v>648</v>
      </c>
      <c r="P245" s="257" t="s">
        <v>648</v>
      </c>
      <c r="Q245" s="257" t="s">
        <v>648</v>
      </c>
      <c r="R245" s="257" t="s">
        <v>648</v>
      </c>
      <c r="S245" s="257" t="s">
        <v>648</v>
      </c>
      <c r="T245" s="257" t="s">
        <v>648</v>
      </c>
      <c r="U245" s="257" t="s">
        <v>648</v>
      </c>
      <c r="V245" s="257" t="s">
        <v>648</v>
      </c>
      <c r="W245" s="257" t="s">
        <v>648</v>
      </c>
      <c r="X245" s="257" t="s">
        <v>648</v>
      </c>
      <c r="Y245" s="257" t="s">
        <v>648</v>
      </c>
      <c r="Z245" s="255" t="s">
        <v>973</v>
      </c>
      <c r="AA245" s="255" t="s">
        <v>974</v>
      </c>
      <c r="AB245" s="255"/>
    </row>
    <row r="246" spans="1:28" s="256" customFormat="1" ht="60">
      <c r="A246" s="250">
        <v>241</v>
      </c>
      <c r="B246" s="250" t="s">
        <v>11</v>
      </c>
      <c r="C246" s="250" t="s">
        <v>955</v>
      </c>
      <c r="D246" s="250" t="s">
        <v>964</v>
      </c>
      <c r="E246" s="250" t="s">
        <v>975</v>
      </c>
      <c r="F246" s="251" t="s">
        <v>617</v>
      </c>
      <c r="G246" s="251" t="s">
        <v>966</v>
      </c>
      <c r="H246" s="251" t="s">
        <v>645</v>
      </c>
      <c r="I246" s="252" t="s">
        <v>967</v>
      </c>
      <c r="J246" s="252" t="s">
        <v>976</v>
      </c>
      <c r="K246" s="253" t="s">
        <v>958</v>
      </c>
      <c r="L246" s="250" t="s">
        <v>648</v>
      </c>
      <c r="M246" s="257" t="s">
        <v>648</v>
      </c>
      <c r="N246" s="257" t="s">
        <v>648</v>
      </c>
      <c r="O246" s="257" t="s">
        <v>648</v>
      </c>
      <c r="P246" s="257" t="s">
        <v>648</v>
      </c>
      <c r="Q246" s="257" t="s">
        <v>648</v>
      </c>
      <c r="R246" s="257" t="s">
        <v>648</v>
      </c>
      <c r="S246" s="257" t="s">
        <v>648</v>
      </c>
      <c r="T246" s="257" t="s">
        <v>648</v>
      </c>
      <c r="U246" s="257" t="s">
        <v>648</v>
      </c>
      <c r="V246" s="257" t="s">
        <v>648</v>
      </c>
      <c r="W246" s="257" t="s">
        <v>648</v>
      </c>
      <c r="X246" s="257" t="s">
        <v>648</v>
      </c>
      <c r="Y246" s="257" t="s">
        <v>648</v>
      </c>
      <c r="Z246" s="255" t="s">
        <v>977</v>
      </c>
      <c r="AA246" s="255" t="s">
        <v>978</v>
      </c>
      <c r="AB246" s="255"/>
    </row>
    <row r="247" spans="1:28" s="256" customFormat="1" ht="90">
      <c r="A247" s="250">
        <v>242</v>
      </c>
      <c r="B247" s="250" t="s">
        <v>11</v>
      </c>
      <c r="C247" s="250" t="s">
        <v>955</v>
      </c>
      <c r="D247" s="250" t="s">
        <v>979</v>
      </c>
      <c r="E247" s="250" t="s">
        <v>554</v>
      </c>
      <c r="F247" s="251" t="s">
        <v>980</v>
      </c>
      <c r="G247" s="251" t="s">
        <v>556</v>
      </c>
      <c r="H247" s="251" t="s">
        <v>459</v>
      </c>
      <c r="I247" s="252" t="s">
        <v>981</v>
      </c>
      <c r="J247" s="252" t="s">
        <v>555</v>
      </c>
      <c r="K247" s="253" t="s">
        <v>958</v>
      </c>
      <c r="L247" s="250">
        <v>2016</v>
      </c>
      <c r="M247" s="258">
        <v>296.83541183892896</v>
      </c>
      <c r="N247" s="259">
        <v>15943140.949798122</v>
      </c>
      <c r="O247" s="254">
        <v>53710.373876986443</v>
      </c>
      <c r="P247" s="258">
        <v>226.94825225011266</v>
      </c>
      <c r="Q247" s="269">
        <v>262.65122944562711</v>
      </c>
      <c r="R247" s="269">
        <f t="shared" ref="R247:R252" si="18">M247</f>
        <v>296.83541183892896</v>
      </c>
      <c r="S247" s="269">
        <f t="shared" ref="S247:S252" si="19">M247</f>
        <v>296.83541183892896</v>
      </c>
      <c r="T247" s="269">
        <f t="shared" ref="T247:T252" si="20">M247</f>
        <v>296.83541183892896</v>
      </c>
      <c r="U247" s="269">
        <f t="shared" ref="U247:U252" si="21">M247*0.95</f>
        <v>281.99364124698252</v>
      </c>
      <c r="V247" s="269">
        <f t="shared" ref="V247:V252" si="22">M247*0.95</f>
        <v>281.99364124698252</v>
      </c>
      <c r="W247" s="269">
        <v>341.33103730793647</v>
      </c>
      <c r="X247" s="269">
        <v>5802130.271557183</v>
      </c>
      <c r="Y247" s="269">
        <v>16998.542872978502</v>
      </c>
      <c r="Z247" s="255" t="s">
        <v>634</v>
      </c>
      <c r="AA247" s="255" t="s">
        <v>635</v>
      </c>
      <c r="AB247" s="255"/>
    </row>
    <row r="248" spans="1:28" s="256" customFormat="1" ht="56.25">
      <c r="A248" s="250">
        <v>243</v>
      </c>
      <c r="B248" s="250" t="s">
        <v>11</v>
      </c>
      <c r="C248" s="250" t="s">
        <v>955</v>
      </c>
      <c r="D248" s="250" t="s">
        <v>979</v>
      </c>
      <c r="E248" s="250" t="s">
        <v>554</v>
      </c>
      <c r="F248" s="251" t="s">
        <v>982</v>
      </c>
      <c r="G248" s="251" t="s">
        <v>556</v>
      </c>
      <c r="H248" s="251" t="s">
        <v>459</v>
      </c>
      <c r="I248" s="252" t="s">
        <v>981</v>
      </c>
      <c r="J248" s="252" t="s">
        <v>560</v>
      </c>
      <c r="K248" s="253" t="s">
        <v>958</v>
      </c>
      <c r="L248" s="250">
        <v>2016</v>
      </c>
      <c r="M248" s="258">
        <v>5.0198157090105673E-2</v>
      </c>
      <c r="N248" s="259">
        <v>15943140.949798122</v>
      </c>
      <c r="O248" s="254">
        <v>317604108.87555474</v>
      </c>
      <c r="P248" s="258">
        <v>3.5730307530490571E-2</v>
      </c>
      <c r="Q248" s="269">
        <v>3.2039973882874315E-2</v>
      </c>
      <c r="R248" s="269">
        <f t="shared" si="18"/>
        <v>5.0198157090105673E-2</v>
      </c>
      <c r="S248" s="269">
        <f t="shared" si="19"/>
        <v>5.0198157090105673E-2</v>
      </c>
      <c r="T248" s="269">
        <f t="shared" si="20"/>
        <v>5.0198157090105673E-2</v>
      </c>
      <c r="U248" s="280">
        <f t="shared" si="21"/>
        <v>4.7688249235600388E-2</v>
      </c>
      <c r="V248" s="280">
        <f t="shared" si="22"/>
        <v>4.7688249235600388E-2</v>
      </c>
      <c r="W248" s="269">
        <v>3.5576376436624792E-2</v>
      </c>
      <c r="X248" s="269">
        <v>5802130.271557183</v>
      </c>
      <c r="Y248" s="269">
        <v>163089410.803065</v>
      </c>
      <c r="Z248" s="255" t="s">
        <v>637</v>
      </c>
      <c r="AA248" s="255" t="s">
        <v>635</v>
      </c>
      <c r="AB248" s="255"/>
    </row>
    <row r="249" spans="1:28" s="256" customFormat="1" ht="56.25">
      <c r="A249" s="250">
        <v>244</v>
      </c>
      <c r="B249" s="250" t="s">
        <v>11</v>
      </c>
      <c r="C249" s="250" t="s">
        <v>955</v>
      </c>
      <c r="D249" s="250" t="s">
        <v>979</v>
      </c>
      <c r="E249" s="250" t="s">
        <v>554</v>
      </c>
      <c r="F249" s="251" t="s">
        <v>983</v>
      </c>
      <c r="G249" s="251" t="s">
        <v>556</v>
      </c>
      <c r="H249" s="251" t="s">
        <v>459</v>
      </c>
      <c r="I249" s="252" t="s">
        <v>981</v>
      </c>
      <c r="J249" s="252" t="s">
        <v>562</v>
      </c>
      <c r="K249" s="253" t="s">
        <v>958</v>
      </c>
      <c r="L249" s="250">
        <v>2016</v>
      </c>
      <c r="M249" s="258">
        <v>0.36801691703478145</v>
      </c>
      <c r="N249" s="259">
        <v>10797104.437575037</v>
      </c>
      <c r="O249" s="254">
        <v>29338609.008983675</v>
      </c>
      <c r="P249" s="258">
        <v>0.30835835800810357</v>
      </c>
      <c r="Q249" s="269">
        <v>0.39026180750589862</v>
      </c>
      <c r="R249" s="269">
        <f t="shared" si="18"/>
        <v>0.36801691703478145</v>
      </c>
      <c r="S249" s="269">
        <f t="shared" si="19"/>
        <v>0.36801691703478145</v>
      </c>
      <c r="T249" s="269">
        <f t="shared" si="20"/>
        <v>0.36801691703478145</v>
      </c>
      <c r="U249" s="269">
        <f t="shared" si="21"/>
        <v>0.34961607118304239</v>
      </c>
      <c r="V249" s="269">
        <f t="shared" si="22"/>
        <v>0.34961607118304239</v>
      </c>
      <c r="W249" s="269">
        <v>0.4323018352178094</v>
      </c>
      <c r="X249" s="269">
        <v>18728519.737075519</v>
      </c>
      <c r="Y249" s="269">
        <v>43322785.635733902</v>
      </c>
      <c r="Z249" s="255" t="s">
        <v>860</v>
      </c>
      <c r="AA249" s="255" t="s">
        <v>635</v>
      </c>
      <c r="AB249" s="255"/>
    </row>
    <row r="250" spans="1:28" s="256" customFormat="1" ht="78.75">
      <c r="A250" s="250">
        <v>245</v>
      </c>
      <c r="B250" s="250" t="s">
        <v>11</v>
      </c>
      <c r="C250" s="250" t="s">
        <v>955</v>
      </c>
      <c r="D250" s="250" t="s">
        <v>979</v>
      </c>
      <c r="E250" s="250" t="s">
        <v>554</v>
      </c>
      <c r="F250" s="251" t="s">
        <v>980</v>
      </c>
      <c r="G250" s="251" t="s">
        <v>556</v>
      </c>
      <c r="H250" s="251" t="s">
        <v>459</v>
      </c>
      <c r="I250" s="252" t="s">
        <v>981</v>
      </c>
      <c r="J250" s="252" t="s">
        <v>564</v>
      </c>
      <c r="K250" s="253" t="s">
        <v>958</v>
      </c>
      <c r="L250" s="250">
        <v>2016</v>
      </c>
      <c r="M250" s="258">
        <v>472.94258207840545</v>
      </c>
      <c r="N250" s="259">
        <v>25401922.905778505</v>
      </c>
      <c r="O250" s="254">
        <v>53710.373876986443</v>
      </c>
      <c r="P250" s="258">
        <v>362.41834773902355</v>
      </c>
      <c r="Q250" s="269">
        <v>379.55102864974441</v>
      </c>
      <c r="R250" s="269">
        <f t="shared" si="18"/>
        <v>472.94258207840545</v>
      </c>
      <c r="S250" s="269">
        <f t="shared" si="19"/>
        <v>472.94258207840545</v>
      </c>
      <c r="T250" s="269">
        <f t="shared" si="20"/>
        <v>472.94258207840545</v>
      </c>
      <c r="U250" s="269">
        <f t="shared" si="21"/>
        <v>449.29545297448516</v>
      </c>
      <c r="V250" s="269">
        <f t="shared" si="22"/>
        <v>449.29545297448516</v>
      </c>
      <c r="W250" s="269">
        <v>451.77302274960385</v>
      </c>
      <c r="X250" s="269">
        <v>7679483.0960642332</v>
      </c>
      <c r="Y250" s="269">
        <v>16998.542872978502</v>
      </c>
      <c r="Z250" s="255" t="s">
        <v>638</v>
      </c>
      <c r="AA250" s="255" t="s">
        <v>635</v>
      </c>
      <c r="AB250" s="255"/>
    </row>
    <row r="251" spans="1:28" s="256" customFormat="1" ht="56.25">
      <c r="A251" s="250">
        <v>246</v>
      </c>
      <c r="B251" s="250" t="s">
        <v>11</v>
      </c>
      <c r="C251" s="250" t="s">
        <v>955</v>
      </c>
      <c r="D251" s="250" t="s">
        <v>979</v>
      </c>
      <c r="E251" s="250" t="s">
        <v>554</v>
      </c>
      <c r="F251" s="251" t="s">
        <v>982</v>
      </c>
      <c r="G251" s="251" t="s">
        <v>556</v>
      </c>
      <c r="H251" s="251" t="s">
        <v>459</v>
      </c>
      <c r="I251" s="252" t="s">
        <v>981</v>
      </c>
      <c r="J251" s="252" t="s">
        <v>566</v>
      </c>
      <c r="K251" s="253" t="s">
        <v>958</v>
      </c>
      <c r="L251" s="250">
        <v>2016</v>
      </c>
      <c r="M251" s="258">
        <v>7.9979830852036041E-2</v>
      </c>
      <c r="N251" s="259">
        <v>25401922.905778505</v>
      </c>
      <c r="O251" s="254">
        <v>317604108.87555474</v>
      </c>
      <c r="P251" s="258">
        <v>5.7058465491668729E-2</v>
      </c>
      <c r="Q251" s="269">
        <v>4.6300202252330849E-2</v>
      </c>
      <c r="R251" s="269">
        <f t="shared" si="18"/>
        <v>7.9979830852036041E-2</v>
      </c>
      <c r="S251" s="269">
        <f t="shared" si="19"/>
        <v>7.9979830852036041E-2</v>
      </c>
      <c r="T251" s="269">
        <f t="shared" si="20"/>
        <v>7.9979830852036041E-2</v>
      </c>
      <c r="U251" s="280">
        <f t="shared" si="21"/>
        <v>7.5980839309434237E-2</v>
      </c>
      <c r="V251" s="280">
        <f t="shared" si="22"/>
        <v>7.5980839309434237E-2</v>
      </c>
      <c r="W251" s="269">
        <v>4.7087564166489154E-2</v>
      </c>
      <c r="X251" s="269">
        <v>7679483.0960642332</v>
      </c>
      <c r="Y251" s="269">
        <v>163089410.803065</v>
      </c>
      <c r="Z251" s="255" t="s">
        <v>862</v>
      </c>
      <c r="AA251" s="255" t="s">
        <v>635</v>
      </c>
      <c r="AB251" s="255"/>
    </row>
    <row r="252" spans="1:28" s="256" customFormat="1" ht="56.25">
      <c r="A252" s="250">
        <v>247</v>
      </c>
      <c r="B252" s="250" t="s">
        <v>11</v>
      </c>
      <c r="C252" s="250" t="s">
        <v>955</v>
      </c>
      <c r="D252" s="250" t="s">
        <v>979</v>
      </c>
      <c r="E252" s="250" t="s">
        <v>554</v>
      </c>
      <c r="F252" s="251" t="s">
        <v>983</v>
      </c>
      <c r="G252" s="251" t="s">
        <v>556</v>
      </c>
      <c r="H252" s="251" t="s">
        <v>459</v>
      </c>
      <c r="I252" s="252" t="s">
        <v>981</v>
      </c>
      <c r="J252" s="252" t="s">
        <v>568</v>
      </c>
      <c r="K252" s="253" t="s">
        <v>958</v>
      </c>
      <c r="L252" s="250">
        <v>2016</v>
      </c>
      <c r="M252" s="258">
        <v>0.58635480825114161</v>
      </c>
      <c r="N252" s="259">
        <v>17202834.459817838</v>
      </c>
      <c r="O252" s="254">
        <v>29338609.008983675</v>
      </c>
      <c r="P252" s="258">
        <v>0.49242382575237348</v>
      </c>
      <c r="Q252" s="269">
        <v>0.56395803208009121</v>
      </c>
      <c r="R252" s="269">
        <f t="shared" si="18"/>
        <v>0.58635480825114161</v>
      </c>
      <c r="S252" s="269">
        <f t="shared" si="19"/>
        <v>0.58635480825114161</v>
      </c>
      <c r="T252" s="269">
        <f t="shared" si="20"/>
        <v>0.58635480825114161</v>
      </c>
      <c r="U252" s="269">
        <f t="shared" si="21"/>
        <v>0.55703706783858453</v>
      </c>
      <c r="V252" s="269">
        <f t="shared" si="22"/>
        <v>0.55703706783858453</v>
      </c>
      <c r="W252" s="269">
        <v>0.57217857589773258</v>
      </c>
      <c r="X252" s="269">
        <v>24788369.788976971</v>
      </c>
      <c r="Y252" s="269">
        <v>43322785.635733902</v>
      </c>
      <c r="Z252" s="255" t="s">
        <v>862</v>
      </c>
      <c r="AA252" s="255" t="s">
        <v>635</v>
      </c>
      <c r="AB252" s="255"/>
    </row>
    <row r="253" spans="1:28" s="256" customFormat="1" ht="67.5">
      <c r="A253" s="250">
        <v>248</v>
      </c>
      <c r="B253" s="250" t="s">
        <v>11</v>
      </c>
      <c r="C253" s="250" t="s">
        <v>955</v>
      </c>
      <c r="D253" s="250" t="s">
        <v>984</v>
      </c>
      <c r="E253" s="250" t="s">
        <v>786</v>
      </c>
      <c r="F253" s="251" t="s">
        <v>789</v>
      </c>
      <c r="G253" s="251" t="s">
        <v>787</v>
      </c>
      <c r="H253" s="251" t="s">
        <v>459</v>
      </c>
      <c r="I253" s="252" t="s">
        <v>985</v>
      </c>
      <c r="J253" s="252" t="s">
        <v>789</v>
      </c>
      <c r="K253" s="253" t="s">
        <v>958</v>
      </c>
      <c r="L253" s="250">
        <v>2016</v>
      </c>
      <c r="M253" s="268">
        <v>1.5246984910631482E-3</v>
      </c>
      <c r="N253" s="254">
        <v>10545.647899677248</v>
      </c>
      <c r="O253" s="254">
        <v>6916777.3574999999</v>
      </c>
      <c r="P253" s="268">
        <v>1.4095357839790986E-3</v>
      </c>
      <c r="Q253" s="268">
        <v>6.6952953563332782E-4</v>
      </c>
      <c r="R253" s="268">
        <v>2.2785232361724143E-3</v>
      </c>
      <c r="S253" s="268">
        <v>2.329587126479547E-3</v>
      </c>
      <c r="T253" s="268">
        <v>2.3542641321614355E-3</v>
      </c>
      <c r="U253" s="268">
        <v>2.0850233440788163E-3</v>
      </c>
      <c r="V253" s="268">
        <v>1.5969416015567373E-3</v>
      </c>
      <c r="W253" s="268">
        <v>3.6944888683760577E-4</v>
      </c>
      <c r="X253" s="268">
        <v>1954.7928523908899</v>
      </c>
      <c r="Y253" s="268">
        <v>5291105</v>
      </c>
      <c r="Z253" s="276" t="s">
        <v>986</v>
      </c>
      <c r="AA253" s="255" t="s">
        <v>987</v>
      </c>
      <c r="AB253" s="255"/>
    </row>
    <row r="254" spans="1:28" s="256" customFormat="1" ht="67.5">
      <c r="A254" s="250">
        <v>249</v>
      </c>
      <c r="B254" s="250" t="s">
        <v>11</v>
      </c>
      <c r="C254" s="250" t="s">
        <v>955</v>
      </c>
      <c r="D254" s="250" t="s">
        <v>984</v>
      </c>
      <c r="E254" s="250" t="s">
        <v>786</v>
      </c>
      <c r="F254" s="251" t="s">
        <v>791</v>
      </c>
      <c r="G254" s="251" t="s">
        <v>787</v>
      </c>
      <c r="H254" s="251" t="s">
        <v>459</v>
      </c>
      <c r="I254" s="252" t="s">
        <v>985</v>
      </c>
      <c r="J254" s="252" t="s">
        <v>791</v>
      </c>
      <c r="K254" s="253" t="s">
        <v>958</v>
      </c>
      <c r="L254" s="250">
        <v>2016</v>
      </c>
      <c r="M254" s="268">
        <v>1.1064401244174353E-3</v>
      </c>
      <c r="N254" s="254">
        <v>7653.2977714488516</v>
      </c>
      <c r="O254" s="254">
        <v>6916777.3574999999</v>
      </c>
      <c r="P254" s="268">
        <v>9.163502397693911E-4</v>
      </c>
      <c r="Q254" s="268">
        <v>5.5144467314018086E-4</v>
      </c>
      <c r="R254" s="268">
        <v>1.687877265415296E-3</v>
      </c>
      <c r="S254" s="268">
        <v>1.7190954161830053E-3</v>
      </c>
      <c r="T254" s="268">
        <v>1.7378824388588265E-3</v>
      </c>
      <c r="U254" s="268">
        <v>1.6006155034073957E-3</v>
      </c>
      <c r="V254" s="268">
        <v>1.3528520639288178E-3</v>
      </c>
      <c r="W254" s="268">
        <v>2.5036211844039384E-4</v>
      </c>
      <c r="X254" s="268">
        <v>1324.69225669056</v>
      </c>
      <c r="Y254" s="268">
        <v>5291105</v>
      </c>
      <c r="Z254" s="276" t="s">
        <v>986</v>
      </c>
      <c r="AA254" s="255" t="s">
        <v>987</v>
      </c>
      <c r="AB254" s="255"/>
    </row>
    <row r="255" spans="1:28" s="256" customFormat="1" ht="67.5">
      <c r="A255" s="250">
        <v>250</v>
      </c>
      <c r="B255" s="250" t="s">
        <v>11</v>
      </c>
      <c r="C255" s="250" t="s">
        <v>955</v>
      </c>
      <c r="D255" s="250" t="s">
        <v>984</v>
      </c>
      <c r="E255" s="250" t="s">
        <v>786</v>
      </c>
      <c r="F255" s="251" t="s">
        <v>792</v>
      </c>
      <c r="G255" s="251" t="s">
        <v>787</v>
      </c>
      <c r="H255" s="251" t="s">
        <v>459</v>
      </c>
      <c r="I255" s="252" t="s">
        <v>985</v>
      </c>
      <c r="J255" s="252" t="s">
        <v>792</v>
      </c>
      <c r="K255" s="253" t="s">
        <v>958</v>
      </c>
      <c r="L255" s="250">
        <v>2016</v>
      </c>
      <c r="M255" s="268">
        <v>4.944524934188399E-3</v>
      </c>
      <c r="N255" s="254">
        <v>48200587.82380721</v>
      </c>
      <c r="O255" s="254">
        <v>9748274837.6334591</v>
      </c>
      <c r="P255" s="268">
        <v>4.8105845309120553E-3</v>
      </c>
      <c r="Q255" s="268">
        <v>3.0453196760578168E-3</v>
      </c>
      <c r="R255" s="268">
        <v>1.160736241174838E-2</v>
      </c>
      <c r="S255" s="268">
        <v>1.1291127531910932E-2</v>
      </c>
      <c r="T255" s="268">
        <v>1.0981725379331465E-2</v>
      </c>
      <c r="U255" s="268">
        <v>9.1538541325709624E-3</v>
      </c>
      <c r="V255" s="268">
        <v>6.8426485760184732E-3</v>
      </c>
      <c r="W255" s="268">
        <v>2.5068778167253378E-3</v>
      </c>
      <c r="X255" s="268">
        <v>22553180.454305999</v>
      </c>
      <c r="Y255" s="268">
        <v>8996521611</v>
      </c>
      <c r="Z255" s="276" t="s">
        <v>986</v>
      </c>
      <c r="AA255" s="255" t="s">
        <v>987</v>
      </c>
      <c r="AB255" s="255"/>
    </row>
    <row r="256" spans="1:28" s="256" customFormat="1" ht="67.5">
      <c r="A256" s="250">
        <v>251</v>
      </c>
      <c r="B256" s="250" t="s">
        <v>11</v>
      </c>
      <c r="C256" s="250" t="s">
        <v>955</v>
      </c>
      <c r="D256" s="250" t="s">
        <v>984</v>
      </c>
      <c r="E256" s="250" t="s">
        <v>786</v>
      </c>
      <c r="F256" s="251" t="s">
        <v>793</v>
      </c>
      <c r="G256" s="251" t="s">
        <v>787</v>
      </c>
      <c r="H256" s="251" t="s">
        <v>459</v>
      </c>
      <c r="I256" s="252" t="s">
        <v>985</v>
      </c>
      <c r="J256" s="252" t="s">
        <v>793</v>
      </c>
      <c r="K256" s="253" t="s">
        <v>958</v>
      </c>
      <c r="L256" s="250">
        <v>2016</v>
      </c>
      <c r="M256" s="268">
        <v>3.8011177995260037E-3</v>
      </c>
      <c r="N256" s="254">
        <v>37054340.719531395</v>
      </c>
      <c r="O256" s="254">
        <v>9748274837.6334591</v>
      </c>
      <c r="P256" s="268">
        <v>3.1267262822429914E-3</v>
      </c>
      <c r="Q256" s="268">
        <v>2.5252857377898712E-3</v>
      </c>
      <c r="R256" s="268">
        <v>8.3748419201184789E-3</v>
      </c>
      <c r="S256" s="268">
        <v>8.1502578531088173E-3</v>
      </c>
      <c r="T256" s="268">
        <v>7.9543896696238122E-3</v>
      </c>
      <c r="U256" s="268">
        <v>6.8944709942812361E-3</v>
      </c>
      <c r="V256" s="268">
        <v>5.6616957728448233E-3</v>
      </c>
      <c r="W256" s="268">
        <v>2.0410321393323442E-3</v>
      </c>
      <c r="X256" s="268">
        <v>18362189.750248998</v>
      </c>
      <c r="Y256" s="268">
        <v>8996521611</v>
      </c>
      <c r="Z256" s="276" t="s">
        <v>986</v>
      </c>
      <c r="AA256" s="255" t="s">
        <v>987</v>
      </c>
      <c r="AB256" s="255"/>
    </row>
    <row r="257" spans="1:28" s="256" customFormat="1" ht="67.5">
      <c r="A257" s="250">
        <v>252</v>
      </c>
      <c r="B257" s="250" t="s">
        <v>11</v>
      </c>
      <c r="C257" s="250" t="s">
        <v>955</v>
      </c>
      <c r="D257" s="250" t="s">
        <v>984</v>
      </c>
      <c r="E257" s="250" t="s">
        <v>786</v>
      </c>
      <c r="F257" s="251" t="s">
        <v>794</v>
      </c>
      <c r="G257" s="251" t="s">
        <v>787</v>
      </c>
      <c r="H257" s="251" t="s">
        <v>459</v>
      </c>
      <c r="I257" s="252" t="s">
        <v>985</v>
      </c>
      <c r="J257" s="252" t="s">
        <v>794</v>
      </c>
      <c r="K257" s="253" t="s">
        <v>958</v>
      </c>
      <c r="L257" s="250">
        <v>2016</v>
      </c>
      <c r="M257" s="268">
        <v>7.3298167796881136E-4</v>
      </c>
      <c r="N257" s="254">
        <v>3038179.0668142885</v>
      </c>
      <c r="O257" s="254">
        <v>4144958996.0000005</v>
      </c>
      <c r="P257" s="268">
        <v>1.4954977707657237E-3</v>
      </c>
      <c r="Q257" s="268">
        <v>9.1068399470718199E-4</v>
      </c>
      <c r="R257" s="268">
        <v>1.0943812463575307E-3</v>
      </c>
      <c r="S257" s="268">
        <v>1.1291930303812985E-3</v>
      </c>
      <c r="T257" s="268">
        <v>1.1850362649678035E-3</v>
      </c>
      <c r="U257" s="268">
        <v>1.9299019249295662E-3</v>
      </c>
      <c r="V257" s="268">
        <v>2.2355814729195771E-3</v>
      </c>
      <c r="W257" s="268">
        <v>1.740113420664385E-3</v>
      </c>
      <c r="X257" s="268">
        <v>8219934.6456385497</v>
      </c>
      <c r="Y257" s="268">
        <v>4723792454</v>
      </c>
      <c r="Z257" s="276" t="s">
        <v>986</v>
      </c>
      <c r="AA257" s="255" t="s">
        <v>987</v>
      </c>
      <c r="AB257" s="255"/>
    </row>
    <row r="258" spans="1:28" s="256" customFormat="1" ht="67.5">
      <c r="A258" s="250">
        <v>253</v>
      </c>
      <c r="B258" s="250" t="s">
        <v>11</v>
      </c>
      <c r="C258" s="250" t="s">
        <v>955</v>
      </c>
      <c r="D258" s="250" t="s">
        <v>984</v>
      </c>
      <c r="E258" s="250" t="s">
        <v>786</v>
      </c>
      <c r="F258" s="251" t="s">
        <v>795</v>
      </c>
      <c r="G258" s="251" t="s">
        <v>787</v>
      </c>
      <c r="H258" s="251" t="s">
        <v>459</v>
      </c>
      <c r="I258" s="252" t="s">
        <v>985</v>
      </c>
      <c r="J258" s="252" t="s">
        <v>795</v>
      </c>
      <c r="K258" s="253" t="s">
        <v>958</v>
      </c>
      <c r="L258" s="250">
        <v>2016</v>
      </c>
      <c r="M258" s="268">
        <v>5.1334500583802636E-4</v>
      </c>
      <c r="N258" s="254">
        <v>2127793.5321725765</v>
      </c>
      <c r="O258" s="254">
        <v>4144958996.0000005</v>
      </c>
      <c r="P258" s="268">
        <v>9.4557866481317628E-4</v>
      </c>
      <c r="Q258" s="268">
        <v>6.8819209223702207E-4</v>
      </c>
      <c r="R258" s="268">
        <v>1.0417076508155065E-3</v>
      </c>
      <c r="S258" s="268">
        <v>1.073546273776979E-3</v>
      </c>
      <c r="T258" s="268">
        <v>1.1211962049111814E-3</v>
      </c>
      <c r="U258" s="268">
        <v>1.6183815807818468E-3</v>
      </c>
      <c r="V258" s="268">
        <v>1.8580917410949507E-3</v>
      </c>
      <c r="W258" s="268">
        <v>1.1485043378718794E-3</v>
      </c>
      <c r="X258" s="268">
        <v>5425296.12462545</v>
      </c>
      <c r="Y258" s="268">
        <v>4723792454</v>
      </c>
      <c r="Z258" s="276" t="s">
        <v>986</v>
      </c>
      <c r="AA258" s="255" t="s">
        <v>987</v>
      </c>
      <c r="AB258" s="255"/>
    </row>
    <row r="259" spans="1:28" s="256" customFormat="1" ht="67.5">
      <c r="A259" s="250">
        <v>254</v>
      </c>
      <c r="B259" s="250" t="s">
        <v>11</v>
      </c>
      <c r="C259" s="250" t="s">
        <v>955</v>
      </c>
      <c r="D259" s="250" t="s">
        <v>984</v>
      </c>
      <c r="E259" s="250" t="s">
        <v>786</v>
      </c>
      <c r="F259" s="251" t="s">
        <v>796</v>
      </c>
      <c r="G259" s="251" t="s">
        <v>787</v>
      </c>
      <c r="H259" s="251" t="s">
        <v>459</v>
      </c>
      <c r="I259" s="252" t="s">
        <v>985</v>
      </c>
      <c r="J259" s="252" t="s">
        <v>796</v>
      </c>
      <c r="K259" s="253" t="s">
        <v>958</v>
      </c>
      <c r="L259" s="250">
        <v>2016</v>
      </c>
      <c r="M259" s="268">
        <v>1.0861850268830199E-2</v>
      </c>
      <c r="N259" s="254">
        <v>75129.365151508464</v>
      </c>
      <c r="O259" s="254">
        <v>6916777.3574999999</v>
      </c>
      <c r="P259" s="268">
        <v>1.5963078500691164E-2</v>
      </c>
      <c r="Q259" s="268">
        <v>8.42366553392653E-3</v>
      </c>
      <c r="R259" s="268">
        <v>1.6232047431291231E-2</v>
      </c>
      <c r="S259" s="268">
        <v>1.6595823177060678E-2</v>
      </c>
      <c r="T259" s="268">
        <v>1.6771620518220794E-2</v>
      </c>
      <c r="U259" s="268">
        <v>1.4853567117134214E-2</v>
      </c>
      <c r="V259" s="268">
        <v>1.1376505365385561E-2</v>
      </c>
      <c r="W259" s="268">
        <v>4.7530304505065011E-3</v>
      </c>
      <c r="X259" s="268">
        <v>25148.783181827199</v>
      </c>
      <c r="Y259" s="268">
        <v>5291105</v>
      </c>
      <c r="Z259" s="276" t="s">
        <v>986</v>
      </c>
      <c r="AA259" s="255" t="s">
        <v>987</v>
      </c>
      <c r="AB259" s="255"/>
    </row>
    <row r="260" spans="1:28" s="256" customFormat="1" ht="67.5">
      <c r="A260" s="250">
        <v>255</v>
      </c>
      <c r="B260" s="250" t="s">
        <v>11</v>
      </c>
      <c r="C260" s="250" t="s">
        <v>955</v>
      </c>
      <c r="D260" s="250" t="s">
        <v>984</v>
      </c>
      <c r="E260" s="250" t="s">
        <v>786</v>
      </c>
      <c r="F260" s="251" t="s">
        <v>797</v>
      </c>
      <c r="G260" s="251" t="s">
        <v>787</v>
      </c>
      <c r="H260" s="251" t="s">
        <v>459</v>
      </c>
      <c r="I260" s="252" t="s">
        <v>985</v>
      </c>
      <c r="J260" s="252" t="s">
        <v>797</v>
      </c>
      <c r="K260" s="253" t="s">
        <v>958</v>
      </c>
      <c r="L260" s="250">
        <v>2016</v>
      </c>
      <c r="M260" s="268">
        <v>7.7651769348569787E-3</v>
      </c>
      <c r="N260" s="254">
        <v>53710.373876986443</v>
      </c>
      <c r="O260" s="254">
        <v>6916777.3574999999</v>
      </c>
      <c r="P260" s="268">
        <v>1.0377043998686466E-2</v>
      </c>
      <c r="Q260" s="268">
        <v>7.0260600500231338E-3</v>
      </c>
      <c r="R260" s="268">
        <v>1.1779239426481302E-2</v>
      </c>
      <c r="S260" s="268">
        <v>1.2043223475634872E-2</v>
      </c>
      <c r="T260" s="268">
        <v>1.2170795735439383E-2</v>
      </c>
      <c r="U260" s="268">
        <v>1.0778906613638169E-2</v>
      </c>
      <c r="V260" s="268">
        <v>8.2556794577371227E-3</v>
      </c>
      <c r="W260" s="268">
        <v>3.2126640603387198E-3</v>
      </c>
      <c r="X260" s="268">
        <v>16998.542872978502</v>
      </c>
      <c r="Y260" s="268">
        <v>5291105</v>
      </c>
      <c r="Z260" s="276" t="s">
        <v>986</v>
      </c>
      <c r="AA260" s="255" t="s">
        <v>987</v>
      </c>
      <c r="AB260" s="255"/>
    </row>
    <row r="261" spans="1:28" s="256" customFormat="1" ht="67.5">
      <c r="A261" s="250">
        <v>256</v>
      </c>
      <c r="B261" s="250" t="s">
        <v>11</v>
      </c>
      <c r="C261" s="250" t="s">
        <v>955</v>
      </c>
      <c r="D261" s="250" t="s">
        <v>984</v>
      </c>
      <c r="E261" s="250" t="s">
        <v>786</v>
      </c>
      <c r="F261" s="251" t="s">
        <v>798</v>
      </c>
      <c r="G261" s="251" t="s">
        <v>787</v>
      </c>
      <c r="H261" s="251" t="s">
        <v>459</v>
      </c>
      <c r="I261" s="252" t="s">
        <v>985</v>
      </c>
      <c r="J261" s="252" t="s">
        <v>798</v>
      </c>
      <c r="K261" s="253" t="s">
        <v>958</v>
      </c>
      <c r="L261" s="250">
        <v>2016</v>
      </c>
      <c r="M261" s="268">
        <v>4.4022012627639454E-2</v>
      </c>
      <c r="N261" s="254">
        <v>429138678.17294449</v>
      </c>
      <c r="O261" s="254">
        <v>9748274837.6334591</v>
      </c>
      <c r="P261" s="268">
        <v>6.1879272677266083E-2</v>
      </c>
      <c r="Q261" s="268">
        <v>3.7946667878032504E-2</v>
      </c>
      <c r="R261" s="268">
        <v>0.10334247707610106</v>
      </c>
      <c r="S261" s="268">
        <v>0.10052697992343289</v>
      </c>
      <c r="T261" s="268">
        <v>9.777231579509682E-2</v>
      </c>
      <c r="U261" s="268">
        <v>8.1498442738008492E-2</v>
      </c>
      <c r="V261" s="268">
        <v>6.0921355646764104E-2</v>
      </c>
      <c r="W261" s="268">
        <v>2.4253932373014004E-2</v>
      </c>
      <c r="X261" s="268">
        <v>218201026.74555299</v>
      </c>
      <c r="Y261" s="268">
        <v>8996521611</v>
      </c>
      <c r="Z261" s="276" t="s">
        <v>986</v>
      </c>
      <c r="AA261" s="255" t="s">
        <v>987</v>
      </c>
      <c r="AB261" s="255"/>
    </row>
    <row r="262" spans="1:28" s="256" customFormat="1" ht="67.5">
      <c r="A262" s="250">
        <v>257</v>
      </c>
      <c r="B262" s="250" t="s">
        <v>11</v>
      </c>
      <c r="C262" s="250" t="s">
        <v>955</v>
      </c>
      <c r="D262" s="250" t="s">
        <v>984</v>
      </c>
      <c r="E262" s="250" t="s">
        <v>786</v>
      </c>
      <c r="F262" s="251" t="s">
        <v>799</v>
      </c>
      <c r="G262" s="251" t="s">
        <v>787</v>
      </c>
      <c r="H262" s="251" t="s">
        <v>459</v>
      </c>
      <c r="I262" s="252" t="s">
        <v>985</v>
      </c>
      <c r="J262" s="252" t="s">
        <v>799</v>
      </c>
      <c r="K262" s="253" t="s">
        <v>958</v>
      </c>
      <c r="L262" s="250">
        <v>2016</v>
      </c>
      <c r="M262" s="268">
        <v>3.25805452031247E-2</v>
      </c>
      <c r="N262" s="254">
        <v>317604108.87555474</v>
      </c>
      <c r="O262" s="254">
        <v>9748274837.6334591</v>
      </c>
      <c r="P262" s="268">
        <v>4.0202773017841469E-2</v>
      </c>
      <c r="Q262" s="268">
        <v>3.1830542998849645E-2</v>
      </c>
      <c r="R262" s="268">
        <v>7.9444827215853289E-2</v>
      </c>
      <c r="S262" s="268">
        <v>7.7280405661919224E-2</v>
      </c>
      <c r="T262" s="268">
        <v>7.5162749670838108E-2</v>
      </c>
      <c r="U262" s="268">
        <v>6.2652162836335942E-2</v>
      </c>
      <c r="V262" s="268">
        <v>4.6833467805775991E-2</v>
      </c>
      <c r="W262" s="268">
        <v>1.812805191327017E-2</v>
      </c>
      <c r="X262" s="268">
        <v>163089410.803065</v>
      </c>
      <c r="Y262" s="268">
        <v>8996521611</v>
      </c>
      <c r="Z262" s="276" t="s">
        <v>986</v>
      </c>
      <c r="AA262" s="255" t="s">
        <v>987</v>
      </c>
      <c r="AB262" s="255"/>
    </row>
    <row r="263" spans="1:28" s="256" customFormat="1" ht="67.5">
      <c r="A263" s="250">
        <v>258</v>
      </c>
      <c r="B263" s="250" t="s">
        <v>11</v>
      </c>
      <c r="C263" s="250" t="s">
        <v>955</v>
      </c>
      <c r="D263" s="250" t="s">
        <v>984</v>
      </c>
      <c r="E263" s="250" t="s">
        <v>786</v>
      </c>
      <c r="F263" s="251" t="s">
        <v>800</v>
      </c>
      <c r="G263" s="251" t="s">
        <v>787</v>
      </c>
      <c r="H263" s="251" t="s">
        <v>459</v>
      </c>
      <c r="I263" s="252" t="s">
        <v>985</v>
      </c>
      <c r="J263" s="252" t="s">
        <v>800</v>
      </c>
      <c r="K263" s="253" t="s">
        <v>958</v>
      </c>
      <c r="L263" s="250">
        <v>2016</v>
      </c>
      <c r="M263" s="268">
        <v>1.0157217487707084E-2</v>
      </c>
      <c r="N263" s="254">
        <v>42101249.562544145</v>
      </c>
      <c r="O263" s="254">
        <v>4144958996.0000005</v>
      </c>
      <c r="P263" s="268">
        <v>1.6343831009545118E-2</v>
      </c>
      <c r="Q263" s="268">
        <v>7.6548699536991708E-3</v>
      </c>
      <c r="R263" s="268">
        <v>1.5165274477971833E-2</v>
      </c>
      <c r="S263" s="268">
        <v>1.5647675160133961E-2</v>
      </c>
      <c r="T263" s="268">
        <v>1.6421516984508069E-2</v>
      </c>
      <c r="U263" s="268">
        <v>2.6743415518618519E-2</v>
      </c>
      <c r="V263" s="268">
        <v>3.0979338112321668E-2</v>
      </c>
      <c r="W263" s="268">
        <v>1.402564786308391E-2</v>
      </c>
      <c r="X263" s="268">
        <v>66254249.538097002</v>
      </c>
      <c r="Y263" s="268">
        <v>4723792454</v>
      </c>
      <c r="Z263" s="276" t="s">
        <v>986</v>
      </c>
      <c r="AA263" s="255" t="s">
        <v>987</v>
      </c>
      <c r="AB263" s="255"/>
    </row>
    <row r="264" spans="1:28" s="256" customFormat="1" ht="67.5">
      <c r="A264" s="250">
        <v>259</v>
      </c>
      <c r="B264" s="250" t="s">
        <v>11</v>
      </c>
      <c r="C264" s="250" t="s">
        <v>955</v>
      </c>
      <c r="D264" s="250" t="s">
        <v>984</v>
      </c>
      <c r="E264" s="250" t="s">
        <v>786</v>
      </c>
      <c r="F264" s="251" t="s">
        <v>801</v>
      </c>
      <c r="G264" s="251" t="s">
        <v>787</v>
      </c>
      <c r="H264" s="251" t="s">
        <v>459</v>
      </c>
      <c r="I264" s="252" t="s">
        <v>985</v>
      </c>
      <c r="J264" s="252" t="s">
        <v>801</v>
      </c>
      <c r="K264" s="253" t="s">
        <v>958</v>
      </c>
      <c r="L264" s="250">
        <v>2016</v>
      </c>
      <c r="M264" s="268">
        <v>7.0781421549194019E-3</v>
      </c>
      <c r="N264" s="254">
        <v>29338609.008983675</v>
      </c>
      <c r="O264" s="254">
        <v>4144958996.0000005</v>
      </c>
      <c r="P264" s="268">
        <v>1.0325634838144067E-2</v>
      </c>
      <c r="Q264" s="268">
        <v>6.0124235185290585E-3</v>
      </c>
      <c r="R264" s="268">
        <v>1.0621026622388478E-2</v>
      </c>
      <c r="S264" s="268">
        <v>1.0958876787602732E-2</v>
      </c>
      <c r="T264" s="268">
        <v>1.150083826875716E-2</v>
      </c>
      <c r="U264" s="268">
        <v>1.872979804021533E-2</v>
      </c>
      <c r="V264" s="268">
        <v>2.169643387021284E-2</v>
      </c>
      <c r="W264" s="268">
        <v>9.1711873579562436E-3</v>
      </c>
      <c r="X264" s="268">
        <v>43322785.635733902</v>
      </c>
      <c r="Y264" s="268">
        <v>4723792454</v>
      </c>
      <c r="Z264" s="276" t="s">
        <v>986</v>
      </c>
      <c r="AA264" s="255" t="s">
        <v>987</v>
      </c>
      <c r="AB264" s="255"/>
    </row>
    <row r="265" spans="1:28" s="256" customFormat="1" ht="45">
      <c r="A265" s="250">
        <v>260</v>
      </c>
      <c r="B265" s="250" t="s">
        <v>11</v>
      </c>
      <c r="C265" s="250" t="s">
        <v>988</v>
      </c>
      <c r="D265" s="250" t="s">
        <v>989</v>
      </c>
      <c r="E265" s="250" t="s">
        <v>490</v>
      </c>
      <c r="F265" s="251" t="s">
        <v>779</v>
      </c>
      <c r="G265" s="251" t="s">
        <v>492</v>
      </c>
      <c r="H265" s="251" t="s">
        <v>459</v>
      </c>
      <c r="I265" s="252" t="s">
        <v>990</v>
      </c>
      <c r="J265" s="275" t="s">
        <v>491</v>
      </c>
      <c r="K265" s="253" t="s">
        <v>991</v>
      </c>
      <c r="L265" s="250">
        <v>2016</v>
      </c>
      <c r="M265" s="254">
        <v>23550.708415304987</v>
      </c>
      <c r="N265" s="257" t="s">
        <v>41</v>
      </c>
      <c r="O265" s="257" t="s">
        <v>41</v>
      </c>
      <c r="P265" s="254">
        <v>18457.000834246039</v>
      </c>
      <c r="Q265" s="254">
        <v>12302.275661038802</v>
      </c>
      <c r="R265" s="254">
        <f>10.3500632625959*10^3</f>
        <v>10350.063262595899</v>
      </c>
      <c r="S265" s="254">
        <f>11.3730636211346*10^3</f>
        <v>11373.063621134599</v>
      </c>
      <c r="T265" s="254">
        <f>12.0896396768043*10^3</f>
        <v>12089.6396768043</v>
      </c>
      <c r="U265" s="254">
        <f>12.2798510871729*10^3</f>
        <v>12279.851087172901</v>
      </c>
      <c r="V265" s="254">
        <f>12.5559672352006*10^3</f>
        <v>12555.9672352006</v>
      </c>
      <c r="W265" s="254">
        <v>10526.0815448876</v>
      </c>
      <c r="X265" s="254" t="s">
        <v>41</v>
      </c>
      <c r="Y265" s="254" t="s">
        <v>41</v>
      </c>
      <c r="Z265" s="255" t="s">
        <v>781</v>
      </c>
      <c r="AA265" s="255" t="s">
        <v>782</v>
      </c>
      <c r="AB265" s="255"/>
    </row>
    <row r="266" spans="1:28" s="256" customFormat="1" ht="45">
      <c r="A266" s="250">
        <v>261</v>
      </c>
      <c r="B266" s="250" t="s">
        <v>11</v>
      </c>
      <c r="C266" s="250" t="s">
        <v>988</v>
      </c>
      <c r="D266" s="250" t="s">
        <v>989</v>
      </c>
      <c r="E266" s="250" t="s">
        <v>490</v>
      </c>
      <c r="F266" s="251" t="s">
        <v>779</v>
      </c>
      <c r="G266" s="251" t="s">
        <v>492</v>
      </c>
      <c r="H266" s="251" t="s">
        <v>459</v>
      </c>
      <c r="I266" s="252" t="s">
        <v>990</v>
      </c>
      <c r="J266" s="275" t="s">
        <v>496</v>
      </c>
      <c r="K266" s="253" t="s">
        <v>991</v>
      </c>
      <c r="L266" s="250">
        <v>2016</v>
      </c>
      <c r="M266" s="254">
        <v>17180.539716194446</v>
      </c>
      <c r="N266" s="257" t="s">
        <v>41</v>
      </c>
      <c r="O266" s="257" t="s">
        <v>41</v>
      </c>
      <c r="P266" s="254">
        <v>12128.356941460042</v>
      </c>
      <c r="Q266" s="254">
        <v>8087.5214214392799</v>
      </c>
      <c r="R266" s="254">
        <f>8.71975835835242*10^3</f>
        <v>8719.7583583524211</v>
      </c>
      <c r="S266" s="254">
        <f>9.47396356699076*10^3</f>
        <v>9473.9635669907602</v>
      </c>
      <c r="T266" s="254">
        <f>9.99835108935874*10^3</f>
        <v>9998.3510893587409</v>
      </c>
      <c r="U266" s="254">
        <f>10.2206826165798*10^3</f>
        <v>10220.682616579801</v>
      </c>
      <c r="V266" s="254">
        <f>10.7561887505911*10^3</f>
        <v>10756.1887505911</v>
      </c>
      <c r="W266" s="254">
        <v>6550.4832997041904</v>
      </c>
      <c r="X266" s="254" t="s">
        <v>41</v>
      </c>
      <c r="Y266" s="254" t="s">
        <v>41</v>
      </c>
      <c r="Z266" s="255" t="s">
        <v>781</v>
      </c>
      <c r="AA266" s="255" t="s">
        <v>782</v>
      </c>
      <c r="AB266" s="255"/>
    </row>
    <row r="267" spans="1:28" s="256" customFormat="1" ht="45">
      <c r="A267" s="250">
        <v>262</v>
      </c>
      <c r="B267" s="250" t="s">
        <v>11</v>
      </c>
      <c r="C267" s="250" t="s">
        <v>988</v>
      </c>
      <c r="D267" s="250" t="s">
        <v>989</v>
      </c>
      <c r="E267" s="250" t="s">
        <v>490</v>
      </c>
      <c r="F267" s="251" t="s">
        <v>784</v>
      </c>
      <c r="G267" s="251" t="s">
        <v>492</v>
      </c>
      <c r="H267" s="251" t="s">
        <v>459</v>
      </c>
      <c r="I267" s="252" t="s">
        <v>990</v>
      </c>
      <c r="J267" s="275" t="s">
        <v>497</v>
      </c>
      <c r="K267" s="253" t="s">
        <v>991</v>
      </c>
      <c r="L267" s="250">
        <v>2016</v>
      </c>
      <c r="M267" s="254">
        <v>76357392.796230033</v>
      </c>
      <c r="N267" s="257" t="s">
        <v>41</v>
      </c>
      <c r="O267" s="257" t="s">
        <v>41</v>
      </c>
      <c r="P267" s="254">
        <v>59866741.929275781</v>
      </c>
      <c r="Q267" s="254">
        <v>37334734.768402398</v>
      </c>
      <c r="R267" s="254">
        <f>64.7514661850974*10^6</f>
        <v>64751466.185097396</v>
      </c>
      <c r="S267" s="254">
        <f>71.5956032479062*10^6</f>
        <v>71595603.247906193</v>
      </c>
      <c r="T267" s="254">
        <f>75.9544611197053*10^6</f>
        <v>75954461.119705305</v>
      </c>
      <c r="U267" s="254">
        <f>73.8864553117797*10^6</f>
        <v>73886455.311779693</v>
      </c>
      <c r="V267" s="254">
        <f>67.7507801849014*10^6</f>
        <v>67750780.184901401</v>
      </c>
      <c r="W267" s="254">
        <v>28261055.427902602</v>
      </c>
      <c r="X267" s="254" t="s">
        <v>41</v>
      </c>
      <c r="Y267" s="254" t="s">
        <v>41</v>
      </c>
      <c r="Z267" s="255" t="s">
        <v>781</v>
      </c>
      <c r="AA267" s="255" t="s">
        <v>782</v>
      </c>
      <c r="AB267" s="255"/>
    </row>
    <row r="268" spans="1:28" s="256" customFormat="1" ht="45">
      <c r="A268" s="250">
        <v>263</v>
      </c>
      <c r="B268" s="250" t="s">
        <v>11</v>
      </c>
      <c r="C268" s="250" t="s">
        <v>988</v>
      </c>
      <c r="D268" s="250" t="s">
        <v>989</v>
      </c>
      <c r="E268" s="250" t="s">
        <v>490</v>
      </c>
      <c r="F268" s="251" t="s">
        <v>784</v>
      </c>
      <c r="G268" s="251" t="s">
        <v>492</v>
      </c>
      <c r="H268" s="251" t="s">
        <v>459</v>
      </c>
      <c r="I268" s="252" t="s">
        <v>990</v>
      </c>
      <c r="J268" s="275" t="s">
        <v>498</v>
      </c>
      <c r="K268" s="253" t="s">
        <v>991</v>
      </c>
      <c r="L268" s="250">
        <v>2016</v>
      </c>
      <c r="M268" s="254">
        <v>54916559.315914467</v>
      </c>
      <c r="N268" s="257" t="s">
        <v>41</v>
      </c>
      <c r="O268" s="257" t="s">
        <v>41</v>
      </c>
      <c r="P268" s="254">
        <v>38994338.136156619</v>
      </c>
      <c r="Q268" s="254">
        <v>25206111.104780663</v>
      </c>
      <c r="R268" s="254">
        <f>51.0378680151124*10^6</f>
        <v>51037868.0151124</v>
      </c>
      <c r="S268" s="254">
        <f>55.7508912701913*10^6</f>
        <v>55750891.270191304</v>
      </c>
      <c r="T268" s="254">
        <f>58.7436618064205*10^6</f>
        <v>58743661.806420498</v>
      </c>
      <c r="U268" s="254">
        <f>57.9467942183068*10^6</f>
        <v>57946794.218306802</v>
      </c>
      <c r="V268" s="254">
        <f>56.1798291848105*10^6</f>
        <v>56179829.184810504</v>
      </c>
      <c r="W268" s="254">
        <v>18712793.997272901</v>
      </c>
      <c r="X268" s="254" t="s">
        <v>41</v>
      </c>
      <c r="Y268" s="254" t="s">
        <v>41</v>
      </c>
      <c r="Z268" s="255" t="s">
        <v>781</v>
      </c>
      <c r="AA268" s="255" t="s">
        <v>782</v>
      </c>
      <c r="AB268" s="255"/>
    </row>
    <row r="269" spans="1:28" s="256" customFormat="1" ht="45">
      <c r="A269" s="250">
        <v>264</v>
      </c>
      <c r="B269" s="250" t="s">
        <v>11</v>
      </c>
      <c r="C269" s="250" t="s">
        <v>988</v>
      </c>
      <c r="D269" s="250" t="s">
        <v>989</v>
      </c>
      <c r="E269" s="250" t="s">
        <v>490</v>
      </c>
      <c r="F269" s="251" t="s">
        <v>785</v>
      </c>
      <c r="G269" s="251" t="s">
        <v>492</v>
      </c>
      <c r="H269" s="251" t="s">
        <v>459</v>
      </c>
      <c r="I269" s="252" t="s">
        <v>990</v>
      </c>
      <c r="J269" s="275" t="s">
        <v>499</v>
      </c>
      <c r="K269" s="253" t="s">
        <v>991</v>
      </c>
      <c r="L269" s="250">
        <v>2016</v>
      </c>
      <c r="M269" s="254">
        <v>1113178.6789099996</v>
      </c>
      <c r="N269" s="257" t="s">
        <v>41</v>
      </c>
      <c r="O269" s="257" t="s">
        <v>41</v>
      </c>
      <c r="P269" s="254">
        <v>1170629.8475666766</v>
      </c>
      <c r="Q269" s="254">
        <v>406662.0482380006</v>
      </c>
      <c r="R269" s="254">
        <f>0.360106248260807*10^6</f>
        <v>360106.24826080701</v>
      </c>
      <c r="S269" s="254">
        <f>0.341379579842585*10^6</f>
        <v>341379.57984258496</v>
      </c>
      <c r="T269" s="254">
        <f>0.339185785550677*10^6</f>
        <v>339185.78555067704</v>
      </c>
      <c r="U269" s="254">
        <f>0.436143788635826*10^6</f>
        <v>436143.78863582597</v>
      </c>
      <c r="V269" s="254">
        <f>0.570657807001426*10^6</f>
        <v>570657.807001426</v>
      </c>
      <c r="W269" s="254">
        <v>139685.64822024899</v>
      </c>
      <c r="X269" s="254" t="s">
        <v>41</v>
      </c>
      <c r="Y269" s="254" t="s">
        <v>41</v>
      </c>
      <c r="Z269" s="255" t="s">
        <v>781</v>
      </c>
      <c r="AA269" s="255" t="s">
        <v>782</v>
      </c>
      <c r="AB269" s="255"/>
    </row>
    <row r="270" spans="1:28" s="256" customFormat="1" ht="45">
      <c r="A270" s="250">
        <v>265</v>
      </c>
      <c r="B270" s="250" t="s">
        <v>11</v>
      </c>
      <c r="C270" s="250" t="s">
        <v>988</v>
      </c>
      <c r="D270" s="250" t="s">
        <v>989</v>
      </c>
      <c r="E270" s="250" t="s">
        <v>490</v>
      </c>
      <c r="F270" s="251" t="s">
        <v>785</v>
      </c>
      <c r="G270" s="251" t="s">
        <v>492</v>
      </c>
      <c r="H270" s="251" t="s">
        <v>459</v>
      </c>
      <c r="I270" s="252" t="s">
        <v>990</v>
      </c>
      <c r="J270" s="275" t="s">
        <v>500</v>
      </c>
      <c r="K270" s="253" t="s">
        <v>991</v>
      </c>
      <c r="L270" s="250">
        <v>2016</v>
      </c>
      <c r="M270" s="254">
        <v>871717.40001205006</v>
      </c>
      <c r="N270" s="257" t="s">
        <v>41</v>
      </c>
      <c r="O270" s="257" t="s">
        <v>41</v>
      </c>
      <c r="P270" s="254">
        <v>705031.9893371528</v>
      </c>
      <c r="Q270" s="254">
        <v>246682.65659862064</v>
      </c>
      <c r="R270" s="254">
        <f>0.417287577436034*10^6</f>
        <v>417287.57743603399</v>
      </c>
      <c r="S270" s="254">
        <f>0.41024598160241*10^6</f>
        <v>410245.98160240997</v>
      </c>
      <c r="T270" s="254">
        <f>0.411918719696058*10^6</f>
        <v>411918.71969605796</v>
      </c>
      <c r="U270" s="254">
        <f>0.481756227664486*10^6</f>
        <v>481756.22766448598</v>
      </c>
      <c r="V270" s="254">
        <f>0.584018030333678*10^6</f>
        <v>584018.03033367801</v>
      </c>
      <c r="W270" s="254">
        <v>85943.190118907194</v>
      </c>
      <c r="X270" s="254" t="s">
        <v>41</v>
      </c>
      <c r="Y270" s="254" t="s">
        <v>41</v>
      </c>
      <c r="Z270" s="255" t="s">
        <v>781</v>
      </c>
      <c r="AA270" s="255" t="s">
        <v>782</v>
      </c>
      <c r="AB270" s="255"/>
    </row>
    <row r="271" spans="1:28" s="256" customFormat="1" ht="45">
      <c r="A271" s="250">
        <v>266</v>
      </c>
      <c r="B271" s="250" t="s">
        <v>11</v>
      </c>
      <c r="C271" s="250" t="s">
        <v>988</v>
      </c>
      <c r="D271" s="250" t="s">
        <v>989</v>
      </c>
      <c r="E271" s="250" t="s">
        <v>490</v>
      </c>
      <c r="F271" s="251" t="s">
        <v>779</v>
      </c>
      <c r="G271" s="251" t="s">
        <v>492</v>
      </c>
      <c r="H271" s="251" t="s">
        <v>459</v>
      </c>
      <c r="I271" s="252" t="s">
        <v>990</v>
      </c>
      <c r="J271" s="275" t="s">
        <v>501</v>
      </c>
      <c r="K271" s="253" t="s">
        <v>991</v>
      </c>
      <c r="L271" s="250">
        <v>2016</v>
      </c>
      <c r="M271" s="254">
        <v>178261.69493830801</v>
      </c>
      <c r="N271" s="257" t="s">
        <v>41</v>
      </c>
      <c r="O271" s="257" t="s">
        <v>41</v>
      </c>
      <c r="P271" s="254">
        <v>137016.00452513725</v>
      </c>
      <c r="Q271" s="254">
        <v>81667.379791419706</v>
      </c>
      <c r="R271" s="254">
        <f>78.341598119692*10^3</f>
        <v>78341.598119691989</v>
      </c>
      <c r="S271" s="254">
        <f>86.0848824776312*10^3</f>
        <v>86084.882477631196</v>
      </c>
      <c r="T271" s="254">
        <f>91.5087829844372*10^3</f>
        <v>91508.782984437203</v>
      </c>
      <c r="U271" s="254">
        <f>92.9485293406483*10^3</f>
        <v>92948.529340648311</v>
      </c>
      <c r="V271" s="254">
        <f>95.0385050011178*10^3</f>
        <v>95038.505001117795</v>
      </c>
      <c r="W271" s="254">
        <v>110071.295368861</v>
      </c>
      <c r="X271" s="254" t="s">
        <v>41</v>
      </c>
      <c r="Y271" s="254" t="s">
        <v>41</v>
      </c>
      <c r="Z271" s="255" t="s">
        <v>781</v>
      </c>
      <c r="AA271" s="255" t="s">
        <v>782</v>
      </c>
      <c r="AB271" s="255"/>
    </row>
    <row r="272" spans="1:28" s="256" customFormat="1" ht="45">
      <c r="A272" s="250">
        <v>267</v>
      </c>
      <c r="B272" s="250" t="s">
        <v>11</v>
      </c>
      <c r="C272" s="250" t="s">
        <v>988</v>
      </c>
      <c r="D272" s="250" t="s">
        <v>989</v>
      </c>
      <c r="E272" s="250" t="s">
        <v>490</v>
      </c>
      <c r="F272" s="251" t="s">
        <v>779</v>
      </c>
      <c r="G272" s="251" t="s">
        <v>492</v>
      </c>
      <c r="H272" s="251" t="s">
        <v>459</v>
      </c>
      <c r="I272" s="252" t="s">
        <v>990</v>
      </c>
      <c r="J272" s="275" t="s">
        <v>504</v>
      </c>
      <c r="K272" s="253" t="s">
        <v>991</v>
      </c>
      <c r="L272" s="250">
        <v>2016</v>
      </c>
      <c r="M272" s="254">
        <v>120200.71297668455</v>
      </c>
      <c r="N272" s="257" t="s">
        <v>41</v>
      </c>
      <c r="O272" s="257" t="s">
        <v>41</v>
      </c>
      <c r="P272" s="254">
        <v>89340.558428538672</v>
      </c>
      <c r="Q272" s="254">
        <v>54359.685605590399</v>
      </c>
      <c r="R272" s="254">
        <f>57.152010415457*10^3</f>
        <v>57152.010415457</v>
      </c>
      <c r="S272" s="254">
        <f>62.8009157083853*10^3</f>
        <v>62800.915708385299</v>
      </c>
      <c r="T272" s="254">
        <f>66.7577767591871*10^3</f>
        <v>66757.776759187094</v>
      </c>
      <c r="U272" s="254">
        <f>67.8081050741658*10^3</f>
        <v>67808.105074165796</v>
      </c>
      <c r="V272" s="254">
        <f>69.3327907275362*10^3</f>
        <v>69332.790727536209</v>
      </c>
      <c r="W272" s="254">
        <v>65093.971263428997</v>
      </c>
      <c r="X272" s="254" t="s">
        <v>41</v>
      </c>
      <c r="Y272" s="254" t="s">
        <v>41</v>
      </c>
      <c r="Z272" s="255" t="s">
        <v>781</v>
      </c>
      <c r="AA272" s="255" t="s">
        <v>782</v>
      </c>
      <c r="AB272" s="255"/>
    </row>
    <row r="273" spans="1:28" s="256" customFormat="1" ht="45">
      <c r="A273" s="250">
        <v>268</v>
      </c>
      <c r="B273" s="250" t="s">
        <v>11</v>
      </c>
      <c r="C273" s="250" t="s">
        <v>988</v>
      </c>
      <c r="D273" s="250" t="s">
        <v>989</v>
      </c>
      <c r="E273" s="250" t="s">
        <v>490</v>
      </c>
      <c r="F273" s="251" t="s">
        <v>784</v>
      </c>
      <c r="G273" s="251" t="s">
        <v>492</v>
      </c>
      <c r="H273" s="251" t="s">
        <v>459</v>
      </c>
      <c r="I273" s="252" t="s">
        <v>990</v>
      </c>
      <c r="J273" s="275" t="s">
        <v>505</v>
      </c>
      <c r="K273" s="253" t="s">
        <v>991</v>
      </c>
      <c r="L273" s="250">
        <v>2016</v>
      </c>
      <c r="M273" s="254">
        <v>698948565.49960244</v>
      </c>
      <c r="N273" s="257" t="s">
        <v>41</v>
      </c>
      <c r="O273" s="257" t="s">
        <v>41</v>
      </c>
      <c r="P273" s="254">
        <v>570126032.79346037</v>
      </c>
      <c r="Q273" s="254">
        <v>251386870.94949007</v>
      </c>
      <c r="R273" s="254">
        <f>592.712016395319*10^6</f>
        <v>592712016.39531898</v>
      </c>
      <c r="S273" s="254">
        <f>655.360826035972*10^6</f>
        <v>655360826.035972</v>
      </c>
      <c r="T273" s="254">
        <f>695.260269100156*10^6</f>
        <v>695260269.10015607</v>
      </c>
      <c r="U273" s="254">
        <f>676.330475466928*10^6</f>
        <v>676330475.46692801</v>
      </c>
      <c r="V273" s="254">
        <f>620.166675777777*10^6</f>
        <v>620166675.77777696</v>
      </c>
      <c r="W273" s="254">
        <v>302852673.48495197</v>
      </c>
      <c r="X273" s="254" t="s">
        <v>41</v>
      </c>
      <c r="Y273" s="254" t="s">
        <v>41</v>
      </c>
      <c r="Z273" s="255" t="s">
        <v>781</v>
      </c>
      <c r="AA273" s="255" t="s">
        <v>782</v>
      </c>
      <c r="AB273" s="255"/>
    </row>
    <row r="274" spans="1:28" s="256" customFormat="1" ht="45">
      <c r="A274" s="250">
        <v>269</v>
      </c>
      <c r="B274" s="250" t="s">
        <v>11</v>
      </c>
      <c r="C274" s="250" t="s">
        <v>988</v>
      </c>
      <c r="D274" s="250" t="s">
        <v>989</v>
      </c>
      <c r="E274" s="250" t="s">
        <v>490</v>
      </c>
      <c r="F274" s="251" t="s">
        <v>784</v>
      </c>
      <c r="G274" s="251" t="s">
        <v>492</v>
      </c>
      <c r="H274" s="251" t="s">
        <v>459</v>
      </c>
      <c r="I274" s="252" t="s">
        <v>990</v>
      </c>
      <c r="J274" s="275" t="s">
        <v>506</v>
      </c>
      <c r="K274" s="253" t="s">
        <v>991</v>
      </c>
      <c r="L274" s="250">
        <v>2016</v>
      </c>
      <c r="M274" s="254">
        <v>481735607.43939239</v>
      </c>
      <c r="N274" s="257" t="s">
        <v>41</v>
      </c>
      <c r="O274" s="257" t="s">
        <v>41</v>
      </c>
      <c r="P274" s="254">
        <v>369145011.05935597</v>
      </c>
      <c r="Q274" s="254">
        <v>174700778.45072669</v>
      </c>
      <c r="R274" s="254">
        <f>426.280981310906*10^6</f>
        <v>426280981.31090599</v>
      </c>
      <c r="S274" s="254">
        <f>471.338269357797*10^6</f>
        <v>471338269.35779703</v>
      </c>
      <c r="T274" s="254">
        <f>500.034117042139*10^6</f>
        <v>500034117.04213899</v>
      </c>
      <c r="U274" s="254">
        <f>486.41972964527*10^6</f>
        <v>486419729.64527005</v>
      </c>
      <c r="V274" s="254">
        <f>446.026488098987*10^6</f>
        <v>446026488.09898698</v>
      </c>
      <c r="W274" s="254">
        <v>198957260.901144</v>
      </c>
      <c r="X274" s="254" t="s">
        <v>41</v>
      </c>
      <c r="Y274" s="254" t="s">
        <v>41</v>
      </c>
      <c r="Z274" s="255" t="s">
        <v>781</v>
      </c>
      <c r="AA274" s="255" t="s">
        <v>782</v>
      </c>
      <c r="AB274" s="255"/>
    </row>
    <row r="275" spans="1:28" s="256" customFormat="1" ht="45">
      <c r="A275" s="250">
        <v>270</v>
      </c>
      <c r="B275" s="250" t="s">
        <v>11</v>
      </c>
      <c r="C275" s="250" t="s">
        <v>988</v>
      </c>
      <c r="D275" s="250" t="s">
        <v>989</v>
      </c>
      <c r="E275" s="250" t="s">
        <v>490</v>
      </c>
      <c r="F275" s="251" t="s">
        <v>785</v>
      </c>
      <c r="G275" s="251" t="s">
        <v>492</v>
      </c>
      <c r="H275" s="251" t="s">
        <v>459</v>
      </c>
      <c r="I275" s="252" t="s">
        <v>990</v>
      </c>
      <c r="J275" s="275" t="s">
        <v>507</v>
      </c>
      <c r="K275" s="253" t="s">
        <v>991</v>
      </c>
      <c r="L275" s="250">
        <v>2016</v>
      </c>
      <c r="M275" s="254">
        <v>10137312.593647994</v>
      </c>
      <c r="N275" s="257" t="s">
        <v>41</v>
      </c>
      <c r="O275" s="257" t="s">
        <v>41</v>
      </c>
      <c r="P275" s="254">
        <v>16053723.905368671</v>
      </c>
      <c r="Q275" s="254">
        <v>4557496.1258399999</v>
      </c>
      <c r="R275" s="254">
        <f>3.27935556804027*10^6</f>
        <v>3279355.5680402704</v>
      </c>
      <c r="S275" s="254">
        <f>3.10881866498808*10^6</f>
        <v>3108818.66498808</v>
      </c>
      <c r="T275" s="254">
        <f>3.08884058473802*10^6</f>
        <v>3088840.5847380199</v>
      </c>
      <c r="U275" s="254">
        <f>3.97180156866704*10^6</f>
        <v>3971801.5686670397</v>
      </c>
      <c r="V275" s="254">
        <f>5.19677141364241*10^6</f>
        <v>5196771.4136424102</v>
      </c>
      <c r="W275" s="254">
        <v>1725340.6813358599</v>
      </c>
      <c r="X275" s="254" t="s">
        <v>41</v>
      </c>
      <c r="Y275" s="254" t="s">
        <v>41</v>
      </c>
      <c r="Z275" s="255" t="s">
        <v>781</v>
      </c>
      <c r="AA275" s="255" t="s">
        <v>782</v>
      </c>
      <c r="AB275" s="255"/>
    </row>
    <row r="276" spans="1:28" s="256" customFormat="1" ht="45">
      <c r="A276" s="250">
        <v>271</v>
      </c>
      <c r="B276" s="250" t="s">
        <v>11</v>
      </c>
      <c r="C276" s="250" t="s">
        <v>988</v>
      </c>
      <c r="D276" s="250" t="s">
        <v>989</v>
      </c>
      <c r="E276" s="250" t="s">
        <v>490</v>
      </c>
      <c r="F276" s="251" t="s">
        <v>785</v>
      </c>
      <c r="G276" s="251" t="s">
        <v>492</v>
      </c>
      <c r="H276" s="251" t="s">
        <v>459</v>
      </c>
      <c r="I276" s="252" t="s">
        <v>990</v>
      </c>
      <c r="J276" s="275" t="s">
        <v>508</v>
      </c>
      <c r="K276" s="253" t="s">
        <v>991</v>
      </c>
      <c r="L276" s="250">
        <v>2016</v>
      </c>
      <c r="M276" s="254">
        <v>7013910.9495488014</v>
      </c>
      <c r="N276" s="257" t="s">
        <v>41</v>
      </c>
      <c r="O276" s="257" t="s">
        <v>41</v>
      </c>
      <c r="P276" s="254">
        <v>9695419.0703906752</v>
      </c>
      <c r="Q276" s="254">
        <v>2729232.5325230425</v>
      </c>
      <c r="R276" s="254">
        <f>2.56802364912145*10^6</f>
        <v>2568023.6491214503</v>
      </c>
      <c r="S276" s="254">
        <f>2.4344782646703*10^6</f>
        <v>2434478.2646702998</v>
      </c>
      <c r="T276" s="254">
        <f>2.41883367185877*10^6</f>
        <v>2418833.6718587703</v>
      </c>
      <c r="U276" s="254">
        <f>3.11026973023541*10^6</f>
        <v>3110269.7302354099</v>
      </c>
      <c r="V276" s="254">
        <f>4.06952878772069*10^6</f>
        <v>4069528.7877206896</v>
      </c>
      <c r="W276" s="254">
        <v>1063153.45809254</v>
      </c>
      <c r="X276" s="254" t="s">
        <v>41</v>
      </c>
      <c r="Y276" s="254" t="s">
        <v>41</v>
      </c>
      <c r="Z276" s="255" t="s">
        <v>781</v>
      </c>
      <c r="AA276" s="255" t="s">
        <v>782</v>
      </c>
      <c r="AB276" s="255"/>
    </row>
    <row r="277" spans="1:28" s="256" customFormat="1" ht="25.5">
      <c r="A277" s="250">
        <v>272</v>
      </c>
      <c r="B277" s="250" t="s">
        <v>11</v>
      </c>
      <c r="C277" s="250" t="s">
        <v>988</v>
      </c>
      <c r="D277" s="250" t="s">
        <v>992</v>
      </c>
      <c r="E277" s="250" t="s">
        <v>481</v>
      </c>
      <c r="F277" s="251" t="s">
        <v>482</v>
      </c>
      <c r="G277" s="251" t="s">
        <v>578</v>
      </c>
      <c r="H277" s="251" t="s">
        <v>459</v>
      </c>
      <c r="I277" s="252" t="s">
        <v>484</v>
      </c>
      <c r="J277" s="252" t="s">
        <v>485</v>
      </c>
      <c r="K277" s="253" t="s">
        <v>991</v>
      </c>
      <c r="L277" s="250">
        <v>2016</v>
      </c>
      <c r="M277" s="254">
        <v>24976.536627562196</v>
      </c>
      <c r="N277" s="257" t="s">
        <v>41</v>
      </c>
      <c r="O277" s="257" t="s">
        <v>41</v>
      </c>
      <c r="P277" s="254">
        <v>17490.448410451907</v>
      </c>
      <c r="Q277" s="254">
        <v>2659.1719709291956</v>
      </c>
      <c r="R277" s="254">
        <v>23212.904315681222</v>
      </c>
      <c r="S277" s="254">
        <v>25356.468733876227</v>
      </c>
      <c r="T277" s="254">
        <v>26717.632489300067</v>
      </c>
      <c r="U277" s="254">
        <v>26355.203340228374</v>
      </c>
      <c r="V277" s="254">
        <v>25551.557109559817</v>
      </c>
      <c r="W277" s="254">
        <v>1968.3351081923588</v>
      </c>
      <c r="X277" s="254" t="s">
        <v>41</v>
      </c>
      <c r="Y277" s="254" t="s">
        <v>41</v>
      </c>
      <c r="Z277" s="255" t="s">
        <v>803</v>
      </c>
      <c r="AA277" s="255" t="s">
        <v>804</v>
      </c>
      <c r="AB277" s="255"/>
    </row>
    <row r="278" spans="1:28" s="256" customFormat="1" ht="89.25">
      <c r="A278" s="250">
        <v>273</v>
      </c>
      <c r="B278" s="250" t="s">
        <v>11</v>
      </c>
      <c r="C278" s="250" t="s">
        <v>988</v>
      </c>
      <c r="D278" s="250" t="s">
        <v>993</v>
      </c>
      <c r="E278" s="250" t="s">
        <v>994</v>
      </c>
      <c r="F278" s="251" t="s">
        <v>617</v>
      </c>
      <c r="G278" s="251" t="s">
        <v>618</v>
      </c>
      <c r="H278" s="251" t="s">
        <v>459</v>
      </c>
      <c r="I278" s="252" t="s">
        <v>961</v>
      </c>
      <c r="J278" s="252" t="s">
        <v>818</v>
      </c>
      <c r="K278" s="253" t="s">
        <v>991</v>
      </c>
      <c r="L278" s="250">
        <v>2016</v>
      </c>
      <c r="M278" s="268">
        <v>7.8748952806478631E-2</v>
      </c>
      <c r="N278" s="329">
        <v>282</v>
      </c>
      <c r="O278" s="329">
        <v>3581</v>
      </c>
      <c r="P278" s="268">
        <v>8.2308925708177438E-2</v>
      </c>
      <c r="Q278" s="268">
        <v>5.3984575835475578E-2</v>
      </c>
      <c r="R278" s="267">
        <v>7.8748952806478631E-2</v>
      </c>
      <c r="S278" s="267">
        <v>7.8748952806478631E-2</v>
      </c>
      <c r="T278" s="267">
        <v>7.8748952806478631E-2</v>
      </c>
      <c r="U278" s="267">
        <v>7.8748952806478631E-2</v>
      </c>
      <c r="V278" s="267">
        <v>7.8748952806478631E-2</v>
      </c>
      <c r="W278" s="268">
        <v>1.7465753424657535E-2</v>
      </c>
      <c r="X278" s="268">
        <v>51</v>
      </c>
      <c r="Y278" s="268">
        <v>2920</v>
      </c>
      <c r="Z278" s="255" t="s">
        <v>819</v>
      </c>
      <c r="AA278" s="255" t="s">
        <v>820</v>
      </c>
      <c r="AB278" s="255"/>
    </row>
    <row r="279" spans="1:28" s="256" customFormat="1" ht="89.25">
      <c r="A279" s="250">
        <v>274</v>
      </c>
      <c r="B279" s="250" t="s">
        <v>11</v>
      </c>
      <c r="C279" s="250" t="s">
        <v>988</v>
      </c>
      <c r="D279" s="250" t="s">
        <v>993</v>
      </c>
      <c r="E279" s="250" t="s">
        <v>994</v>
      </c>
      <c r="F279" s="251" t="s">
        <v>617</v>
      </c>
      <c r="G279" s="251" t="s">
        <v>618</v>
      </c>
      <c r="H279" s="251" t="s">
        <v>459</v>
      </c>
      <c r="I279" s="252" t="s">
        <v>961</v>
      </c>
      <c r="J279" s="252" t="s">
        <v>822</v>
      </c>
      <c r="K279" s="253" t="s">
        <v>991</v>
      </c>
      <c r="L279" s="250">
        <v>2016</v>
      </c>
      <c r="M279" s="268">
        <v>2.9988399999999998E-2</v>
      </c>
      <c r="N279" s="329">
        <v>930</v>
      </c>
      <c r="O279" s="329">
        <v>30959</v>
      </c>
      <c r="P279" s="268">
        <v>2.4321677879907768E-2</v>
      </c>
      <c r="Q279" s="268">
        <v>1.637622657608874E-2</v>
      </c>
      <c r="R279" s="267">
        <v>2.9988399999999998E-2</v>
      </c>
      <c r="S279" s="267">
        <v>2.9988399999999998E-2</v>
      </c>
      <c r="T279" s="267">
        <v>2.9988399999999998E-2</v>
      </c>
      <c r="U279" s="267">
        <v>2.9988399999999998E-2</v>
      </c>
      <c r="V279" s="267">
        <v>2.9988399999999998E-2</v>
      </c>
      <c r="W279" s="268">
        <v>7.2865353037766829E-3</v>
      </c>
      <c r="X279" s="268">
        <v>213</v>
      </c>
      <c r="Y279" s="268">
        <v>29232</v>
      </c>
      <c r="Z279" s="255" t="s">
        <v>823</v>
      </c>
      <c r="AA279" s="255" t="s">
        <v>824</v>
      </c>
      <c r="AB279" s="255"/>
    </row>
    <row r="280" spans="1:28" s="256" customFormat="1" ht="89.25">
      <c r="A280" s="250">
        <v>275</v>
      </c>
      <c r="B280" s="250" t="s">
        <v>11</v>
      </c>
      <c r="C280" s="250" t="s">
        <v>988</v>
      </c>
      <c r="D280" s="250" t="s">
        <v>993</v>
      </c>
      <c r="E280" s="250" t="s">
        <v>994</v>
      </c>
      <c r="F280" s="251" t="s">
        <v>617</v>
      </c>
      <c r="G280" s="251" t="s">
        <v>618</v>
      </c>
      <c r="H280" s="251" t="s">
        <v>459</v>
      </c>
      <c r="I280" s="252" t="s">
        <v>961</v>
      </c>
      <c r="J280" s="252" t="s">
        <v>962</v>
      </c>
      <c r="K280" s="253" t="s">
        <v>991</v>
      </c>
      <c r="L280" s="250">
        <v>2016</v>
      </c>
      <c r="M280" s="268">
        <v>7.1789999999999996E-3</v>
      </c>
      <c r="N280" s="329">
        <v>581</v>
      </c>
      <c r="O280" s="329">
        <v>81390</v>
      </c>
      <c r="P280" s="268">
        <v>6.1903721506081132E-3</v>
      </c>
      <c r="Q280" s="268">
        <v>4.3207577289416273E-3</v>
      </c>
      <c r="R280" s="268">
        <v>7.1789999999999996E-3</v>
      </c>
      <c r="S280" s="268">
        <v>7.1789999999999996E-3</v>
      </c>
      <c r="T280" s="268">
        <v>7.1789999999999996E-3</v>
      </c>
      <c r="U280" s="268">
        <v>7.1789999999999996E-3</v>
      </c>
      <c r="V280" s="268">
        <v>7.1789999999999996E-3</v>
      </c>
      <c r="W280" s="268">
        <v>1.724961261463196E-3</v>
      </c>
      <c r="X280" s="268">
        <v>177</v>
      </c>
      <c r="Y280" s="268">
        <v>102611</v>
      </c>
      <c r="Z280" s="255" t="s">
        <v>827</v>
      </c>
      <c r="AA280" s="255" t="s">
        <v>963</v>
      </c>
      <c r="AB280" s="255"/>
    </row>
    <row r="281" spans="1:28" s="256" customFormat="1" ht="90">
      <c r="A281" s="250">
        <v>276</v>
      </c>
      <c r="B281" s="250" t="s">
        <v>11</v>
      </c>
      <c r="C281" s="250" t="s">
        <v>988</v>
      </c>
      <c r="D281" s="250" t="s">
        <v>995</v>
      </c>
      <c r="E281" s="250" t="s">
        <v>554</v>
      </c>
      <c r="F281" s="251" t="s">
        <v>980</v>
      </c>
      <c r="G281" s="251" t="s">
        <v>556</v>
      </c>
      <c r="H281" s="251" t="s">
        <v>459</v>
      </c>
      <c r="I281" s="252" t="s">
        <v>557</v>
      </c>
      <c r="J281" s="252" t="s">
        <v>555</v>
      </c>
      <c r="K281" s="253" t="s">
        <v>991</v>
      </c>
      <c r="L281" s="250">
        <v>2016</v>
      </c>
      <c r="M281" s="258">
        <v>175.03880439580729</v>
      </c>
      <c r="N281" s="259">
        <v>21039789.086962461</v>
      </c>
      <c r="O281" s="254">
        <v>120200.71297668455</v>
      </c>
      <c r="P281" s="258">
        <v>178.04411163844952</v>
      </c>
      <c r="Q281" s="281">
        <v>191.04412242388312</v>
      </c>
      <c r="R281" s="281">
        <f t="shared" ref="R281:R286" si="23">M281</f>
        <v>175.03880439580729</v>
      </c>
      <c r="S281" s="281">
        <f t="shared" ref="S281:S286" si="24">M281</f>
        <v>175.03880439580729</v>
      </c>
      <c r="T281" s="281">
        <f t="shared" ref="T281:T286" si="25">M281</f>
        <v>175.03880439580729</v>
      </c>
      <c r="U281" s="281">
        <f t="shared" ref="U281:U286" si="26">M281*0.95</f>
        <v>166.28686417601691</v>
      </c>
      <c r="V281" s="281">
        <f t="shared" ref="V281:V286" si="27">M281*0.95</f>
        <v>166.28686417601691</v>
      </c>
      <c r="W281" s="281">
        <v>155.31509181659746</v>
      </c>
      <c r="X281" s="281">
        <v>10110076.123486431</v>
      </c>
      <c r="Y281" s="281">
        <v>65093.971263428997</v>
      </c>
      <c r="Z281" s="255" t="s">
        <v>634</v>
      </c>
      <c r="AA281" s="255" t="s">
        <v>635</v>
      </c>
      <c r="AB281" s="255"/>
    </row>
    <row r="282" spans="1:28" s="256" customFormat="1" ht="56.25">
      <c r="A282" s="250">
        <v>277</v>
      </c>
      <c r="B282" s="250" t="s">
        <v>11</v>
      </c>
      <c r="C282" s="250" t="s">
        <v>988</v>
      </c>
      <c r="D282" s="250" t="s">
        <v>995</v>
      </c>
      <c r="E282" s="250" t="s">
        <v>554</v>
      </c>
      <c r="F282" s="251" t="s">
        <v>982</v>
      </c>
      <c r="G282" s="251" t="s">
        <v>556</v>
      </c>
      <c r="H282" s="251" t="s">
        <v>459</v>
      </c>
      <c r="I282" s="252" t="s">
        <v>557</v>
      </c>
      <c r="J282" s="252" t="s">
        <v>560</v>
      </c>
      <c r="K282" s="253" t="s">
        <v>991</v>
      </c>
      <c r="L282" s="250">
        <v>2016</v>
      </c>
      <c r="M282" s="260">
        <v>4.3674971835270651E-2</v>
      </c>
      <c r="N282" s="259">
        <v>21039789.086962461</v>
      </c>
      <c r="O282" s="254">
        <v>481735607.43939239</v>
      </c>
      <c r="P282" s="260">
        <v>4.3090275859462977E-2</v>
      </c>
      <c r="Q282" s="282">
        <v>5.9445061000041655E-2</v>
      </c>
      <c r="R282" s="282">
        <f t="shared" si="23"/>
        <v>4.3674971835270651E-2</v>
      </c>
      <c r="S282" s="282">
        <f t="shared" si="24"/>
        <v>4.3674971835270651E-2</v>
      </c>
      <c r="T282" s="282">
        <f t="shared" si="25"/>
        <v>4.3674971835270651E-2</v>
      </c>
      <c r="U282" s="282">
        <f t="shared" si="26"/>
        <v>4.1491223243507118E-2</v>
      </c>
      <c r="V282" s="282">
        <f t="shared" si="27"/>
        <v>4.1491223243507118E-2</v>
      </c>
      <c r="W282" s="282">
        <v>5.0815316202557845E-2</v>
      </c>
      <c r="X282" s="282">
        <v>10110076.123486431</v>
      </c>
      <c r="Y282" s="282">
        <v>198957260.901144</v>
      </c>
      <c r="Z282" s="255" t="s">
        <v>860</v>
      </c>
      <c r="AA282" s="255" t="s">
        <v>635</v>
      </c>
      <c r="AB282" s="255"/>
    </row>
    <row r="283" spans="1:28" s="256" customFormat="1" ht="56.25">
      <c r="A283" s="250">
        <v>278</v>
      </c>
      <c r="B283" s="250" t="s">
        <v>11</v>
      </c>
      <c r="C283" s="250" t="s">
        <v>988</v>
      </c>
      <c r="D283" s="250" t="s">
        <v>995</v>
      </c>
      <c r="E283" s="250" t="s">
        <v>554</v>
      </c>
      <c r="F283" s="251" t="s">
        <v>983</v>
      </c>
      <c r="G283" s="251" t="s">
        <v>556</v>
      </c>
      <c r="H283" s="251" t="s">
        <v>459</v>
      </c>
      <c r="I283" s="252" t="s">
        <v>557</v>
      </c>
      <c r="J283" s="252" t="s">
        <v>562</v>
      </c>
      <c r="K283" s="253" t="s">
        <v>991</v>
      </c>
      <c r="L283" s="250">
        <v>2016</v>
      </c>
      <c r="M283" s="258">
        <v>0.32527404843683932</v>
      </c>
      <c r="N283" s="259">
        <v>2281443.2099352144</v>
      </c>
      <c r="O283" s="254">
        <v>7013910.9495488014</v>
      </c>
      <c r="P283" s="258">
        <v>0.31406034271560912</v>
      </c>
      <c r="Q283" s="281">
        <v>0.67685389516960837</v>
      </c>
      <c r="R283" s="282">
        <f t="shared" si="23"/>
        <v>0.32527404843683932</v>
      </c>
      <c r="S283" s="282">
        <f t="shared" si="24"/>
        <v>0.32527404843683932</v>
      </c>
      <c r="T283" s="282">
        <f t="shared" si="25"/>
        <v>0.32527404843683932</v>
      </c>
      <c r="U283" s="282">
        <f t="shared" si="26"/>
        <v>0.30901034601499733</v>
      </c>
      <c r="V283" s="282">
        <f t="shared" si="27"/>
        <v>0.30901034601499733</v>
      </c>
      <c r="W283" s="281">
        <v>0.59994475784261669</v>
      </c>
      <c r="X283" s="281">
        <v>637833.34396486951</v>
      </c>
      <c r="Y283" s="281">
        <v>1063153.45809254</v>
      </c>
      <c r="Z283" s="255" t="s">
        <v>637</v>
      </c>
      <c r="AA283" s="255" t="s">
        <v>635</v>
      </c>
      <c r="AB283" s="255"/>
    </row>
    <row r="284" spans="1:28" s="256" customFormat="1" ht="78.75">
      <c r="A284" s="250">
        <v>279</v>
      </c>
      <c r="B284" s="250" t="s">
        <v>11</v>
      </c>
      <c r="C284" s="250" t="s">
        <v>988</v>
      </c>
      <c r="D284" s="250" t="s">
        <v>995</v>
      </c>
      <c r="E284" s="250" t="s">
        <v>554</v>
      </c>
      <c r="F284" s="251" t="s">
        <v>980</v>
      </c>
      <c r="G284" s="251" t="s">
        <v>556</v>
      </c>
      <c r="H284" s="251" t="s">
        <v>459</v>
      </c>
      <c r="I284" s="252" t="s">
        <v>557</v>
      </c>
      <c r="J284" s="252" t="s">
        <v>564</v>
      </c>
      <c r="K284" s="253" t="s">
        <v>991</v>
      </c>
      <c r="L284" s="250">
        <v>2016</v>
      </c>
      <c r="M284" s="258">
        <v>339.19746830704327</v>
      </c>
      <c r="N284" s="259">
        <v>40771777.53039296</v>
      </c>
      <c r="O284" s="254">
        <v>120200.71297668455</v>
      </c>
      <c r="P284" s="258">
        <v>396.30292136081147</v>
      </c>
      <c r="Q284" s="281">
        <v>448.54163913003856</v>
      </c>
      <c r="R284" s="281">
        <f t="shared" si="23"/>
        <v>339.19746830704327</v>
      </c>
      <c r="S284" s="281">
        <f t="shared" si="24"/>
        <v>339.19746830704327</v>
      </c>
      <c r="T284" s="281">
        <f t="shared" si="25"/>
        <v>339.19746830704327</v>
      </c>
      <c r="U284" s="281">
        <f t="shared" si="26"/>
        <v>322.23759489169106</v>
      </c>
      <c r="V284" s="281">
        <f t="shared" si="27"/>
        <v>322.23759489169106</v>
      </c>
      <c r="W284" s="281">
        <v>333.26873002098711</v>
      </c>
      <c r="X284" s="281">
        <v>21693785.134985611</v>
      </c>
      <c r="Y284" s="281">
        <v>65093.971263428997</v>
      </c>
      <c r="Z284" s="255" t="s">
        <v>638</v>
      </c>
      <c r="AA284" s="255" t="s">
        <v>635</v>
      </c>
      <c r="AB284" s="255"/>
    </row>
    <row r="285" spans="1:28" s="256" customFormat="1" ht="56.25">
      <c r="A285" s="250">
        <v>280</v>
      </c>
      <c r="B285" s="250" t="s">
        <v>11</v>
      </c>
      <c r="C285" s="250" t="s">
        <v>988</v>
      </c>
      <c r="D285" s="250" t="s">
        <v>995</v>
      </c>
      <c r="E285" s="250" t="s">
        <v>554</v>
      </c>
      <c r="F285" s="251" t="s">
        <v>982</v>
      </c>
      <c r="G285" s="251" t="s">
        <v>556</v>
      </c>
      <c r="H285" s="251" t="s">
        <v>459</v>
      </c>
      <c r="I285" s="252" t="s">
        <v>557</v>
      </c>
      <c r="J285" s="252" t="s">
        <v>566</v>
      </c>
      <c r="K285" s="253" t="s">
        <v>991</v>
      </c>
      <c r="L285" s="250">
        <v>2016</v>
      </c>
      <c r="M285" s="260">
        <v>8.4635175188959841E-2</v>
      </c>
      <c r="N285" s="259">
        <v>40771777.53039296</v>
      </c>
      <c r="O285" s="254">
        <v>481735607.43939239</v>
      </c>
      <c r="P285" s="260">
        <v>9.5913321975095361E-2</v>
      </c>
      <c r="Q285" s="282">
        <v>0.13956768081031787</v>
      </c>
      <c r="R285" s="282">
        <f t="shared" si="23"/>
        <v>8.4635175188959841E-2</v>
      </c>
      <c r="S285" s="282">
        <f t="shared" si="24"/>
        <v>8.4635175188959841E-2</v>
      </c>
      <c r="T285" s="282">
        <f t="shared" si="25"/>
        <v>8.4635175188959841E-2</v>
      </c>
      <c r="U285" s="282">
        <f t="shared" si="26"/>
        <v>8.0403416429511848E-2</v>
      </c>
      <c r="V285" s="282">
        <f t="shared" si="27"/>
        <v>8.0403416429511848E-2</v>
      </c>
      <c r="W285" s="282">
        <v>0.10903741354664413</v>
      </c>
      <c r="X285" s="282">
        <v>21693785.134985611</v>
      </c>
      <c r="Y285" s="282">
        <v>198957260.901144</v>
      </c>
      <c r="Z285" s="255" t="s">
        <v>862</v>
      </c>
      <c r="AA285" s="255" t="s">
        <v>635</v>
      </c>
      <c r="AB285" s="255"/>
    </row>
    <row r="286" spans="1:28" s="256" customFormat="1" ht="56.25">
      <c r="A286" s="250">
        <v>281</v>
      </c>
      <c r="B286" s="250" t="s">
        <v>11</v>
      </c>
      <c r="C286" s="250" t="s">
        <v>988</v>
      </c>
      <c r="D286" s="250" t="s">
        <v>995</v>
      </c>
      <c r="E286" s="250" t="s">
        <v>554</v>
      </c>
      <c r="F286" s="251" t="s">
        <v>983</v>
      </c>
      <c r="G286" s="251" t="s">
        <v>556</v>
      </c>
      <c r="H286" s="251" t="s">
        <v>459</v>
      </c>
      <c r="I286" s="252" t="s">
        <v>557</v>
      </c>
      <c r="J286" s="252" t="s">
        <v>568</v>
      </c>
      <c r="K286" s="253" t="s">
        <v>991</v>
      </c>
      <c r="L286" s="250">
        <v>2016</v>
      </c>
      <c r="M286" s="258">
        <f>N286/O286</f>
        <v>0.63032956673006868</v>
      </c>
      <c r="N286" s="259">
        <v>4421075.4499123804</v>
      </c>
      <c r="O286" s="254">
        <v>7013910.9495488014</v>
      </c>
      <c r="P286" s="258">
        <v>0.69905727382053517</v>
      </c>
      <c r="Q286" s="281">
        <v>1.589146798859977</v>
      </c>
      <c r="R286" s="281">
        <f t="shared" si="23"/>
        <v>0.63032956673006868</v>
      </c>
      <c r="S286" s="281">
        <f t="shared" si="24"/>
        <v>0.63032956673006868</v>
      </c>
      <c r="T286" s="281">
        <f t="shared" si="25"/>
        <v>0.63032956673006868</v>
      </c>
      <c r="U286" s="281">
        <f t="shared" si="26"/>
        <v>0.59881308839356517</v>
      </c>
      <c r="V286" s="281">
        <f t="shared" si="27"/>
        <v>0.59881308839356517</v>
      </c>
      <c r="W286" s="281">
        <v>1.2873367629016912</v>
      </c>
      <c r="X286" s="281">
        <v>1368636.5312085892</v>
      </c>
      <c r="Y286" s="281">
        <v>1063153.45809254</v>
      </c>
      <c r="Z286" s="255" t="s">
        <v>862</v>
      </c>
      <c r="AA286" s="255" t="s">
        <v>635</v>
      </c>
      <c r="AB286" s="255"/>
    </row>
    <row r="287" spans="1:28" s="256" customFormat="1" ht="36">
      <c r="A287" s="250">
        <v>282</v>
      </c>
      <c r="B287" s="250" t="s">
        <v>996</v>
      </c>
      <c r="C287" s="250" t="s">
        <v>997</v>
      </c>
      <c r="D287" s="250" t="s">
        <v>998</v>
      </c>
      <c r="E287" s="250" t="s">
        <v>490</v>
      </c>
      <c r="F287" s="251" t="s">
        <v>999</v>
      </c>
      <c r="G287" s="251" t="s">
        <v>492</v>
      </c>
      <c r="H287" s="251" t="s">
        <v>459</v>
      </c>
      <c r="I287" s="252" t="s">
        <v>1000</v>
      </c>
      <c r="J287" s="252" t="s">
        <v>1001</v>
      </c>
      <c r="K287" s="253" t="s">
        <v>1002</v>
      </c>
      <c r="L287" s="250">
        <v>2016</v>
      </c>
      <c r="M287" s="329">
        <v>1402</v>
      </c>
      <c r="N287" s="257" t="s">
        <v>41</v>
      </c>
      <c r="O287" s="257" t="s">
        <v>41</v>
      </c>
      <c r="P287" s="329">
        <v>1889.2407150000001</v>
      </c>
      <c r="Q287" s="331">
        <v>1450</v>
      </c>
      <c r="R287" s="262">
        <v>1212</v>
      </c>
      <c r="S287" s="262">
        <v>1257</v>
      </c>
      <c r="T287" s="262">
        <v>1267</v>
      </c>
      <c r="U287" s="262">
        <v>1327</v>
      </c>
      <c r="V287" s="262">
        <v>1323</v>
      </c>
      <c r="W287" s="331">
        <v>1327</v>
      </c>
      <c r="X287" s="331" t="s">
        <v>41</v>
      </c>
      <c r="Y287" s="331" t="s">
        <v>41</v>
      </c>
      <c r="Z287" s="332" t="s">
        <v>1003</v>
      </c>
      <c r="AA287" s="333" t="s">
        <v>1004</v>
      </c>
      <c r="AB287" s="255"/>
    </row>
    <row r="288" spans="1:28" s="256" customFormat="1" ht="36">
      <c r="A288" s="250">
        <v>283</v>
      </c>
      <c r="B288" s="250" t="s">
        <v>996</v>
      </c>
      <c r="C288" s="250" t="s">
        <v>997</v>
      </c>
      <c r="D288" s="250" t="s">
        <v>998</v>
      </c>
      <c r="E288" s="250" t="s">
        <v>490</v>
      </c>
      <c r="F288" s="251" t="s">
        <v>1005</v>
      </c>
      <c r="G288" s="251" t="s">
        <v>492</v>
      </c>
      <c r="H288" s="251" t="s">
        <v>459</v>
      </c>
      <c r="I288" s="252" t="s">
        <v>1006</v>
      </c>
      <c r="J288" s="252" t="s">
        <v>1007</v>
      </c>
      <c r="K288" s="253" t="s">
        <v>1002</v>
      </c>
      <c r="L288" s="250">
        <v>2016</v>
      </c>
      <c r="M288" s="329">
        <v>29</v>
      </c>
      <c r="N288" s="257" t="s">
        <v>41</v>
      </c>
      <c r="O288" s="257" t="s">
        <v>41</v>
      </c>
      <c r="P288" s="329">
        <v>42.220838000000001</v>
      </c>
      <c r="Q288" s="337">
        <v>45</v>
      </c>
      <c r="R288" s="262">
        <v>42</v>
      </c>
      <c r="S288" s="262">
        <v>42</v>
      </c>
      <c r="T288" s="262">
        <v>49</v>
      </c>
      <c r="U288" s="262">
        <v>56</v>
      </c>
      <c r="V288" s="262">
        <v>55</v>
      </c>
      <c r="W288" s="337">
        <v>45</v>
      </c>
      <c r="X288" s="337" t="s">
        <v>41</v>
      </c>
      <c r="Y288" s="337" t="s">
        <v>41</v>
      </c>
      <c r="Z288" s="338" t="s">
        <v>1003</v>
      </c>
      <c r="AA288" s="334" t="s">
        <v>1008</v>
      </c>
      <c r="AB288" s="255"/>
    </row>
    <row r="289" spans="1:28" s="256" customFormat="1" ht="36">
      <c r="A289" s="250">
        <v>284</v>
      </c>
      <c r="B289" s="250" t="s">
        <v>996</v>
      </c>
      <c r="C289" s="250" t="s">
        <v>997</v>
      </c>
      <c r="D289" s="250" t="s">
        <v>998</v>
      </c>
      <c r="E289" s="250" t="s">
        <v>490</v>
      </c>
      <c r="F289" s="251" t="s">
        <v>1009</v>
      </c>
      <c r="G289" s="251" t="s">
        <v>492</v>
      </c>
      <c r="H289" s="251" t="s">
        <v>459</v>
      </c>
      <c r="I289" s="252" t="s">
        <v>1010</v>
      </c>
      <c r="J289" s="252" t="s">
        <v>1011</v>
      </c>
      <c r="K289" s="253" t="s">
        <v>1002</v>
      </c>
      <c r="L289" s="250">
        <v>2016</v>
      </c>
      <c r="M289" s="329">
        <v>272</v>
      </c>
      <c r="N289" s="257" t="s">
        <v>41</v>
      </c>
      <c r="O289" s="257" t="s">
        <v>41</v>
      </c>
      <c r="P289" s="329">
        <v>345.94200000000001</v>
      </c>
      <c r="Q289" s="337">
        <v>333</v>
      </c>
      <c r="R289" s="262">
        <v>272</v>
      </c>
      <c r="S289" s="262">
        <v>275</v>
      </c>
      <c r="T289" s="262">
        <v>311</v>
      </c>
      <c r="U289" s="262">
        <v>389</v>
      </c>
      <c r="V289" s="262">
        <v>415</v>
      </c>
      <c r="W289" s="337">
        <v>298</v>
      </c>
      <c r="X289" s="337" t="s">
        <v>41</v>
      </c>
      <c r="Y289" s="337" t="s">
        <v>41</v>
      </c>
      <c r="Z289" s="338" t="s">
        <v>1003</v>
      </c>
      <c r="AA289" s="334" t="s">
        <v>1004</v>
      </c>
      <c r="AB289" s="255"/>
    </row>
    <row r="290" spans="1:28" s="256" customFormat="1" ht="48">
      <c r="A290" s="250">
        <v>285</v>
      </c>
      <c r="B290" s="250" t="s">
        <v>996</v>
      </c>
      <c r="C290" s="250" t="s">
        <v>997</v>
      </c>
      <c r="D290" s="250" t="s">
        <v>1012</v>
      </c>
      <c r="E290" s="250">
        <v>1</v>
      </c>
      <c r="F290" s="251" t="s">
        <v>1013</v>
      </c>
      <c r="G290" s="251" t="s">
        <v>1014</v>
      </c>
      <c r="H290" s="251" t="s">
        <v>459</v>
      </c>
      <c r="I290" s="283" t="s">
        <v>1015</v>
      </c>
      <c r="J290" s="252" t="s">
        <v>1015</v>
      </c>
      <c r="K290" s="253" t="s">
        <v>1002</v>
      </c>
      <c r="L290" s="250">
        <v>2016</v>
      </c>
      <c r="M290" s="329">
        <v>12</v>
      </c>
      <c r="N290" s="257" t="s">
        <v>41</v>
      </c>
      <c r="O290" s="257" t="s">
        <v>41</v>
      </c>
      <c r="P290" s="329">
        <v>23</v>
      </c>
      <c r="Q290" s="337">
        <v>64</v>
      </c>
      <c r="R290" s="262" t="s">
        <v>41</v>
      </c>
      <c r="S290" s="262" t="s">
        <v>41</v>
      </c>
      <c r="T290" s="262">
        <v>12</v>
      </c>
      <c r="U290" s="262">
        <v>12</v>
      </c>
      <c r="V290" s="262">
        <v>12</v>
      </c>
      <c r="W290" s="337">
        <v>0</v>
      </c>
      <c r="X290" s="337" t="s">
        <v>41</v>
      </c>
      <c r="Y290" s="337" t="s">
        <v>41</v>
      </c>
      <c r="Z290" s="338" t="s">
        <v>1016</v>
      </c>
      <c r="AA290" s="334" t="s">
        <v>1017</v>
      </c>
      <c r="AB290" s="255"/>
    </row>
    <row r="291" spans="1:28" s="256" customFormat="1" ht="48">
      <c r="A291" s="250">
        <v>286</v>
      </c>
      <c r="B291" s="250" t="s">
        <v>996</v>
      </c>
      <c r="C291" s="250" t="s">
        <v>997</v>
      </c>
      <c r="D291" s="250" t="s">
        <v>1012</v>
      </c>
      <c r="E291" s="250">
        <v>2</v>
      </c>
      <c r="F291" s="251" t="s">
        <v>1013</v>
      </c>
      <c r="G291" s="251" t="s">
        <v>1014</v>
      </c>
      <c r="H291" s="251" t="s">
        <v>459</v>
      </c>
      <c r="I291" s="283" t="s">
        <v>1018</v>
      </c>
      <c r="J291" s="252" t="s">
        <v>1018</v>
      </c>
      <c r="K291" s="253" t="s">
        <v>1002</v>
      </c>
      <c r="L291" s="250">
        <v>2016</v>
      </c>
      <c r="M291" s="329">
        <v>12</v>
      </c>
      <c r="N291" s="257" t="s">
        <v>41</v>
      </c>
      <c r="O291" s="257" t="s">
        <v>41</v>
      </c>
      <c r="P291" s="329">
        <v>0</v>
      </c>
      <c r="Q291" s="337">
        <v>57</v>
      </c>
      <c r="R291" s="262" t="s">
        <v>41</v>
      </c>
      <c r="S291" s="262" t="s">
        <v>41</v>
      </c>
      <c r="T291" s="262">
        <v>12</v>
      </c>
      <c r="U291" s="262">
        <v>12</v>
      </c>
      <c r="V291" s="262">
        <v>12</v>
      </c>
      <c r="W291" s="337">
        <v>0</v>
      </c>
      <c r="X291" s="337" t="s">
        <v>41</v>
      </c>
      <c r="Y291" s="337" t="s">
        <v>41</v>
      </c>
      <c r="Z291" s="338" t="s">
        <v>1019</v>
      </c>
      <c r="AA291" s="334" t="s">
        <v>1017</v>
      </c>
      <c r="AB291" s="255"/>
    </row>
    <row r="292" spans="1:28" s="256" customFormat="1" ht="48">
      <c r="A292" s="250">
        <v>287</v>
      </c>
      <c r="B292" s="250" t="s">
        <v>996</v>
      </c>
      <c r="C292" s="250" t="s">
        <v>997</v>
      </c>
      <c r="D292" s="250" t="s">
        <v>1020</v>
      </c>
      <c r="E292" s="250">
        <v>1</v>
      </c>
      <c r="F292" s="251" t="s">
        <v>1013</v>
      </c>
      <c r="G292" s="251" t="s">
        <v>1021</v>
      </c>
      <c r="H292" s="251" t="s">
        <v>459</v>
      </c>
      <c r="I292" s="283" t="s">
        <v>1022</v>
      </c>
      <c r="J292" s="252" t="s">
        <v>1022</v>
      </c>
      <c r="K292" s="253" t="s">
        <v>1002</v>
      </c>
      <c r="L292" s="250">
        <v>2017</v>
      </c>
      <c r="M292" s="329">
        <v>5</v>
      </c>
      <c r="N292" s="257" t="s">
        <v>41</v>
      </c>
      <c r="O292" s="257" t="s">
        <v>41</v>
      </c>
      <c r="P292" s="329">
        <v>5</v>
      </c>
      <c r="Q292" s="337">
        <v>4</v>
      </c>
      <c r="R292" s="262" t="s">
        <v>41</v>
      </c>
      <c r="S292" s="262" t="s">
        <v>41</v>
      </c>
      <c r="T292" s="262">
        <v>5</v>
      </c>
      <c r="U292" s="262">
        <v>10</v>
      </c>
      <c r="V292" s="262">
        <v>10</v>
      </c>
      <c r="W292" s="337">
        <v>0</v>
      </c>
      <c r="X292" s="337" t="s">
        <v>41</v>
      </c>
      <c r="Y292" s="337" t="s">
        <v>41</v>
      </c>
      <c r="Z292" s="338" t="s">
        <v>1023</v>
      </c>
      <c r="AA292" s="334" t="s">
        <v>1024</v>
      </c>
      <c r="AB292" s="255"/>
    </row>
    <row r="293" spans="1:28" s="256" customFormat="1" ht="36">
      <c r="A293" s="250">
        <v>288</v>
      </c>
      <c r="B293" s="250" t="s">
        <v>996</v>
      </c>
      <c r="C293" s="250" t="s">
        <v>997</v>
      </c>
      <c r="D293" s="250" t="s">
        <v>1020</v>
      </c>
      <c r="E293" s="250">
        <v>2</v>
      </c>
      <c r="F293" s="251" t="s">
        <v>1013</v>
      </c>
      <c r="G293" s="251" t="s">
        <v>1021</v>
      </c>
      <c r="H293" s="251" t="s">
        <v>459</v>
      </c>
      <c r="I293" s="283" t="s">
        <v>1025</v>
      </c>
      <c r="J293" s="252" t="s">
        <v>1025</v>
      </c>
      <c r="K293" s="253" t="s">
        <v>1002</v>
      </c>
      <c r="L293" s="250">
        <v>2016</v>
      </c>
      <c r="M293" s="329">
        <v>4</v>
      </c>
      <c r="N293" s="257" t="s">
        <v>41</v>
      </c>
      <c r="O293" s="257" t="s">
        <v>41</v>
      </c>
      <c r="P293" s="329">
        <v>0</v>
      </c>
      <c r="Q293" s="337">
        <v>3</v>
      </c>
      <c r="R293" s="262" t="s">
        <v>41</v>
      </c>
      <c r="S293" s="262" t="s">
        <v>41</v>
      </c>
      <c r="T293" s="262">
        <v>10</v>
      </c>
      <c r="U293" s="262">
        <v>10</v>
      </c>
      <c r="V293" s="262">
        <v>10</v>
      </c>
      <c r="W293" s="337">
        <v>3</v>
      </c>
      <c r="X293" s="337" t="s">
        <v>41</v>
      </c>
      <c r="Y293" s="337" t="s">
        <v>41</v>
      </c>
      <c r="Z293" s="338" t="s">
        <v>1019</v>
      </c>
      <c r="AA293" s="334" t="s">
        <v>1026</v>
      </c>
      <c r="AB293" s="255"/>
    </row>
    <row r="294" spans="1:28" s="256" customFormat="1" ht="60">
      <c r="A294" s="250">
        <v>289</v>
      </c>
      <c r="B294" s="250" t="s">
        <v>996</v>
      </c>
      <c r="C294" s="250" t="s">
        <v>997</v>
      </c>
      <c r="D294" s="250" t="s">
        <v>1027</v>
      </c>
      <c r="E294" s="250">
        <v>1</v>
      </c>
      <c r="F294" s="251" t="s">
        <v>1013</v>
      </c>
      <c r="G294" s="251" t="s">
        <v>1028</v>
      </c>
      <c r="H294" s="251" t="s">
        <v>459</v>
      </c>
      <c r="I294" s="283" t="s">
        <v>1029</v>
      </c>
      <c r="J294" s="252" t="s">
        <v>1029</v>
      </c>
      <c r="K294" s="253" t="s">
        <v>1002</v>
      </c>
      <c r="L294" s="250">
        <v>2016</v>
      </c>
      <c r="M294" s="329">
        <v>22</v>
      </c>
      <c r="N294" s="257" t="s">
        <v>41</v>
      </c>
      <c r="O294" s="257" t="s">
        <v>41</v>
      </c>
      <c r="P294" s="329">
        <v>7</v>
      </c>
      <c r="Q294" s="339">
        <v>0</v>
      </c>
      <c r="R294" s="262">
        <v>21</v>
      </c>
      <c r="S294" s="262">
        <v>21</v>
      </c>
      <c r="T294" s="262">
        <v>21</v>
      </c>
      <c r="U294" s="262">
        <v>20</v>
      </c>
      <c r="V294" s="262">
        <v>20</v>
      </c>
      <c r="W294" s="339">
        <v>1</v>
      </c>
      <c r="X294" s="339" t="s">
        <v>41</v>
      </c>
      <c r="Y294" s="339" t="s">
        <v>41</v>
      </c>
      <c r="Z294" s="338" t="s">
        <v>1030</v>
      </c>
      <c r="AA294" s="334" t="s">
        <v>1031</v>
      </c>
      <c r="AB294" s="255"/>
    </row>
    <row r="295" spans="1:28" s="256" customFormat="1" ht="60">
      <c r="A295" s="250">
        <v>290</v>
      </c>
      <c r="B295" s="250" t="s">
        <v>996</v>
      </c>
      <c r="C295" s="250" t="s">
        <v>997</v>
      </c>
      <c r="D295" s="250" t="s">
        <v>1027</v>
      </c>
      <c r="E295" s="250">
        <v>2</v>
      </c>
      <c r="F295" s="251" t="s">
        <v>1013</v>
      </c>
      <c r="G295" s="251" t="s">
        <v>1028</v>
      </c>
      <c r="H295" s="251" t="s">
        <v>459</v>
      </c>
      <c r="I295" s="283" t="s">
        <v>1032</v>
      </c>
      <c r="J295" s="252" t="s">
        <v>1032</v>
      </c>
      <c r="K295" s="253" t="s">
        <v>1002</v>
      </c>
      <c r="L295" s="250">
        <v>2016</v>
      </c>
      <c r="M295" s="284">
        <v>1</v>
      </c>
      <c r="N295" s="257" t="s">
        <v>41</v>
      </c>
      <c r="O295" s="257" t="s">
        <v>41</v>
      </c>
      <c r="P295" s="284">
        <v>1</v>
      </c>
      <c r="Q295" s="340" t="s">
        <v>41</v>
      </c>
      <c r="R295" s="284">
        <v>1</v>
      </c>
      <c r="S295" s="284">
        <v>1</v>
      </c>
      <c r="T295" s="284">
        <v>1</v>
      </c>
      <c r="U295" s="284">
        <v>1</v>
      </c>
      <c r="V295" s="284">
        <v>1</v>
      </c>
      <c r="W295" s="340">
        <v>3.7037037037037035E-2</v>
      </c>
      <c r="X295" s="340">
        <v>1</v>
      </c>
      <c r="Y295" s="340">
        <v>27</v>
      </c>
      <c r="Z295" s="338" t="s">
        <v>1033</v>
      </c>
      <c r="AA295" s="334" t="s">
        <v>1034</v>
      </c>
      <c r="AB295" s="255"/>
    </row>
    <row r="296" spans="1:28" s="256" customFormat="1" ht="48">
      <c r="A296" s="250">
        <v>291</v>
      </c>
      <c r="B296" s="250" t="s">
        <v>996</v>
      </c>
      <c r="C296" s="250" t="s">
        <v>997</v>
      </c>
      <c r="D296" s="250" t="s">
        <v>1035</v>
      </c>
      <c r="E296" s="250">
        <v>1</v>
      </c>
      <c r="F296" s="251" t="s">
        <v>1013</v>
      </c>
      <c r="G296" s="251" t="s">
        <v>145</v>
      </c>
      <c r="H296" s="251" t="s">
        <v>459</v>
      </c>
      <c r="I296" s="285" t="s">
        <v>1036</v>
      </c>
      <c r="J296" s="252" t="s">
        <v>1036</v>
      </c>
      <c r="K296" s="253" t="s">
        <v>1002</v>
      </c>
      <c r="L296" s="250">
        <v>2016</v>
      </c>
      <c r="M296" s="329">
        <v>6</v>
      </c>
      <c r="N296" s="257" t="s">
        <v>41</v>
      </c>
      <c r="O296" s="257" t="s">
        <v>41</v>
      </c>
      <c r="P296" s="329">
        <v>12</v>
      </c>
      <c r="Q296" s="337">
        <v>5</v>
      </c>
      <c r="R296" s="262" t="s">
        <v>41</v>
      </c>
      <c r="S296" s="262" t="s">
        <v>41</v>
      </c>
      <c r="T296" s="262">
        <v>25</v>
      </c>
      <c r="U296" s="262">
        <v>25</v>
      </c>
      <c r="V296" s="262">
        <v>25</v>
      </c>
      <c r="W296" s="337">
        <v>10</v>
      </c>
      <c r="X296" s="337" t="s">
        <v>41</v>
      </c>
      <c r="Y296" s="337" t="s">
        <v>41</v>
      </c>
      <c r="Z296" s="338" t="s">
        <v>1037</v>
      </c>
      <c r="AA296" s="334" t="s">
        <v>1038</v>
      </c>
      <c r="AB296" s="255"/>
    </row>
    <row r="297" spans="1:28" s="256" customFormat="1" ht="144">
      <c r="A297" s="250">
        <v>292</v>
      </c>
      <c r="B297" s="250" t="s">
        <v>996</v>
      </c>
      <c r="C297" s="250" t="s">
        <v>1039</v>
      </c>
      <c r="D297" s="250" t="s">
        <v>1040</v>
      </c>
      <c r="E297" s="250">
        <v>1</v>
      </c>
      <c r="F297" s="251" t="s">
        <v>1013</v>
      </c>
      <c r="G297" s="251" t="s">
        <v>143</v>
      </c>
      <c r="H297" s="251" t="s">
        <v>459</v>
      </c>
      <c r="I297" s="283" t="s">
        <v>1041</v>
      </c>
      <c r="J297" s="252" t="s">
        <v>1041</v>
      </c>
      <c r="K297" s="253" t="s">
        <v>1002</v>
      </c>
      <c r="L297" s="250">
        <v>2017</v>
      </c>
      <c r="M297" s="329">
        <v>138</v>
      </c>
      <c r="N297" s="257" t="s">
        <v>41</v>
      </c>
      <c r="O297" s="257" t="s">
        <v>41</v>
      </c>
      <c r="P297" s="329">
        <v>118</v>
      </c>
      <c r="Q297" s="337">
        <v>191</v>
      </c>
      <c r="R297" s="262">
        <v>138</v>
      </c>
      <c r="S297" s="262">
        <v>138</v>
      </c>
      <c r="T297" s="262">
        <v>138</v>
      </c>
      <c r="U297" s="262">
        <v>138</v>
      </c>
      <c r="V297" s="262">
        <v>138</v>
      </c>
      <c r="W297" s="337">
        <v>190</v>
      </c>
      <c r="X297" s="337" t="s">
        <v>41</v>
      </c>
      <c r="Y297" s="337" t="s">
        <v>41</v>
      </c>
      <c r="Z297" s="338" t="s">
        <v>1042</v>
      </c>
      <c r="AA297" s="334" t="s">
        <v>1043</v>
      </c>
      <c r="AB297" s="255"/>
    </row>
    <row r="298" spans="1:28" s="256" customFormat="1" ht="132">
      <c r="A298" s="250">
        <v>293</v>
      </c>
      <c r="B298" s="250" t="s">
        <v>996</v>
      </c>
      <c r="C298" s="250" t="s">
        <v>1039</v>
      </c>
      <c r="D298" s="250" t="s">
        <v>1040</v>
      </c>
      <c r="E298" s="250">
        <v>2</v>
      </c>
      <c r="F298" s="251" t="s">
        <v>1013</v>
      </c>
      <c r="G298" s="251" t="s">
        <v>143</v>
      </c>
      <c r="H298" s="251" t="s">
        <v>459</v>
      </c>
      <c r="I298" s="283" t="s">
        <v>1044</v>
      </c>
      <c r="J298" s="252" t="s">
        <v>1044</v>
      </c>
      <c r="K298" s="253" t="s">
        <v>1002</v>
      </c>
      <c r="L298" s="250">
        <v>2017</v>
      </c>
      <c r="M298" s="329">
        <v>3600</v>
      </c>
      <c r="N298" s="257" t="s">
        <v>41</v>
      </c>
      <c r="O298" s="257" t="s">
        <v>41</v>
      </c>
      <c r="P298" s="329">
        <v>3000</v>
      </c>
      <c r="Q298" s="341">
        <v>4970</v>
      </c>
      <c r="R298" s="262">
        <v>3600</v>
      </c>
      <c r="S298" s="262">
        <v>3600</v>
      </c>
      <c r="T298" s="262">
        <v>3600</v>
      </c>
      <c r="U298" s="262">
        <v>3600</v>
      </c>
      <c r="V298" s="262">
        <v>3600</v>
      </c>
      <c r="W298" s="341">
        <v>3610</v>
      </c>
      <c r="X298" s="341" t="s">
        <v>41</v>
      </c>
      <c r="Y298" s="341" t="s">
        <v>41</v>
      </c>
      <c r="Z298" s="338" t="s">
        <v>1045</v>
      </c>
      <c r="AA298" s="334" t="s">
        <v>1046</v>
      </c>
      <c r="AB298" s="255"/>
    </row>
    <row r="299" spans="1:28" s="256" customFormat="1" ht="48">
      <c r="A299" s="250">
        <v>294</v>
      </c>
      <c r="B299" s="250" t="s">
        <v>996</v>
      </c>
      <c r="C299" s="250" t="s">
        <v>1039</v>
      </c>
      <c r="D299" s="250" t="s">
        <v>1040</v>
      </c>
      <c r="E299" s="250">
        <v>3</v>
      </c>
      <c r="F299" s="251" t="s">
        <v>1047</v>
      </c>
      <c r="G299" s="251" t="s">
        <v>143</v>
      </c>
      <c r="H299" s="251" t="s">
        <v>459</v>
      </c>
      <c r="I299" s="283" t="s">
        <v>1048</v>
      </c>
      <c r="J299" s="252" t="s">
        <v>1048</v>
      </c>
      <c r="K299" s="253" t="s">
        <v>1002</v>
      </c>
      <c r="L299" s="250">
        <v>2017</v>
      </c>
      <c r="M299" s="284">
        <v>0.2</v>
      </c>
      <c r="N299" s="257" t="s">
        <v>41</v>
      </c>
      <c r="O299" s="257" t="s">
        <v>41</v>
      </c>
      <c r="P299" s="284">
        <v>0.2</v>
      </c>
      <c r="Q299" s="340">
        <v>0.18</v>
      </c>
      <c r="R299" s="284">
        <v>0.2</v>
      </c>
      <c r="S299" s="284">
        <v>0.2</v>
      </c>
      <c r="T299" s="284">
        <v>0.2</v>
      </c>
      <c r="U299" s="284">
        <v>0.2</v>
      </c>
      <c r="V299" s="284">
        <v>0.2</v>
      </c>
      <c r="W299" s="340">
        <v>0.18</v>
      </c>
      <c r="X299" s="340" t="s">
        <v>41</v>
      </c>
      <c r="Y299" s="340" t="s">
        <v>41</v>
      </c>
      <c r="Z299" s="338" t="s">
        <v>1049</v>
      </c>
      <c r="AA299" s="334" t="s">
        <v>1050</v>
      </c>
      <c r="AB299" s="255"/>
    </row>
    <row r="300" spans="1:28" s="256" customFormat="1" ht="72">
      <c r="A300" s="250">
        <v>295</v>
      </c>
      <c r="B300" s="250" t="s">
        <v>1051</v>
      </c>
      <c r="C300" s="250" t="s">
        <v>1039</v>
      </c>
      <c r="D300" s="250" t="s">
        <v>1052</v>
      </c>
      <c r="E300" s="250">
        <v>1</v>
      </c>
      <c r="F300" s="251" t="s">
        <v>617</v>
      </c>
      <c r="G300" s="251" t="s">
        <v>143</v>
      </c>
      <c r="H300" s="251" t="s">
        <v>459</v>
      </c>
      <c r="I300" s="283" t="s">
        <v>1053</v>
      </c>
      <c r="J300" s="252" t="s">
        <v>1053</v>
      </c>
      <c r="K300" s="253" t="s">
        <v>1002</v>
      </c>
      <c r="L300" s="250">
        <v>2018</v>
      </c>
      <c r="M300" s="257" t="s">
        <v>41</v>
      </c>
      <c r="N300" s="257" t="s">
        <v>41</v>
      </c>
      <c r="O300" s="257" t="s">
        <v>41</v>
      </c>
      <c r="P300" s="257" t="s">
        <v>41</v>
      </c>
      <c r="Q300" s="342" t="s">
        <v>41</v>
      </c>
      <c r="R300" s="257" t="s">
        <v>41</v>
      </c>
      <c r="S300" s="257" t="s">
        <v>41</v>
      </c>
      <c r="T300" s="257" t="s">
        <v>41</v>
      </c>
      <c r="U300" s="257" t="s">
        <v>41</v>
      </c>
      <c r="V300" s="257" t="s">
        <v>41</v>
      </c>
      <c r="W300" s="342" t="s">
        <v>41</v>
      </c>
      <c r="X300" s="342" t="s">
        <v>41</v>
      </c>
      <c r="Y300" s="342" t="s">
        <v>41</v>
      </c>
      <c r="Z300" s="343"/>
      <c r="AA300" s="335"/>
      <c r="AB300" s="255"/>
    </row>
    <row r="301" spans="1:28" s="256" customFormat="1" ht="48">
      <c r="A301" s="250">
        <v>296</v>
      </c>
      <c r="B301" s="250" t="s">
        <v>1051</v>
      </c>
      <c r="C301" s="250" t="s">
        <v>1039</v>
      </c>
      <c r="D301" s="250" t="s">
        <v>1054</v>
      </c>
      <c r="E301" s="250">
        <v>1</v>
      </c>
      <c r="F301" s="251" t="s">
        <v>1013</v>
      </c>
      <c r="G301" s="251" t="s">
        <v>143</v>
      </c>
      <c r="H301" s="251" t="s">
        <v>645</v>
      </c>
      <c r="I301" s="283" t="s">
        <v>1055</v>
      </c>
      <c r="J301" s="252" t="s">
        <v>1055</v>
      </c>
      <c r="K301" s="253" t="s">
        <v>1002</v>
      </c>
      <c r="L301" s="250" t="s">
        <v>648</v>
      </c>
      <c r="M301" s="257" t="s">
        <v>648</v>
      </c>
      <c r="N301" s="257" t="s">
        <v>648</v>
      </c>
      <c r="O301" s="257" t="s">
        <v>648</v>
      </c>
      <c r="P301" s="257" t="s">
        <v>648</v>
      </c>
      <c r="Q301" s="257" t="s">
        <v>648</v>
      </c>
      <c r="R301" s="257" t="s">
        <v>648</v>
      </c>
      <c r="S301" s="257" t="s">
        <v>648</v>
      </c>
      <c r="T301" s="257" t="s">
        <v>648</v>
      </c>
      <c r="U301" s="257" t="s">
        <v>648</v>
      </c>
      <c r="V301" s="257" t="s">
        <v>648</v>
      </c>
      <c r="W301" s="257" t="s">
        <v>648</v>
      </c>
      <c r="X301" s="257" t="s">
        <v>648</v>
      </c>
      <c r="Y301" s="257" t="s">
        <v>648</v>
      </c>
      <c r="Z301" s="255"/>
      <c r="AA301" s="255"/>
      <c r="AB301" s="255"/>
    </row>
    <row r="302" spans="1:28" s="256" customFormat="1" ht="48">
      <c r="A302" s="250">
        <v>297</v>
      </c>
      <c r="B302" s="250" t="s">
        <v>1051</v>
      </c>
      <c r="C302" s="250" t="s">
        <v>1039</v>
      </c>
      <c r="D302" s="250" t="s">
        <v>1054</v>
      </c>
      <c r="E302" s="250">
        <v>1</v>
      </c>
      <c r="F302" s="251" t="s">
        <v>617</v>
      </c>
      <c r="G302" s="251" t="s">
        <v>143</v>
      </c>
      <c r="H302" s="251" t="s">
        <v>645</v>
      </c>
      <c r="I302" s="283" t="s">
        <v>1055</v>
      </c>
      <c r="J302" s="252" t="s">
        <v>1055</v>
      </c>
      <c r="K302" s="253" t="s">
        <v>1002</v>
      </c>
      <c r="L302" s="250" t="s">
        <v>648</v>
      </c>
      <c r="M302" s="257" t="s">
        <v>648</v>
      </c>
      <c r="N302" s="257" t="s">
        <v>648</v>
      </c>
      <c r="O302" s="257" t="s">
        <v>648</v>
      </c>
      <c r="P302" s="257" t="s">
        <v>648</v>
      </c>
      <c r="Q302" s="257" t="s">
        <v>648</v>
      </c>
      <c r="R302" s="257" t="s">
        <v>648</v>
      </c>
      <c r="S302" s="257" t="s">
        <v>648</v>
      </c>
      <c r="T302" s="257" t="s">
        <v>648</v>
      </c>
      <c r="U302" s="257" t="s">
        <v>648</v>
      </c>
      <c r="V302" s="257" t="s">
        <v>648</v>
      </c>
      <c r="W302" s="257" t="s">
        <v>648</v>
      </c>
      <c r="X302" s="257" t="s">
        <v>648</v>
      </c>
      <c r="Y302" s="257" t="s">
        <v>648</v>
      </c>
      <c r="Z302" s="255"/>
      <c r="AA302" s="255"/>
      <c r="AB302" s="255"/>
    </row>
    <row r="303" spans="1:28" s="256" customFormat="1" ht="48">
      <c r="A303" s="250">
        <v>298</v>
      </c>
      <c r="B303" s="250" t="s">
        <v>1051</v>
      </c>
      <c r="C303" s="250" t="s">
        <v>1039</v>
      </c>
      <c r="D303" s="250" t="s">
        <v>1054</v>
      </c>
      <c r="E303" s="250">
        <v>2</v>
      </c>
      <c r="F303" s="251" t="s">
        <v>1013</v>
      </c>
      <c r="G303" s="251" t="s">
        <v>143</v>
      </c>
      <c r="H303" s="251" t="s">
        <v>645</v>
      </c>
      <c r="I303" s="283" t="s">
        <v>1056</v>
      </c>
      <c r="J303" s="252" t="s">
        <v>1056</v>
      </c>
      <c r="K303" s="253" t="s">
        <v>1002</v>
      </c>
      <c r="L303" s="250" t="s">
        <v>648</v>
      </c>
      <c r="M303" s="257" t="s">
        <v>648</v>
      </c>
      <c r="N303" s="257" t="s">
        <v>648</v>
      </c>
      <c r="O303" s="257" t="s">
        <v>648</v>
      </c>
      <c r="P303" s="257" t="s">
        <v>648</v>
      </c>
      <c r="Q303" s="257" t="s">
        <v>648</v>
      </c>
      <c r="R303" s="257" t="s">
        <v>648</v>
      </c>
      <c r="S303" s="257" t="s">
        <v>648</v>
      </c>
      <c r="T303" s="257" t="s">
        <v>648</v>
      </c>
      <c r="U303" s="257" t="s">
        <v>648</v>
      </c>
      <c r="V303" s="257" t="s">
        <v>648</v>
      </c>
      <c r="W303" s="257" t="s">
        <v>648</v>
      </c>
      <c r="X303" s="257" t="s">
        <v>648</v>
      </c>
      <c r="Y303" s="257" t="s">
        <v>648</v>
      </c>
      <c r="Z303" s="255"/>
      <c r="AA303" s="255"/>
      <c r="AB303" s="255"/>
    </row>
    <row r="304" spans="1:28" s="256" customFormat="1" ht="48">
      <c r="A304" s="250">
        <v>299</v>
      </c>
      <c r="B304" s="250" t="s">
        <v>1051</v>
      </c>
      <c r="C304" s="250" t="s">
        <v>1039</v>
      </c>
      <c r="D304" s="250" t="s">
        <v>1054</v>
      </c>
      <c r="E304" s="250">
        <v>2</v>
      </c>
      <c r="F304" s="251" t="s">
        <v>617</v>
      </c>
      <c r="G304" s="251" t="s">
        <v>143</v>
      </c>
      <c r="H304" s="251" t="s">
        <v>645</v>
      </c>
      <c r="I304" s="283" t="s">
        <v>1056</v>
      </c>
      <c r="J304" s="252" t="s">
        <v>1056</v>
      </c>
      <c r="K304" s="253" t="s">
        <v>1002</v>
      </c>
      <c r="L304" s="250" t="s">
        <v>648</v>
      </c>
      <c r="M304" s="257" t="s">
        <v>648</v>
      </c>
      <c r="N304" s="257" t="s">
        <v>648</v>
      </c>
      <c r="O304" s="257" t="s">
        <v>648</v>
      </c>
      <c r="P304" s="257" t="s">
        <v>648</v>
      </c>
      <c r="Q304" s="257" t="s">
        <v>648</v>
      </c>
      <c r="R304" s="257" t="s">
        <v>648</v>
      </c>
      <c r="S304" s="257" t="s">
        <v>648</v>
      </c>
      <c r="T304" s="257" t="s">
        <v>648</v>
      </c>
      <c r="U304" s="257" t="s">
        <v>648</v>
      </c>
      <c r="V304" s="257" t="s">
        <v>648</v>
      </c>
      <c r="W304" s="257" t="e">
        <v>#N/A</v>
      </c>
      <c r="X304" s="257" t="s">
        <v>648</v>
      </c>
      <c r="Y304" s="257" t="s">
        <v>648</v>
      </c>
      <c r="Z304" s="255"/>
      <c r="AA304" s="255"/>
      <c r="AB304" s="255"/>
    </row>
    <row r="305" spans="1:28" s="256" customFormat="1" ht="72">
      <c r="A305" s="250">
        <v>300</v>
      </c>
      <c r="B305" s="250" t="s">
        <v>1051</v>
      </c>
      <c r="C305" s="250" t="s">
        <v>1039</v>
      </c>
      <c r="D305" s="250" t="s">
        <v>1054</v>
      </c>
      <c r="E305" s="250">
        <v>3</v>
      </c>
      <c r="F305" s="251" t="s">
        <v>1013</v>
      </c>
      <c r="G305" s="251" t="s">
        <v>143</v>
      </c>
      <c r="H305" s="251" t="s">
        <v>645</v>
      </c>
      <c r="I305" s="283" t="s">
        <v>1057</v>
      </c>
      <c r="J305" s="252" t="s">
        <v>1057</v>
      </c>
      <c r="K305" s="253" t="s">
        <v>1002</v>
      </c>
      <c r="L305" s="250" t="s">
        <v>648</v>
      </c>
      <c r="M305" s="257" t="s">
        <v>648</v>
      </c>
      <c r="N305" s="257" t="s">
        <v>648</v>
      </c>
      <c r="O305" s="257" t="s">
        <v>648</v>
      </c>
      <c r="P305" s="257" t="s">
        <v>648</v>
      </c>
      <c r="Q305" s="257" t="s">
        <v>648</v>
      </c>
      <c r="R305" s="257" t="s">
        <v>648</v>
      </c>
      <c r="S305" s="257" t="s">
        <v>648</v>
      </c>
      <c r="T305" s="257" t="s">
        <v>648</v>
      </c>
      <c r="U305" s="257" t="s">
        <v>648</v>
      </c>
      <c r="V305" s="257" t="s">
        <v>648</v>
      </c>
      <c r="W305" s="257" t="e">
        <v>#N/A</v>
      </c>
      <c r="X305" s="257" t="s">
        <v>648</v>
      </c>
      <c r="Y305" s="257" t="s">
        <v>648</v>
      </c>
      <c r="Z305" s="255"/>
      <c r="AA305" s="255"/>
      <c r="AB305" s="255"/>
    </row>
    <row r="306" spans="1:28" s="256" customFormat="1" ht="112.5">
      <c r="A306" s="251">
        <v>301</v>
      </c>
      <c r="B306" s="250" t="s">
        <v>11</v>
      </c>
      <c r="C306" s="251" t="s">
        <v>1058</v>
      </c>
      <c r="D306" s="251" t="s">
        <v>1059</v>
      </c>
      <c r="E306" s="251">
        <v>1</v>
      </c>
      <c r="F306" s="251" t="s">
        <v>1013</v>
      </c>
      <c r="G306" s="286" t="s">
        <v>1060</v>
      </c>
      <c r="H306" s="251" t="s">
        <v>459</v>
      </c>
      <c r="I306" s="252" t="s">
        <v>1061</v>
      </c>
      <c r="J306" s="252" t="s">
        <v>1061</v>
      </c>
      <c r="K306" s="253" t="s">
        <v>1062</v>
      </c>
      <c r="L306" s="251" t="s">
        <v>41</v>
      </c>
      <c r="M306" s="287" t="s">
        <v>1063</v>
      </c>
      <c r="N306" s="257" t="s">
        <v>41</v>
      </c>
      <c r="O306" s="257" t="s">
        <v>41</v>
      </c>
      <c r="P306" s="288" t="s">
        <v>41</v>
      </c>
      <c r="Q306" s="288" t="s">
        <v>41</v>
      </c>
      <c r="R306" s="288" t="s">
        <v>41</v>
      </c>
      <c r="S306" s="288">
        <v>5</v>
      </c>
      <c r="T306" s="288">
        <v>6</v>
      </c>
      <c r="U306" s="288">
        <v>8</v>
      </c>
      <c r="V306" s="288">
        <v>8</v>
      </c>
      <c r="W306" s="288">
        <v>5</v>
      </c>
      <c r="X306" s="288" t="s">
        <v>41</v>
      </c>
      <c r="Y306" s="288" t="s">
        <v>41</v>
      </c>
      <c r="Z306" s="255" t="s">
        <v>1064</v>
      </c>
      <c r="AA306" s="255" t="s">
        <v>1065</v>
      </c>
      <c r="AB306" s="255"/>
    </row>
    <row r="307" spans="1:28" s="256" customFormat="1" ht="357">
      <c r="A307" s="251">
        <v>302</v>
      </c>
      <c r="B307" s="250" t="s">
        <v>11</v>
      </c>
      <c r="C307" s="251" t="s">
        <v>1058</v>
      </c>
      <c r="D307" s="251" t="s">
        <v>1066</v>
      </c>
      <c r="E307" s="251">
        <v>1</v>
      </c>
      <c r="F307" s="251" t="s">
        <v>1013</v>
      </c>
      <c r="G307" s="251" t="s">
        <v>1067</v>
      </c>
      <c r="H307" s="251" t="s">
        <v>459</v>
      </c>
      <c r="I307" s="252" t="s">
        <v>1068</v>
      </c>
      <c r="J307" s="252" t="s">
        <v>1068</v>
      </c>
      <c r="K307" s="253" t="s">
        <v>1062</v>
      </c>
      <c r="L307" s="251">
        <v>2016</v>
      </c>
      <c r="M307" s="287" t="s">
        <v>1069</v>
      </c>
      <c r="N307" s="288" t="s">
        <v>41</v>
      </c>
      <c r="O307" s="288" t="s">
        <v>41</v>
      </c>
      <c r="P307" s="287" t="s">
        <v>1070</v>
      </c>
      <c r="Q307" s="288" t="s">
        <v>1071</v>
      </c>
      <c r="R307" s="288" t="s">
        <v>1072</v>
      </c>
      <c r="S307" s="288" t="s">
        <v>1072</v>
      </c>
      <c r="T307" s="288" t="s">
        <v>1072</v>
      </c>
      <c r="U307" s="288" t="s">
        <v>1072</v>
      </c>
      <c r="V307" s="288" t="s">
        <v>1072</v>
      </c>
      <c r="W307" s="288" t="s">
        <v>1073</v>
      </c>
      <c r="X307" s="288" t="s">
        <v>41</v>
      </c>
      <c r="Y307" s="288" t="s">
        <v>41</v>
      </c>
      <c r="Z307" s="255" t="s">
        <v>1074</v>
      </c>
      <c r="AA307" s="255" t="s">
        <v>1075</v>
      </c>
      <c r="AB307" s="255"/>
    </row>
    <row r="308" spans="1:28" s="256" customFormat="1" ht="123.75">
      <c r="A308" s="251">
        <v>303</v>
      </c>
      <c r="B308" s="250" t="s">
        <v>11</v>
      </c>
      <c r="C308" s="251" t="s">
        <v>1058</v>
      </c>
      <c r="D308" s="251" t="s">
        <v>1066</v>
      </c>
      <c r="E308" s="251">
        <v>1</v>
      </c>
      <c r="F308" s="251" t="s">
        <v>1076</v>
      </c>
      <c r="G308" s="251" t="s">
        <v>1067</v>
      </c>
      <c r="H308" s="251" t="s">
        <v>459</v>
      </c>
      <c r="I308" s="252" t="s">
        <v>1077</v>
      </c>
      <c r="J308" s="252" t="s">
        <v>1077</v>
      </c>
      <c r="K308" s="253" t="s">
        <v>1062</v>
      </c>
      <c r="L308" s="251">
        <v>2016</v>
      </c>
      <c r="M308" s="288" t="s">
        <v>1078</v>
      </c>
      <c r="N308" s="288">
        <v>3450</v>
      </c>
      <c r="O308" s="288">
        <v>132380</v>
      </c>
      <c r="P308" s="336">
        <v>2.7217102281311377E-2</v>
      </c>
      <c r="Q308" s="289">
        <v>2.4966006949690287E-2</v>
      </c>
      <c r="R308" s="289">
        <v>2.5999999999999999E-2</v>
      </c>
      <c r="S308" s="289">
        <v>2.5999999999999999E-2</v>
      </c>
      <c r="T308" s="289">
        <v>2.5999999999999999E-2</v>
      </c>
      <c r="U308" s="289">
        <v>2.5999999999999999E-2</v>
      </c>
      <c r="V308" s="289">
        <v>2.5999999999999999E-2</v>
      </c>
      <c r="W308" s="289">
        <v>3.1E-2</v>
      </c>
      <c r="X308" s="289">
        <v>4102</v>
      </c>
      <c r="Y308" s="289">
        <v>132380</v>
      </c>
      <c r="Z308" s="290" t="s">
        <v>1079</v>
      </c>
      <c r="AA308" s="290" t="s">
        <v>1080</v>
      </c>
      <c r="AB308" s="255"/>
    </row>
    <row r="309" spans="1:28" s="256" customFormat="1" ht="60">
      <c r="A309" s="251">
        <v>304</v>
      </c>
      <c r="B309" s="250" t="s">
        <v>11</v>
      </c>
      <c r="C309" s="251" t="s">
        <v>1058</v>
      </c>
      <c r="D309" s="251" t="s">
        <v>1081</v>
      </c>
      <c r="E309" s="251">
        <v>1</v>
      </c>
      <c r="F309" s="251" t="s">
        <v>1076</v>
      </c>
      <c r="G309" s="251" t="s">
        <v>1082</v>
      </c>
      <c r="H309" s="251" t="s">
        <v>459</v>
      </c>
      <c r="I309" s="252" t="s">
        <v>1083</v>
      </c>
      <c r="J309" s="252" t="s">
        <v>1083</v>
      </c>
      <c r="K309" s="253" t="s">
        <v>1062</v>
      </c>
      <c r="L309" s="251" t="s">
        <v>41</v>
      </c>
      <c r="M309" s="288" t="s">
        <v>41</v>
      </c>
      <c r="N309" s="257" t="s">
        <v>41</v>
      </c>
      <c r="O309" s="257" t="s">
        <v>41</v>
      </c>
      <c r="P309" s="288" t="s">
        <v>41</v>
      </c>
      <c r="Q309" s="289">
        <v>0.502874432677761</v>
      </c>
      <c r="R309" s="291">
        <v>0.6</v>
      </c>
      <c r="S309" s="291">
        <v>0.6</v>
      </c>
      <c r="T309" s="291">
        <v>0.6</v>
      </c>
      <c r="U309" s="291">
        <v>0.6</v>
      </c>
      <c r="V309" s="291">
        <v>0.6</v>
      </c>
      <c r="W309" s="289">
        <v>0.47299999999999998</v>
      </c>
      <c r="X309" s="289" t="s">
        <v>1084</v>
      </c>
      <c r="Y309" s="289" t="s">
        <v>1085</v>
      </c>
      <c r="Z309" s="290" t="s">
        <v>1086</v>
      </c>
      <c r="AA309" s="290" t="s">
        <v>1087</v>
      </c>
      <c r="AB309" s="255"/>
    </row>
    <row r="310" spans="1:28" s="256" customFormat="1" ht="157.5">
      <c r="A310" s="251">
        <v>305</v>
      </c>
      <c r="B310" s="250" t="s">
        <v>11</v>
      </c>
      <c r="C310" s="251" t="s">
        <v>1058</v>
      </c>
      <c r="D310" s="251" t="s">
        <v>1081</v>
      </c>
      <c r="E310" s="251">
        <v>1</v>
      </c>
      <c r="F310" s="251" t="s">
        <v>1076</v>
      </c>
      <c r="G310" s="251" t="s">
        <v>1082</v>
      </c>
      <c r="H310" s="251" t="s">
        <v>459</v>
      </c>
      <c r="I310" s="252" t="s">
        <v>1088</v>
      </c>
      <c r="J310" s="252" t="s">
        <v>1088</v>
      </c>
      <c r="K310" s="253" t="s">
        <v>1062</v>
      </c>
      <c r="L310" s="251" t="s">
        <v>41</v>
      </c>
      <c r="M310" s="291" t="s">
        <v>41</v>
      </c>
      <c r="N310" s="288" t="s">
        <v>41</v>
      </c>
      <c r="O310" s="288" t="s">
        <v>41</v>
      </c>
      <c r="P310" s="291" t="s">
        <v>41</v>
      </c>
      <c r="Q310" s="291" t="s">
        <v>41</v>
      </c>
      <c r="R310" s="291">
        <v>0.02</v>
      </c>
      <c r="S310" s="291">
        <v>0.02</v>
      </c>
      <c r="T310" s="291">
        <v>0.03</v>
      </c>
      <c r="U310" s="291">
        <v>0.05</v>
      </c>
      <c r="V310" s="291">
        <v>0.1</v>
      </c>
      <c r="W310" s="291" t="s">
        <v>41</v>
      </c>
      <c r="X310" s="291" t="s">
        <v>41</v>
      </c>
      <c r="Y310" s="291" t="s">
        <v>41</v>
      </c>
      <c r="Z310" s="255" t="s">
        <v>1089</v>
      </c>
      <c r="AA310" s="290" t="s">
        <v>1090</v>
      </c>
      <c r="AB310" s="255"/>
    </row>
    <row r="311" spans="1:28" s="256" customFormat="1" ht="72">
      <c r="A311" s="251">
        <v>306</v>
      </c>
      <c r="B311" s="250" t="s">
        <v>11</v>
      </c>
      <c r="C311" s="251" t="s">
        <v>1058</v>
      </c>
      <c r="D311" s="251" t="s">
        <v>1091</v>
      </c>
      <c r="E311" s="251">
        <v>1</v>
      </c>
      <c r="F311" s="251" t="s">
        <v>1013</v>
      </c>
      <c r="G311" s="251" t="s">
        <v>1082</v>
      </c>
      <c r="H311" s="251" t="s">
        <v>645</v>
      </c>
      <c r="I311" s="252" t="s">
        <v>1092</v>
      </c>
      <c r="J311" s="252" t="s">
        <v>1092</v>
      </c>
      <c r="K311" s="253" t="s">
        <v>1062</v>
      </c>
      <c r="L311" s="251" t="s">
        <v>41</v>
      </c>
      <c r="M311" s="257" t="s">
        <v>41</v>
      </c>
      <c r="N311" s="257" t="s">
        <v>41</v>
      </c>
      <c r="O311" s="257" t="s">
        <v>41</v>
      </c>
      <c r="P311" s="257" t="s">
        <v>648</v>
      </c>
      <c r="Q311" s="257" t="s">
        <v>41</v>
      </c>
      <c r="R311" s="257" t="s">
        <v>41</v>
      </c>
      <c r="S311" s="257" t="s">
        <v>41</v>
      </c>
      <c r="T311" s="257" t="s">
        <v>41</v>
      </c>
      <c r="U311" s="257" t="s">
        <v>41</v>
      </c>
      <c r="V311" s="257" t="s">
        <v>41</v>
      </c>
      <c r="W311" s="257" t="s">
        <v>41</v>
      </c>
      <c r="X311" s="257" t="s">
        <v>41</v>
      </c>
      <c r="Y311" s="257" t="s">
        <v>41</v>
      </c>
      <c r="Z311" s="255" t="s">
        <v>1093</v>
      </c>
      <c r="AA311" s="255" t="s">
        <v>1094</v>
      </c>
      <c r="AB311" s="255"/>
    </row>
    <row r="312" spans="1:28" s="256" customFormat="1" ht="60">
      <c r="A312" s="251">
        <v>307</v>
      </c>
      <c r="B312" s="251" t="s">
        <v>996</v>
      </c>
      <c r="C312" s="251" t="s">
        <v>1095</v>
      </c>
      <c r="D312" s="251" t="s">
        <v>1096</v>
      </c>
      <c r="E312" s="251">
        <v>1</v>
      </c>
      <c r="F312" s="251" t="s">
        <v>1013</v>
      </c>
      <c r="G312" s="251" t="s">
        <v>1097</v>
      </c>
      <c r="H312" s="251" t="s">
        <v>459</v>
      </c>
      <c r="I312" s="252" t="s">
        <v>1098</v>
      </c>
      <c r="J312" s="252" t="s">
        <v>1099</v>
      </c>
      <c r="K312" s="253" t="s">
        <v>1100</v>
      </c>
      <c r="L312" s="250" t="s">
        <v>41</v>
      </c>
      <c r="M312" s="257" t="s">
        <v>41</v>
      </c>
      <c r="N312" s="257" t="s">
        <v>41</v>
      </c>
      <c r="O312" s="257" t="s">
        <v>41</v>
      </c>
      <c r="P312" s="257" t="s">
        <v>41</v>
      </c>
      <c r="Q312" s="288" t="s">
        <v>41</v>
      </c>
      <c r="R312" s="288">
        <v>0</v>
      </c>
      <c r="S312" s="288">
        <v>0</v>
      </c>
      <c r="T312" s="288">
        <v>6</v>
      </c>
      <c r="U312" s="288" t="s">
        <v>1101</v>
      </c>
      <c r="V312" s="288" t="s">
        <v>1102</v>
      </c>
      <c r="W312" s="288" t="s">
        <v>1103</v>
      </c>
      <c r="X312" s="288"/>
      <c r="Y312" s="288"/>
      <c r="Z312" s="255" t="s">
        <v>1104</v>
      </c>
      <c r="AA312" s="255" t="s">
        <v>1105</v>
      </c>
      <c r="AB312" s="255"/>
    </row>
    <row r="313" spans="1:28" s="256" customFormat="1" ht="38.25">
      <c r="A313" s="251">
        <v>308</v>
      </c>
      <c r="B313" s="251" t="s">
        <v>996</v>
      </c>
      <c r="C313" s="251" t="s">
        <v>1095</v>
      </c>
      <c r="D313" s="251" t="s">
        <v>1106</v>
      </c>
      <c r="E313" s="251">
        <v>1</v>
      </c>
      <c r="F313" s="251" t="s">
        <v>1107</v>
      </c>
      <c r="G313" s="251" t="s">
        <v>1097</v>
      </c>
      <c r="H313" s="251" t="s">
        <v>459</v>
      </c>
      <c r="I313" s="252" t="s">
        <v>1108</v>
      </c>
      <c r="J313" s="252" t="s">
        <v>1109</v>
      </c>
      <c r="K313" s="253" t="s">
        <v>1100</v>
      </c>
      <c r="L313" s="250" t="s">
        <v>41</v>
      </c>
      <c r="M313" s="257" t="s">
        <v>41</v>
      </c>
      <c r="N313" s="257" t="s">
        <v>41</v>
      </c>
      <c r="O313" s="257" t="s">
        <v>41</v>
      </c>
      <c r="P313" s="257" t="s">
        <v>41</v>
      </c>
      <c r="Q313" s="288" t="s">
        <v>41</v>
      </c>
      <c r="R313" s="288">
        <v>0</v>
      </c>
      <c r="S313" s="288">
        <v>0</v>
      </c>
      <c r="T313" s="288">
        <v>3</v>
      </c>
      <c r="U313" s="288" t="s">
        <v>1101</v>
      </c>
      <c r="V313" s="288" t="s">
        <v>1102</v>
      </c>
      <c r="W313" s="288" t="s">
        <v>1110</v>
      </c>
      <c r="X313" s="288"/>
      <c r="Y313" s="288"/>
      <c r="Z313" s="255" t="s">
        <v>1104</v>
      </c>
      <c r="AA313" s="255" t="s">
        <v>1111</v>
      </c>
      <c r="AB313" s="255"/>
    </row>
    <row r="314" spans="1:28" s="256" customFormat="1" ht="38.25">
      <c r="A314" s="251">
        <v>309</v>
      </c>
      <c r="B314" s="251" t="s">
        <v>996</v>
      </c>
      <c r="C314" s="251" t="s">
        <v>1095</v>
      </c>
      <c r="D314" s="251" t="s">
        <v>1112</v>
      </c>
      <c r="E314" s="251">
        <v>1</v>
      </c>
      <c r="F314" s="251" t="s">
        <v>1113</v>
      </c>
      <c r="G314" s="251" t="s">
        <v>1114</v>
      </c>
      <c r="H314" s="251" t="s">
        <v>459</v>
      </c>
      <c r="I314" s="252" t="s">
        <v>1115</v>
      </c>
      <c r="J314" s="252" t="s">
        <v>1116</v>
      </c>
      <c r="K314" s="253" t="s">
        <v>1100</v>
      </c>
      <c r="L314" s="250">
        <v>2016</v>
      </c>
      <c r="M314" s="329">
        <v>61</v>
      </c>
      <c r="N314" s="257" t="s">
        <v>41</v>
      </c>
      <c r="O314" s="257" t="s">
        <v>41</v>
      </c>
      <c r="P314" s="257">
        <v>53</v>
      </c>
      <c r="Q314" s="288">
        <v>47</v>
      </c>
      <c r="R314" s="288">
        <v>0</v>
      </c>
      <c r="S314" s="288">
        <v>0</v>
      </c>
      <c r="T314" s="288">
        <v>61</v>
      </c>
      <c r="U314" s="288" t="s">
        <v>1117</v>
      </c>
      <c r="V314" s="288" t="s">
        <v>1117</v>
      </c>
      <c r="W314" s="288">
        <v>44</v>
      </c>
      <c r="X314" s="288"/>
      <c r="Y314" s="288"/>
      <c r="Z314" s="255" t="s">
        <v>1104</v>
      </c>
      <c r="AA314" s="255" t="s">
        <v>1118</v>
      </c>
      <c r="AB314" s="255"/>
    </row>
    <row r="315" spans="1:28" s="256" customFormat="1" ht="96">
      <c r="A315" s="251">
        <v>310</v>
      </c>
      <c r="B315" s="251" t="s">
        <v>996</v>
      </c>
      <c r="C315" s="251" t="s">
        <v>1095</v>
      </c>
      <c r="D315" s="251" t="s">
        <v>1119</v>
      </c>
      <c r="E315" s="251">
        <v>1</v>
      </c>
      <c r="F315" s="251" t="s">
        <v>1120</v>
      </c>
      <c r="G315" s="251" t="s">
        <v>1121</v>
      </c>
      <c r="H315" s="251" t="s">
        <v>459</v>
      </c>
      <c r="I315" s="252" t="s">
        <v>1122</v>
      </c>
      <c r="J315" s="252" t="s">
        <v>1123</v>
      </c>
      <c r="K315" s="253" t="s">
        <v>1100</v>
      </c>
      <c r="L315" s="250">
        <v>2016</v>
      </c>
      <c r="M315" s="329">
        <v>5</v>
      </c>
      <c r="N315" s="257" t="s">
        <v>41</v>
      </c>
      <c r="O315" s="257" t="s">
        <v>41</v>
      </c>
      <c r="P315" s="257">
        <v>5</v>
      </c>
      <c r="Q315" s="288">
        <v>6</v>
      </c>
      <c r="R315" s="288">
        <v>0</v>
      </c>
      <c r="S315" s="288">
        <v>2</v>
      </c>
      <c r="T315" s="288">
        <v>3</v>
      </c>
      <c r="U315" s="288" t="s">
        <v>1124</v>
      </c>
      <c r="V315" s="288" t="s">
        <v>1124</v>
      </c>
      <c r="W315" s="288">
        <v>5</v>
      </c>
      <c r="X315" s="288"/>
      <c r="Y315" s="288"/>
      <c r="Z315" s="255" t="s">
        <v>1125</v>
      </c>
      <c r="AA315" s="255" t="s">
        <v>1126</v>
      </c>
      <c r="AB315" s="255"/>
    </row>
    <row r="316" spans="1:28" s="256" customFormat="1" ht="96">
      <c r="A316" s="251">
        <v>311</v>
      </c>
      <c r="B316" s="251" t="s">
        <v>996</v>
      </c>
      <c r="C316" s="251" t="s">
        <v>1095</v>
      </c>
      <c r="D316" s="251" t="s">
        <v>1127</v>
      </c>
      <c r="E316" s="251">
        <v>1</v>
      </c>
      <c r="F316" s="251" t="s">
        <v>1120</v>
      </c>
      <c r="G316" s="251" t="s">
        <v>1121</v>
      </c>
      <c r="H316" s="251" t="s">
        <v>459</v>
      </c>
      <c r="I316" s="252" t="s">
        <v>1128</v>
      </c>
      <c r="J316" s="252" t="s">
        <v>1129</v>
      </c>
      <c r="K316" s="253" t="s">
        <v>1100</v>
      </c>
      <c r="L316" s="250">
        <v>2016</v>
      </c>
      <c r="M316" s="257" t="s">
        <v>1130</v>
      </c>
      <c r="N316" s="257" t="s">
        <v>41</v>
      </c>
      <c r="O316" s="257" t="s">
        <v>41</v>
      </c>
      <c r="P316" s="257" t="s">
        <v>1130</v>
      </c>
      <c r="Q316" s="288" t="s">
        <v>1130</v>
      </c>
      <c r="R316" s="288" t="s">
        <v>1130</v>
      </c>
      <c r="S316" s="288" t="s">
        <v>1130</v>
      </c>
      <c r="T316" s="288" t="s">
        <v>1130</v>
      </c>
      <c r="U316" s="288" t="s">
        <v>1130</v>
      </c>
      <c r="V316" s="288" t="s">
        <v>1130</v>
      </c>
      <c r="W316" s="288" t="s">
        <v>1130</v>
      </c>
      <c r="X316" s="288"/>
      <c r="Y316" s="288"/>
      <c r="Z316" s="255" t="s">
        <v>1131</v>
      </c>
      <c r="AA316" s="255" t="s">
        <v>1132</v>
      </c>
      <c r="AB316" s="255"/>
    </row>
    <row r="317" spans="1:28" s="256" customFormat="1" ht="72">
      <c r="A317" s="251">
        <v>312</v>
      </c>
      <c r="B317" s="251" t="s">
        <v>996</v>
      </c>
      <c r="C317" s="251" t="s">
        <v>1133</v>
      </c>
      <c r="D317" s="251" t="s">
        <v>1134</v>
      </c>
      <c r="E317" s="251">
        <v>1</v>
      </c>
      <c r="F317" s="251" t="s">
        <v>1135</v>
      </c>
      <c r="G317" s="251" t="s">
        <v>1136</v>
      </c>
      <c r="H317" s="251" t="s">
        <v>459</v>
      </c>
      <c r="I317" s="252" t="s">
        <v>1137</v>
      </c>
      <c r="J317" s="252" t="s">
        <v>1138</v>
      </c>
      <c r="K317" s="253" t="s">
        <v>1100</v>
      </c>
      <c r="L317" s="250" t="s">
        <v>41</v>
      </c>
      <c r="M317" s="257" t="s">
        <v>41</v>
      </c>
      <c r="N317" s="257" t="s">
        <v>41</v>
      </c>
      <c r="O317" s="257" t="s">
        <v>41</v>
      </c>
      <c r="P317" s="257" t="s">
        <v>41</v>
      </c>
      <c r="Q317" s="288" t="s">
        <v>41</v>
      </c>
      <c r="R317" s="288">
        <v>0</v>
      </c>
      <c r="S317" s="288">
        <v>0</v>
      </c>
      <c r="T317" s="288">
        <v>2</v>
      </c>
      <c r="U317" s="288" t="s">
        <v>1139</v>
      </c>
      <c r="V317" s="288" t="s">
        <v>1139</v>
      </c>
      <c r="W317" s="288" t="s">
        <v>1140</v>
      </c>
      <c r="X317" s="288"/>
      <c r="Y317" s="288"/>
      <c r="Z317" s="255" t="s">
        <v>1141</v>
      </c>
      <c r="AA317" s="255" t="s">
        <v>1142</v>
      </c>
      <c r="AB317" s="255"/>
    </row>
    <row r="318" spans="1:28" s="256" customFormat="1" ht="56.25">
      <c r="A318" s="251">
        <v>313</v>
      </c>
      <c r="B318" s="251" t="s">
        <v>996</v>
      </c>
      <c r="C318" s="251" t="s">
        <v>1133</v>
      </c>
      <c r="D318" s="251" t="s">
        <v>1143</v>
      </c>
      <c r="E318" s="251">
        <v>1</v>
      </c>
      <c r="F318" s="251" t="s">
        <v>1135</v>
      </c>
      <c r="G318" s="251" t="s">
        <v>1136</v>
      </c>
      <c r="H318" s="251" t="s">
        <v>459</v>
      </c>
      <c r="I318" s="252" t="s">
        <v>1144</v>
      </c>
      <c r="J318" s="252" t="s">
        <v>1145</v>
      </c>
      <c r="K318" s="253" t="s">
        <v>1100</v>
      </c>
      <c r="L318" s="250" t="s">
        <v>41</v>
      </c>
      <c r="M318" s="257" t="s">
        <v>41</v>
      </c>
      <c r="N318" s="257" t="s">
        <v>41</v>
      </c>
      <c r="O318" s="257" t="s">
        <v>41</v>
      </c>
      <c r="P318" s="257" t="s">
        <v>41</v>
      </c>
      <c r="Q318" s="288" t="s">
        <v>41</v>
      </c>
      <c r="R318" s="288">
        <v>0</v>
      </c>
      <c r="S318" s="288">
        <v>0</v>
      </c>
      <c r="T318" s="288">
        <v>3</v>
      </c>
      <c r="U318" s="288" t="s">
        <v>1139</v>
      </c>
      <c r="V318" s="288" t="s">
        <v>1139</v>
      </c>
      <c r="W318" s="288" t="s">
        <v>1140</v>
      </c>
      <c r="X318" s="288"/>
      <c r="Y318" s="288"/>
      <c r="Z318" s="255" t="s">
        <v>1104</v>
      </c>
      <c r="AA318" s="255" t="s">
        <v>1146</v>
      </c>
      <c r="AB318" s="255"/>
    </row>
    <row r="319" spans="1:28" s="256" customFormat="1" ht="67.5">
      <c r="A319" s="251">
        <v>314</v>
      </c>
      <c r="B319" s="251" t="s">
        <v>996</v>
      </c>
      <c r="C319" s="251" t="s">
        <v>1147</v>
      </c>
      <c r="D319" s="251" t="s">
        <v>1148</v>
      </c>
      <c r="E319" s="251">
        <v>1</v>
      </c>
      <c r="F319" s="251" t="s">
        <v>1149</v>
      </c>
      <c r="G319" s="251" t="s">
        <v>1150</v>
      </c>
      <c r="H319" s="251" t="s">
        <v>459</v>
      </c>
      <c r="I319" s="252" t="s">
        <v>1151</v>
      </c>
      <c r="J319" s="252" t="s">
        <v>1152</v>
      </c>
      <c r="K319" s="253" t="s">
        <v>1100</v>
      </c>
      <c r="L319" s="250" t="s">
        <v>41</v>
      </c>
      <c r="M319" s="287" t="s">
        <v>1153</v>
      </c>
      <c r="N319" s="257" t="s">
        <v>41</v>
      </c>
      <c r="O319" s="257" t="s">
        <v>41</v>
      </c>
      <c r="P319" s="287" t="s">
        <v>1153</v>
      </c>
      <c r="Q319" s="288">
        <v>0</v>
      </c>
      <c r="R319" s="288" t="s">
        <v>1154</v>
      </c>
      <c r="S319" s="288" t="s">
        <v>1154</v>
      </c>
      <c r="T319" s="288" t="s">
        <v>1154</v>
      </c>
      <c r="U319" s="288" t="s">
        <v>1153</v>
      </c>
      <c r="V319" s="288" t="s">
        <v>1153</v>
      </c>
      <c r="W319" s="288" t="s">
        <v>1153</v>
      </c>
      <c r="X319" s="288"/>
      <c r="Y319" s="288"/>
      <c r="Z319" s="255" t="s">
        <v>1155</v>
      </c>
      <c r="AA319" s="255" t="s">
        <v>1156</v>
      </c>
      <c r="AB319" s="255"/>
    </row>
    <row r="320" spans="1:28" s="256" customFormat="1" ht="60">
      <c r="A320" s="251">
        <v>315</v>
      </c>
      <c r="B320" s="251" t="s">
        <v>996</v>
      </c>
      <c r="C320" s="251" t="s">
        <v>1147</v>
      </c>
      <c r="D320" s="251" t="s">
        <v>1157</v>
      </c>
      <c r="E320" s="251">
        <v>1</v>
      </c>
      <c r="F320" s="251" t="s">
        <v>1158</v>
      </c>
      <c r="G320" s="251" t="s">
        <v>1150</v>
      </c>
      <c r="H320" s="251" t="s">
        <v>459</v>
      </c>
      <c r="I320" s="252" t="s">
        <v>1159</v>
      </c>
      <c r="J320" s="252" t="s">
        <v>1160</v>
      </c>
      <c r="K320" s="253" t="s">
        <v>1100</v>
      </c>
      <c r="L320" s="250" t="s">
        <v>41</v>
      </c>
      <c r="M320" s="287" t="s">
        <v>1153</v>
      </c>
      <c r="N320" s="257" t="s">
        <v>41</v>
      </c>
      <c r="O320" s="257" t="s">
        <v>41</v>
      </c>
      <c r="P320" s="287" t="s">
        <v>1153</v>
      </c>
      <c r="Q320" s="288">
        <v>0</v>
      </c>
      <c r="R320" s="288" t="s">
        <v>1154</v>
      </c>
      <c r="S320" s="288" t="s">
        <v>1154</v>
      </c>
      <c r="T320" s="288" t="s">
        <v>1154</v>
      </c>
      <c r="U320" s="288" t="s">
        <v>1153</v>
      </c>
      <c r="V320" s="288" t="s">
        <v>1153</v>
      </c>
      <c r="W320" s="288" t="s">
        <v>1153</v>
      </c>
      <c r="X320" s="288"/>
      <c r="Y320" s="288"/>
      <c r="Z320" s="255" t="s">
        <v>1161</v>
      </c>
      <c r="AA320" s="255" t="s">
        <v>1156</v>
      </c>
      <c r="AB320" s="255"/>
    </row>
    <row r="321" spans="1:28" s="256" customFormat="1" ht="48">
      <c r="A321" s="251">
        <v>316</v>
      </c>
      <c r="B321" s="251" t="s">
        <v>996</v>
      </c>
      <c r="C321" s="251" t="s">
        <v>1147</v>
      </c>
      <c r="D321" s="251" t="s">
        <v>1162</v>
      </c>
      <c r="E321" s="251">
        <v>1</v>
      </c>
      <c r="F321" s="251" t="s">
        <v>617</v>
      </c>
      <c r="G321" s="251" t="s">
        <v>1150</v>
      </c>
      <c r="H321" s="251" t="s">
        <v>459</v>
      </c>
      <c r="I321" s="252" t="s">
        <v>1163</v>
      </c>
      <c r="J321" s="252" t="s">
        <v>1164</v>
      </c>
      <c r="K321" s="253" t="s">
        <v>1100</v>
      </c>
      <c r="L321" s="250" t="s">
        <v>41</v>
      </c>
      <c r="M321" s="287" t="s">
        <v>1153</v>
      </c>
      <c r="N321" s="257" t="s">
        <v>41</v>
      </c>
      <c r="O321" s="257" t="s">
        <v>41</v>
      </c>
      <c r="P321" s="287" t="s">
        <v>1153</v>
      </c>
      <c r="Q321" s="288">
        <v>0</v>
      </c>
      <c r="R321" s="288" t="s">
        <v>1154</v>
      </c>
      <c r="S321" s="288" t="s">
        <v>1154</v>
      </c>
      <c r="T321" s="288" t="s">
        <v>1154</v>
      </c>
      <c r="U321" s="288" t="s">
        <v>1153</v>
      </c>
      <c r="V321" s="288" t="s">
        <v>1153</v>
      </c>
      <c r="W321" s="288" t="s">
        <v>1153</v>
      </c>
      <c r="X321" s="288"/>
      <c r="Y321" s="288"/>
      <c r="Z321" s="255" t="s">
        <v>1165</v>
      </c>
      <c r="AA321" s="255" t="s">
        <v>1156</v>
      </c>
      <c r="AB321" s="255"/>
    </row>
    <row r="322" spans="1:28" s="256" customFormat="1" ht="78.75">
      <c r="A322" s="251">
        <v>317</v>
      </c>
      <c r="B322" s="251" t="s">
        <v>996</v>
      </c>
      <c r="C322" s="251" t="s">
        <v>1147</v>
      </c>
      <c r="D322" s="251" t="s">
        <v>1166</v>
      </c>
      <c r="E322" s="251">
        <v>1</v>
      </c>
      <c r="F322" s="251" t="s">
        <v>1013</v>
      </c>
      <c r="G322" s="251" t="s">
        <v>1150</v>
      </c>
      <c r="H322" s="251" t="s">
        <v>459</v>
      </c>
      <c r="I322" s="252" t="s">
        <v>1167</v>
      </c>
      <c r="J322" s="252" t="s">
        <v>1168</v>
      </c>
      <c r="K322" s="253" t="s">
        <v>1100</v>
      </c>
      <c r="L322" s="250" t="s">
        <v>41</v>
      </c>
      <c r="M322" s="287" t="s">
        <v>1153</v>
      </c>
      <c r="N322" s="257" t="s">
        <v>41</v>
      </c>
      <c r="O322" s="257" t="s">
        <v>41</v>
      </c>
      <c r="P322" s="287" t="s">
        <v>1153</v>
      </c>
      <c r="Q322" s="288">
        <v>0</v>
      </c>
      <c r="R322" s="288" t="s">
        <v>1154</v>
      </c>
      <c r="S322" s="288" t="s">
        <v>1154</v>
      </c>
      <c r="T322" s="288" t="s">
        <v>1154</v>
      </c>
      <c r="U322" s="288" t="s">
        <v>1153</v>
      </c>
      <c r="V322" s="288" t="s">
        <v>1153</v>
      </c>
      <c r="W322" s="288" t="s">
        <v>1153</v>
      </c>
      <c r="X322" s="288"/>
      <c r="Y322" s="288"/>
      <c r="Z322" s="255" t="s">
        <v>1169</v>
      </c>
      <c r="AA322" s="255" t="s">
        <v>1170</v>
      </c>
      <c r="AB322" s="255"/>
    </row>
    <row r="323" spans="1:28" s="256" customFormat="1" ht="84">
      <c r="A323" s="251">
        <v>318</v>
      </c>
      <c r="B323" s="251" t="s">
        <v>996</v>
      </c>
      <c r="C323" s="251" t="s">
        <v>1147</v>
      </c>
      <c r="D323" s="251" t="s">
        <v>1171</v>
      </c>
      <c r="E323" s="251">
        <v>1</v>
      </c>
      <c r="F323" s="251" t="s">
        <v>1172</v>
      </c>
      <c r="G323" s="251" t="s">
        <v>1173</v>
      </c>
      <c r="H323" s="251" t="s">
        <v>459</v>
      </c>
      <c r="I323" s="252" t="s">
        <v>1174</v>
      </c>
      <c r="J323" s="252" t="s">
        <v>1175</v>
      </c>
      <c r="K323" s="253" t="s">
        <v>1100</v>
      </c>
      <c r="L323" s="250" t="s">
        <v>41</v>
      </c>
      <c r="M323" s="287" t="s">
        <v>1153</v>
      </c>
      <c r="N323" s="257" t="s">
        <v>41</v>
      </c>
      <c r="O323" s="257" t="s">
        <v>41</v>
      </c>
      <c r="P323" s="287" t="s">
        <v>1153</v>
      </c>
      <c r="Q323" s="288">
        <v>0</v>
      </c>
      <c r="R323" s="288" t="s">
        <v>1154</v>
      </c>
      <c r="S323" s="288" t="s">
        <v>1154</v>
      </c>
      <c r="T323" s="288" t="s">
        <v>1154</v>
      </c>
      <c r="U323" s="288" t="s">
        <v>1153</v>
      </c>
      <c r="V323" s="288" t="s">
        <v>1153</v>
      </c>
      <c r="W323" s="288" t="s">
        <v>1153</v>
      </c>
      <c r="X323" s="288"/>
      <c r="Y323" s="288"/>
      <c r="Z323" s="255" t="s">
        <v>1176</v>
      </c>
      <c r="AA323" s="255" t="s">
        <v>1177</v>
      </c>
      <c r="AB323" s="255"/>
    </row>
    <row r="324" spans="1:28" s="256" customFormat="1" ht="84">
      <c r="A324" s="251">
        <v>319</v>
      </c>
      <c r="B324" s="251" t="s">
        <v>996</v>
      </c>
      <c r="C324" s="251" t="s">
        <v>1147</v>
      </c>
      <c r="D324" s="251" t="s">
        <v>1178</v>
      </c>
      <c r="E324" s="251">
        <v>1</v>
      </c>
      <c r="F324" s="251" t="s">
        <v>1179</v>
      </c>
      <c r="G324" s="251" t="s">
        <v>1173</v>
      </c>
      <c r="H324" s="251" t="s">
        <v>459</v>
      </c>
      <c r="I324" s="252" t="s">
        <v>1174</v>
      </c>
      <c r="J324" s="252" t="s">
        <v>1175</v>
      </c>
      <c r="K324" s="253" t="s">
        <v>1100</v>
      </c>
      <c r="L324" s="250" t="s">
        <v>41</v>
      </c>
      <c r="M324" s="287" t="s">
        <v>1153</v>
      </c>
      <c r="N324" s="257" t="s">
        <v>41</v>
      </c>
      <c r="O324" s="257" t="s">
        <v>41</v>
      </c>
      <c r="P324" s="287" t="s">
        <v>1153</v>
      </c>
      <c r="Q324" s="288">
        <v>0</v>
      </c>
      <c r="R324" s="288" t="s">
        <v>1154</v>
      </c>
      <c r="S324" s="288" t="s">
        <v>1154</v>
      </c>
      <c r="T324" s="288" t="s">
        <v>1154</v>
      </c>
      <c r="U324" s="288" t="s">
        <v>1153</v>
      </c>
      <c r="V324" s="288" t="s">
        <v>1153</v>
      </c>
      <c r="W324" s="288" t="s">
        <v>1153</v>
      </c>
      <c r="X324" s="288"/>
      <c r="Y324" s="288"/>
      <c r="Z324" s="255" t="s">
        <v>1176</v>
      </c>
      <c r="AA324" s="255" t="s">
        <v>1177</v>
      </c>
      <c r="AB324" s="255"/>
    </row>
    <row r="325" spans="1:28" s="256" customFormat="1" ht="84">
      <c r="A325" s="251">
        <v>320</v>
      </c>
      <c r="B325" s="251" t="s">
        <v>996</v>
      </c>
      <c r="C325" s="251" t="s">
        <v>1147</v>
      </c>
      <c r="D325" s="251" t="s">
        <v>1180</v>
      </c>
      <c r="E325" s="251">
        <v>1</v>
      </c>
      <c r="F325" s="251" t="s">
        <v>1181</v>
      </c>
      <c r="G325" s="251" t="s">
        <v>1173</v>
      </c>
      <c r="H325" s="251" t="s">
        <v>459</v>
      </c>
      <c r="I325" s="252" t="s">
        <v>1174</v>
      </c>
      <c r="J325" s="252" t="s">
        <v>1175</v>
      </c>
      <c r="K325" s="253" t="s">
        <v>1100</v>
      </c>
      <c r="L325" s="250" t="s">
        <v>41</v>
      </c>
      <c r="M325" s="287" t="s">
        <v>1153</v>
      </c>
      <c r="N325" s="257" t="s">
        <v>41</v>
      </c>
      <c r="O325" s="257" t="s">
        <v>41</v>
      </c>
      <c r="P325" s="287" t="s">
        <v>1153</v>
      </c>
      <c r="Q325" s="288">
        <v>0</v>
      </c>
      <c r="R325" s="288" t="s">
        <v>1154</v>
      </c>
      <c r="S325" s="288" t="s">
        <v>1154</v>
      </c>
      <c r="T325" s="288" t="s">
        <v>1154</v>
      </c>
      <c r="U325" s="288" t="s">
        <v>1153</v>
      </c>
      <c r="V325" s="288" t="s">
        <v>1153</v>
      </c>
      <c r="W325" s="288" t="s">
        <v>1153</v>
      </c>
      <c r="X325" s="288"/>
      <c r="Y325" s="288"/>
      <c r="Z325" s="255" t="s">
        <v>1176</v>
      </c>
      <c r="AA325" s="255" t="s">
        <v>1177</v>
      </c>
      <c r="AB325" s="255"/>
    </row>
    <row r="326" spans="1:28" s="256" customFormat="1" ht="144">
      <c r="A326" s="251">
        <v>321</v>
      </c>
      <c r="B326" s="251" t="s">
        <v>996</v>
      </c>
      <c r="C326" s="251" t="s">
        <v>1147</v>
      </c>
      <c r="D326" s="251" t="s">
        <v>1182</v>
      </c>
      <c r="E326" s="251">
        <v>1</v>
      </c>
      <c r="F326" s="251" t="s">
        <v>1183</v>
      </c>
      <c r="G326" s="251" t="s">
        <v>1184</v>
      </c>
      <c r="H326" s="251" t="s">
        <v>459</v>
      </c>
      <c r="I326" s="252" t="s">
        <v>1185</v>
      </c>
      <c r="J326" s="252" t="s">
        <v>1186</v>
      </c>
      <c r="K326" s="253" t="s">
        <v>1100</v>
      </c>
      <c r="L326" s="250" t="s">
        <v>41</v>
      </c>
      <c r="M326" s="257" t="s">
        <v>41</v>
      </c>
      <c r="N326" s="257" t="s">
        <v>41</v>
      </c>
      <c r="O326" s="257" t="s">
        <v>41</v>
      </c>
      <c r="P326" s="257" t="s">
        <v>41</v>
      </c>
      <c r="Q326" s="288" t="s">
        <v>41</v>
      </c>
      <c r="R326" s="288">
        <v>0</v>
      </c>
      <c r="S326" s="288">
        <v>2</v>
      </c>
      <c r="T326" s="288">
        <v>2</v>
      </c>
      <c r="U326" s="288" t="s">
        <v>1139</v>
      </c>
      <c r="V326" s="288" t="s">
        <v>1139</v>
      </c>
      <c r="W326" s="288" t="s">
        <v>1187</v>
      </c>
      <c r="X326" s="288"/>
      <c r="Y326" s="288"/>
      <c r="Z326" s="255" t="s">
        <v>1188</v>
      </c>
      <c r="AA326" s="255" t="s">
        <v>1189</v>
      </c>
      <c r="AB326" s="255"/>
    </row>
    <row r="327" spans="1:28" s="256" customFormat="1" ht="144">
      <c r="A327" s="251">
        <v>322</v>
      </c>
      <c r="B327" s="251" t="s">
        <v>996</v>
      </c>
      <c r="C327" s="251" t="s">
        <v>1147</v>
      </c>
      <c r="D327" s="251" t="s">
        <v>1190</v>
      </c>
      <c r="E327" s="251">
        <v>1</v>
      </c>
      <c r="F327" s="251" t="s">
        <v>1191</v>
      </c>
      <c r="G327" s="251" t="s">
        <v>1184</v>
      </c>
      <c r="H327" s="251" t="s">
        <v>459</v>
      </c>
      <c r="I327" s="252" t="s">
        <v>1192</v>
      </c>
      <c r="J327" s="252" t="s">
        <v>1193</v>
      </c>
      <c r="K327" s="253" t="s">
        <v>1100</v>
      </c>
      <c r="L327" s="250" t="s">
        <v>41</v>
      </c>
      <c r="M327" s="257" t="s">
        <v>41</v>
      </c>
      <c r="N327" s="257" t="s">
        <v>41</v>
      </c>
      <c r="O327" s="257" t="s">
        <v>41</v>
      </c>
      <c r="P327" s="257" t="s">
        <v>41</v>
      </c>
      <c r="Q327" s="288" t="s">
        <v>41</v>
      </c>
      <c r="R327" s="288">
        <v>0</v>
      </c>
      <c r="S327" s="288">
        <v>1</v>
      </c>
      <c r="T327" s="288">
        <v>1</v>
      </c>
      <c r="U327" s="288" t="s">
        <v>1139</v>
      </c>
      <c r="V327" s="288" t="s">
        <v>1139</v>
      </c>
      <c r="W327" s="288" t="s">
        <v>1194</v>
      </c>
      <c r="X327" s="288"/>
      <c r="Y327" s="288"/>
      <c r="Z327" s="255" t="s">
        <v>1188</v>
      </c>
      <c r="AA327" s="255" t="s">
        <v>1189</v>
      </c>
      <c r="AB327" s="255"/>
    </row>
    <row r="328" spans="1:28" s="256" customFormat="1" ht="144">
      <c r="A328" s="251">
        <v>323</v>
      </c>
      <c r="B328" s="251" t="s">
        <v>996</v>
      </c>
      <c r="C328" s="251" t="s">
        <v>1147</v>
      </c>
      <c r="D328" s="251" t="s">
        <v>1195</v>
      </c>
      <c r="E328" s="251">
        <v>1</v>
      </c>
      <c r="F328" s="251" t="s">
        <v>1196</v>
      </c>
      <c r="G328" s="251" t="s">
        <v>1184</v>
      </c>
      <c r="H328" s="251" t="s">
        <v>459</v>
      </c>
      <c r="I328" s="252" t="s">
        <v>1197</v>
      </c>
      <c r="J328" s="252" t="s">
        <v>1198</v>
      </c>
      <c r="K328" s="253" t="s">
        <v>1100</v>
      </c>
      <c r="L328" s="250" t="s">
        <v>41</v>
      </c>
      <c r="M328" s="257" t="s">
        <v>41</v>
      </c>
      <c r="N328" s="257" t="s">
        <v>41</v>
      </c>
      <c r="O328" s="257" t="s">
        <v>41</v>
      </c>
      <c r="P328" s="257" t="s">
        <v>41</v>
      </c>
      <c r="Q328" s="288" t="s">
        <v>41</v>
      </c>
      <c r="R328" s="288">
        <v>0</v>
      </c>
      <c r="S328" s="288">
        <v>1</v>
      </c>
      <c r="T328" s="288">
        <v>1</v>
      </c>
      <c r="U328" s="288" t="s">
        <v>1139</v>
      </c>
      <c r="V328" s="288" t="s">
        <v>1139</v>
      </c>
      <c r="W328" s="288" t="s">
        <v>1187</v>
      </c>
      <c r="X328" s="288"/>
      <c r="Y328" s="288"/>
      <c r="Z328" s="255" t="s">
        <v>1188</v>
      </c>
      <c r="AA328" s="255" t="s">
        <v>1189</v>
      </c>
      <c r="AB328" s="255"/>
    </row>
    <row r="329" spans="1:28" s="256" customFormat="1" ht="144">
      <c r="A329" s="251">
        <v>324</v>
      </c>
      <c r="B329" s="251" t="s">
        <v>996</v>
      </c>
      <c r="C329" s="251" t="s">
        <v>1147</v>
      </c>
      <c r="D329" s="251" t="s">
        <v>1199</v>
      </c>
      <c r="E329" s="251">
        <v>1</v>
      </c>
      <c r="F329" s="251" t="s">
        <v>1200</v>
      </c>
      <c r="G329" s="251" t="s">
        <v>1184</v>
      </c>
      <c r="H329" s="251" t="s">
        <v>459</v>
      </c>
      <c r="I329" s="252" t="s">
        <v>1201</v>
      </c>
      <c r="J329" s="252" t="s">
        <v>1202</v>
      </c>
      <c r="K329" s="253" t="s">
        <v>1100</v>
      </c>
      <c r="L329" s="250" t="s">
        <v>41</v>
      </c>
      <c r="M329" s="257" t="s">
        <v>41</v>
      </c>
      <c r="N329" s="257" t="s">
        <v>41</v>
      </c>
      <c r="O329" s="257" t="s">
        <v>41</v>
      </c>
      <c r="P329" s="257" t="s">
        <v>41</v>
      </c>
      <c r="Q329" s="288" t="s">
        <v>41</v>
      </c>
      <c r="R329" s="288">
        <v>0</v>
      </c>
      <c r="S329" s="288">
        <v>0</v>
      </c>
      <c r="T329" s="288">
        <v>1</v>
      </c>
      <c r="U329" s="288" t="s">
        <v>1139</v>
      </c>
      <c r="V329" s="288" t="s">
        <v>1139</v>
      </c>
      <c r="W329" s="288" t="s">
        <v>1187</v>
      </c>
      <c r="X329" s="288"/>
      <c r="Y329" s="288"/>
      <c r="Z329" s="255" t="s">
        <v>1188</v>
      </c>
      <c r="AA329" s="255" t="s">
        <v>1203</v>
      </c>
      <c r="AB329" s="255"/>
    </row>
    <row r="330" spans="1:28" s="256" customFormat="1" ht="144">
      <c r="A330" s="251">
        <v>325</v>
      </c>
      <c r="B330" s="251" t="s">
        <v>996</v>
      </c>
      <c r="C330" s="251" t="s">
        <v>1147</v>
      </c>
      <c r="D330" s="251" t="s">
        <v>1204</v>
      </c>
      <c r="E330" s="251">
        <v>1</v>
      </c>
      <c r="F330" s="251" t="s">
        <v>1183</v>
      </c>
      <c r="G330" s="251" t="s">
        <v>1184</v>
      </c>
      <c r="H330" s="251" t="s">
        <v>459</v>
      </c>
      <c r="I330" s="252" t="s">
        <v>1205</v>
      </c>
      <c r="J330" s="252" t="s">
        <v>1206</v>
      </c>
      <c r="K330" s="253" t="s">
        <v>1100</v>
      </c>
      <c r="L330" s="250" t="s">
        <v>41</v>
      </c>
      <c r="M330" s="257" t="s">
        <v>41</v>
      </c>
      <c r="N330" s="257" t="s">
        <v>41</v>
      </c>
      <c r="O330" s="257" t="s">
        <v>41</v>
      </c>
      <c r="P330" s="257" t="s">
        <v>41</v>
      </c>
      <c r="Q330" s="288" t="s">
        <v>41</v>
      </c>
      <c r="R330" s="288">
        <v>0</v>
      </c>
      <c r="S330" s="288">
        <v>3</v>
      </c>
      <c r="T330" s="288">
        <v>3</v>
      </c>
      <c r="U330" s="288" t="s">
        <v>1139</v>
      </c>
      <c r="V330" s="288" t="s">
        <v>1139</v>
      </c>
      <c r="W330" s="288" t="s">
        <v>1187</v>
      </c>
      <c r="X330" s="288"/>
      <c r="Y330" s="288"/>
      <c r="Z330" s="255" t="s">
        <v>1207</v>
      </c>
      <c r="AA330" s="255" t="s">
        <v>1189</v>
      </c>
      <c r="AB330" s="255"/>
    </row>
    <row r="331" spans="1:28" s="256" customFormat="1" ht="144">
      <c r="A331" s="251">
        <v>326</v>
      </c>
      <c r="B331" s="251" t="s">
        <v>996</v>
      </c>
      <c r="C331" s="251" t="s">
        <v>1147</v>
      </c>
      <c r="D331" s="251" t="s">
        <v>1208</v>
      </c>
      <c r="E331" s="251">
        <v>1</v>
      </c>
      <c r="F331" s="251" t="s">
        <v>1191</v>
      </c>
      <c r="G331" s="251" t="s">
        <v>1184</v>
      </c>
      <c r="H331" s="251" t="s">
        <v>459</v>
      </c>
      <c r="I331" s="252" t="s">
        <v>1209</v>
      </c>
      <c r="J331" s="252" t="s">
        <v>1210</v>
      </c>
      <c r="K331" s="253" t="s">
        <v>1100</v>
      </c>
      <c r="L331" s="250" t="s">
        <v>41</v>
      </c>
      <c r="M331" s="257" t="s">
        <v>41</v>
      </c>
      <c r="N331" s="257" t="s">
        <v>41</v>
      </c>
      <c r="O331" s="257" t="s">
        <v>41</v>
      </c>
      <c r="P331" s="257" t="s">
        <v>41</v>
      </c>
      <c r="Q331" s="288" t="s">
        <v>41</v>
      </c>
      <c r="R331" s="288">
        <v>0</v>
      </c>
      <c r="S331" s="288">
        <v>1</v>
      </c>
      <c r="T331" s="288">
        <v>1</v>
      </c>
      <c r="U331" s="288" t="s">
        <v>1139</v>
      </c>
      <c r="V331" s="288" t="s">
        <v>1139</v>
      </c>
      <c r="W331" s="288" t="s">
        <v>1187</v>
      </c>
      <c r="X331" s="288"/>
      <c r="Y331" s="288"/>
      <c r="Z331" s="255" t="s">
        <v>1207</v>
      </c>
      <c r="AA331" s="255" t="s">
        <v>1189</v>
      </c>
      <c r="AB331" s="255"/>
    </row>
    <row r="332" spans="1:28" s="256" customFormat="1" ht="144">
      <c r="A332" s="251">
        <v>327</v>
      </c>
      <c r="B332" s="251" t="s">
        <v>996</v>
      </c>
      <c r="C332" s="251" t="s">
        <v>1147</v>
      </c>
      <c r="D332" s="251" t="s">
        <v>1211</v>
      </c>
      <c r="E332" s="251">
        <v>1</v>
      </c>
      <c r="F332" s="251" t="s">
        <v>1196</v>
      </c>
      <c r="G332" s="251" t="s">
        <v>1184</v>
      </c>
      <c r="H332" s="251" t="s">
        <v>459</v>
      </c>
      <c r="I332" s="252" t="s">
        <v>1212</v>
      </c>
      <c r="J332" s="252" t="s">
        <v>1213</v>
      </c>
      <c r="K332" s="253" t="s">
        <v>1100</v>
      </c>
      <c r="L332" s="250" t="s">
        <v>41</v>
      </c>
      <c r="M332" s="257" t="s">
        <v>41</v>
      </c>
      <c r="N332" s="257" t="s">
        <v>41</v>
      </c>
      <c r="O332" s="257" t="s">
        <v>41</v>
      </c>
      <c r="P332" s="257" t="s">
        <v>41</v>
      </c>
      <c r="Q332" s="288" t="s">
        <v>41</v>
      </c>
      <c r="R332" s="288">
        <v>0</v>
      </c>
      <c r="S332" s="288">
        <v>1</v>
      </c>
      <c r="T332" s="288">
        <v>1</v>
      </c>
      <c r="U332" s="288" t="s">
        <v>1139</v>
      </c>
      <c r="V332" s="288" t="s">
        <v>1139</v>
      </c>
      <c r="W332" s="288" t="s">
        <v>1187</v>
      </c>
      <c r="X332" s="288"/>
      <c r="Y332" s="288"/>
      <c r="Z332" s="255" t="s">
        <v>1207</v>
      </c>
      <c r="AA332" s="255" t="s">
        <v>1189</v>
      </c>
      <c r="AB332" s="255"/>
    </row>
    <row r="333" spans="1:28" s="256" customFormat="1" ht="144">
      <c r="A333" s="251">
        <v>328</v>
      </c>
      <c r="B333" s="251" t="s">
        <v>996</v>
      </c>
      <c r="C333" s="251" t="s">
        <v>1147</v>
      </c>
      <c r="D333" s="251" t="s">
        <v>1214</v>
      </c>
      <c r="E333" s="251">
        <v>1</v>
      </c>
      <c r="F333" s="251" t="s">
        <v>1200</v>
      </c>
      <c r="G333" s="251" t="s">
        <v>1184</v>
      </c>
      <c r="H333" s="251" t="s">
        <v>459</v>
      </c>
      <c r="I333" s="252" t="s">
        <v>1215</v>
      </c>
      <c r="J333" s="252" t="s">
        <v>1216</v>
      </c>
      <c r="K333" s="253" t="s">
        <v>1100</v>
      </c>
      <c r="L333" s="250" t="s">
        <v>41</v>
      </c>
      <c r="M333" s="257" t="s">
        <v>41</v>
      </c>
      <c r="N333" s="257" t="s">
        <v>41</v>
      </c>
      <c r="O333" s="257" t="s">
        <v>41</v>
      </c>
      <c r="P333" s="257" t="s">
        <v>41</v>
      </c>
      <c r="Q333" s="288" t="s">
        <v>41</v>
      </c>
      <c r="R333" s="288">
        <v>0</v>
      </c>
      <c r="S333" s="288">
        <v>0</v>
      </c>
      <c r="T333" s="288">
        <v>1</v>
      </c>
      <c r="U333" s="288" t="s">
        <v>1139</v>
      </c>
      <c r="V333" s="288" t="s">
        <v>1139</v>
      </c>
      <c r="W333" s="288" t="s">
        <v>1187</v>
      </c>
      <c r="X333" s="288"/>
      <c r="Y333" s="288"/>
      <c r="Z333" s="255" t="s">
        <v>1207</v>
      </c>
      <c r="AA333" s="255" t="s">
        <v>1189</v>
      </c>
      <c r="AB333" s="255"/>
    </row>
    <row r="334" spans="1:28" s="256" customFormat="1" ht="84">
      <c r="A334" s="251">
        <v>329</v>
      </c>
      <c r="B334" s="251" t="s">
        <v>996</v>
      </c>
      <c r="C334" s="251" t="s">
        <v>1217</v>
      </c>
      <c r="D334" s="251" t="s">
        <v>1218</v>
      </c>
      <c r="E334" s="251">
        <v>1</v>
      </c>
      <c r="F334" s="251" t="s">
        <v>1219</v>
      </c>
      <c r="G334" s="251" t="s">
        <v>1220</v>
      </c>
      <c r="H334" s="251" t="s">
        <v>459</v>
      </c>
      <c r="I334" s="252" t="s">
        <v>1221</v>
      </c>
      <c r="J334" s="252" t="s">
        <v>1222</v>
      </c>
      <c r="K334" s="253" t="s">
        <v>1100</v>
      </c>
      <c r="L334" s="250" t="s">
        <v>41</v>
      </c>
      <c r="M334" s="257" t="s">
        <v>41</v>
      </c>
      <c r="N334" s="257" t="s">
        <v>41</v>
      </c>
      <c r="O334" s="257" t="s">
        <v>41</v>
      </c>
      <c r="P334" s="257" t="s">
        <v>41</v>
      </c>
      <c r="Q334" s="288" t="s">
        <v>1223</v>
      </c>
      <c r="R334" s="288" t="s">
        <v>41</v>
      </c>
      <c r="S334" s="288" t="s">
        <v>41</v>
      </c>
      <c r="T334" s="288" t="s">
        <v>41</v>
      </c>
      <c r="U334" s="288" t="s">
        <v>1224</v>
      </c>
      <c r="V334" s="288" t="s">
        <v>1225</v>
      </c>
      <c r="W334" s="288" t="s">
        <v>1226</v>
      </c>
      <c r="X334" s="288"/>
      <c r="Y334" s="288"/>
      <c r="Z334" s="255" t="s">
        <v>1227</v>
      </c>
      <c r="AA334" s="255" t="s">
        <v>1228</v>
      </c>
      <c r="AB334" s="255"/>
    </row>
    <row r="335" spans="1:28" ht="15">
      <c r="R335" s="297"/>
      <c r="S335" s="297"/>
      <c r="T335" s="297"/>
    </row>
    <row r="336" spans="1:28" ht="15">
      <c r="U336" s="297"/>
      <c r="V336" s="297"/>
      <c r="W336" s="297"/>
      <c r="X336" s="297"/>
      <c r="Y336" s="297"/>
    </row>
    <row r="337" spans="21:25" ht="15">
      <c r="U337" s="297"/>
      <c r="V337" s="297"/>
      <c r="W337" s="297"/>
      <c r="X337" s="297"/>
      <c r="Y337" s="297"/>
    </row>
    <row r="338" spans="21:25" ht="15">
      <c r="U338" s="297"/>
      <c r="V338" s="297"/>
      <c r="W338" s="297"/>
      <c r="X338" s="297"/>
      <c r="Y338" s="297"/>
    </row>
    <row r="339" spans="21:25" ht="15">
      <c r="U339" s="297"/>
      <c r="V339" s="297"/>
      <c r="W339" s="297"/>
      <c r="X339" s="297"/>
      <c r="Y339" s="297"/>
    </row>
    <row r="340" spans="21:25" ht="15">
      <c r="U340" s="297"/>
      <c r="V340" s="297"/>
      <c r="W340" s="297"/>
      <c r="X340" s="297"/>
      <c r="Y340" s="297"/>
    </row>
    <row r="341" spans="21:25" ht="15">
      <c r="U341" s="297"/>
      <c r="V341" s="297"/>
      <c r="W341" s="297"/>
      <c r="X341" s="297"/>
      <c r="Y341" s="297"/>
    </row>
    <row r="342" spans="21:25" ht="15">
      <c r="U342" s="297"/>
      <c r="V342" s="297"/>
      <c r="W342" s="297"/>
      <c r="X342" s="297"/>
      <c r="Y342" s="297"/>
    </row>
  </sheetData>
  <autoFilter ref="A3:AB3" xr:uid="{CA815AED-EC99-466D-8AE4-3E8E4D6E293B}">
    <filterColumn colId="17" showButton="0"/>
    <filterColumn colId="18" showButton="0"/>
  </autoFilter>
  <mergeCells count="28">
    <mergeCell ref="N3:N4"/>
    <mergeCell ref="A1:AB1"/>
    <mergeCell ref="A2:AB2"/>
    <mergeCell ref="A3:A4"/>
    <mergeCell ref="B3:B4"/>
    <mergeCell ref="C3:C4"/>
    <mergeCell ref="D3:D4"/>
    <mergeCell ref="E3:E4"/>
    <mergeCell ref="F3:F4"/>
    <mergeCell ref="G3:G4"/>
    <mergeCell ref="H3:H4"/>
    <mergeCell ref="I3:I4"/>
    <mergeCell ref="J3:J4"/>
    <mergeCell ref="K3:K4"/>
    <mergeCell ref="L3:L4"/>
    <mergeCell ref="M3:M4"/>
    <mergeCell ref="AB3:AB4"/>
    <mergeCell ref="O3:O4"/>
    <mergeCell ref="P3:P4"/>
    <mergeCell ref="Q3:Q4"/>
    <mergeCell ref="R3:T3"/>
    <mergeCell ref="U3:U4"/>
    <mergeCell ref="V3:V4"/>
    <mergeCell ref="W3:W4"/>
    <mergeCell ref="X3:X4"/>
    <mergeCell ref="Y3:Y4"/>
    <mergeCell ref="Z3:Z4"/>
    <mergeCell ref="AA3:AA4"/>
  </mergeCells>
  <pageMargins left="0.75" right="0.75" top="1" bottom="1" header="0.5" footer="0.5"/>
  <pageSetup scale="30" fitToHeight="0" orientation="landscape" horizontalDpi="4294967292" vertic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DAF9F80FDE0E459E1A4ABBAD4741F7" ma:contentTypeVersion="4" ma:contentTypeDescription="Create a new document." ma:contentTypeScope="" ma:versionID="9efc0ee85d7a54671f37e2699a13360a">
  <xsd:schema xmlns:xsd="http://www.w3.org/2001/XMLSchema" xmlns:xs="http://www.w3.org/2001/XMLSchema" xmlns:p="http://schemas.microsoft.com/office/2006/metadata/properties" xmlns:ns2="1f515989-4afe-4bfb-8869-4f44a11afb39" xmlns:ns3="e5e22d63-cd76-4ad0-9cc0-8f2b2146ce9f" targetNamespace="http://schemas.microsoft.com/office/2006/metadata/properties" ma:root="true" ma:fieldsID="de16da6e60a0a9b7523ec5c501a87e60" ns2:_="" ns3:_="">
    <xsd:import namespace="1f515989-4afe-4bfb-8869-4f44a11afb39"/>
    <xsd:import namespace="e5e22d63-cd76-4ad0-9cc0-8f2b2146ce9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515989-4afe-4bfb-8869-4f44a11afb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e22d63-cd76-4ad0-9cc0-8f2b2146ce9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C4853F-0DC4-4A89-A69F-BC5496817212}"/>
</file>

<file path=customXml/itemProps2.xml><?xml version="1.0" encoding="utf-8"?>
<ds:datastoreItem xmlns:ds="http://schemas.openxmlformats.org/officeDocument/2006/customXml" ds:itemID="{9B7673DE-2664-4CF9-BCE9-868B6F8D0B06}"/>
</file>

<file path=customXml/itemProps3.xml><?xml version="1.0" encoding="utf-8"?>
<ds:datastoreItem xmlns:ds="http://schemas.openxmlformats.org/officeDocument/2006/customXml" ds:itemID="{EC6CA232-03D5-4005-A94E-5230961B34BC}"/>
</file>

<file path=docProps/app.xml><?xml version="1.0" encoding="utf-8"?>
<Properties xmlns="http://schemas.openxmlformats.org/officeDocument/2006/extended-properties" xmlns:vt="http://schemas.openxmlformats.org/officeDocument/2006/docPropsVTypes">
  <Application>Microsoft Excel Online</Application>
  <Manager/>
  <Company>INEGI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Reardon, Amy</cp:lastModifiedBy>
  <cp:revision/>
  <dcterms:created xsi:type="dcterms:W3CDTF">2003-07-25T20:30:23Z</dcterms:created>
  <dcterms:modified xsi:type="dcterms:W3CDTF">2021-03-18T23:56:35Z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NewReviewCycle">
    <vt:lpwstr/>
  </property>
  <property fmtid="{D5CDD505-2E9C-101B-9397-08002B2CF9AE}" pid="4" name="ContentTypeId">
    <vt:lpwstr>0x0101006EDAF9F80FDE0E459E1A4ABBAD4741F7</vt:lpwstr>
  </property>
  <property fmtid="{D5CDD505-2E9C-101B-9397-08002B2CF9AE}" pid="5" name="pgeRecordCategory">
    <vt:lpwstr/>
  </property>
</Properties>
</file>